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F:\ARCHIVED K DRIVE PDFS\MISC folder for posting PDFs online\"/>
    </mc:Choice>
  </mc:AlternateContent>
  <xr:revisionPtr revIDLastSave="0" documentId="8_{43CD4F52-6107-4AE9-9B35-0D5E973455D5}" xr6:coauthVersionLast="36" xr6:coauthVersionMax="36" xr10:uidLastSave="{00000000-0000-0000-0000-000000000000}"/>
  <bookViews>
    <workbookView xWindow="0" yWindow="0" windowWidth="14380" windowHeight="4070" tabRatio="758" firstSheet="79" activeTab="85" xr2:uid="{00000000-000D-0000-FFFF-FFFF00000000}"/>
  </bookViews>
  <sheets>
    <sheet name="ALPINE VALLEY" sheetId="103" r:id="rId1"/>
    <sheet name="AVALON BOUNTIFUL" sheetId="118" r:id="rId2"/>
    <sheet name="AVALON VALLEY" sheetId="60" r:id="rId3"/>
    <sheet name="BENNION dba AV West" sheetId="54" r:id="rId4"/>
    <sheet name="CANYON RIM" sheetId="94" r:id="rId5"/>
    <sheet name="CANYONLANDS" sheetId="145" r:id="rId6"/>
    <sheet name="CASCADES at RIVERWALK" sheetId="177" r:id="rId7"/>
    <sheet name="CENTRAL UT VH -PAYSON" sheetId="164" r:id="rId8"/>
    <sheet name="CITY CREEK &amp;CC-BV" sheetId="19" r:id="rId9"/>
    <sheet name="COPPER RIDGE &amp;Cop Ridg-BV" sheetId="15" r:id="rId10"/>
    <sheet name="CORAL DESERT -BV" sheetId="178" r:id="rId11"/>
    <sheet name="COUNTRY LIFE" sheetId="150" r:id="rId12"/>
    <sheet name="CRESTWOOD" sheetId="68" r:id="rId13"/>
    <sheet name="DRAPER &amp; DRAPER-BV" sheetId="66" r:id="rId14"/>
    <sheet name="EMERY COUNTY" sheetId="63" r:id="rId15"/>
    <sheet name="FAIRVIEW" sheetId="62" r:id="rId16"/>
    <sheet name="FOUR CORNERS -BV" sheetId="58" r:id="rId17"/>
    <sheet name="HARRISON POINTE En" sheetId="174" r:id="rId18"/>
    <sheet name="HAZEN" sheetId="136" r:id="rId19"/>
    <sheet name="HERITAGE CARE" sheetId="53" r:id="rId20"/>
    <sheet name="HERITAGE HILLS" sheetId="98" r:id="rId21"/>
    <sheet name="HERITAGE PARK " sheetId="49" r:id="rId22"/>
    <sheet name="HIGHLAND" sheetId="83" r:id="rId23"/>
    <sheet name="HILLSIDE" sheetId="47" r:id="rId24"/>
    <sheet name="HOLLADAY, HOLLADAY -BV En" sheetId="46" r:id="rId25"/>
    <sheet name="HURRICANE, HURRICANE -BV En" sheetId="102" r:id="rId26"/>
    <sheet name="IRON COUNTY" sheetId="45" r:id="rId27"/>
    <sheet name="KOLOB, BELLA TERRA C C" sheetId="106" r:id="rId28"/>
    <sheet name="KOLOB, BELLA TERRA S G" sheetId="104" r:id="rId29"/>
    <sheet name="LIFE CARE BOUNTIFUL" sheetId="43" r:id="rId30"/>
    <sheet name="LIFE CARE OF SLC" sheetId="175" r:id="rId31"/>
    <sheet name="Little Cottonwood &amp; BV" sheetId="57" r:id="rId32"/>
    <sheet name="LOMOND PEAK, LOM PK -BV" sheetId="84" r:id="rId33"/>
    <sheet name="MANOR CARE &amp; So Odgen -BV" sheetId="71" r:id="rId34"/>
    <sheet name="MEADOW BROOK, MEADOW BROOK -BV" sheetId="167" r:id="rId35"/>
    <sheet name="MIDTOWN" sheetId="39" r:id="rId36"/>
    <sheet name="MILLARD COUNTY" sheetId="135" r:id="rId37"/>
    <sheet name="MILLCREEK&amp; MILLCREEK -BV" sheetId="38" r:id="rId38"/>
    <sheet name="Mission at Bear River- GVH" sheetId="133" r:id="rId39"/>
    <sheet name="MISSION at Comm Lvng -GVH" sheetId="152" r:id="rId40"/>
    <sheet name="MTN VIEW" sheetId="120" r:id="rId41"/>
    <sheet name="MT OGDEN &amp; MT OGDEN -BV" sheetId="37" r:id="rId42"/>
    <sheet name="MT. OLYMPUS -BV" sheetId="90" r:id="rId43"/>
    <sheet name="NORTH CANYON" sheetId="24" r:id="rId44"/>
    <sheet name="OGDEN VA, George E. Wahlen" sheetId="141" r:id="rId45"/>
    <sheet name="ORCHARD PARK, Cascades at OP" sheetId="33" r:id="rId46"/>
    <sheet name="OREM &amp; OREM -BV" sheetId="32" r:id="rId47"/>
    <sheet name="PARAMOUNT&amp; PARAMOUNT -BV" sheetId="79" r:id="rId48"/>
    <sheet name="PARKDALE -BV" sheetId="31" r:id="rId49"/>
    <sheet name="PARKWAY" sheetId="64" r:id="rId50"/>
    <sheet name="PINE CREEK, PINE CREEK -BV" sheetId="113" r:id="rId51"/>
    <sheet name="PINNACLE &amp; PINNACLE -BV" sheetId="72" r:id="rId52"/>
    <sheet name="PIONEER" sheetId="28" r:id="rId53"/>
    <sheet name="PROVO REHAB &amp; PROVO -BV" sheetId="65" r:id="rId54"/>
    <sheet name="RED CLIFFS -BV" sheetId="119" r:id="rId55"/>
    <sheet name="RICHFIELD" sheetId="25" r:id="rId56"/>
    <sheet name="RMC CLEARFIELD -BVH" sheetId="155" r:id="rId57"/>
    <sheet name="RMC Cottage on Vine -BVH" sheetId="156" r:id="rId58"/>
    <sheet name="RMC HUNTER HOLLOW&amp;BVH" sheetId="20" r:id="rId59"/>
    <sheet name="RMC Logan -BVH" sheetId="42" r:id="rId60"/>
    <sheet name="RMC Mountain View -BVH" sheetId="157" r:id="rId61"/>
    <sheet name="RMC RIVERTON" sheetId="159" r:id="rId62"/>
    <sheet name="RMC Willow Springs -BVH" sheetId="158" r:id="rId63"/>
    <sheet name="SANDY HLTH &amp; REHAB -BV" sheetId="16" r:id="rId64"/>
    <sheet name="SEASONS" sheetId="27" r:id="rId65"/>
    <sheet name="SOUTH DAVIS, SOUTH DAVIS -BV" sheetId="111" r:id="rId66"/>
    <sheet name="Southern UT VH-IVINS" sheetId="165" r:id="rId67"/>
    <sheet name="SPANISH FORK, SPANISH FORK -BV" sheetId="55" r:id="rId68"/>
    <sheet name="SPRING CREEK -BV" sheetId="21" r:id="rId69"/>
    <sheet name="ST GEORGE" sheetId="14" r:id="rId70"/>
    <sheet name="ST JOSEPH VILLA, ST JOSEPH -BV" sheetId="85" r:id="rId71"/>
    <sheet name="STONEHENGE of AM FORK" sheetId="149" r:id="rId72"/>
    <sheet name="STONEHENGE, OGDEN" sheetId="172" r:id="rId73"/>
    <sheet name="STONEHENGE, OREM" sheetId="176" r:id="rId74"/>
    <sheet name="STONEHENGE, RICHFIELD" sheetId="143" r:id="rId75"/>
    <sheet name="STONEHENGE SPRINGVILLE" sheetId="10" r:id="rId76"/>
    <sheet name="SUNSHINE TERRACE" sheetId="87" r:id="rId77"/>
    <sheet name="UINTAH BASIN REHAB" sheetId="86" r:id="rId78"/>
    <sheet name="UINTAH CARE" sheetId="89" r:id="rId79"/>
    <sheet name="Utah Valley R&amp;H" sheetId="69" r:id="rId80"/>
    <sheet name="VA Salt Lake (W.E.C. SLVH)" sheetId="142" r:id="rId81"/>
    <sheet name="WASHINGTON TERRACE" sheetId="92" r:id="rId82"/>
    <sheet name="WILLOW GLEN" sheetId="1" r:id="rId83"/>
    <sheet name="WILLOW WOOD" sheetId="50" r:id="rId84"/>
    <sheet name="WOODLAND" sheetId="95" r:id="rId85"/>
    <sheet name="SUMMARY" sheetId="97" r:id="rId86"/>
  </sheets>
  <externalReferences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</externalReferences>
  <definedNames>
    <definedName name="_xlnm.Print_Area" localSheetId="30">'LIFE CARE OF SLC'!$A$1:$J$216</definedName>
    <definedName name="_xlnm.Print_Area" localSheetId="31">'Little Cottonwood &amp; BV'!$A$1:$J$216</definedName>
    <definedName name="_xlnm.Print_Area" localSheetId="32">'LOMOND PEAK, LOM PK -BV'!$A$1:$H$228</definedName>
    <definedName name="_xlnm.Print_Area" localSheetId="47">'PARAMOUNT&amp; PARAMOUNT -BV'!$A$1:$H$228</definedName>
    <definedName name="_xlnm.Print_Area" localSheetId="85">SUMMARY!$A$1:$Q$242</definedName>
    <definedName name="_xlnm.Print_Titles" localSheetId="12">CRESTWOOD!$7:$9</definedName>
    <definedName name="_xlnm.Print_Titles" localSheetId="15">FAIRVIEW!$7:$9</definedName>
    <definedName name="_xlnm.Print_Titles" localSheetId="16">'FOUR CORNERS -BV'!$1:$9</definedName>
    <definedName name="_xlnm.Print_Titles" localSheetId="19">'HERITAGE CARE'!$1:$9</definedName>
    <definedName name="_xlnm.Print_Titles" localSheetId="20">'HERITAGE HILLS'!$1:$9</definedName>
    <definedName name="_xlnm.Print_Titles" localSheetId="21">'HERITAGE PARK '!$1:$9</definedName>
    <definedName name="_xlnm.Print_Titles" localSheetId="22">HIGHLAND!$1:$9</definedName>
    <definedName name="_xlnm.Print_Titles" localSheetId="23">HILLSIDE!$1:$9</definedName>
    <definedName name="_xlnm.Print_Titles" localSheetId="24">'HOLLADAY, HOLLADAY -BV En'!$1:$9</definedName>
    <definedName name="_xlnm.Print_Titles" localSheetId="27">'KOLOB, BELLA TERRA C C'!$1:$9</definedName>
    <definedName name="_xlnm.Print_Titles" localSheetId="28">'KOLOB, BELLA TERRA S G'!$1:$9</definedName>
    <definedName name="_xlnm.Print_Titles" localSheetId="30">'LIFE CARE OF SLC'!$1:$9</definedName>
    <definedName name="_xlnm.Print_Titles" localSheetId="31">'Little Cottonwood &amp; BV'!$1:$9</definedName>
    <definedName name="_xlnm.Print_Titles" localSheetId="32">'LOMOND PEAK, LOM PK -BV'!$1:$9</definedName>
    <definedName name="_xlnm.Print_Titles" localSheetId="35">MIDTOWN!$1:$9</definedName>
    <definedName name="_xlnm.Print_Titles" localSheetId="37">'MILLCREEK&amp; MILLCREEK -BV'!$1:$9</definedName>
    <definedName name="_xlnm.Print_Titles" localSheetId="47">'PARAMOUNT&amp; PARAMOUNT -BV'!$1:$9</definedName>
    <definedName name="_xlnm.Print_Titles" localSheetId="50">'PINE CREEK, PINE CREEK -BV'!$1:$9</definedName>
    <definedName name="_xlnm.Print_Titles" localSheetId="53">'PROVO REHAB &amp; PROVO -BV'!$7:$9</definedName>
    <definedName name="_xlnm.Print_Titles" localSheetId="59">'RMC Logan -BVH'!$1:$9</definedName>
    <definedName name="_xlnm.Print_Titles" localSheetId="67">'SPANISH FORK, SPANISH FORK -BV'!$1:$9</definedName>
    <definedName name="_xlnm.Print_Titles" localSheetId="85">SUMMARY!$1:$12</definedName>
    <definedName name="_xlnm.Print_Titles" localSheetId="81">'WASHINGTON TERRACE'!$1:$9</definedName>
    <definedName name="_xlnm.Print_Titles" localSheetId="83">'WILLOW WOOD'!$1:$9</definedName>
    <definedName name="_xlnm.Print_Titles" localSheetId="84">WOODLAND!$1:$9</definedName>
    <definedName name="Z_00D6F160_3E2B_11D5_8BE5_C1A1C12816BD_.wvu.PrintArea" localSheetId="30" hidden="1">'LIFE CARE OF SLC'!$A$1:$J$216</definedName>
    <definedName name="Z_00D6F160_3E2B_11D5_8BE5_C1A1C12816BD_.wvu.PrintArea" localSheetId="31" hidden="1">'Little Cottonwood &amp; BV'!$A$1:$J$216</definedName>
    <definedName name="Z_00D6F160_3E2B_11D5_8BE5_C1A1C12816BD_.wvu.PrintTitles" localSheetId="0" hidden="1">'ALPINE VALLEY'!#REF!</definedName>
    <definedName name="Z_00D6F160_3E2B_11D5_8BE5_C1A1C12816BD_.wvu.PrintTitles" localSheetId="2" hidden="1">'AVALON VALLEY'!#REF!</definedName>
    <definedName name="Z_00D6F160_3E2B_11D5_8BE5_C1A1C12816BD_.wvu.PrintTitles" localSheetId="3" hidden="1">'BENNION dba AV West'!#REF!</definedName>
    <definedName name="Z_00D6F160_3E2B_11D5_8BE5_C1A1C12816BD_.wvu.PrintTitles" localSheetId="4" hidden="1">'CANYON RIM'!#REF!</definedName>
    <definedName name="Z_00D6F160_3E2B_11D5_8BE5_C1A1C12816BD_.wvu.PrintTitles" localSheetId="5" hidden="1">CANYONLANDS!#REF!</definedName>
    <definedName name="Z_00D6F160_3E2B_11D5_8BE5_C1A1C12816BD_.wvu.PrintTitles" localSheetId="6" hidden="1">'CASCADES at RIVERWALK'!#REF!</definedName>
    <definedName name="Z_00D6F160_3E2B_11D5_8BE5_C1A1C12816BD_.wvu.PrintTitles" localSheetId="7" hidden="1">'CENTRAL UT VH -PAYSON'!#REF!</definedName>
    <definedName name="Z_00D6F160_3E2B_11D5_8BE5_C1A1C12816BD_.wvu.PrintTitles" localSheetId="12" hidden="1">CRESTWOOD!$7:$9</definedName>
    <definedName name="Z_00D6F160_3E2B_11D5_8BE5_C1A1C12816BD_.wvu.PrintTitles" localSheetId="13" hidden="1">'DRAPER &amp; DRAPER-BV'!#REF!</definedName>
    <definedName name="Z_00D6F160_3E2B_11D5_8BE5_C1A1C12816BD_.wvu.PrintTitles" localSheetId="14" hidden="1">'EMERY COUNTY'!#REF!</definedName>
    <definedName name="Z_00D6F160_3E2B_11D5_8BE5_C1A1C12816BD_.wvu.PrintTitles" localSheetId="15" hidden="1">FAIRVIEW!$7:$9</definedName>
    <definedName name="Z_00D6F160_3E2B_11D5_8BE5_C1A1C12816BD_.wvu.PrintTitles" localSheetId="16" hidden="1">'FOUR CORNERS -BV'!$1:$9</definedName>
    <definedName name="Z_00D6F160_3E2B_11D5_8BE5_C1A1C12816BD_.wvu.PrintTitles" localSheetId="19" hidden="1">'HERITAGE CARE'!$1:$9</definedName>
    <definedName name="Z_00D6F160_3E2B_11D5_8BE5_C1A1C12816BD_.wvu.PrintTitles" localSheetId="20" hidden="1">'HERITAGE HILLS'!$1:$9</definedName>
    <definedName name="Z_00D6F160_3E2B_11D5_8BE5_C1A1C12816BD_.wvu.PrintTitles" localSheetId="21" hidden="1">'HERITAGE PARK '!$1:$9</definedName>
    <definedName name="Z_00D6F160_3E2B_11D5_8BE5_C1A1C12816BD_.wvu.PrintTitles" localSheetId="22" hidden="1">HIGHLAND!$1:$9</definedName>
    <definedName name="Z_00D6F160_3E2B_11D5_8BE5_C1A1C12816BD_.wvu.PrintTitles" localSheetId="23" hidden="1">HILLSIDE!$1:$9</definedName>
    <definedName name="Z_00D6F160_3E2B_11D5_8BE5_C1A1C12816BD_.wvu.PrintTitles" localSheetId="24" hidden="1">'HOLLADAY, HOLLADAY -BV En'!$1:$9</definedName>
    <definedName name="Z_00D6F160_3E2B_11D5_8BE5_C1A1C12816BD_.wvu.PrintTitles" localSheetId="25" hidden="1">'HURRICANE, HURRICANE -BV En'!#REF!</definedName>
    <definedName name="Z_00D6F160_3E2B_11D5_8BE5_C1A1C12816BD_.wvu.PrintTitles" localSheetId="26" hidden="1">'IRON COUNTY'!#REF!</definedName>
    <definedName name="Z_00D6F160_3E2B_11D5_8BE5_C1A1C12816BD_.wvu.PrintTitles" localSheetId="27" hidden="1">'KOLOB, BELLA TERRA C C'!$1:$9</definedName>
    <definedName name="Z_00D6F160_3E2B_11D5_8BE5_C1A1C12816BD_.wvu.PrintTitles" localSheetId="28" hidden="1">'KOLOB, BELLA TERRA S G'!$1:$9</definedName>
    <definedName name="Z_00D6F160_3E2B_11D5_8BE5_C1A1C12816BD_.wvu.PrintTitles" localSheetId="29" hidden="1">'LIFE CARE BOUNTIFUL'!#REF!</definedName>
    <definedName name="Z_00D6F160_3E2B_11D5_8BE5_C1A1C12816BD_.wvu.PrintTitles" localSheetId="30" hidden="1">'LIFE CARE OF SLC'!$1:$9</definedName>
    <definedName name="Z_00D6F160_3E2B_11D5_8BE5_C1A1C12816BD_.wvu.PrintTitles" localSheetId="31" hidden="1">'Little Cottonwood &amp; BV'!$1:$9</definedName>
    <definedName name="Z_00D6F160_3E2B_11D5_8BE5_C1A1C12816BD_.wvu.PrintTitles" localSheetId="32" hidden="1">'LOMOND PEAK, LOM PK -BV'!$1:$9</definedName>
    <definedName name="Z_00D6F160_3E2B_11D5_8BE5_C1A1C12816BD_.wvu.PrintTitles" localSheetId="33" hidden="1">'MANOR CARE &amp; So Odgen -BV'!#REF!</definedName>
    <definedName name="Z_00D6F160_3E2B_11D5_8BE5_C1A1C12816BD_.wvu.PrintTitles" localSheetId="35" hidden="1">MIDTOWN!$1:$9</definedName>
    <definedName name="Z_00D6F160_3E2B_11D5_8BE5_C1A1C12816BD_.wvu.PrintTitles" localSheetId="37" hidden="1">'MILLCREEK&amp; MILLCREEK -BV'!$1:$9</definedName>
    <definedName name="Z_00D6F160_3E2B_11D5_8BE5_C1A1C12816BD_.wvu.PrintTitles" localSheetId="47" hidden="1">'PARAMOUNT&amp; PARAMOUNT -BV'!$1:$9</definedName>
    <definedName name="Z_00D6F160_3E2B_11D5_8BE5_C1A1C12816BD_.wvu.PrintTitles" localSheetId="49" hidden="1">PARKWAY!#REF!</definedName>
    <definedName name="Z_00D6F160_3E2B_11D5_8BE5_C1A1C12816BD_.wvu.PrintTitles" localSheetId="50" hidden="1">'PINE CREEK, PINE CREEK -BV'!$1:$9</definedName>
    <definedName name="Z_00D6F160_3E2B_11D5_8BE5_C1A1C12816BD_.wvu.PrintTitles" localSheetId="53" hidden="1">'PROVO REHAB &amp; PROVO -BV'!$7:$9</definedName>
    <definedName name="Z_00D6F160_3E2B_11D5_8BE5_C1A1C12816BD_.wvu.PrintTitles" localSheetId="56" hidden="1">'RMC CLEARFIELD -BVH'!#REF!</definedName>
    <definedName name="Z_00D6F160_3E2B_11D5_8BE5_C1A1C12816BD_.wvu.PrintTitles" localSheetId="57" hidden="1">'RMC Cottage on Vine -BVH'!#REF!</definedName>
    <definedName name="Z_00D6F160_3E2B_11D5_8BE5_C1A1C12816BD_.wvu.PrintTitles" localSheetId="59" hidden="1">'RMC Logan -BVH'!$1:$9</definedName>
    <definedName name="Z_00D6F160_3E2B_11D5_8BE5_C1A1C12816BD_.wvu.PrintTitles" localSheetId="60" hidden="1">'RMC Mountain View -BVH'!#REF!</definedName>
    <definedName name="Z_00D6F160_3E2B_11D5_8BE5_C1A1C12816BD_.wvu.PrintTitles" localSheetId="62" hidden="1">'RMC Willow Springs -BVH'!#REF!</definedName>
    <definedName name="Z_00D6F160_3E2B_11D5_8BE5_C1A1C12816BD_.wvu.PrintTitles" localSheetId="67" hidden="1">'SPANISH FORK, SPANISH FORK -BV'!$1:$9</definedName>
    <definedName name="Z_00D6F160_3E2B_11D5_8BE5_C1A1C12816BD_.wvu.PrintTitles" localSheetId="68" hidden="1">'SPRING CREEK -BV'!#REF!</definedName>
    <definedName name="Z_00D6F160_3E2B_11D5_8BE5_C1A1C12816BD_.wvu.PrintTitles" localSheetId="85" hidden="1">SUMMARY!$1:$12</definedName>
    <definedName name="Z_00D6F160_3E2B_11D5_8BE5_C1A1C12816BD_.wvu.PrintTitles" localSheetId="79" hidden="1">'Utah Valley R&amp;H'!#REF!</definedName>
    <definedName name="Z_00D6F160_3E2B_11D5_8BE5_C1A1C12816BD_.wvu.PrintTitles" localSheetId="81" hidden="1">'WASHINGTON TERRACE'!$1:$9</definedName>
    <definedName name="Z_00D6F160_3E2B_11D5_8BE5_C1A1C12816BD_.wvu.PrintTitles" localSheetId="83" hidden="1">'WILLOW WOOD'!$1:$9</definedName>
    <definedName name="Z_00D6F160_3E2B_11D5_8BE5_C1A1C12816BD_.wvu.PrintTitles" localSheetId="84" hidden="1">WOODLAND!$1:$9</definedName>
    <definedName name="Z_8B6AA640_12E9_11D5_ABB1_E7A21A3D4A14_.wvu.PrintArea" localSheetId="30" hidden="1">'LIFE CARE OF SLC'!$A$1:$J$216</definedName>
    <definedName name="Z_8B6AA640_12E9_11D5_ABB1_E7A21A3D4A14_.wvu.PrintArea" localSheetId="31" hidden="1">'Little Cottonwood &amp; BV'!$A$1:$J$216</definedName>
  </definedNames>
  <calcPr calcId="191029" concurrentCalc="0"/>
  <customWorkbookViews>
    <customWorkbookView name="37356 - Personal View" guid="{00D6F160-3E2B-11D5-8BE5-C1A1C12816BD}" mergeInterval="0" personalView="1" maximized="1" windowWidth="1020" windowHeight="553" tabRatio="773" activeSheetId="97"/>
    <customWorkbookView name="abingham - Personal View" guid="{8B6AA640-12E9-11D5-ABB1-E7A21A3D4A14}" mergeInterval="0" personalView="1" maximized="1" windowWidth="796" windowHeight="464" tabRatio="773" activeSheetId="10"/>
  </customWorkbookViews>
</workbook>
</file>

<file path=xl/calcChain.xml><?xml version="1.0" encoding="utf-8"?>
<calcChain xmlns="http://schemas.openxmlformats.org/spreadsheetml/2006/main">
  <c r="C233" i="72" l="1"/>
  <c r="C233" i="37"/>
  <c r="C233" i="167"/>
  <c r="C233" i="71"/>
  <c r="C233" i="19"/>
  <c r="G244" i="72"/>
  <c r="G244" i="37"/>
  <c r="G242" i="167"/>
  <c r="G244" i="102"/>
  <c r="C233" i="85"/>
  <c r="C233" i="55"/>
  <c r="G244" i="111"/>
  <c r="G242" i="20"/>
  <c r="C238" i="28"/>
  <c r="C237" i="28"/>
  <c r="C236" i="28"/>
  <c r="C235" i="28"/>
  <c r="C233" i="28"/>
  <c r="C232" i="28"/>
  <c r="C231" i="28"/>
  <c r="D228" i="28"/>
  <c r="C227" i="28"/>
  <c r="C226" i="28"/>
  <c r="C225" i="28"/>
  <c r="C224" i="28"/>
  <c r="C223" i="28"/>
  <c r="C222" i="28"/>
  <c r="C221" i="28"/>
  <c r="C220" i="28"/>
  <c r="C219" i="28"/>
  <c r="C211" i="28"/>
  <c r="D205" i="28"/>
  <c r="C205" i="28"/>
  <c r="D204" i="28"/>
  <c r="C204" i="28"/>
  <c r="D203" i="28"/>
  <c r="C203" i="28"/>
  <c r="D202" i="28"/>
  <c r="C202" i="28"/>
  <c r="D201" i="28"/>
  <c r="C201" i="28"/>
  <c r="D200" i="28"/>
  <c r="C200" i="28"/>
  <c r="D196" i="28"/>
  <c r="C196" i="28"/>
  <c r="D195" i="28"/>
  <c r="C195" i="28"/>
  <c r="D194" i="28"/>
  <c r="C194" i="28"/>
  <c r="D193" i="28"/>
  <c r="C193" i="28"/>
  <c r="D192" i="28"/>
  <c r="C192" i="28"/>
  <c r="D191" i="28"/>
  <c r="C191" i="28"/>
  <c r="D190" i="28"/>
  <c r="C190" i="28"/>
  <c r="D189" i="28"/>
  <c r="C189" i="28"/>
  <c r="D188" i="28"/>
  <c r="C188" i="28"/>
  <c r="D187" i="28"/>
  <c r="C187" i="28"/>
  <c r="D186" i="28"/>
  <c r="C186" i="28"/>
  <c r="D185" i="28"/>
  <c r="C185" i="28"/>
  <c r="D184" i="28"/>
  <c r="C184" i="28"/>
  <c r="D183" i="28"/>
  <c r="C183" i="28"/>
  <c r="D182" i="28"/>
  <c r="C182" i="28"/>
  <c r="D181" i="28"/>
  <c r="C181" i="28"/>
  <c r="D180" i="28"/>
  <c r="C180" i="28"/>
  <c r="D179" i="28"/>
  <c r="C179" i="28"/>
  <c r="D178" i="28"/>
  <c r="C178" i="28"/>
  <c r="D177" i="28"/>
  <c r="C177" i="28"/>
  <c r="D176" i="28"/>
  <c r="C176" i="28"/>
  <c r="D175" i="28"/>
  <c r="C175" i="28"/>
  <c r="D174" i="28"/>
  <c r="C174" i="28"/>
  <c r="D173" i="28"/>
  <c r="C173" i="28"/>
  <c r="D172" i="28"/>
  <c r="C172" i="28"/>
  <c r="D171" i="28"/>
  <c r="C171" i="28"/>
  <c r="D170" i="28"/>
  <c r="C170" i="28"/>
  <c r="D169" i="28"/>
  <c r="C169" i="28"/>
  <c r="D168" i="28"/>
  <c r="C168" i="28"/>
  <c r="D167" i="28"/>
  <c r="C167" i="28"/>
  <c r="D166" i="28"/>
  <c r="C166" i="28"/>
  <c r="D165" i="28"/>
  <c r="C165" i="28"/>
  <c r="D164" i="28"/>
  <c r="C164" i="28"/>
  <c r="D160" i="28"/>
  <c r="C160" i="28"/>
  <c r="D159" i="28"/>
  <c r="C159" i="28"/>
  <c r="D158" i="28"/>
  <c r="C158" i="28"/>
  <c r="D157" i="28"/>
  <c r="C157" i="28"/>
  <c r="D156" i="28"/>
  <c r="C156" i="28"/>
  <c r="D155" i="28"/>
  <c r="C155" i="28"/>
  <c r="D153" i="28"/>
  <c r="C153" i="28"/>
  <c r="D152" i="28"/>
  <c r="C152" i="28"/>
  <c r="D151" i="28"/>
  <c r="C151" i="28"/>
  <c r="D150" i="28"/>
  <c r="C150" i="28"/>
  <c r="D149" i="28"/>
  <c r="C149" i="28"/>
  <c r="D148" i="28"/>
  <c r="C148" i="28"/>
  <c r="D147" i="28"/>
  <c r="C147" i="28"/>
  <c r="D146" i="28"/>
  <c r="C146" i="28"/>
  <c r="D145" i="28"/>
  <c r="C145" i="28"/>
  <c r="D143" i="28"/>
  <c r="C143" i="28"/>
  <c r="D142" i="28"/>
  <c r="C142" i="28"/>
  <c r="D141" i="28"/>
  <c r="C141" i="28"/>
  <c r="D140" i="28"/>
  <c r="C140" i="28"/>
  <c r="D138" i="28"/>
  <c r="C138" i="28"/>
  <c r="D137" i="28"/>
  <c r="C137" i="28"/>
  <c r="D136" i="28"/>
  <c r="C136" i="28"/>
  <c r="D135" i="28"/>
  <c r="C135" i="28"/>
  <c r="D133" i="28"/>
  <c r="C133" i="28"/>
  <c r="D132" i="28"/>
  <c r="C132" i="28"/>
  <c r="D131" i="28"/>
  <c r="C131" i="28"/>
  <c r="D130" i="28"/>
  <c r="C130" i="28"/>
  <c r="D129" i="28"/>
  <c r="C129" i="28"/>
  <c r="D127" i="28"/>
  <c r="C127" i="28"/>
  <c r="D126" i="28"/>
  <c r="C126" i="28"/>
  <c r="D125" i="28"/>
  <c r="C125" i="28"/>
  <c r="D124" i="28"/>
  <c r="C124" i="28"/>
  <c r="D123" i="28"/>
  <c r="C123" i="28"/>
  <c r="D118" i="28"/>
  <c r="C118" i="28"/>
  <c r="D117" i="28"/>
  <c r="C117" i="28"/>
  <c r="D116" i="28"/>
  <c r="C116" i="28"/>
  <c r="D115" i="28"/>
  <c r="C115" i="28"/>
  <c r="D114" i="28"/>
  <c r="C114" i="28"/>
  <c r="D110" i="28"/>
  <c r="C110" i="28"/>
  <c r="D109" i="28"/>
  <c r="C109" i="28"/>
  <c r="D108" i="28"/>
  <c r="C108" i="28"/>
  <c r="D107" i="28"/>
  <c r="C107" i="28"/>
  <c r="D106" i="28"/>
  <c r="C106" i="28"/>
  <c r="D105" i="28"/>
  <c r="D111" i="28"/>
  <c r="C105" i="28"/>
  <c r="D101" i="28"/>
  <c r="C101" i="28"/>
  <c r="D100" i="28"/>
  <c r="C100" i="28"/>
  <c r="D99" i="28"/>
  <c r="C99" i="28"/>
  <c r="D98" i="28"/>
  <c r="C98" i="28"/>
  <c r="D97" i="28"/>
  <c r="C97" i="28"/>
  <c r="D96" i="28"/>
  <c r="C96" i="28"/>
  <c r="D92" i="28"/>
  <c r="C92" i="28"/>
  <c r="D91" i="28"/>
  <c r="C91" i="28"/>
  <c r="D90" i="28"/>
  <c r="C90" i="28"/>
  <c r="D89" i="28"/>
  <c r="C89" i="28"/>
  <c r="D88" i="28"/>
  <c r="C88" i="28"/>
  <c r="D87" i="28"/>
  <c r="C87" i="28"/>
  <c r="D86" i="28"/>
  <c r="C86" i="28"/>
  <c r="D85" i="28"/>
  <c r="C85" i="28"/>
  <c r="D84" i="28"/>
  <c r="C84" i="28"/>
  <c r="D83" i="28"/>
  <c r="C83" i="28"/>
  <c r="D82" i="28"/>
  <c r="C82" i="28"/>
  <c r="D78" i="28"/>
  <c r="C78" i="28"/>
  <c r="D77" i="28"/>
  <c r="C77" i="28"/>
  <c r="D76" i="28"/>
  <c r="C76" i="28"/>
  <c r="D75" i="28"/>
  <c r="C75" i="28"/>
  <c r="D74" i="28"/>
  <c r="C74" i="28"/>
  <c r="D73" i="28"/>
  <c r="C73" i="28"/>
  <c r="D72" i="28"/>
  <c r="C72" i="28"/>
  <c r="D71" i="28"/>
  <c r="C71" i="28"/>
  <c r="D70" i="28"/>
  <c r="C70" i="28"/>
  <c r="D69" i="28"/>
  <c r="C69" i="28"/>
  <c r="D68" i="28"/>
  <c r="C68" i="28"/>
  <c r="D67" i="28"/>
  <c r="C67" i="28"/>
  <c r="D66" i="28"/>
  <c r="C66" i="28"/>
  <c r="D65" i="28"/>
  <c r="C65" i="28"/>
  <c r="D64" i="28"/>
  <c r="C64" i="28"/>
  <c r="D60" i="28"/>
  <c r="C60" i="28"/>
  <c r="D59" i="28"/>
  <c r="C59" i="28"/>
  <c r="D58" i="28"/>
  <c r="C58" i="28"/>
  <c r="D57" i="28"/>
  <c r="C57" i="28"/>
  <c r="D56" i="28"/>
  <c r="C56" i="28"/>
  <c r="D55" i="28"/>
  <c r="C55" i="28"/>
  <c r="D54" i="28"/>
  <c r="C54" i="28"/>
  <c r="D53" i="28"/>
  <c r="C53" i="28"/>
  <c r="D52" i="28"/>
  <c r="C52" i="28"/>
  <c r="D51" i="28"/>
  <c r="C51" i="28"/>
  <c r="D50" i="28"/>
  <c r="C50" i="28"/>
  <c r="D49" i="28"/>
  <c r="C49" i="28"/>
  <c r="D48" i="28"/>
  <c r="C48" i="28"/>
  <c r="D47" i="28"/>
  <c r="C47" i="28"/>
  <c r="D46" i="28"/>
  <c r="C46" i="28"/>
  <c r="D45" i="28"/>
  <c r="C45" i="28"/>
  <c r="D44" i="28"/>
  <c r="C44" i="28"/>
  <c r="D43" i="28"/>
  <c r="C43" i="28"/>
  <c r="D42" i="28"/>
  <c r="C42" i="28"/>
  <c r="D41" i="28"/>
  <c r="C41" i="28"/>
  <c r="D40" i="28"/>
  <c r="C40" i="28"/>
  <c r="D39" i="28"/>
  <c r="C39" i="28"/>
  <c r="D38" i="28"/>
  <c r="C38" i="28"/>
  <c r="D37" i="28"/>
  <c r="C37" i="28"/>
  <c r="D36" i="28"/>
  <c r="C36" i="28"/>
  <c r="D35" i="28"/>
  <c r="C35" i="28"/>
  <c r="D34" i="28"/>
  <c r="C34" i="28"/>
  <c r="D33" i="28"/>
  <c r="C33" i="28"/>
  <c r="D32" i="28"/>
  <c r="C32" i="28"/>
  <c r="D31" i="28"/>
  <c r="C31" i="28"/>
  <c r="D30" i="28"/>
  <c r="C30" i="28"/>
  <c r="D29" i="28"/>
  <c r="C29" i="28"/>
  <c r="D28" i="28"/>
  <c r="C28" i="28"/>
  <c r="D27" i="28"/>
  <c r="C27" i="28"/>
  <c r="D26" i="28"/>
  <c r="C26" i="28"/>
  <c r="D25" i="28"/>
  <c r="C25" i="28"/>
  <c r="D20" i="28"/>
  <c r="C20" i="28"/>
  <c r="D19" i="28"/>
  <c r="C19" i="28"/>
  <c r="D18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D11" i="28"/>
  <c r="C11" i="28"/>
  <c r="C21" i="28"/>
  <c r="D119" i="28"/>
  <c r="D93" i="28"/>
  <c r="D79" i="28"/>
  <c r="D197" i="28"/>
  <c r="D206" i="28"/>
  <c r="C119" i="28"/>
  <c r="C93" i="28"/>
  <c r="C206" i="28"/>
  <c r="C79" i="28"/>
  <c r="D102" i="28"/>
  <c r="C161" i="28"/>
  <c r="D21" i="28"/>
  <c r="C197" i="28"/>
  <c r="C102" i="28"/>
  <c r="C111" i="28"/>
  <c r="D161" i="28"/>
  <c r="C228" i="28"/>
  <c r="C61" i="28"/>
  <c r="D61" i="28"/>
  <c r="D208" i="28"/>
  <c r="D215" i="28"/>
  <c r="C208" i="28"/>
  <c r="C215" i="28"/>
  <c r="C212" i="28"/>
  <c r="C238" i="64"/>
  <c r="C237" i="64"/>
  <c r="C236" i="64"/>
  <c r="C235" i="64"/>
  <c r="C233" i="64"/>
  <c r="C232" i="64"/>
  <c r="C231" i="64"/>
  <c r="D228" i="64"/>
  <c r="C227" i="64"/>
  <c r="C226" i="64"/>
  <c r="C225" i="64"/>
  <c r="C224" i="64"/>
  <c r="C223" i="64"/>
  <c r="C222" i="64"/>
  <c r="C221" i="64"/>
  <c r="C220" i="64"/>
  <c r="C219" i="64"/>
  <c r="C211" i="64"/>
  <c r="D205" i="64"/>
  <c r="C205" i="64"/>
  <c r="D204" i="64"/>
  <c r="C204" i="64"/>
  <c r="D203" i="64"/>
  <c r="C203" i="64"/>
  <c r="D202" i="64"/>
  <c r="C202" i="64"/>
  <c r="D201" i="64"/>
  <c r="C201" i="64"/>
  <c r="D200" i="64"/>
  <c r="C200" i="64"/>
  <c r="D196" i="64"/>
  <c r="C196" i="64"/>
  <c r="D195" i="64"/>
  <c r="C195" i="64"/>
  <c r="D194" i="64"/>
  <c r="C194" i="64"/>
  <c r="D193" i="64"/>
  <c r="C193" i="64"/>
  <c r="D192" i="64"/>
  <c r="C192" i="64"/>
  <c r="D191" i="64"/>
  <c r="C191" i="64"/>
  <c r="D190" i="64"/>
  <c r="C190" i="64"/>
  <c r="D189" i="64"/>
  <c r="C189" i="64"/>
  <c r="D188" i="64"/>
  <c r="C188" i="64"/>
  <c r="D187" i="64"/>
  <c r="C187" i="64"/>
  <c r="D186" i="64"/>
  <c r="C186" i="64"/>
  <c r="D185" i="64"/>
  <c r="C185" i="64"/>
  <c r="D184" i="64"/>
  <c r="C184" i="64"/>
  <c r="D183" i="64"/>
  <c r="C183" i="64"/>
  <c r="D182" i="64"/>
  <c r="C182" i="64"/>
  <c r="D181" i="64"/>
  <c r="C181" i="64"/>
  <c r="D180" i="64"/>
  <c r="C180" i="64"/>
  <c r="D179" i="64"/>
  <c r="C179" i="64"/>
  <c r="D178" i="64"/>
  <c r="C178" i="64"/>
  <c r="D177" i="64"/>
  <c r="C177" i="64"/>
  <c r="D176" i="64"/>
  <c r="C176" i="64"/>
  <c r="D175" i="64"/>
  <c r="C175" i="64"/>
  <c r="D174" i="64"/>
  <c r="C174" i="64"/>
  <c r="D173" i="64"/>
  <c r="C173" i="64"/>
  <c r="D172" i="64"/>
  <c r="C172" i="64"/>
  <c r="D171" i="64"/>
  <c r="C171" i="64"/>
  <c r="D170" i="64"/>
  <c r="C170" i="64"/>
  <c r="D169" i="64"/>
  <c r="C169" i="64"/>
  <c r="D168" i="64"/>
  <c r="C168" i="64"/>
  <c r="D167" i="64"/>
  <c r="C167" i="64"/>
  <c r="D166" i="64"/>
  <c r="C166" i="64"/>
  <c r="D165" i="64"/>
  <c r="C165" i="64"/>
  <c r="D164" i="64"/>
  <c r="C164" i="64"/>
  <c r="D160" i="64"/>
  <c r="C160" i="64"/>
  <c r="D159" i="64"/>
  <c r="C159" i="64"/>
  <c r="D158" i="64"/>
  <c r="C158" i="64"/>
  <c r="D157" i="64"/>
  <c r="C157" i="64"/>
  <c r="D156" i="64"/>
  <c r="C156" i="64"/>
  <c r="D155" i="64"/>
  <c r="C155" i="64"/>
  <c r="D153" i="64"/>
  <c r="C153" i="64"/>
  <c r="D152" i="64"/>
  <c r="C152" i="64"/>
  <c r="D151" i="64"/>
  <c r="C151" i="64"/>
  <c r="D150" i="64"/>
  <c r="C150" i="64"/>
  <c r="D149" i="64"/>
  <c r="C149" i="64"/>
  <c r="D148" i="64"/>
  <c r="C148" i="64"/>
  <c r="D147" i="64"/>
  <c r="C147" i="64"/>
  <c r="D146" i="64"/>
  <c r="C146" i="64"/>
  <c r="D145" i="64"/>
  <c r="C145" i="64"/>
  <c r="D143" i="64"/>
  <c r="C143" i="64"/>
  <c r="D142" i="64"/>
  <c r="C142" i="64"/>
  <c r="D141" i="64"/>
  <c r="C141" i="64"/>
  <c r="D140" i="64"/>
  <c r="C140" i="64"/>
  <c r="D138" i="64"/>
  <c r="C138" i="64"/>
  <c r="D137" i="64"/>
  <c r="C137" i="64"/>
  <c r="D136" i="64"/>
  <c r="C136" i="64"/>
  <c r="D135" i="64"/>
  <c r="C135" i="64"/>
  <c r="D133" i="64"/>
  <c r="C133" i="64"/>
  <c r="D132" i="64"/>
  <c r="C132" i="64"/>
  <c r="D131" i="64"/>
  <c r="C131" i="64"/>
  <c r="D130" i="64"/>
  <c r="C130" i="64"/>
  <c r="D129" i="64"/>
  <c r="C129" i="64"/>
  <c r="D127" i="64"/>
  <c r="C127" i="64"/>
  <c r="D126" i="64"/>
  <c r="C126" i="64"/>
  <c r="D125" i="64"/>
  <c r="C125" i="64"/>
  <c r="D124" i="64"/>
  <c r="C124" i="64"/>
  <c r="D123" i="64"/>
  <c r="C123" i="64"/>
  <c r="D118" i="64"/>
  <c r="C118" i="64"/>
  <c r="D117" i="64"/>
  <c r="C117" i="64"/>
  <c r="D116" i="64"/>
  <c r="C116" i="64"/>
  <c r="D115" i="64"/>
  <c r="C115" i="64"/>
  <c r="D114" i="64"/>
  <c r="C114" i="64"/>
  <c r="D110" i="64"/>
  <c r="C110" i="64"/>
  <c r="D109" i="64"/>
  <c r="C109" i="64"/>
  <c r="D108" i="64"/>
  <c r="C108" i="64"/>
  <c r="D107" i="64"/>
  <c r="C107" i="64"/>
  <c r="D106" i="64"/>
  <c r="C106" i="64"/>
  <c r="D105" i="64"/>
  <c r="C105" i="64"/>
  <c r="D101" i="64"/>
  <c r="C101" i="64"/>
  <c r="D100" i="64"/>
  <c r="C100" i="64"/>
  <c r="D99" i="64"/>
  <c r="C99" i="64"/>
  <c r="D98" i="64"/>
  <c r="C98" i="64"/>
  <c r="D97" i="64"/>
  <c r="C97" i="64"/>
  <c r="D96" i="64"/>
  <c r="C96" i="64"/>
  <c r="D92" i="64"/>
  <c r="C92" i="64"/>
  <c r="D91" i="64"/>
  <c r="C91" i="64"/>
  <c r="D90" i="64"/>
  <c r="C90" i="64"/>
  <c r="D89" i="64"/>
  <c r="C89" i="64"/>
  <c r="D88" i="64"/>
  <c r="C88" i="64"/>
  <c r="D87" i="64"/>
  <c r="C87" i="64"/>
  <c r="D86" i="64"/>
  <c r="C86" i="64"/>
  <c r="D85" i="64"/>
  <c r="C85" i="64"/>
  <c r="D84" i="64"/>
  <c r="C84" i="64"/>
  <c r="D83" i="64"/>
  <c r="C83" i="64"/>
  <c r="D82" i="64"/>
  <c r="C82" i="64"/>
  <c r="D78" i="64"/>
  <c r="C78" i="64"/>
  <c r="D77" i="64"/>
  <c r="C77" i="64"/>
  <c r="D76" i="64"/>
  <c r="C76" i="64"/>
  <c r="D75" i="64"/>
  <c r="C75" i="64"/>
  <c r="D74" i="64"/>
  <c r="C74" i="64"/>
  <c r="D73" i="64"/>
  <c r="C73" i="64"/>
  <c r="D72" i="64"/>
  <c r="C72" i="64"/>
  <c r="D71" i="64"/>
  <c r="C71" i="64"/>
  <c r="D70" i="64"/>
  <c r="C70" i="64"/>
  <c r="D69" i="64"/>
  <c r="C69" i="64"/>
  <c r="D68" i="64"/>
  <c r="C68" i="64"/>
  <c r="D67" i="64"/>
  <c r="C67" i="64"/>
  <c r="D66" i="64"/>
  <c r="C66" i="64"/>
  <c r="D65" i="64"/>
  <c r="D64" i="64"/>
  <c r="D79" i="64"/>
  <c r="C65" i="64"/>
  <c r="C64" i="64"/>
  <c r="D60" i="64"/>
  <c r="C60" i="64"/>
  <c r="D59" i="64"/>
  <c r="C59" i="64"/>
  <c r="D58" i="64"/>
  <c r="C58" i="64"/>
  <c r="D57" i="64"/>
  <c r="C57" i="64"/>
  <c r="D56" i="64"/>
  <c r="C56" i="64"/>
  <c r="D55" i="64"/>
  <c r="C55" i="64"/>
  <c r="D54" i="64"/>
  <c r="C54" i="64"/>
  <c r="D53" i="64"/>
  <c r="C53" i="64"/>
  <c r="D52" i="64"/>
  <c r="C52" i="64"/>
  <c r="D51" i="64"/>
  <c r="C51" i="64"/>
  <c r="D50" i="64"/>
  <c r="C50" i="64"/>
  <c r="D49" i="64"/>
  <c r="C49" i="64"/>
  <c r="D48" i="64"/>
  <c r="C48" i="64"/>
  <c r="D47" i="64"/>
  <c r="C47" i="64"/>
  <c r="D46" i="64"/>
  <c r="C46" i="64"/>
  <c r="D45" i="64"/>
  <c r="C45" i="64"/>
  <c r="D44" i="64"/>
  <c r="C44" i="64"/>
  <c r="D43" i="64"/>
  <c r="C43" i="64"/>
  <c r="D42" i="64"/>
  <c r="C42" i="64"/>
  <c r="D41" i="64"/>
  <c r="C41" i="64"/>
  <c r="D40" i="64"/>
  <c r="C40" i="64"/>
  <c r="D39" i="64"/>
  <c r="C39" i="64"/>
  <c r="D38" i="64"/>
  <c r="C38" i="64"/>
  <c r="D37" i="64"/>
  <c r="C37" i="64"/>
  <c r="D36" i="64"/>
  <c r="C36" i="64"/>
  <c r="D35" i="64"/>
  <c r="C35" i="64"/>
  <c r="D34" i="64"/>
  <c r="C34" i="64"/>
  <c r="D33" i="64"/>
  <c r="C33" i="64"/>
  <c r="D32" i="64"/>
  <c r="C32" i="64"/>
  <c r="D31" i="64"/>
  <c r="C31" i="64"/>
  <c r="D30" i="64"/>
  <c r="C30" i="64"/>
  <c r="D29" i="64"/>
  <c r="C29" i="64"/>
  <c r="D28" i="64"/>
  <c r="C28" i="64"/>
  <c r="D27" i="64"/>
  <c r="C27" i="64"/>
  <c r="D26" i="64"/>
  <c r="C26" i="64"/>
  <c r="D25" i="64"/>
  <c r="C25" i="64"/>
  <c r="D20" i="64"/>
  <c r="C20" i="64"/>
  <c r="D19" i="64"/>
  <c r="C19" i="64"/>
  <c r="D18" i="64"/>
  <c r="C18" i="64"/>
  <c r="D17" i="64"/>
  <c r="C17" i="64"/>
  <c r="D16" i="64"/>
  <c r="C16" i="64"/>
  <c r="D15" i="64"/>
  <c r="C15" i="64"/>
  <c r="D14" i="64"/>
  <c r="C14" i="64"/>
  <c r="D13" i="64"/>
  <c r="C13" i="64"/>
  <c r="D12" i="64"/>
  <c r="C12" i="64"/>
  <c r="D11" i="64"/>
  <c r="C11" i="64"/>
  <c r="D93" i="64"/>
  <c r="C93" i="64"/>
  <c r="C161" i="64"/>
  <c r="D102" i="64"/>
  <c r="D119" i="64"/>
  <c r="C111" i="64"/>
  <c r="D111" i="64"/>
  <c r="C79" i="64"/>
  <c r="D161" i="64"/>
  <c r="C206" i="64"/>
  <c r="C228" i="64"/>
  <c r="C197" i="64"/>
  <c r="C21" i="64"/>
  <c r="D197" i="64"/>
  <c r="D206" i="64"/>
  <c r="D21" i="64"/>
  <c r="C102" i="64"/>
  <c r="C119" i="64"/>
  <c r="C61" i="64"/>
  <c r="D61" i="64"/>
  <c r="D208" i="64"/>
  <c r="D215" i="64"/>
  <c r="C208" i="64"/>
  <c r="C212" i="64"/>
  <c r="C215" i="64"/>
  <c r="C238" i="31"/>
  <c r="C237" i="31"/>
  <c r="C236" i="31"/>
  <c r="C235" i="31"/>
  <c r="C233" i="31"/>
  <c r="C232" i="31"/>
  <c r="C231" i="31"/>
  <c r="D228" i="31"/>
  <c r="C227" i="31"/>
  <c r="C226" i="31"/>
  <c r="C225" i="31"/>
  <c r="C224" i="31"/>
  <c r="C223" i="31"/>
  <c r="C222" i="31"/>
  <c r="C221" i="31"/>
  <c r="C220" i="31"/>
  <c r="C219" i="31"/>
  <c r="C211" i="31"/>
  <c r="D205" i="31"/>
  <c r="C205" i="31"/>
  <c r="D204" i="31"/>
  <c r="C204" i="31"/>
  <c r="D203" i="31"/>
  <c r="C203" i="31"/>
  <c r="D202" i="31"/>
  <c r="C202" i="31"/>
  <c r="D201" i="31"/>
  <c r="C201" i="31"/>
  <c r="D200" i="31"/>
  <c r="C200" i="31"/>
  <c r="D196" i="31"/>
  <c r="C196" i="31"/>
  <c r="D195" i="31"/>
  <c r="C195" i="31"/>
  <c r="D194" i="31"/>
  <c r="C194" i="31"/>
  <c r="D193" i="31"/>
  <c r="C193" i="31"/>
  <c r="D192" i="31"/>
  <c r="C192" i="31"/>
  <c r="D191" i="31"/>
  <c r="C191" i="31"/>
  <c r="D190" i="31"/>
  <c r="C190" i="31"/>
  <c r="D189" i="31"/>
  <c r="C189" i="31"/>
  <c r="D188" i="31"/>
  <c r="C188" i="31"/>
  <c r="D187" i="31"/>
  <c r="C187" i="31"/>
  <c r="D186" i="31"/>
  <c r="C186" i="31"/>
  <c r="D185" i="31"/>
  <c r="C185" i="31"/>
  <c r="D184" i="31"/>
  <c r="C184" i="31"/>
  <c r="D183" i="31"/>
  <c r="C183" i="31"/>
  <c r="D182" i="31"/>
  <c r="C182" i="31"/>
  <c r="D181" i="31"/>
  <c r="C181" i="31"/>
  <c r="D180" i="31"/>
  <c r="C180" i="31"/>
  <c r="D179" i="31"/>
  <c r="C179" i="31"/>
  <c r="D178" i="31"/>
  <c r="C178" i="31"/>
  <c r="D177" i="31"/>
  <c r="C177" i="31"/>
  <c r="D176" i="31"/>
  <c r="C176" i="31"/>
  <c r="D175" i="31"/>
  <c r="C175" i="31"/>
  <c r="D174" i="31"/>
  <c r="C174" i="31"/>
  <c r="D173" i="31"/>
  <c r="C173" i="31"/>
  <c r="D172" i="31"/>
  <c r="C172" i="31"/>
  <c r="D171" i="31"/>
  <c r="C171" i="31"/>
  <c r="D170" i="31"/>
  <c r="C170" i="31"/>
  <c r="D169" i="31"/>
  <c r="C169" i="31"/>
  <c r="D168" i="31"/>
  <c r="C168" i="31"/>
  <c r="D167" i="31"/>
  <c r="C167" i="31"/>
  <c r="D166" i="31"/>
  <c r="C166" i="31"/>
  <c r="D165" i="31"/>
  <c r="C165" i="31"/>
  <c r="D164" i="31"/>
  <c r="C164" i="31"/>
  <c r="D160" i="31"/>
  <c r="C160" i="31"/>
  <c r="D159" i="31"/>
  <c r="C159" i="31"/>
  <c r="D158" i="31"/>
  <c r="C158" i="31"/>
  <c r="D157" i="31"/>
  <c r="C157" i="31"/>
  <c r="D156" i="31"/>
  <c r="C156" i="31"/>
  <c r="D155" i="31"/>
  <c r="C155" i="31"/>
  <c r="D153" i="31"/>
  <c r="C153" i="31"/>
  <c r="D152" i="31"/>
  <c r="C152" i="31"/>
  <c r="D151" i="31"/>
  <c r="C151" i="31"/>
  <c r="D150" i="31"/>
  <c r="C150" i="31"/>
  <c r="D149" i="31"/>
  <c r="C149" i="31"/>
  <c r="D148" i="31"/>
  <c r="C148" i="31"/>
  <c r="D147" i="31"/>
  <c r="C147" i="31"/>
  <c r="D146" i="31"/>
  <c r="C146" i="31"/>
  <c r="D145" i="31"/>
  <c r="C145" i="31"/>
  <c r="D143" i="31"/>
  <c r="C143" i="31"/>
  <c r="D142" i="31"/>
  <c r="C142" i="31"/>
  <c r="D141" i="31"/>
  <c r="C141" i="31"/>
  <c r="D140" i="31"/>
  <c r="C140" i="31"/>
  <c r="D138" i="31"/>
  <c r="C138" i="31"/>
  <c r="D137" i="31"/>
  <c r="C137" i="31"/>
  <c r="D136" i="31"/>
  <c r="C136" i="31"/>
  <c r="D135" i="31"/>
  <c r="C135" i="31"/>
  <c r="D133" i="31"/>
  <c r="C133" i="31"/>
  <c r="D132" i="31"/>
  <c r="C132" i="31"/>
  <c r="D131" i="31"/>
  <c r="C131" i="31"/>
  <c r="D130" i="31"/>
  <c r="C130" i="31"/>
  <c r="D129" i="31"/>
  <c r="C129" i="31"/>
  <c r="D127" i="31"/>
  <c r="C127" i="31"/>
  <c r="D126" i="31"/>
  <c r="C126" i="31"/>
  <c r="D125" i="31"/>
  <c r="C125" i="31"/>
  <c r="D124" i="31"/>
  <c r="C124" i="31"/>
  <c r="C123" i="31"/>
  <c r="C161" i="31"/>
  <c r="D123" i="31"/>
  <c r="D118" i="31"/>
  <c r="C118" i="31"/>
  <c r="D117" i="31"/>
  <c r="C117" i="31"/>
  <c r="D116" i="31"/>
  <c r="C116" i="31"/>
  <c r="D115" i="31"/>
  <c r="C115" i="31"/>
  <c r="D114" i="31"/>
  <c r="C114" i="31"/>
  <c r="D110" i="31"/>
  <c r="C110" i="31"/>
  <c r="D109" i="31"/>
  <c r="C109" i="31"/>
  <c r="D108" i="31"/>
  <c r="C108" i="31"/>
  <c r="D107" i="31"/>
  <c r="C107" i="31"/>
  <c r="D106" i="31"/>
  <c r="C106" i="31"/>
  <c r="D105" i="31"/>
  <c r="D111" i="31"/>
  <c r="C105" i="31"/>
  <c r="C111" i="31"/>
  <c r="D101" i="31"/>
  <c r="C101" i="31"/>
  <c r="D100" i="31"/>
  <c r="C100" i="31"/>
  <c r="D99" i="31"/>
  <c r="C99" i="31"/>
  <c r="D98" i="31"/>
  <c r="C98" i="31"/>
  <c r="D97" i="31"/>
  <c r="C97" i="31"/>
  <c r="D96" i="31"/>
  <c r="C96" i="31"/>
  <c r="D92" i="31"/>
  <c r="C92" i="31"/>
  <c r="D91" i="31"/>
  <c r="C91" i="31"/>
  <c r="D90" i="31"/>
  <c r="C90" i="31"/>
  <c r="D89" i="31"/>
  <c r="C89" i="31"/>
  <c r="D88" i="31"/>
  <c r="C88" i="31"/>
  <c r="D87" i="31"/>
  <c r="C87" i="31"/>
  <c r="D86" i="31"/>
  <c r="C86" i="31"/>
  <c r="D85" i="31"/>
  <c r="C85" i="31"/>
  <c r="D84" i="31"/>
  <c r="C84" i="31"/>
  <c r="D83" i="31"/>
  <c r="C83" i="31"/>
  <c r="D82" i="31"/>
  <c r="C82" i="31"/>
  <c r="D78" i="31"/>
  <c r="C78" i="31"/>
  <c r="D77" i="31"/>
  <c r="C77" i="31"/>
  <c r="D76" i="31"/>
  <c r="C76" i="31"/>
  <c r="D75" i="31"/>
  <c r="C75" i="31"/>
  <c r="D74" i="31"/>
  <c r="C74" i="31"/>
  <c r="D73" i="31"/>
  <c r="C73" i="31"/>
  <c r="D72" i="31"/>
  <c r="C72" i="31"/>
  <c r="D71" i="31"/>
  <c r="C71" i="31"/>
  <c r="D70" i="31"/>
  <c r="C70" i="31"/>
  <c r="D69" i="31"/>
  <c r="C69" i="31"/>
  <c r="D68" i="31"/>
  <c r="C68" i="31"/>
  <c r="D67" i="31"/>
  <c r="C67" i="31"/>
  <c r="D66" i="31"/>
  <c r="C66" i="31"/>
  <c r="D65" i="31"/>
  <c r="C65" i="31"/>
  <c r="D64" i="31"/>
  <c r="D79" i="31"/>
  <c r="C64" i="31"/>
  <c r="D60" i="31"/>
  <c r="C60" i="31"/>
  <c r="D59" i="31"/>
  <c r="C59" i="31"/>
  <c r="D58" i="31"/>
  <c r="C58" i="31"/>
  <c r="D57" i="31"/>
  <c r="C57" i="31"/>
  <c r="D56" i="31"/>
  <c r="C56" i="31"/>
  <c r="D55" i="31"/>
  <c r="C55" i="31"/>
  <c r="D54" i="31"/>
  <c r="C54" i="31"/>
  <c r="D53" i="31"/>
  <c r="C53" i="31"/>
  <c r="D52" i="31"/>
  <c r="C52" i="31"/>
  <c r="D51" i="31"/>
  <c r="C51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C21" i="31"/>
  <c r="C93" i="31"/>
  <c r="C206" i="31"/>
  <c r="D206" i="31"/>
  <c r="D21" i="31"/>
  <c r="D102" i="31"/>
  <c r="C197" i="31"/>
  <c r="C79" i="31"/>
  <c r="C102" i="31"/>
  <c r="C119" i="31"/>
  <c r="D197" i="31"/>
  <c r="D93" i="31"/>
  <c r="D119" i="31"/>
  <c r="D161" i="31"/>
  <c r="C228" i="31"/>
  <c r="D61" i="31"/>
  <c r="D208" i="31"/>
  <c r="D215" i="31"/>
  <c r="C61" i="31"/>
  <c r="C208" i="31"/>
  <c r="C212" i="31"/>
  <c r="C215" i="31"/>
  <c r="C233" i="79"/>
  <c r="G244" i="79"/>
  <c r="G241" i="135"/>
  <c r="G244" i="135"/>
  <c r="G243" i="135"/>
  <c r="G242" i="135"/>
  <c r="C238" i="71"/>
  <c r="C237" i="71"/>
  <c r="C236" i="71"/>
  <c r="C235" i="71"/>
  <c r="C232" i="71"/>
  <c r="C231" i="71"/>
  <c r="D228" i="71"/>
  <c r="C227" i="71"/>
  <c r="C226" i="71"/>
  <c r="C225" i="71"/>
  <c r="C224" i="71"/>
  <c r="C223" i="71"/>
  <c r="C222" i="71"/>
  <c r="C221" i="71"/>
  <c r="C220" i="71"/>
  <c r="C219" i="71"/>
  <c r="C211" i="71"/>
  <c r="D205" i="71"/>
  <c r="C205" i="71"/>
  <c r="D204" i="71"/>
  <c r="C204" i="71"/>
  <c r="D203" i="71"/>
  <c r="C203" i="71"/>
  <c r="D202" i="71"/>
  <c r="C202" i="71"/>
  <c r="D201" i="71"/>
  <c r="C201" i="71"/>
  <c r="D200" i="71"/>
  <c r="C200" i="71"/>
  <c r="D196" i="71"/>
  <c r="C196" i="71"/>
  <c r="D195" i="71"/>
  <c r="C195" i="71"/>
  <c r="D194" i="71"/>
  <c r="C194" i="71"/>
  <c r="D193" i="71"/>
  <c r="C193" i="71"/>
  <c r="D192" i="71"/>
  <c r="C192" i="71"/>
  <c r="D191" i="71"/>
  <c r="C191" i="71"/>
  <c r="D190" i="71"/>
  <c r="C190" i="71"/>
  <c r="D189" i="71"/>
  <c r="C189" i="71"/>
  <c r="D188" i="71"/>
  <c r="C188" i="71"/>
  <c r="D187" i="71"/>
  <c r="C187" i="71"/>
  <c r="D186" i="71"/>
  <c r="C186" i="71"/>
  <c r="D185" i="71"/>
  <c r="C185" i="71"/>
  <c r="D184" i="71"/>
  <c r="C184" i="71"/>
  <c r="D183" i="71"/>
  <c r="C183" i="71"/>
  <c r="D182" i="71"/>
  <c r="C182" i="71"/>
  <c r="D181" i="71"/>
  <c r="C181" i="71"/>
  <c r="D180" i="71"/>
  <c r="C180" i="71"/>
  <c r="D179" i="71"/>
  <c r="C179" i="71"/>
  <c r="D178" i="71"/>
  <c r="C178" i="71"/>
  <c r="D177" i="71"/>
  <c r="C177" i="71"/>
  <c r="D176" i="71"/>
  <c r="C176" i="71"/>
  <c r="D175" i="71"/>
  <c r="C175" i="71"/>
  <c r="D174" i="71"/>
  <c r="C174" i="71"/>
  <c r="D173" i="71"/>
  <c r="C173" i="71"/>
  <c r="D172" i="71"/>
  <c r="C172" i="71"/>
  <c r="D171" i="71"/>
  <c r="C171" i="71"/>
  <c r="D170" i="71"/>
  <c r="C170" i="71"/>
  <c r="D169" i="71"/>
  <c r="C169" i="71"/>
  <c r="D168" i="71"/>
  <c r="C168" i="71"/>
  <c r="D167" i="71"/>
  <c r="C167" i="71"/>
  <c r="D166" i="71"/>
  <c r="C166" i="71"/>
  <c r="D165" i="71"/>
  <c r="C165" i="71"/>
  <c r="D164" i="71"/>
  <c r="C164" i="71"/>
  <c r="D160" i="71"/>
  <c r="C160" i="71"/>
  <c r="D159" i="71"/>
  <c r="C159" i="71"/>
  <c r="D158" i="71"/>
  <c r="C158" i="71"/>
  <c r="D157" i="71"/>
  <c r="C157" i="71"/>
  <c r="D156" i="71"/>
  <c r="C156" i="71"/>
  <c r="D155" i="71"/>
  <c r="C155" i="71"/>
  <c r="D153" i="71"/>
  <c r="C153" i="71"/>
  <c r="D152" i="71"/>
  <c r="C152" i="71"/>
  <c r="D151" i="71"/>
  <c r="C151" i="71"/>
  <c r="D150" i="71"/>
  <c r="C150" i="71"/>
  <c r="D149" i="71"/>
  <c r="C149" i="71"/>
  <c r="D148" i="71"/>
  <c r="C148" i="71"/>
  <c r="D147" i="71"/>
  <c r="C147" i="71"/>
  <c r="D146" i="71"/>
  <c r="C146" i="71"/>
  <c r="D145" i="71"/>
  <c r="C145" i="71"/>
  <c r="D143" i="71"/>
  <c r="C143" i="71"/>
  <c r="D142" i="71"/>
  <c r="C142" i="71"/>
  <c r="D141" i="71"/>
  <c r="C141" i="71"/>
  <c r="D140" i="71"/>
  <c r="C140" i="71"/>
  <c r="D138" i="71"/>
  <c r="C138" i="71"/>
  <c r="D137" i="71"/>
  <c r="C137" i="71"/>
  <c r="D136" i="71"/>
  <c r="C136" i="71"/>
  <c r="D135" i="71"/>
  <c r="C135" i="71"/>
  <c r="D133" i="71"/>
  <c r="C133" i="71"/>
  <c r="D132" i="71"/>
  <c r="C132" i="71"/>
  <c r="D131" i="71"/>
  <c r="C131" i="71"/>
  <c r="D130" i="71"/>
  <c r="C130" i="71"/>
  <c r="D129" i="71"/>
  <c r="C129" i="71"/>
  <c r="D127" i="71"/>
  <c r="C127" i="71"/>
  <c r="D126" i="71"/>
  <c r="C126" i="71"/>
  <c r="D125" i="71"/>
  <c r="C125" i="71"/>
  <c r="D124" i="71"/>
  <c r="C124" i="71"/>
  <c r="D123" i="71"/>
  <c r="C123" i="71"/>
  <c r="D118" i="71"/>
  <c r="C118" i="71"/>
  <c r="D117" i="71"/>
  <c r="C117" i="71"/>
  <c r="D116" i="71"/>
  <c r="C116" i="71"/>
  <c r="D115" i="71"/>
  <c r="C115" i="71"/>
  <c r="D114" i="71"/>
  <c r="C114" i="71"/>
  <c r="D110" i="71"/>
  <c r="C110" i="71"/>
  <c r="D109" i="71"/>
  <c r="C109" i="71"/>
  <c r="D108" i="71"/>
  <c r="C108" i="71"/>
  <c r="D107" i="71"/>
  <c r="C107" i="71"/>
  <c r="D106" i="71"/>
  <c r="C106" i="71"/>
  <c r="D105" i="71"/>
  <c r="C105" i="71"/>
  <c r="D101" i="71"/>
  <c r="C101" i="71"/>
  <c r="D100" i="71"/>
  <c r="C100" i="71"/>
  <c r="D99" i="71"/>
  <c r="C99" i="71"/>
  <c r="D98" i="71"/>
  <c r="C98" i="71"/>
  <c r="D97" i="71"/>
  <c r="C97" i="71"/>
  <c r="D96" i="71"/>
  <c r="C96" i="71"/>
  <c r="D92" i="71"/>
  <c r="C92" i="71"/>
  <c r="D91" i="71"/>
  <c r="C91" i="71"/>
  <c r="D90" i="71"/>
  <c r="C90" i="71"/>
  <c r="D89" i="71"/>
  <c r="C89" i="71"/>
  <c r="D88" i="71"/>
  <c r="C88" i="71"/>
  <c r="D87" i="71"/>
  <c r="C87" i="71"/>
  <c r="D86" i="71"/>
  <c r="C86" i="71"/>
  <c r="D85" i="71"/>
  <c r="C85" i="71"/>
  <c r="D84" i="71"/>
  <c r="C84" i="71"/>
  <c r="D83" i="71"/>
  <c r="C83" i="71"/>
  <c r="D82" i="71"/>
  <c r="C82" i="71"/>
  <c r="D78" i="71"/>
  <c r="C78" i="71"/>
  <c r="D77" i="71"/>
  <c r="C77" i="71"/>
  <c r="D76" i="71"/>
  <c r="C76" i="71"/>
  <c r="D75" i="71"/>
  <c r="C75" i="71"/>
  <c r="D74" i="71"/>
  <c r="C74" i="71"/>
  <c r="D73" i="71"/>
  <c r="C73" i="71"/>
  <c r="D72" i="71"/>
  <c r="C72" i="71"/>
  <c r="D71" i="71"/>
  <c r="C71" i="71"/>
  <c r="D70" i="71"/>
  <c r="C70" i="71"/>
  <c r="D69" i="71"/>
  <c r="C69" i="71"/>
  <c r="D68" i="71"/>
  <c r="C68" i="71"/>
  <c r="D67" i="71"/>
  <c r="C67" i="71"/>
  <c r="D66" i="71"/>
  <c r="C66" i="71"/>
  <c r="D65" i="71"/>
  <c r="C65" i="71"/>
  <c r="D64" i="71"/>
  <c r="C64" i="71"/>
  <c r="D60" i="71"/>
  <c r="C60" i="71"/>
  <c r="D59" i="71"/>
  <c r="C59" i="71"/>
  <c r="D58" i="71"/>
  <c r="C58" i="71"/>
  <c r="D57" i="71"/>
  <c r="C57" i="71"/>
  <c r="D56" i="71"/>
  <c r="C56" i="71"/>
  <c r="D55" i="71"/>
  <c r="C55" i="71"/>
  <c r="D54" i="71"/>
  <c r="C54" i="71"/>
  <c r="D53" i="71"/>
  <c r="C53" i="71"/>
  <c r="D52" i="71"/>
  <c r="C52" i="71"/>
  <c r="D51" i="71"/>
  <c r="C51" i="71"/>
  <c r="D50" i="71"/>
  <c r="C50" i="71"/>
  <c r="D49" i="71"/>
  <c r="C49" i="71"/>
  <c r="D48" i="71"/>
  <c r="C48" i="71"/>
  <c r="D47" i="71"/>
  <c r="C47" i="71"/>
  <c r="D46" i="71"/>
  <c r="C46" i="71"/>
  <c r="D45" i="71"/>
  <c r="C45" i="71"/>
  <c r="D44" i="71"/>
  <c r="C44" i="71"/>
  <c r="D43" i="71"/>
  <c r="C43" i="71"/>
  <c r="D42" i="71"/>
  <c r="C42" i="71"/>
  <c r="D41" i="71"/>
  <c r="C41" i="71"/>
  <c r="D40" i="71"/>
  <c r="C40" i="71"/>
  <c r="D39" i="71"/>
  <c r="C39" i="71"/>
  <c r="D38" i="71"/>
  <c r="C38" i="71"/>
  <c r="D37" i="71"/>
  <c r="C37" i="71"/>
  <c r="D36" i="71"/>
  <c r="C36" i="71"/>
  <c r="D35" i="71"/>
  <c r="C35" i="71"/>
  <c r="D34" i="71"/>
  <c r="C34" i="71"/>
  <c r="D33" i="71"/>
  <c r="C33" i="71"/>
  <c r="D32" i="71"/>
  <c r="C32" i="71"/>
  <c r="D31" i="71"/>
  <c r="C31" i="71"/>
  <c r="D30" i="71"/>
  <c r="C30" i="71"/>
  <c r="D29" i="71"/>
  <c r="C29" i="71"/>
  <c r="D28" i="71"/>
  <c r="C28" i="71"/>
  <c r="D27" i="71"/>
  <c r="C27" i="71"/>
  <c r="D26" i="71"/>
  <c r="C26" i="71"/>
  <c r="D25" i="71"/>
  <c r="C25" i="71"/>
  <c r="D20" i="71"/>
  <c r="C20" i="71"/>
  <c r="D19" i="71"/>
  <c r="C19" i="71"/>
  <c r="D18" i="71"/>
  <c r="C18" i="71"/>
  <c r="D17" i="71"/>
  <c r="C17" i="71"/>
  <c r="D16" i="71"/>
  <c r="C16" i="71"/>
  <c r="D15" i="71"/>
  <c r="C15" i="71"/>
  <c r="D14" i="71"/>
  <c r="C14" i="71"/>
  <c r="D13" i="71"/>
  <c r="C13" i="71"/>
  <c r="D12" i="71"/>
  <c r="C12" i="71"/>
  <c r="D11" i="71"/>
  <c r="C11" i="71"/>
  <c r="C161" i="71"/>
  <c r="C197" i="71"/>
  <c r="D197" i="71"/>
  <c r="D79" i="71"/>
  <c r="D161" i="71"/>
  <c r="C111" i="71"/>
  <c r="D111" i="71"/>
  <c r="C119" i="71"/>
  <c r="C206" i="71"/>
  <c r="C21" i="71"/>
  <c r="C93" i="71"/>
  <c r="C102" i="71"/>
  <c r="D119" i="71"/>
  <c r="D206" i="71"/>
  <c r="D21" i="71"/>
  <c r="D93" i="71"/>
  <c r="D102" i="71"/>
  <c r="C79" i="71"/>
  <c r="C228" i="71"/>
  <c r="C61" i="71"/>
  <c r="D61" i="71"/>
  <c r="D208" i="71"/>
  <c r="D215" i="71"/>
  <c r="C208" i="71"/>
  <c r="C212" i="71"/>
  <c r="C215" i="71"/>
  <c r="C238" i="45"/>
  <c r="C237" i="45"/>
  <c r="C236" i="45"/>
  <c r="C235" i="45"/>
  <c r="C233" i="45"/>
  <c r="C232" i="45"/>
  <c r="C231" i="45"/>
  <c r="D228" i="45"/>
  <c r="C227" i="45"/>
  <c r="C226" i="45"/>
  <c r="C225" i="45"/>
  <c r="C224" i="45"/>
  <c r="C223" i="45"/>
  <c r="C222" i="45"/>
  <c r="C221" i="45"/>
  <c r="C220" i="45"/>
  <c r="C219" i="45"/>
  <c r="C211" i="45"/>
  <c r="D205" i="45"/>
  <c r="C205" i="45"/>
  <c r="D204" i="45"/>
  <c r="C204" i="45"/>
  <c r="D203" i="45"/>
  <c r="C203" i="45"/>
  <c r="D202" i="45"/>
  <c r="C202" i="45"/>
  <c r="D201" i="45"/>
  <c r="C201" i="45"/>
  <c r="D200" i="45"/>
  <c r="C200" i="45"/>
  <c r="D196" i="45"/>
  <c r="C196" i="45"/>
  <c r="D195" i="45"/>
  <c r="C195" i="45"/>
  <c r="D194" i="45"/>
  <c r="C194" i="45"/>
  <c r="D193" i="45"/>
  <c r="C193" i="45"/>
  <c r="D192" i="45"/>
  <c r="C192" i="45"/>
  <c r="D191" i="45"/>
  <c r="C191" i="45"/>
  <c r="D190" i="45"/>
  <c r="C190" i="45"/>
  <c r="D189" i="45"/>
  <c r="C189" i="45"/>
  <c r="D188" i="45"/>
  <c r="C188" i="45"/>
  <c r="D187" i="45"/>
  <c r="C187" i="45"/>
  <c r="D186" i="45"/>
  <c r="C186" i="45"/>
  <c r="D185" i="45"/>
  <c r="C185" i="45"/>
  <c r="D184" i="45"/>
  <c r="C184" i="45"/>
  <c r="D183" i="45"/>
  <c r="C183" i="45"/>
  <c r="D182" i="45"/>
  <c r="C182" i="45"/>
  <c r="D181" i="45"/>
  <c r="C181" i="45"/>
  <c r="D180" i="45"/>
  <c r="C180" i="45"/>
  <c r="D179" i="45"/>
  <c r="C179" i="45"/>
  <c r="D178" i="45"/>
  <c r="C178" i="45"/>
  <c r="D177" i="45"/>
  <c r="C177" i="45"/>
  <c r="D176" i="45"/>
  <c r="C176" i="45"/>
  <c r="D175" i="45"/>
  <c r="C175" i="45"/>
  <c r="D174" i="45"/>
  <c r="C174" i="45"/>
  <c r="D173" i="45"/>
  <c r="C173" i="45"/>
  <c r="D172" i="45"/>
  <c r="C172" i="45"/>
  <c r="D171" i="45"/>
  <c r="C171" i="45"/>
  <c r="D170" i="45"/>
  <c r="C170" i="45"/>
  <c r="D169" i="45"/>
  <c r="C169" i="45"/>
  <c r="D168" i="45"/>
  <c r="C168" i="45"/>
  <c r="D167" i="45"/>
  <c r="C167" i="45"/>
  <c r="D166" i="45"/>
  <c r="C166" i="45"/>
  <c r="D165" i="45"/>
  <c r="C165" i="45"/>
  <c r="D164" i="45"/>
  <c r="C164" i="45"/>
  <c r="D160" i="45"/>
  <c r="C160" i="45"/>
  <c r="D159" i="45"/>
  <c r="C159" i="45"/>
  <c r="D158" i="45"/>
  <c r="C158" i="45"/>
  <c r="D157" i="45"/>
  <c r="C157" i="45"/>
  <c r="D156" i="45"/>
  <c r="C156" i="45"/>
  <c r="D155" i="45"/>
  <c r="C155" i="45"/>
  <c r="D153" i="45"/>
  <c r="C153" i="45"/>
  <c r="D152" i="45"/>
  <c r="C152" i="45"/>
  <c r="D151" i="45"/>
  <c r="C151" i="45"/>
  <c r="D150" i="45"/>
  <c r="C150" i="45"/>
  <c r="D149" i="45"/>
  <c r="C149" i="45"/>
  <c r="D148" i="45"/>
  <c r="C148" i="45"/>
  <c r="D147" i="45"/>
  <c r="C147" i="45"/>
  <c r="D146" i="45"/>
  <c r="C146" i="45"/>
  <c r="D145" i="45"/>
  <c r="C145" i="45"/>
  <c r="D143" i="45"/>
  <c r="C143" i="45"/>
  <c r="D142" i="45"/>
  <c r="C142" i="45"/>
  <c r="D141" i="45"/>
  <c r="C141" i="45"/>
  <c r="D140" i="45"/>
  <c r="C140" i="45"/>
  <c r="D138" i="45"/>
  <c r="C138" i="45"/>
  <c r="D137" i="45"/>
  <c r="C137" i="45"/>
  <c r="D136" i="45"/>
  <c r="C136" i="45"/>
  <c r="D135" i="45"/>
  <c r="C135" i="45"/>
  <c r="D133" i="45"/>
  <c r="C133" i="45"/>
  <c r="D132" i="45"/>
  <c r="C132" i="45"/>
  <c r="D131" i="45"/>
  <c r="C131" i="45"/>
  <c r="D130" i="45"/>
  <c r="C130" i="45"/>
  <c r="D129" i="45"/>
  <c r="C129" i="45"/>
  <c r="D127" i="45"/>
  <c r="C127" i="45"/>
  <c r="D126" i="45"/>
  <c r="C126" i="45"/>
  <c r="D125" i="45"/>
  <c r="C125" i="45"/>
  <c r="D124" i="45"/>
  <c r="C124" i="45"/>
  <c r="D123" i="45"/>
  <c r="C123" i="45"/>
  <c r="D118" i="45"/>
  <c r="C118" i="45"/>
  <c r="D117" i="45"/>
  <c r="C117" i="45"/>
  <c r="D116" i="45"/>
  <c r="C116" i="45"/>
  <c r="D115" i="45"/>
  <c r="C115" i="45"/>
  <c r="D114" i="45"/>
  <c r="C114" i="45"/>
  <c r="D110" i="45"/>
  <c r="C110" i="45"/>
  <c r="D109" i="45"/>
  <c r="C109" i="45"/>
  <c r="D108" i="45"/>
  <c r="C108" i="45"/>
  <c r="D107" i="45"/>
  <c r="C107" i="45"/>
  <c r="D106" i="45"/>
  <c r="C106" i="45"/>
  <c r="D105" i="45"/>
  <c r="D111" i="45"/>
  <c r="C105" i="45"/>
  <c r="C111" i="45"/>
  <c r="D101" i="45"/>
  <c r="C101" i="45"/>
  <c r="D100" i="45"/>
  <c r="C100" i="45"/>
  <c r="D99" i="45"/>
  <c r="C99" i="45"/>
  <c r="D98" i="45"/>
  <c r="C98" i="45"/>
  <c r="D97" i="45"/>
  <c r="C97" i="45"/>
  <c r="D96" i="45"/>
  <c r="C96" i="45"/>
  <c r="D92" i="45"/>
  <c r="C92" i="45"/>
  <c r="D91" i="45"/>
  <c r="C91" i="45"/>
  <c r="D90" i="45"/>
  <c r="C90" i="45"/>
  <c r="D89" i="45"/>
  <c r="C89" i="45"/>
  <c r="D88" i="45"/>
  <c r="C88" i="45"/>
  <c r="D87" i="45"/>
  <c r="C87" i="45"/>
  <c r="D86" i="45"/>
  <c r="C86" i="45"/>
  <c r="D85" i="45"/>
  <c r="C85" i="45"/>
  <c r="D84" i="45"/>
  <c r="C84" i="45"/>
  <c r="D83" i="45"/>
  <c r="C83" i="45"/>
  <c r="D82" i="45"/>
  <c r="C82" i="45"/>
  <c r="D78" i="45"/>
  <c r="C78" i="45"/>
  <c r="D77" i="45"/>
  <c r="C77" i="45"/>
  <c r="D76" i="45"/>
  <c r="C76" i="45"/>
  <c r="D75" i="45"/>
  <c r="C75" i="45"/>
  <c r="D74" i="45"/>
  <c r="C74" i="45"/>
  <c r="D73" i="45"/>
  <c r="C73" i="45"/>
  <c r="D72" i="45"/>
  <c r="C72" i="45"/>
  <c r="D71" i="45"/>
  <c r="C71" i="45"/>
  <c r="D70" i="45"/>
  <c r="C70" i="45"/>
  <c r="D69" i="45"/>
  <c r="C69" i="45"/>
  <c r="D68" i="45"/>
  <c r="C68" i="45"/>
  <c r="D67" i="45"/>
  <c r="C67" i="45"/>
  <c r="D66" i="45"/>
  <c r="C66" i="45"/>
  <c r="D65" i="45"/>
  <c r="C65" i="45"/>
  <c r="D64" i="45"/>
  <c r="C64" i="45"/>
  <c r="D60" i="45"/>
  <c r="C60" i="45"/>
  <c r="D59" i="45"/>
  <c r="C59" i="45"/>
  <c r="D58" i="45"/>
  <c r="C58" i="45"/>
  <c r="D57" i="45"/>
  <c r="C57" i="45"/>
  <c r="D56" i="45"/>
  <c r="C56" i="45"/>
  <c r="D55" i="45"/>
  <c r="C55" i="45"/>
  <c r="D54" i="45"/>
  <c r="C54" i="45"/>
  <c r="D53" i="45"/>
  <c r="C53" i="45"/>
  <c r="D52" i="45"/>
  <c r="C52" i="45"/>
  <c r="D51" i="45"/>
  <c r="C51" i="45"/>
  <c r="D50" i="45"/>
  <c r="C50" i="45"/>
  <c r="D49" i="45"/>
  <c r="C49" i="45"/>
  <c r="D48" i="45"/>
  <c r="C48" i="45"/>
  <c r="D47" i="45"/>
  <c r="C47" i="45"/>
  <c r="D46" i="45"/>
  <c r="C46" i="45"/>
  <c r="D45" i="45"/>
  <c r="C45" i="45"/>
  <c r="D44" i="45"/>
  <c r="C44" i="45"/>
  <c r="D43" i="45"/>
  <c r="C43" i="45"/>
  <c r="D42" i="45"/>
  <c r="C42" i="45"/>
  <c r="D41" i="45"/>
  <c r="C41" i="45"/>
  <c r="D40" i="45"/>
  <c r="C40" i="45"/>
  <c r="D39" i="45"/>
  <c r="C39" i="45"/>
  <c r="D38" i="45"/>
  <c r="C38" i="45"/>
  <c r="D37" i="45"/>
  <c r="C37" i="45"/>
  <c r="D36" i="45"/>
  <c r="C36" i="45"/>
  <c r="D35" i="45"/>
  <c r="C35" i="45"/>
  <c r="D34" i="45"/>
  <c r="C34" i="45"/>
  <c r="D33" i="45"/>
  <c r="C33" i="45"/>
  <c r="D32" i="45"/>
  <c r="C32" i="45"/>
  <c r="D31" i="45"/>
  <c r="C31" i="45"/>
  <c r="D30" i="45"/>
  <c r="C30" i="45"/>
  <c r="D29" i="45"/>
  <c r="C29" i="45"/>
  <c r="D28" i="45"/>
  <c r="C28" i="45"/>
  <c r="D27" i="45"/>
  <c r="C27" i="45"/>
  <c r="D26" i="45"/>
  <c r="C26" i="45"/>
  <c r="D25" i="45"/>
  <c r="C25" i="45"/>
  <c r="C61" i="45"/>
  <c r="D20" i="45"/>
  <c r="C20" i="45"/>
  <c r="D19" i="45"/>
  <c r="C19" i="45"/>
  <c r="D18" i="45"/>
  <c r="C18" i="45"/>
  <c r="D17" i="45"/>
  <c r="C17" i="45"/>
  <c r="D16" i="45"/>
  <c r="C16" i="45"/>
  <c r="D15" i="45"/>
  <c r="C15" i="45"/>
  <c r="D14" i="45"/>
  <c r="C14" i="45"/>
  <c r="D13" i="45"/>
  <c r="C13" i="45"/>
  <c r="D12" i="45"/>
  <c r="C12" i="45"/>
  <c r="D11" i="45"/>
  <c r="C11" i="45"/>
  <c r="C21" i="45"/>
  <c r="C93" i="45"/>
  <c r="C102" i="45"/>
  <c r="C206" i="45"/>
  <c r="D206" i="45"/>
  <c r="D21" i="45"/>
  <c r="D93" i="45"/>
  <c r="D102" i="45"/>
  <c r="C79" i="45"/>
  <c r="C119" i="45"/>
  <c r="C161" i="45"/>
  <c r="C197" i="45"/>
  <c r="C208" i="45"/>
  <c r="C212" i="45"/>
  <c r="D197" i="45"/>
  <c r="D79" i="45"/>
  <c r="D119" i="45"/>
  <c r="D161" i="45"/>
  <c r="C228" i="45"/>
  <c r="D61" i="45"/>
  <c r="D208" i="45"/>
  <c r="D215" i="45"/>
  <c r="C215" i="45"/>
  <c r="C238" i="49"/>
  <c r="C237" i="49"/>
  <c r="C236" i="49"/>
  <c r="C235" i="49"/>
  <c r="C233" i="49"/>
  <c r="C232" i="49"/>
  <c r="C231" i="49"/>
  <c r="D228" i="49"/>
  <c r="C227" i="49"/>
  <c r="C226" i="49"/>
  <c r="C225" i="49"/>
  <c r="C224" i="49"/>
  <c r="C223" i="49"/>
  <c r="C222" i="49"/>
  <c r="C221" i="49"/>
  <c r="C220" i="49"/>
  <c r="C219" i="49"/>
  <c r="C228" i="49"/>
  <c r="C211" i="49"/>
  <c r="D205" i="49"/>
  <c r="C205" i="49"/>
  <c r="D204" i="49"/>
  <c r="C204" i="49"/>
  <c r="D203" i="49"/>
  <c r="C203" i="49"/>
  <c r="D202" i="49"/>
  <c r="C202" i="49"/>
  <c r="D201" i="49"/>
  <c r="C201" i="49"/>
  <c r="D200" i="49"/>
  <c r="C200" i="49"/>
  <c r="D196" i="49"/>
  <c r="C196" i="49"/>
  <c r="D195" i="49"/>
  <c r="C195" i="49"/>
  <c r="D194" i="49"/>
  <c r="C194" i="49"/>
  <c r="D193" i="49"/>
  <c r="C193" i="49"/>
  <c r="D192" i="49"/>
  <c r="C192" i="49"/>
  <c r="D191" i="49"/>
  <c r="C191" i="49"/>
  <c r="D190" i="49"/>
  <c r="C190" i="49"/>
  <c r="D189" i="49"/>
  <c r="C189" i="49"/>
  <c r="D188" i="49"/>
  <c r="C188" i="49"/>
  <c r="D187" i="49"/>
  <c r="C187" i="49"/>
  <c r="D186" i="49"/>
  <c r="C186" i="49"/>
  <c r="D185" i="49"/>
  <c r="C185" i="49"/>
  <c r="D184" i="49"/>
  <c r="C184" i="49"/>
  <c r="D183" i="49"/>
  <c r="C183" i="49"/>
  <c r="D182" i="49"/>
  <c r="C182" i="49"/>
  <c r="D181" i="49"/>
  <c r="C181" i="49"/>
  <c r="D180" i="49"/>
  <c r="C180" i="49"/>
  <c r="D179" i="49"/>
  <c r="C179" i="49"/>
  <c r="D178" i="49"/>
  <c r="C178" i="49"/>
  <c r="D177" i="49"/>
  <c r="C177" i="49"/>
  <c r="D176" i="49"/>
  <c r="C176" i="49"/>
  <c r="D175" i="49"/>
  <c r="C175" i="49"/>
  <c r="D174" i="49"/>
  <c r="C174" i="49"/>
  <c r="D173" i="49"/>
  <c r="C173" i="49"/>
  <c r="D172" i="49"/>
  <c r="C172" i="49"/>
  <c r="D171" i="49"/>
  <c r="C171" i="49"/>
  <c r="D170" i="49"/>
  <c r="C170" i="49"/>
  <c r="D169" i="49"/>
  <c r="C169" i="49"/>
  <c r="D168" i="49"/>
  <c r="C168" i="49"/>
  <c r="D167" i="49"/>
  <c r="C167" i="49"/>
  <c r="D166" i="49"/>
  <c r="C166" i="49"/>
  <c r="D165" i="49"/>
  <c r="C165" i="49"/>
  <c r="D164" i="49"/>
  <c r="C164" i="49"/>
  <c r="D160" i="49"/>
  <c r="C160" i="49"/>
  <c r="D159" i="49"/>
  <c r="C159" i="49"/>
  <c r="D158" i="49"/>
  <c r="C158" i="49"/>
  <c r="D157" i="49"/>
  <c r="C157" i="49"/>
  <c r="D156" i="49"/>
  <c r="C156" i="49"/>
  <c r="D155" i="49"/>
  <c r="C155" i="49"/>
  <c r="D153" i="49"/>
  <c r="C153" i="49"/>
  <c r="D152" i="49"/>
  <c r="C152" i="49"/>
  <c r="D151" i="49"/>
  <c r="C151" i="49"/>
  <c r="D150" i="49"/>
  <c r="C150" i="49"/>
  <c r="D149" i="49"/>
  <c r="C149" i="49"/>
  <c r="D148" i="49"/>
  <c r="C148" i="49"/>
  <c r="D147" i="49"/>
  <c r="C147" i="49"/>
  <c r="D146" i="49"/>
  <c r="C146" i="49"/>
  <c r="D145" i="49"/>
  <c r="C145" i="49"/>
  <c r="D143" i="49"/>
  <c r="C143" i="49"/>
  <c r="D142" i="49"/>
  <c r="C142" i="49"/>
  <c r="D141" i="49"/>
  <c r="C141" i="49"/>
  <c r="D140" i="49"/>
  <c r="C140" i="49"/>
  <c r="D138" i="49"/>
  <c r="C138" i="49"/>
  <c r="D137" i="49"/>
  <c r="C137" i="49"/>
  <c r="D136" i="49"/>
  <c r="C136" i="49"/>
  <c r="D135" i="49"/>
  <c r="C135" i="49"/>
  <c r="D133" i="49"/>
  <c r="C133" i="49"/>
  <c r="D132" i="49"/>
  <c r="C132" i="49"/>
  <c r="D131" i="49"/>
  <c r="C131" i="49"/>
  <c r="D130" i="49"/>
  <c r="C130" i="49"/>
  <c r="D129" i="49"/>
  <c r="C129" i="49"/>
  <c r="D127" i="49"/>
  <c r="C127" i="49"/>
  <c r="D126" i="49"/>
  <c r="C126" i="49"/>
  <c r="D125" i="49"/>
  <c r="C125" i="49"/>
  <c r="D124" i="49"/>
  <c r="C124" i="49"/>
  <c r="C123" i="49"/>
  <c r="C161" i="49"/>
  <c r="D123" i="49"/>
  <c r="D118" i="49"/>
  <c r="C118" i="49"/>
  <c r="D117" i="49"/>
  <c r="C117" i="49"/>
  <c r="D116" i="49"/>
  <c r="C116" i="49"/>
  <c r="D115" i="49"/>
  <c r="C115" i="49"/>
  <c r="D114" i="49"/>
  <c r="C114" i="49"/>
  <c r="D110" i="49"/>
  <c r="C110" i="49"/>
  <c r="D109" i="49"/>
  <c r="C109" i="49"/>
  <c r="D108" i="49"/>
  <c r="C108" i="49"/>
  <c r="D107" i="49"/>
  <c r="C107" i="49"/>
  <c r="D106" i="49"/>
  <c r="C106" i="49"/>
  <c r="D105" i="49"/>
  <c r="D111" i="49"/>
  <c r="C105" i="49"/>
  <c r="C111" i="49"/>
  <c r="D101" i="49"/>
  <c r="C101" i="49"/>
  <c r="D100" i="49"/>
  <c r="C100" i="49"/>
  <c r="D99" i="49"/>
  <c r="C99" i="49"/>
  <c r="D98" i="49"/>
  <c r="C98" i="49"/>
  <c r="D97" i="49"/>
  <c r="C97" i="49"/>
  <c r="D96" i="49"/>
  <c r="C96" i="49"/>
  <c r="D92" i="49"/>
  <c r="C92" i="49"/>
  <c r="D91" i="49"/>
  <c r="C91" i="49"/>
  <c r="D90" i="49"/>
  <c r="C90" i="49"/>
  <c r="D89" i="49"/>
  <c r="C89" i="49"/>
  <c r="D88" i="49"/>
  <c r="C88" i="49"/>
  <c r="D87" i="49"/>
  <c r="C87" i="49"/>
  <c r="D86" i="49"/>
  <c r="C86" i="49"/>
  <c r="D85" i="49"/>
  <c r="C85" i="49"/>
  <c r="D84" i="49"/>
  <c r="C84" i="49"/>
  <c r="C82" i="49"/>
  <c r="C83" i="49"/>
  <c r="C93" i="49"/>
  <c r="D83" i="49"/>
  <c r="D82" i="49"/>
  <c r="D78" i="49"/>
  <c r="C78" i="49"/>
  <c r="D77" i="49"/>
  <c r="C77" i="49"/>
  <c r="D76" i="49"/>
  <c r="C76" i="49"/>
  <c r="D75" i="49"/>
  <c r="C75" i="49"/>
  <c r="D74" i="49"/>
  <c r="C74" i="49"/>
  <c r="D73" i="49"/>
  <c r="C73" i="49"/>
  <c r="D72" i="49"/>
  <c r="C72" i="49"/>
  <c r="D71" i="49"/>
  <c r="C71" i="49"/>
  <c r="D70" i="49"/>
  <c r="C70" i="49"/>
  <c r="D69" i="49"/>
  <c r="C69" i="49"/>
  <c r="D68" i="49"/>
  <c r="C68" i="49"/>
  <c r="D67" i="49"/>
  <c r="C67" i="49"/>
  <c r="D66" i="49"/>
  <c r="C66" i="49"/>
  <c r="D65" i="49"/>
  <c r="C65" i="49"/>
  <c r="D64" i="49"/>
  <c r="C64" i="49"/>
  <c r="D60" i="49"/>
  <c r="C60" i="49"/>
  <c r="D59" i="49"/>
  <c r="C59" i="49"/>
  <c r="D58" i="49"/>
  <c r="C58" i="49"/>
  <c r="D57" i="49"/>
  <c r="C57" i="49"/>
  <c r="D56" i="49"/>
  <c r="C56" i="49"/>
  <c r="D55" i="49"/>
  <c r="C55" i="49"/>
  <c r="D54" i="49"/>
  <c r="C54" i="49"/>
  <c r="D53" i="49"/>
  <c r="C53" i="49"/>
  <c r="D52" i="49"/>
  <c r="C52" i="49"/>
  <c r="D51" i="49"/>
  <c r="C51" i="49"/>
  <c r="D50" i="49"/>
  <c r="C50" i="49"/>
  <c r="D49" i="49"/>
  <c r="C49" i="49"/>
  <c r="D48" i="49"/>
  <c r="C48" i="49"/>
  <c r="D47" i="49"/>
  <c r="C47" i="49"/>
  <c r="D46" i="49"/>
  <c r="C46" i="49"/>
  <c r="D45" i="49"/>
  <c r="C45" i="49"/>
  <c r="D44" i="49"/>
  <c r="C44" i="49"/>
  <c r="D43" i="49"/>
  <c r="C43" i="49"/>
  <c r="D42" i="49"/>
  <c r="C42" i="49"/>
  <c r="D41" i="49"/>
  <c r="C41" i="49"/>
  <c r="D40" i="49"/>
  <c r="C40" i="49"/>
  <c r="D39" i="49"/>
  <c r="C39" i="49"/>
  <c r="D38" i="49"/>
  <c r="C38" i="49"/>
  <c r="D37" i="49"/>
  <c r="C37" i="49"/>
  <c r="D36" i="49"/>
  <c r="C36" i="49"/>
  <c r="D35" i="49"/>
  <c r="C35" i="49"/>
  <c r="D34" i="49"/>
  <c r="C34" i="49"/>
  <c r="D33" i="49"/>
  <c r="C33" i="49"/>
  <c r="D32" i="49"/>
  <c r="C32" i="49"/>
  <c r="D31" i="49"/>
  <c r="C31" i="49"/>
  <c r="D30" i="49"/>
  <c r="C30" i="49"/>
  <c r="D29" i="49"/>
  <c r="C29" i="49"/>
  <c r="D28" i="49"/>
  <c r="C28" i="49"/>
  <c r="D27" i="49"/>
  <c r="C27" i="49"/>
  <c r="D26" i="49"/>
  <c r="C26" i="49"/>
  <c r="D25" i="49"/>
  <c r="C25" i="49"/>
  <c r="D20" i="49"/>
  <c r="C20" i="49"/>
  <c r="D19" i="49"/>
  <c r="C19" i="49"/>
  <c r="D18" i="49"/>
  <c r="C18" i="49"/>
  <c r="D17" i="49"/>
  <c r="C17" i="49"/>
  <c r="D16" i="49"/>
  <c r="C16" i="49"/>
  <c r="D15" i="49"/>
  <c r="C15" i="49"/>
  <c r="D14" i="49"/>
  <c r="C14" i="49"/>
  <c r="D13" i="49"/>
  <c r="C13" i="49"/>
  <c r="D12" i="49"/>
  <c r="C12" i="49"/>
  <c r="D11" i="49"/>
  <c r="C11" i="49"/>
  <c r="D206" i="49"/>
  <c r="D21" i="49"/>
  <c r="C102" i="49"/>
  <c r="C206" i="49"/>
  <c r="C21" i="49"/>
  <c r="C79" i="49"/>
  <c r="D102" i="49"/>
  <c r="D79" i="49"/>
  <c r="D93" i="49"/>
  <c r="C119" i="49"/>
  <c r="C197" i="49"/>
  <c r="D197" i="49"/>
  <c r="D119" i="49"/>
  <c r="D161" i="49"/>
  <c r="C61" i="49"/>
  <c r="C208" i="49"/>
  <c r="C212" i="49"/>
  <c r="D61" i="49"/>
  <c r="D208" i="49"/>
  <c r="D215" i="49"/>
  <c r="C215" i="49"/>
  <c r="G244" i="19"/>
  <c r="C238" i="103"/>
  <c r="C237" i="103"/>
  <c r="C236" i="103"/>
  <c r="C235" i="103"/>
  <c r="C233" i="103"/>
  <c r="C232" i="103"/>
  <c r="C231" i="103"/>
  <c r="D228" i="103"/>
  <c r="C227" i="103"/>
  <c r="C226" i="103"/>
  <c r="C225" i="103"/>
  <c r="C224" i="103"/>
  <c r="C223" i="103"/>
  <c r="C222" i="103"/>
  <c r="C221" i="103"/>
  <c r="C220" i="103"/>
  <c r="C219" i="103"/>
  <c r="C211" i="103"/>
  <c r="D205" i="103"/>
  <c r="C205" i="103"/>
  <c r="D204" i="103"/>
  <c r="C204" i="103"/>
  <c r="D203" i="103"/>
  <c r="C203" i="103"/>
  <c r="D202" i="103"/>
  <c r="C202" i="103"/>
  <c r="D201" i="103"/>
  <c r="C201" i="103"/>
  <c r="D200" i="103"/>
  <c r="C200" i="103"/>
  <c r="D196" i="103"/>
  <c r="C196" i="103"/>
  <c r="D195" i="103"/>
  <c r="C195" i="103"/>
  <c r="D194" i="103"/>
  <c r="C194" i="103"/>
  <c r="D193" i="103"/>
  <c r="C193" i="103"/>
  <c r="D192" i="103"/>
  <c r="C192" i="103"/>
  <c r="D191" i="103"/>
  <c r="C191" i="103"/>
  <c r="D190" i="103"/>
  <c r="C190" i="103"/>
  <c r="D189" i="103"/>
  <c r="C189" i="103"/>
  <c r="D188" i="103"/>
  <c r="C188" i="103"/>
  <c r="D187" i="103"/>
  <c r="C187" i="103"/>
  <c r="D186" i="103"/>
  <c r="C186" i="103"/>
  <c r="D185" i="103"/>
  <c r="C185" i="103"/>
  <c r="D184" i="103"/>
  <c r="C184" i="103"/>
  <c r="D183" i="103"/>
  <c r="C183" i="103"/>
  <c r="D182" i="103"/>
  <c r="C182" i="103"/>
  <c r="D181" i="103"/>
  <c r="C181" i="103"/>
  <c r="D180" i="103"/>
  <c r="C180" i="103"/>
  <c r="D179" i="103"/>
  <c r="C179" i="103"/>
  <c r="D178" i="103"/>
  <c r="C178" i="103"/>
  <c r="D177" i="103"/>
  <c r="C177" i="103"/>
  <c r="D176" i="103"/>
  <c r="C176" i="103"/>
  <c r="D175" i="103"/>
  <c r="C175" i="103"/>
  <c r="D174" i="103"/>
  <c r="C174" i="103"/>
  <c r="D173" i="103"/>
  <c r="C173" i="103"/>
  <c r="D172" i="103"/>
  <c r="C172" i="103"/>
  <c r="D171" i="103"/>
  <c r="C171" i="103"/>
  <c r="D170" i="103"/>
  <c r="C170" i="103"/>
  <c r="D169" i="103"/>
  <c r="C169" i="103"/>
  <c r="D168" i="103"/>
  <c r="C168" i="103"/>
  <c r="D167" i="103"/>
  <c r="C167" i="103"/>
  <c r="D166" i="103"/>
  <c r="C166" i="103"/>
  <c r="D165" i="103"/>
  <c r="C165" i="103"/>
  <c r="D164" i="103"/>
  <c r="C164" i="103"/>
  <c r="D160" i="103"/>
  <c r="C160" i="103"/>
  <c r="D159" i="103"/>
  <c r="C159" i="103"/>
  <c r="D158" i="103"/>
  <c r="C158" i="103"/>
  <c r="D157" i="103"/>
  <c r="C157" i="103"/>
  <c r="D156" i="103"/>
  <c r="C156" i="103"/>
  <c r="D155" i="103"/>
  <c r="C155" i="103"/>
  <c r="D153" i="103"/>
  <c r="C153" i="103"/>
  <c r="D152" i="103"/>
  <c r="C152" i="103"/>
  <c r="D151" i="103"/>
  <c r="C151" i="103"/>
  <c r="D150" i="103"/>
  <c r="C150" i="103"/>
  <c r="D149" i="103"/>
  <c r="C149" i="103"/>
  <c r="D148" i="103"/>
  <c r="C148" i="103"/>
  <c r="D147" i="103"/>
  <c r="C147" i="103"/>
  <c r="D146" i="103"/>
  <c r="C146" i="103"/>
  <c r="D145" i="103"/>
  <c r="C145" i="103"/>
  <c r="D143" i="103"/>
  <c r="C143" i="103"/>
  <c r="D142" i="103"/>
  <c r="C142" i="103"/>
  <c r="D141" i="103"/>
  <c r="C141" i="103"/>
  <c r="D140" i="103"/>
  <c r="C140" i="103"/>
  <c r="D138" i="103"/>
  <c r="C138" i="103"/>
  <c r="D137" i="103"/>
  <c r="C137" i="103"/>
  <c r="D136" i="103"/>
  <c r="C136" i="103"/>
  <c r="D135" i="103"/>
  <c r="C135" i="103"/>
  <c r="D133" i="103"/>
  <c r="C133" i="103"/>
  <c r="D132" i="103"/>
  <c r="C132" i="103"/>
  <c r="D131" i="103"/>
  <c r="C131" i="103"/>
  <c r="D130" i="103"/>
  <c r="C130" i="103"/>
  <c r="D129" i="103"/>
  <c r="C129" i="103"/>
  <c r="D127" i="103"/>
  <c r="C127" i="103"/>
  <c r="D126" i="103"/>
  <c r="C126" i="103"/>
  <c r="D125" i="103"/>
  <c r="C125" i="103"/>
  <c r="D124" i="103"/>
  <c r="D123" i="103"/>
  <c r="D161" i="103"/>
  <c r="C124" i="103"/>
  <c r="C123" i="103"/>
  <c r="D118" i="103"/>
  <c r="C118" i="103"/>
  <c r="D117" i="103"/>
  <c r="C117" i="103"/>
  <c r="D116" i="103"/>
  <c r="C116" i="103"/>
  <c r="D115" i="103"/>
  <c r="C115" i="103"/>
  <c r="D114" i="103"/>
  <c r="C114" i="103"/>
  <c r="D110" i="103"/>
  <c r="C110" i="103"/>
  <c r="D109" i="103"/>
  <c r="C109" i="103"/>
  <c r="D108" i="103"/>
  <c r="C108" i="103"/>
  <c r="D107" i="103"/>
  <c r="C107" i="103"/>
  <c r="D106" i="103"/>
  <c r="C106" i="103"/>
  <c r="D105" i="103"/>
  <c r="D111" i="103"/>
  <c r="C105" i="103"/>
  <c r="D101" i="103"/>
  <c r="C101" i="103"/>
  <c r="D100" i="103"/>
  <c r="C100" i="103"/>
  <c r="D99" i="103"/>
  <c r="C99" i="103"/>
  <c r="D98" i="103"/>
  <c r="C98" i="103"/>
  <c r="D97" i="103"/>
  <c r="C97" i="103"/>
  <c r="D96" i="103"/>
  <c r="C96" i="103"/>
  <c r="D92" i="103"/>
  <c r="C92" i="103"/>
  <c r="D91" i="103"/>
  <c r="C91" i="103"/>
  <c r="D90" i="103"/>
  <c r="C90" i="103"/>
  <c r="D89" i="103"/>
  <c r="C89" i="103"/>
  <c r="D88" i="103"/>
  <c r="C88" i="103"/>
  <c r="D87" i="103"/>
  <c r="C87" i="103"/>
  <c r="D86" i="103"/>
  <c r="C86" i="103"/>
  <c r="D85" i="103"/>
  <c r="C85" i="103"/>
  <c r="D84" i="103"/>
  <c r="C84" i="103"/>
  <c r="D83" i="103"/>
  <c r="D82" i="103"/>
  <c r="D93" i="103"/>
  <c r="C83" i="103"/>
  <c r="C82" i="103"/>
  <c r="D78" i="103"/>
  <c r="C78" i="103"/>
  <c r="D77" i="103"/>
  <c r="C77" i="103"/>
  <c r="D76" i="103"/>
  <c r="C76" i="103"/>
  <c r="D75" i="103"/>
  <c r="C75" i="103"/>
  <c r="D74" i="103"/>
  <c r="C74" i="103"/>
  <c r="D73" i="103"/>
  <c r="C73" i="103"/>
  <c r="D72" i="103"/>
  <c r="C72" i="103"/>
  <c r="D71" i="103"/>
  <c r="C71" i="103"/>
  <c r="D70" i="103"/>
  <c r="C70" i="103"/>
  <c r="D69" i="103"/>
  <c r="C69" i="103"/>
  <c r="D68" i="103"/>
  <c r="C68" i="103"/>
  <c r="D67" i="103"/>
  <c r="C67" i="103"/>
  <c r="D66" i="103"/>
  <c r="C66" i="103"/>
  <c r="D65" i="103"/>
  <c r="C65" i="103"/>
  <c r="D64" i="103"/>
  <c r="C64" i="103"/>
  <c r="D60" i="103"/>
  <c r="C60" i="103"/>
  <c r="D59" i="103"/>
  <c r="C59" i="103"/>
  <c r="D58" i="103"/>
  <c r="C58" i="103"/>
  <c r="D57" i="103"/>
  <c r="C57" i="103"/>
  <c r="D56" i="103"/>
  <c r="C56" i="103"/>
  <c r="D55" i="103"/>
  <c r="C55" i="103"/>
  <c r="D54" i="103"/>
  <c r="C54" i="103"/>
  <c r="D53" i="103"/>
  <c r="C53" i="103"/>
  <c r="D52" i="103"/>
  <c r="C52" i="103"/>
  <c r="D51" i="103"/>
  <c r="C51" i="103"/>
  <c r="D50" i="103"/>
  <c r="C50" i="103"/>
  <c r="D49" i="103"/>
  <c r="C49" i="103"/>
  <c r="D48" i="103"/>
  <c r="C48" i="103"/>
  <c r="D47" i="103"/>
  <c r="C47" i="103"/>
  <c r="D46" i="103"/>
  <c r="C46" i="103"/>
  <c r="D45" i="103"/>
  <c r="C45" i="103"/>
  <c r="D44" i="103"/>
  <c r="C44" i="103"/>
  <c r="D43" i="103"/>
  <c r="C43" i="103"/>
  <c r="D42" i="103"/>
  <c r="C42" i="103"/>
  <c r="D41" i="103"/>
  <c r="C41" i="103"/>
  <c r="D40" i="103"/>
  <c r="C40" i="103"/>
  <c r="D39" i="103"/>
  <c r="C39" i="103"/>
  <c r="D38" i="103"/>
  <c r="C38" i="103"/>
  <c r="D37" i="103"/>
  <c r="C37" i="103"/>
  <c r="D36" i="103"/>
  <c r="C36" i="103"/>
  <c r="D35" i="103"/>
  <c r="C35" i="103"/>
  <c r="D34" i="103"/>
  <c r="C34" i="103"/>
  <c r="D33" i="103"/>
  <c r="C33" i="103"/>
  <c r="D32" i="103"/>
  <c r="C32" i="103"/>
  <c r="D31" i="103"/>
  <c r="C31" i="103"/>
  <c r="D30" i="103"/>
  <c r="C30" i="103"/>
  <c r="D29" i="103"/>
  <c r="C29" i="103"/>
  <c r="D28" i="103"/>
  <c r="C28" i="103"/>
  <c r="D27" i="103"/>
  <c r="C27" i="103"/>
  <c r="D26" i="103"/>
  <c r="C26" i="103"/>
  <c r="D25" i="103"/>
  <c r="C25" i="103"/>
  <c r="D20" i="103"/>
  <c r="C20" i="103"/>
  <c r="D19" i="103"/>
  <c r="C19" i="103"/>
  <c r="D18" i="103"/>
  <c r="C18" i="103"/>
  <c r="D17" i="103"/>
  <c r="C17" i="103"/>
  <c r="D16" i="103"/>
  <c r="C16" i="103"/>
  <c r="D15" i="103"/>
  <c r="C15" i="103"/>
  <c r="D14" i="103"/>
  <c r="C14" i="103"/>
  <c r="D13" i="103"/>
  <c r="C13" i="103"/>
  <c r="D12" i="103"/>
  <c r="C12" i="103"/>
  <c r="D11" i="103"/>
  <c r="C11" i="103"/>
  <c r="C93" i="103"/>
  <c r="C111" i="103"/>
  <c r="C161" i="103"/>
  <c r="C197" i="103"/>
  <c r="C206" i="103"/>
  <c r="D79" i="103"/>
  <c r="D197" i="103"/>
  <c r="D206" i="103"/>
  <c r="C21" i="103"/>
  <c r="C102" i="103"/>
  <c r="C79" i="103"/>
  <c r="D21" i="103"/>
  <c r="D102" i="103"/>
  <c r="C119" i="103"/>
  <c r="D119" i="103"/>
  <c r="C228" i="103"/>
  <c r="C61" i="103"/>
  <c r="D61" i="103"/>
  <c r="D208" i="103"/>
  <c r="D215" i="103"/>
  <c r="C208" i="103"/>
  <c r="C212" i="103"/>
  <c r="C215" i="103"/>
  <c r="G242" i="55"/>
  <c r="C238" i="55"/>
  <c r="C237" i="55"/>
  <c r="C236" i="55"/>
  <c r="C235" i="55"/>
  <c r="C232" i="55"/>
  <c r="C231" i="55"/>
  <c r="D228" i="55"/>
  <c r="C227" i="55"/>
  <c r="C226" i="55"/>
  <c r="C225" i="55"/>
  <c r="C224" i="55"/>
  <c r="C223" i="55"/>
  <c r="C222" i="55"/>
  <c r="C221" i="55"/>
  <c r="C220" i="55"/>
  <c r="C219" i="55"/>
  <c r="C211" i="55"/>
  <c r="D205" i="55"/>
  <c r="C205" i="55"/>
  <c r="D204" i="55"/>
  <c r="C204" i="55"/>
  <c r="D203" i="55"/>
  <c r="C203" i="55"/>
  <c r="D202" i="55"/>
  <c r="C202" i="55"/>
  <c r="D201" i="55"/>
  <c r="C201" i="55"/>
  <c r="D200" i="55"/>
  <c r="C200" i="55"/>
  <c r="D196" i="55"/>
  <c r="C196" i="55"/>
  <c r="D195" i="55"/>
  <c r="C195" i="55"/>
  <c r="D194" i="55"/>
  <c r="C194" i="55"/>
  <c r="D193" i="55"/>
  <c r="C193" i="55"/>
  <c r="D192" i="55"/>
  <c r="C192" i="55"/>
  <c r="D191" i="55"/>
  <c r="C191" i="55"/>
  <c r="D190" i="55"/>
  <c r="C190" i="55"/>
  <c r="D189" i="55"/>
  <c r="C189" i="55"/>
  <c r="D188" i="55"/>
  <c r="C188" i="55"/>
  <c r="D187" i="55"/>
  <c r="C187" i="55"/>
  <c r="D186" i="55"/>
  <c r="C186" i="55"/>
  <c r="D185" i="55"/>
  <c r="C185" i="55"/>
  <c r="D184" i="55"/>
  <c r="C184" i="55"/>
  <c r="D183" i="55"/>
  <c r="C183" i="55"/>
  <c r="D182" i="55"/>
  <c r="C182" i="55"/>
  <c r="D181" i="55"/>
  <c r="C181" i="55"/>
  <c r="D180" i="55"/>
  <c r="C180" i="55"/>
  <c r="D179" i="55"/>
  <c r="C179" i="55"/>
  <c r="D178" i="55"/>
  <c r="C178" i="55"/>
  <c r="D177" i="55"/>
  <c r="C177" i="55"/>
  <c r="D176" i="55"/>
  <c r="C176" i="55"/>
  <c r="D175" i="55"/>
  <c r="C175" i="55"/>
  <c r="D174" i="55"/>
  <c r="C174" i="55"/>
  <c r="D173" i="55"/>
  <c r="C173" i="55"/>
  <c r="D172" i="55"/>
  <c r="C172" i="55"/>
  <c r="D171" i="55"/>
  <c r="C171" i="55"/>
  <c r="D170" i="55"/>
  <c r="C170" i="55"/>
  <c r="D169" i="55"/>
  <c r="C169" i="55"/>
  <c r="D168" i="55"/>
  <c r="C168" i="55"/>
  <c r="D167" i="55"/>
  <c r="C167" i="55"/>
  <c r="D166" i="55"/>
  <c r="C166" i="55"/>
  <c r="D165" i="55"/>
  <c r="C165" i="55"/>
  <c r="D164" i="55"/>
  <c r="C164" i="55"/>
  <c r="D160" i="55"/>
  <c r="C160" i="55"/>
  <c r="D159" i="55"/>
  <c r="C159" i="55"/>
  <c r="D158" i="55"/>
  <c r="C158" i="55"/>
  <c r="D157" i="55"/>
  <c r="C157" i="55"/>
  <c r="D156" i="55"/>
  <c r="C156" i="55"/>
  <c r="D155" i="55"/>
  <c r="C155" i="55"/>
  <c r="D153" i="55"/>
  <c r="C153" i="55"/>
  <c r="D152" i="55"/>
  <c r="C152" i="55"/>
  <c r="D151" i="55"/>
  <c r="C151" i="55"/>
  <c r="D150" i="55"/>
  <c r="C150" i="55"/>
  <c r="D149" i="55"/>
  <c r="C149" i="55"/>
  <c r="D148" i="55"/>
  <c r="C148" i="55"/>
  <c r="D147" i="55"/>
  <c r="C147" i="55"/>
  <c r="D146" i="55"/>
  <c r="C146" i="55"/>
  <c r="D145" i="55"/>
  <c r="C145" i="55"/>
  <c r="D143" i="55"/>
  <c r="C143" i="55"/>
  <c r="D142" i="55"/>
  <c r="C142" i="55"/>
  <c r="D141" i="55"/>
  <c r="C141" i="55"/>
  <c r="D140" i="55"/>
  <c r="C140" i="55"/>
  <c r="D138" i="55"/>
  <c r="C138" i="55"/>
  <c r="D137" i="55"/>
  <c r="C137" i="55"/>
  <c r="D136" i="55"/>
  <c r="C136" i="55"/>
  <c r="D135" i="55"/>
  <c r="C135" i="55"/>
  <c r="D133" i="55"/>
  <c r="C133" i="55"/>
  <c r="D132" i="55"/>
  <c r="C132" i="55"/>
  <c r="D131" i="55"/>
  <c r="C131" i="55"/>
  <c r="D130" i="55"/>
  <c r="C130" i="55"/>
  <c r="D129" i="55"/>
  <c r="C129" i="55"/>
  <c r="D127" i="55"/>
  <c r="C127" i="55"/>
  <c r="D126" i="55"/>
  <c r="C126" i="55"/>
  <c r="D125" i="55"/>
  <c r="C125" i="55"/>
  <c r="D124" i="55"/>
  <c r="C124" i="55"/>
  <c r="D123" i="55"/>
  <c r="C123" i="55"/>
  <c r="D118" i="55"/>
  <c r="C118" i="55"/>
  <c r="D117" i="55"/>
  <c r="C117" i="55"/>
  <c r="D116" i="55"/>
  <c r="C116" i="55"/>
  <c r="D115" i="55"/>
  <c r="C115" i="55"/>
  <c r="D114" i="55"/>
  <c r="C114" i="55"/>
  <c r="D110" i="55"/>
  <c r="C110" i="55"/>
  <c r="D109" i="55"/>
  <c r="C109" i="55"/>
  <c r="D108" i="55"/>
  <c r="C108" i="55"/>
  <c r="D107" i="55"/>
  <c r="C107" i="55"/>
  <c r="D106" i="55"/>
  <c r="C106" i="55"/>
  <c r="D105" i="55"/>
  <c r="C105" i="55"/>
  <c r="D101" i="55"/>
  <c r="C101" i="55"/>
  <c r="D100" i="55"/>
  <c r="C100" i="55"/>
  <c r="D99" i="55"/>
  <c r="C99" i="55"/>
  <c r="D98" i="55"/>
  <c r="C98" i="55"/>
  <c r="D97" i="55"/>
  <c r="C97" i="55"/>
  <c r="D96" i="55"/>
  <c r="C96" i="55"/>
  <c r="D92" i="55"/>
  <c r="C92" i="55"/>
  <c r="D91" i="55"/>
  <c r="C91" i="55"/>
  <c r="D90" i="55"/>
  <c r="C90" i="55"/>
  <c r="D89" i="55"/>
  <c r="C89" i="55"/>
  <c r="D88" i="55"/>
  <c r="C88" i="55"/>
  <c r="D87" i="55"/>
  <c r="C87" i="55"/>
  <c r="D86" i="55"/>
  <c r="C86" i="55"/>
  <c r="D85" i="55"/>
  <c r="C85" i="55"/>
  <c r="D84" i="55"/>
  <c r="C84" i="55"/>
  <c r="D83" i="55"/>
  <c r="C83" i="55"/>
  <c r="D82" i="55"/>
  <c r="C82" i="55"/>
  <c r="D78" i="55"/>
  <c r="C78" i="55"/>
  <c r="D77" i="55"/>
  <c r="C77" i="55"/>
  <c r="D76" i="55"/>
  <c r="C76" i="55"/>
  <c r="D75" i="55"/>
  <c r="C75" i="55"/>
  <c r="D74" i="55"/>
  <c r="C74" i="55"/>
  <c r="D73" i="55"/>
  <c r="C73" i="55"/>
  <c r="D72" i="55"/>
  <c r="C72" i="55"/>
  <c r="D71" i="55"/>
  <c r="C71" i="55"/>
  <c r="D70" i="55"/>
  <c r="C70" i="55"/>
  <c r="D69" i="55"/>
  <c r="C69" i="55"/>
  <c r="D68" i="55"/>
  <c r="C68" i="55"/>
  <c r="D67" i="55"/>
  <c r="C67" i="55"/>
  <c r="D66" i="55"/>
  <c r="C66" i="55"/>
  <c r="D65" i="55"/>
  <c r="C65" i="55"/>
  <c r="D64" i="55"/>
  <c r="C64" i="55"/>
  <c r="D60" i="55"/>
  <c r="C60" i="55"/>
  <c r="D59" i="55"/>
  <c r="C59" i="55"/>
  <c r="D58" i="55"/>
  <c r="C58" i="55"/>
  <c r="D57" i="55"/>
  <c r="C57" i="55"/>
  <c r="D56" i="55"/>
  <c r="C56" i="55"/>
  <c r="D55" i="55"/>
  <c r="C55" i="55"/>
  <c r="D54" i="55"/>
  <c r="C54" i="55"/>
  <c r="D53" i="55"/>
  <c r="C53" i="55"/>
  <c r="D52" i="55"/>
  <c r="C52" i="55"/>
  <c r="D51" i="55"/>
  <c r="C51" i="55"/>
  <c r="D50" i="55"/>
  <c r="C50" i="55"/>
  <c r="D49" i="55"/>
  <c r="C49" i="55"/>
  <c r="D48" i="55"/>
  <c r="C48" i="55"/>
  <c r="D47" i="55"/>
  <c r="C47" i="55"/>
  <c r="D46" i="55"/>
  <c r="C46" i="55"/>
  <c r="D45" i="55"/>
  <c r="C45" i="55"/>
  <c r="D44" i="55"/>
  <c r="C44" i="55"/>
  <c r="D43" i="55"/>
  <c r="C43" i="55"/>
  <c r="D42" i="55"/>
  <c r="C42" i="55"/>
  <c r="D41" i="55"/>
  <c r="C41" i="55"/>
  <c r="D40" i="55"/>
  <c r="C40" i="55"/>
  <c r="D39" i="55"/>
  <c r="C39" i="55"/>
  <c r="D38" i="55"/>
  <c r="C38" i="55"/>
  <c r="D37" i="55"/>
  <c r="C37" i="55"/>
  <c r="D36" i="55"/>
  <c r="C36" i="55"/>
  <c r="D35" i="55"/>
  <c r="C35" i="55"/>
  <c r="D34" i="55"/>
  <c r="C34" i="55"/>
  <c r="D33" i="55"/>
  <c r="C33" i="55"/>
  <c r="D32" i="55"/>
  <c r="C32" i="55"/>
  <c r="D31" i="55"/>
  <c r="C31" i="55"/>
  <c r="D30" i="55"/>
  <c r="C30" i="55"/>
  <c r="D29" i="55"/>
  <c r="C29" i="55"/>
  <c r="D28" i="55"/>
  <c r="C28" i="55"/>
  <c r="D27" i="55"/>
  <c r="C27" i="55"/>
  <c r="D26" i="55"/>
  <c r="C26" i="55"/>
  <c r="D25" i="55"/>
  <c r="C25" i="55"/>
  <c r="D20" i="55"/>
  <c r="C20" i="55"/>
  <c r="D19" i="55"/>
  <c r="C19" i="55"/>
  <c r="D18" i="55"/>
  <c r="C18" i="55"/>
  <c r="D17" i="55"/>
  <c r="C17" i="55"/>
  <c r="D16" i="55"/>
  <c r="C16" i="55"/>
  <c r="D15" i="55"/>
  <c r="C15" i="55"/>
  <c r="D14" i="55"/>
  <c r="C14" i="55"/>
  <c r="D13" i="55"/>
  <c r="C13" i="55"/>
  <c r="D12" i="55"/>
  <c r="C12" i="55"/>
  <c r="D11" i="55"/>
  <c r="C11" i="55"/>
  <c r="C206" i="55"/>
  <c r="C161" i="55"/>
  <c r="D79" i="55"/>
  <c r="D111" i="55"/>
  <c r="D197" i="55"/>
  <c r="D21" i="55"/>
  <c r="D102" i="55"/>
  <c r="D119" i="55"/>
  <c r="C93" i="55"/>
  <c r="D93" i="55"/>
  <c r="D161" i="55"/>
  <c r="D206" i="55"/>
  <c r="C228" i="55"/>
  <c r="C21" i="55"/>
  <c r="C79" i="55"/>
  <c r="C102" i="55"/>
  <c r="C111" i="55"/>
  <c r="C119" i="55"/>
  <c r="C197" i="55"/>
  <c r="C61" i="55"/>
  <c r="D61" i="55"/>
  <c r="C208" i="55"/>
  <c r="C212" i="55"/>
  <c r="D208" i="55"/>
  <c r="D215" i="55"/>
  <c r="C215" i="55"/>
  <c r="F160" i="111"/>
  <c r="C238" i="113"/>
  <c r="C237" i="113"/>
  <c r="C236" i="113"/>
  <c r="C235" i="113"/>
  <c r="C232" i="113"/>
  <c r="C231" i="113"/>
  <c r="D228" i="113"/>
  <c r="C227" i="113"/>
  <c r="C226" i="113"/>
  <c r="C225" i="113"/>
  <c r="C224" i="113"/>
  <c r="C223" i="113"/>
  <c r="C222" i="113"/>
  <c r="C221" i="113"/>
  <c r="C220" i="113"/>
  <c r="C219" i="113"/>
  <c r="C211" i="113"/>
  <c r="D205" i="113"/>
  <c r="C205" i="113"/>
  <c r="D204" i="113"/>
  <c r="C204" i="113"/>
  <c r="D203" i="113"/>
  <c r="C203" i="113"/>
  <c r="D202" i="113"/>
  <c r="C202" i="113"/>
  <c r="D201" i="113"/>
  <c r="C201" i="113"/>
  <c r="D200" i="113"/>
  <c r="C200" i="113"/>
  <c r="D196" i="113"/>
  <c r="C196" i="113"/>
  <c r="D195" i="113"/>
  <c r="C195" i="113"/>
  <c r="D194" i="113"/>
  <c r="C194" i="113"/>
  <c r="D193" i="113"/>
  <c r="C193" i="113"/>
  <c r="D192" i="113"/>
  <c r="C192" i="113"/>
  <c r="D191" i="113"/>
  <c r="C191" i="113"/>
  <c r="D190" i="113"/>
  <c r="C190" i="113"/>
  <c r="D189" i="113"/>
  <c r="C189" i="113"/>
  <c r="D188" i="113"/>
  <c r="C188" i="113"/>
  <c r="D187" i="113"/>
  <c r="C187" i="113"/>
  <c r="D186" i="113"/>
  <c r="C186" i="113"/>
  <c r="D185" i="113"/>
  <c r="C185" i="113"/>
  <c r="D184" i="113"/>
  <c r="C184" i="113"/>
  <c r="D183" i="113"/>
  <c r="C183" i="113"/>
  <c r="D182" i="113"/>
  <c r="C182" i="113"/>
  <c r="D181" i="113"/>
  <c r="C181" i="113"/>
  <c r="D180" i="113"/>
  <c r="C180" i="113"/>
  <c r="D179" i="113"/>
  <c r="C179" i="113"/>
  <c r="D178" i="113"/>
  <c r="C178" i="113"/>
  <c r="D177" i="113"/>
  <c r="C177" i="113"/>
  <c r="D176" i="113"/>
  <c r="C176" i="113"/>
  <c r="D175" i="113"/>
  <c r="C175" i="113"/>
  <c r="D174" i="113"/>
  <c r="C174" i="113"/>
  <c r="D173" i="113"/>
  <c r="C173" i="113"/>
  <c r="D172" i="113"/>
  <c r="C172" i="113"/>
  <c r="D171" i="113"/>
  <c r="C171" i="113"/>
  <c r="D170" i="113"/>
  <c r="C170" i="113"/>
  <c r="D169" i="113"/>
  <c r="C169" i="113"/>
  <c r="D168" i="113"/>
  <c r="C168" i="113"/>
  <c r="D167" i="113"/>
  <c r="C167" i="113"/>
  <c r="D166" i="113"/>
  <c r="C166" i="113"/>
  <c r="D165" i="113"/>
  <c r="C165" i="113"/>
  <c r="D164" i="113"/>
  <c r="C164" i="113"/>
  <c r="D160" i="113"/>
  <c r="C160" i="113"/>
  <c r="D159" i="113"/>
  <c r="C159" i="113"/>
  <c r="D158" i="113"/>
  <c r="C158" i="113"/>
  <c r="D157" i="113"/>
  <c r="C157" i="113"/>
  <c r="D156" i="113"/>
  <c r="C156" i="113"/>
  <c r="D155" i="113"/>
  <c r="C155" i="113"/>
  <c r="D153" i="113"/>
  <c r="C153" i="113"/>
  <c r="D152" i="113"/>
  <c r="C152" i="113"/>
  <c r="D151" i="113"/>
  <c r="C151" i="113"/>
  <c r="D150" i="113"/>
  <c r="C150" i="113"/>
  <c r="D149" i="113"/>
  <c r="C149" i="113"/>
  <c r="D148" i="113"/>
  <c r="C148" i="113"/>
  <c r="D147" i="113"/>
  <c r="C147" i="113"/>
  <c r="D146" i="113"/>
  <c r="C146" i="113"/>
  <c r="D145" i="113"/>
  <c r="C145" i="113"/>
  <c r="D143" i="113"/>
  <c r="C143" i="113"/>
  <c r="D142" i="113"/>
  <c r="C142" i="113"/>
  <c r="D141" i="113"/>
  <c r="C141" i="113"/>
  <c r="D140" i="113"/>
  <c r="C140" i="113"/>
  <c r="D138" i="113"/>
  <c r="C138" i="113"/>
  <c r="D137" i="113"/>
  <c r="C137" i="113"/>
  <c r="D136" i="113"/>
  <c r="C136" i="113"/>
  <c r="D135" i="113"/>
  <c r="C135" i="113"/>
  <c r="D133" i="113"/>
  <c r="C133" i="113"/>
  <c r="D132" i="113"/>
  <c r="C132" i="113"/>
  <c r="D131" i="113"/>
  <c r="C131" i="113"/>
  <c r="D130" i="113"/>
  <c r="C130" i="113"/>
  <c r="D129" i="113"/>
  <c r="C129" i="113"/>
  <c r="D127" i="113"/>
  <c r="C127" i="113"/>
  <c r="D126" i="113"/>
  <c r="C126" i="113"/>
  <c r="D125" i="113"/>
  <c r="C125" i="113"/>
  <c r="D124" i="113"/>
  <c r="C124" i="113"/>
  <c r="C123" i="113"/>
  <c r="C161" i="113"/>
  <c r="D123" i="113"/>
  <c r="D118" i="113"/>
  <c r="C118" i="113"/>
  <c r="D117" i="113"/>
  <c r="C117" i="113"/>
  <c r="D116" i="113"/>
  <c r="C116" i="113"/>
  <c r="D115" i="113"/>
  <c r="C115" i="113"/>
  <c r="D114" i="113"/>
  <c r="C114" i="113"/>
  <c r="D110" i="113"/>
  <c r="C110" i="113"/>
  <c r="D109" i="113"/>
  <c r="C109" i="113"/>
  <c r="D108" i="113"/>
  <c r="C108" i="113"/>
  <c r="D107" i="113"/>
  <c r="C107" i="113"/>
  <c r="D106" i="113"/>
  <c r="C106" i="113"/>
  <c r="D105" i="113"/>
  <c r="C105" i="113"/>
  <c r="C111" i="113"/>
  <c r="D101" i="113"/>
  <c r="C101" i="113"/>
  <c r="D100" i="113"/>
  <c r="C100" i="113"/>
  <c r="D99" i="113"/>
  <c r="C99" i="113"/>
  <c r="D98" i="113"/>
  <c r="C98" i="113"/>
  <c r="D97" i="113"/>
  <c r="C97" i="113"/>
  <c r="D96" i="113"/>
  <c r="C96" i="113"/>
  <c r="D92" i="113"/>
  <c r="C92" i="113"/>
  <c r="D91" i="113"/>
  <c r="C91" i="113"/>
  <c r="D90" i="113"/>
  <c r="C90" i="113"/>
  <c r="D89" i="113"/>
  <c r="C89" i="113"/>
  <c r="D88" i="113"/>
  <c r="C88" i="113"/>
  <c r="D87" i="113"/>
  <c r="C87" i="113"/>
  <c r="D86" i="113"/>
  <c r="C86" i="113"/>
  <c r="D85" i="113"/>
  <c r="C85" i="113"/>
  <c r="D84" i="113"/>
  <c r="C84" i="113"/>
  <c r="D83" i="113"/>
  <c r="C83" i="113"/>
  <c r="D82" i="113"/>
  <c r="C82" i="113"/>
  <c r="D78" i="113"/>
  <c r="C78" i="113"/>
  <c r="D77" i="113"/>
  <c r="C77" i="113"/>
  <c r="D76" i="113"/>
  <c r="C76" i="113"/>
  <c r="D75" i="113"/>
  <c r="C75" i="113"/>
  <c r="D74" i="113"/>
  <c r="C74" i="113"/>
  <c r="D73" i="113"/>
  <c r="C73" i="113"/>
  <c r="D72" i="113"/>
  <c r="C72" i="113"/>
  <c r="D71" i="113"/>
  <c r="C71" i="113"/>
  <c r="D70" i="113"/>
  <c r="C70" i="113"/>
  <c r="D69" i="113"/>
  <c r="C69" i="113"/>
  <c r="D68" i="113"/>
  <c r="C68" i="113"/>
  <c r="D67" i="113"/>
  <c r="C67" i="113"/>
  <c r="D66" i="113"/>
  <c r="C66" i="113"/>
  <c r="D65" i="113"/>
  <c r="C65" i="113"/>
  <c r="D64" i="113"/>
  <c r="C64" i="113"/>
  <c r="D60" i="113"/>
  <c r="C60" i="113"/>
  <c r="D59" i="113"/>
  <c r="C59" i="113"/>
  <c r="D58" i="113"/>
  <c r="C58" i="113"/>
  <c r="D57" i="113"/>
  <c r="C57" i="113"/>
  <c r="D56" i="113"/>
  <c r="C56" i="113"/>
  <c r="D55" i="113"/>
  <c r="C55" i="113"/>
  <c r="D54" i="113"/>
  <c r="C54" i="113"/>
  <c r="D53" i="113"/>
  <c r="C53" i="113"/>
  <c r="D52" i="113"/>
  <c r="C52" i="113"/>
  <c r="D51" i="113"/>
  <c r="C51" i="113"/>
  <c r="D50" i="113"/>
  <c r="C50" i="113"/>
  <c r="D49" i="113"/>
  <c r="C49" i="113"/>
  <c r="D48" i="113"/>
  <c r="C48" i="113"/>
  <c r="D47" i="113"/>
  <c r="C47" i="113"/>
  <c r="D46" i="113"/>
  <c r="C46" i="113"/>
  <c r="D45" i="113"/>
  <c r="C45" i="113"/>
  <c r="D44" i="113"/>
  <c r="C44" i="113"/>
  <c r="D43" i="113"/>
  <c r="C43" i="113"/>
  <c r="D42" i="113"/>
  <c r="C42" i="113"/>
  <c r="D41" i="113"/>
  <c r="C41" i="113"/>
  <c r="D40" i="113"/>
  <c r="C40" i="113"/>
  <c r="D39" i="113"/>
  <c r="C39" i="113"/>
  <c r="D38" i="113"/>
  <c r="C38" i="113"/>
  <c r="D37" i="113"/>
  <c r="C37" i="113"/>
  <c r="D36" i="113"/>
  <c r="C36" i="113"/>
  <c r="D35" i="113"/>
  <c r="C35" i="113"/>
  <c r="D34" i="113"/>
  <c r="C34" i="113"/>
  <c r="D33" i="113"/>
  <c r="C33" i="113"/>
  <c r="D32" i="113"/>
  <c r="C32" i="113"/>
  <c r="D31" i="113"/>
  <c r="C31" i="113"/>
  <c r="D30" i="113"/>
  <c r="C30" i="113"/>
  <c r="D29" i="113"/>
  <c r="C29" i="113"/>
  <c r="D28" i="113"/>
  <c r="C28" i="113"/>
  <c r="D27" i="113"/>
  <c r="C27" i="113"/>
  <c r="D26" i="113"/>
  <c r="C26" i="113"/>
  <c r="D25" i="113"/>
  <c r="C25" i="113"/>
  <c r="D20" i="113"/>
  <c r="C20" i="113"/>
  <c r="D19" i="113"/>
  <c r="C19" i="113"/>
  <c r="D18" i="113"/>
  <c r="C18" i="113"/>
  <c r="D17" i="113"/>
  <c r="C17" i="113"/>
  <c r="D16" i="113"/>
  <c r="C16" i="113"/>
  <c r="D15" i="113"/>
  <c r="C15" i="113"/>
  <c r="D14" i="113"/>
  <c r="C14" i="113"/>
  <c r="D13" i="113"/>
  <c r="C13" i="113"/>
  <c r="D12" i="113"/>
  <c r="C12" i="113"/>
  <c r="D11" i="113"/>
  <c r="C11" i="113"/>
  <c r="D21" i="113"/>
  <c r="D102" i="113"/>
  <c r="D93" i="113"/>
  <c r="D111" i="113"/>
  <c r="D161" i="113"/>
  <c r="C79" i="113"/>
  <c r="C197" i="113"/>
  <c r="C206" i="113"/>
  <c r="C93" i="113"/>
  <c r="D79" i="113"/>
  <c r="D197" i="113"/>
  <c r="D206" i="113"/>
  <c r="C21" i="113"/>
  <c r="C102" i="113"/>
  <c r="C119" i="113"/>
  <c r="D119" i="113"/>
  <c r="C228" i="113"/>
  <c r="C61" i="113"/>
  <c r="D61" i="113"/>
  <c r="C208" i="113"/>
  <c r="C212" i="113"/>
  <c r="D208" i="113"/>
  <c r="D215" i="113"/>
  <c r="C215" i="113"/>
  <c r="C238" i="167"/>
  <c r="C237" i="167"/>
  <c r="C236" i="167"/>
  <c r="C235" i="167"/>
  <c r="C232" i="167"/>
  <c r="C231" i="167"/>
  <c r="D228" i="167"/>
  <c r="C227" i="167"/>
  <c r="C226" i="167"/>
  <c r="C225" i="167"/>
  <c r="C224" i="167"/>
  <c r="C223" i="167"/>
  <c r="C222" i="167"/>
  <c r="C221" i="167"/>
  <c r="C220" i="167"/>
  <c r="C219" i="167"/>
  <c r="C211" i="167"/>
  <c r="D205" i="167"/>
  <c r="C205" i="167"/>
  <c r="D204" i="167"/>
  <c r="C204" i="167"/>
  <c r="D203" i="167"/>
  <c r="C203" i="167"/>
  <c r="D202" i="167"/>
  <c r="C202" i="167"/>
  <c r="D201" i="167"/>
  <c r="C201" i="167"/>
  <c r="D200" i="167"/>
  <c r="C200" i="167"/>
  <c r="D196" i="167"/>
  <c r="C196" i="167"/>
  <c r="D195" i="167"/>
  <c r="C195" i="167"/>
  <c r="D194" i="167"/>
  <c r="C194" i="167"/>
  <c r="D193" i="167"/>
  <c r="C193" i="167"/>
  <c r="D192" i="167"/>
  <c r="C192" i="167"/>
  <c r="D191" i="167"/>
  <c r="C191" i="167"/>
  <c r="D190" i="167"/>
  <c r="C190" i="167"/>
  <c r="D189" i="167"/>
  <c r="C189" i="167"/>
  <c r="D188" i="167"/>
  <c r="C188" i="167"/>
  <c r="D187" i="167"/>
  <c r="C187" i="167"/>
  <c r="D186" i="167"/>
  <c r="C186" i="167"/>
  <c r="D185" i="167"/>
  <c r="C185" i="167"/>
  <c r="D184" i="167"/>
  <c r="C184" i="167"/>
  <c r="D183" i="167"/>
  <c r="C183" i="167"/>
  <c r="D182" i="167"/>
  <c r="C182" i="167"/>
  <c r="D181" i="167"/>
  <c r="C181" i="167"/>
  <c r="D180" i="167"/>
  <c r="C180" i="167"/>
  <c r="D179" i="167"/>
  <c r="C179" i="167"/>
  <c r="D178" i="167"/>
  <c r="C178" i="167"/>
  <c r="D177" i="167"/>
  <c r="C177" i="167"/>
  <c r="D176" i="167"/>
  <c r="C176" i="167"/>
  <c r="D175" i="167"/>
  <c r="C175" i="167"/>
  <c r="D174" i="167"/>
  <c r="C174" i="167"/>
  <c r="D173" i="167"/>
  <c r="C173" i="167"/>
  <c r="D172" i="167"/>
  <c r="C172" i="167"/>
  <c r="D171" i="167"/>
  <c r="C171" i="167"/>
  <c r="D170" i="167"/>
  <c r="C170" i="167"/>
  <c r="D169" i="167"/>
  <c r="C169" i="167"/>
  <c r="D168" i="167"/>
  <c r="C168" i="167"/>
  <c r="D167" i="167"/>
  <c r="C167" i="167"/>
  <c r="D166" i="167"/>
  <c r="C166" i="167"/>
  <c r="D165" i="167"/>
  <c r="C165" i="167"/>
  <c r="D164" i="167"/>
  <c r="C164" i="167"/>
  <c r="D160" i="167"/>
  <c r="C160" i="167"/>
  <c r="D159" i="167"/>
  <c r="C159" i="167"/>
  <c r="D158" i="167"/>
  <c r="C158" i="167"/>
  <c r="D157" i="167"/>
  <c r="C157" i="167"/>
  <c r="D156" i="167"/>
  <c r="C156" i="167"/>
  <c r="D155" i="167"/>
  <c r="C155" i="167"/>
  <c r="D153" i="167"/>
  <c r="C153" i="167"/>
  <c r="D152" i="167"/>
  <c r="C152" i="167"/>
  <c r="D151" i="167"/>
  <c r="C151" i="167"/>
  <c r="D150" i="167"/>
  <c r="C150" i="167"/>
  <c r="D149" i="167"/>
  <c r="C149" i="167"/>
  <c r="D148" i="167"/>
  <c r="C148" i="167"/>
  <c r="D147" i="167"/>
  <c r="C147" i="167"/>
  <c r="D146" i="167"/>
  <c r="C146" i="167"/>
  <c r="D145" i="167"/>
  <c r="C145" i="167"/>
  <c r="D143" i="167"/>
  <c r="C143" i="167"/>
  <c r="D142" i="167"/>
  <c r="C142" i="167"/>
  <c r="D141" i="167"/>
  <c r="C141" i="167"/>
  <c r="D140" i="167"/>
  <c r="C140" i="167"/>
  <c r="D138" i="167"/>
  <c r="C138" i="167"/>
  <c r="D137" i="167"/>
  <c r="C137" i="167"/>
  <c r="D136" i="167"/>
  <c r="C136" i="167"/>
  <c r="D135" i="167"/>
  <c r="C135" i="167"/>
  <c r="D133" i="167"/>
  <c r="C133" i="167"/>
  <c r="D132" i="167"/>
  <c r="C132" i="167"/>
  <c r="D131" i="167"/>
  <c r="C131" i="167"/>
  <c r="D130" i="167"/>
  <c r="C130" i="167"/>
  <c r="D129" i="167"/>
  <c r="C129" i="167"/>
  <c r="D127" i="167"/>
  <c r="C127" i="167"/>
  <c r="D126" i="167"/>
  <c r="C126" i="167"/>
  <c r="D125" i="167"/>
  <c r="C125" i="167"/>
  <c r="D124" i="167"/>
  <c r="C124" i="167"/>
  <c r="D123" i="167"/>
  <c r="C123" i="167"/>
  <c r="D118" i="167"/>
  <c r="C118" i="167"/>
  <c r="D117" i="167"/>
  <c r="C117" i="167"/>
  <c r="D116" i="167"/>
  <c r="C116" i="167"/>
  <c r="D115" i="167"/>
  <c r="C115" i="167"/>
  <c r="D114" i="167"/>
  <c r="C114" i="167"/>
  <c r="D110" i="167"/>
  <c r="C110" i="167"/>
  <c r="D109" i="167"/>
  <c r="C109" i="167"/>
  <c r="D108" i="167"/>
  <c r="C108" i="167"/>
  <c r="D107" i="167"/>
  <c r="C107" i="167"/>
  <c r="D106" i="167"/>
  <c r="C106" i="167"/>
  <c r="D105" i="167"/>
  <c r="C105" i="167"/>
  <c r="D101" i="167"/>
  <c r="C101" i="167"/>
  <c r="D100" i="167"/>
  <c r="C100" i="167"/>
  <c r="D99" i="167"/>
  <c r="C99" i="167"/>
  <c r="D98" i="167"/>
  <c r="C98" i="167"/>
  <c r="D97" i="167"/>
  <c r="C97" i="167"/>
  <c r="D96" i="167"/>
  <c r="C96" i="167"/>
  <c r="D92" i="167"/>
  <c r="C92" i="167"/>
  <c r="D91" i="167"/>
  <c r="C91" i="167"/>
  <c r="D90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D83" i="167"/>
  <c r="C83" i="167"/>
  <c r="D82" i="167"/>
  <c r="C82" i="167"/>
  <c r="D78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D67" i="167"/>
  <c r="C67" i="167"/>
  <c r="D66" i="167"/>
  <c r="C66" i="167"/>
  <c r="D65" i="167"/>
  <c r="C65" i="167"/>
  <c r="D64" i="167"/>
  <c r="C64" i="167"/>
  <c r="D60" i="167"/>
  <c r="C60" i="167"/>
  <c r="D59" i="167"/>
  <c r="C59" i="167"/>
  <c r="D58" i="167"/>
  <c r="C58" i="167"/>
  <c r="D57" i="167"/>
  <c r="C57" i="167"/>
  <c r="D56" i="167"/>
  <c r="C56" i="167"/>
  <c r="D55" i="167"/>
  <c r="C55" i="167"/>
  <c r="D54" i="167"/>
  <c r="C54" i="167"/>
  <c r="D53" i="167"/>
  <c r="C53" i="167"/>
  <c r="D52" i="167"/>
  <c r="C52" i="167"/>
  <c r="D51" i="167"/>
  <c r="C51" i="167"/>
  <c r="D50" i="167"/>
  <c r="C50" i="167"/>
  <c r="D49" i="167"/>
  <c r="C49" i="167"/>
  <c r="D48" i="167"/>
  <c r="C48" i="167"/>
  <c r="D47" i="167"/>
  <c r="C47" i="167"/>
  <c r="D46" i="167"/>
  <c r="C46" i="167"/>
  <c r="D45" i="167"/>
  <c r="C45" i="167"/>
  <c r="D44" i="167"/>
  <c r="C44" i="167"/>
  <c r="D43" i="167"/>
  <c r="C43" i="167"/>
  <c r="D42" i="167"/>
  <c r="C42" i="167"/>
  <c r="D41" i="167"/>
  <c r="C41" i="167"/>
  <c r="D40" i="167"/>
  <c r="C40" i="167"/>
  <c r="D39" i="167"/>
  <c r="C39" i="167"/>
  <c r="D38" i="167"/>
  <c r="C38" i="167"/>
  <c r="D37" i="167"/>
  <c r="C37" i="167"/>
  <c r="D36" i="167"/>
  <c r="C36" i="167"/>
  <c r="D35" i="167"/>
  <c r="C35" i="167"/>
  <c r="D34" i="167"/>
  <c r="C34" i="167"/>
  <c r="D33" i="167"/>
  <c r="C33" i="167"/>
  <c r="D32" i="167"/>
  <c r="C32" i="167"/>
  <c r="D31" i="167"/>
  <c r="C31" i="167"/>
  <c r="D30" i="167"/>
  <c r="C30" i="167"/>
  <c r="D29" i="167"/>
  <c r="C29" i="167"/>
  <c r="D28" i="167"/>
  <c r="C28" i="167"/>
  <c r="D27" i="167"/>
  <c r="C27" i="167"/>
  <c r="D26" i="167"/>
  <c r="C26" i="167"/>
  <c r="D25" i="167"/>
  <c r="C25" i="167"/>
  <c r="D20" i="167"/>
  <c r="C20" i="167"/>
  <c r="D19" i="167"/>
  <c r="C19" i="167"/>
  <c r="D18" i="167"/>
  <c r="C18" i="167"/>
  <c r="D17" i="167"/>
  <c r="C17" i="167"/>
  <c r="D16" i="167"/>
  <c r="C16" i="167"/>
  <c r="D15" i="167"/>
  <c r="C15" i="167"/>
  <c r="D14" i="167"/>
  <c r="C14" i="167"/>
  <c r="D13" i="167"/>
  <c r="C13" i="167"/>
  <c r="D12" i="167"/>
  <c r="C12" i="167"/>
  <c r="D11" i="167"/>
  <c r="C11" i="167"/>
  <c r="D79" i="167"/>
  <c r="D111" i="167"/>
  <c r="D197" i="167"/>
  <c r="C79" i="167"/>
  <c r="C111" i="167"/>
  <c r="C197" i="167"/>
  <c r="C206" i="167"/>
  <c r="D206" i="167"/>
  <c r="C21" i="167"/>
  <c r="C102" i="167"/>
  <c r="C119" i="167"/>
  <c r="D21" i="167"/>
  <c r="D102" i="167"/>
  <c r="D119" i="167"/>
  <c r="C93" i="167"/>
  <c r="C161" i="167"/>
  <c r="D93" i="167"/>
  <c r="D161" i="167"/>
  <c r="C228" i="167"/>
  <c r="C61" i="167"/>
  <c r="D61" i="167"/>
  <c r="D208" i="167"/>
  <c r="D215" i="167"/>
  <c r="C208" i="167"/>
  <c r="C212" i="167"/>
  <c r="C215" i="167"/>
  <c r="E205" i="84"/>
  <c r="F205" i="84"/>
  <c r="G205" i="84"/>
  <c r="F38" i="57"/>
  <c r="C238" i="19"/>
  <c r="C237" i="19"/>
  <c r="C236" i="19"/>
  <c r="C235" i="19"/>
  <c r="C232" i="19"/>
  <c r="C231" i="19"/>
  <c r="D228" i="19"/>
  <c r="C227" i="19"/>
  <c r="C226" i="19"/>
  <c r="C225" i="19"/>
  <c r="C224" i="19"/>
  <c r="C223" i="19"/>
  <c r="C222" i="19"/>
  <c r="C221" i="19"/>
  <c r="C220" i="19"/>
  <c r="C219" i="19"/>
  <c r="C211" i="19"/>
  <c r="D205" i="19"/>
  <c r="C205" i="19"/>
  <c r="D204" i="19"/>
  <c r="C204" i="19"/>
  <c r="D203" i="19"/>
  <c r="C203" i="19"/>
  <c r="D202" i="19"/>
  <c r="C202" i="19"/>
  <c r="D201" i="19"/>
  <c r="C201" i="19"/>
  <c r="D200" i="19"/>
  <c r="C200" i="19"/>
  <c r="D196" i="19"/>
  <c r="C196" i="19"/>
  <c r="D195" i="19"/>
  <c r="C195" i="19"/>
  <c r="D194" i="19"/>
  <c r="C194" i="19"/>
  <c r="D193" i="19"/>
  <c r="C193" i="19"/>
  <c r="D192" i="19"/>
  <c r="C192" i="19"/>
  <c r="D191" i="19"/>
  <c r="C191" i="19"/>
  <c r="D190" i="19"/>
  <c r="C190" i="19"/>
  <c r="D189" i="19"/>
  <c r="C189" i="19"/>
  <c r="D188" i="19"/>
  <c r="C188" i="19"/>
  <c r="D187" i="19"/>
  <c r="C187" i="19"/>
  <c r="D186" i="19"/>
  <c r="C186" i="19"/>
  <c r="D185" i="19"/>
  <c r="C185" i="19"/>
  <c r="D184" i="19"/>
  <c r="C184" i="19"/>
  <c r="D183" i="19"/>
  <c r="C183" i="19"/>
  <c r="D182" i="19"/>
  <c r="C182" i="19"/>
  <c r="D181" i="19"/>
  <c r="C181" i="19"/>
  <c r="D180" i="19"/>
  <c r="C180" i="19"/>
  <c r="D179" i="19"/>
  <c r="C179" i="19"/>
  <c r="D178" i="19"/>
  <c r="C178" i="19"/>
  <c r="D177" i="19"/>
  <c r="C177" i="19"/>
  <c r="D176" i="19"/>
  <c r="C176" i="19"/>
  <c r="D175" i="19"/>
  <c r="C175" i="19"/>
  <c r="D174" i="19"/>
  <c r="C174" i="19"/>
  <c r="D173" i="19"/>
  <c r="C173" i="19"/>
  <c r="D172" i="19"/>
  <c r="C172" i="19"/>
  <c r="D171" i="19"/>
  <c r="C171" i="19"/>
  <c r="D170" i="19"/>
  <c r="C170" i="19"/>
  <c r="D169" i="19"/>
  <c r="C169" i="19"/>
  <c r="D168" i="19"/>
  <c r="C168" i="19"/>
  <c r="D167" i="19"/>
  <c r="C167" i="19"/>
  <c r="D166" i="19"/>
  <c r="C166" i="19"/>
  <c r="D165" i="19"/>
  <c r="C165" i="19"/>
  <c r="D164" i="19"/>
  <c r="C164" i="19"/>
  <c r="D160" i="19"/>
  <c r="C160" i="19"/>
  <c r="D159" i="19"/>
  <c r="C159" i="19"/>
  <c r="D158" i="19"/>
  <c r="C158" i="19"/>
  <c r="D157" i="19"/>
  <c r="C157" i="19"/>
  <c r="D156" i="19"/>
  <c r="C156" i="19"/>
  <c r="D155" i="19"/>
  <c r="C155" i="19"/>
  <c r="D153" i="19"/>
  <c r="C153" i="19"/>
  <c r="D152" i="19"/>
  <c r="C152" i="19"/>
  <c r="D151" i="19"/>
  <c r="C151" i="19"/>
  <c r="D150" i="19"/>
  <c r="C150" i="19"/>
  <c r="D149" i="19"/>
  <c r="C149" i="19"/>
  <c r="D148" i="19"/>
  <c r="C148" i="19"/>
  <c r="D147" i="19"/>
  <c r="C147" i="19"/>
  <c r="D146" i="19"/>
  <c r="C146" i="19"/>
  <c r="D145" i="19"/>
  <c r="C145" i="19"/>
  <c r="D143" i="19"/>
  <c r="C143" i="19"/>
  <c r="D142" i="19"/>
  <c r="C142" i="19"/>
  <c r="D141" i="19"/>
  <c r="C141" i="19"/>
  <c r="D140" i="19"/>
  <c r="C140" i="19"/>
  <c r="D138" i="19"/>
  <c r="C138" i="19"/>
  <c r="D137" i="19"/>
  <c r="C137" i="19"/>
  <c r="D136" i="19"/>
  <c r="C136" i="19"/>
  <c r="D135" i="19"/>
  <c r="C135" i="19"/>
  <c r="D133" i="19"/>
  <c r="C133" i="19"/>
  <c r="D132" i="19"/>
  <c r="C132" i="19"/>
  <c r="D131" i="19"/>
  <c r="C131" i="19"/>
  <c r="D130" i="19"/>
  <c r="C130" i="19"/>
  <c r="D129" i="19"/>
  <c r="C129" i="19"/>
  <c r="D127" i="19"/>
  <c r="C127" i="19"/>
  <c r="D126" i="19"/>
  <c r="C126" i="19"/>
  <c r="D125" i="19"/>
  <c r="C125" i="19"/>
  <c r="D124" i="19"/>
  <c r="C124" i="19"/>
  <c r="D123" i="19"/>
  <c r="C123" i="19"/>
  <c r="D118" i="19"/>
  <c r="C118" i="19"/>
  <c r="D117" i="19"/>
  <c r="C117" i="19"/>
  <c r="D116" i="19"/>
  <c r="C116" i="19"/>
  <c r="D115" i="19"/>
  <c r="C115" i="19"/>
  <c r="D114" i="19"/>
  <c r="C114" i="19"/>
  <c r="D110" i="19"/>
  <c r="C110" i="19"/>
  <c r="D109" i="19"/>
  <c r="C109" i="19"/>
  <c r="D108" i="19"/>
  <c r="C108" i="19"/>
  <c r="D107" i="19"/>
  <c r="C107" i="19"/>
  <c r="D106" i="19"/>
  <c r="C106" i="19"/>
  <c r="D105" i="19"/>
  <c r="C105" i="19"/>
  <c r="D101" i="19"/>
  <c r="C101" i="19"/>
  <c r="D100" i="19"/>
  <c r="C100" i="19"/>
  <c r="D99" i="19"/>
  <c r="C99" i="19"/>
  <c r="D98" i="19"/>
  <c r="C98" i="19"/>
  <c r="D97" i="19"/>
  <c r="C97" i="19"/>
  <c r="D96" i="19"/>
  <c r="C96" i="19"/>
  <c r="D92" i="19"/>
  <c r="C92" i="19"/>
  <c r="D91" i="19"/>
  <c r="C91" i="19"/>
  <c r="D90" i="19"/>
  <c r="C90" i="19"/>
  <c r="D89" i="19"/>
  <c r="C89" i="19"/>
  <c r="D88" i="19"/>
  <c r="C88" i="19"/>
  <c r="D87" i="19"/>
  <c r="C87" i="19"/>
  <c r="D86" i="19"/>
  <c r="C86" i="19"/>
  <c r="D85" i="19"/>
  <c r="C85" i="19"/>
  <c r="D84" i="19"/>
  <c r="C84" i="19"/>
  <c r="D83" i="19"/>
  <c r="C83" i="19"/>
  <c r="D82" i="19"/>
  <c r="C82" i="19"/>
  <c r="D78" i="19"/>
  <c r="C78" i="19"/>
  <c r="D77" i="19"/>
  <c r="C77" i="19"/>
  <c r="D76" i="19"/>
  <c r="C76" i="19"/>
  <c r="D75" i="19"/>
  <c r="C75" i="19"/>
  <c r="D74" i="19"/>
  <c r="C74" i="19"/>
  <c r="D73" i="19"/>
  <c r="C73" i="19"/>
  <c r="D72" i="19"/>
  <c r="C72" i="19"/>
  <c r="D71" i="19"/>
  <c r="C71" i="19"/>
  <c r="D70" i="19"/>
  <c r="C70" i="19"/>
  <c r="D69" i="19"/>
  <c r="C69" i="19"/>
  <c r="D68" i="19"/>
  <c r="C68" i="19"/>
  <c r="D67" i="19"/>
  <c r="C67" i="19"/>
  <c r="D66" i="19"/>
  <c r="C66" i="19"/>
  <c r="D65" i="19"/>
  <c r="C65" i="19"/>
  <c r="D64" i="19"/>
  <c r="C64" i="19"/>
  <c r="D60" i="19"/>
  <c r="C60" i="19"/>
  <c r="D59" i="19"/>
  <c r="C59" i="19"/>
  <c r="D58" i="19"/>
  <c r="C58" i="19"/>
  <c r="D57" i="19"/>
  <c r="C57" i="19"/>
  <c r="D56" i="19"/>
  <c r="C56" i="19"/>
  <c r="D55" i="19"/>
  <c r="C55" i="19"/>
  <c r="D54" i="19"/>
  <c r="C54" i="19"/>
  <c r="D53" i="19"/>
  <c r="C53" i="19"/>
  <c r="D52" i="19"/>
  <c r="C52" i="19"/>
  <c r="D51" i="19"/>
  <c r="C51" i="19"/>
  <c r="D50" i="19"/>
  <c r="C50" i="19"/>
  <c r="D49" i="19"/>
  <c r="C49" i="19"/>
  <c r="D48" i="19"/>
  <c r="C48" i="19"/>
  <c r="D47" i="19"/>
  <c r="C47" i="19"/>
  <c r="D46" i="19"/>
  <c r="C46" i="19"/>
  <c r="D45" i="19"/>
  <c r="C45" i="19"/>
  <c r="D44" i="19"/>
  <c r="C44" i="19"/>
  <c r="D43" i="19"/>
  <c r="C43" i="19"/>
  <c r="D42" i="19"/>
  <c r="C42" i="19"/>
  <c r="D41" i="19"/>
  <c r="C41" i="19"/>
  <c r="D40" i="19"/>
  <c r="C40" i="19"/>
  <c r="D39" i="19"/>
  <c r="C39" i="19"/>
  <c r="D38" i="19"/>
  <c r="C38" i="19"/>
  <c r="D37" i="19"/>
  <c r="C37" i="19"/>
  <c r="D36" i="19"/>
  <c r="C36" i="19"/>
  <c r="D35" i="19"/>
  <c r="C35" i="19"/>
  <c r="D34" i="19"/>
  <c r="C34" i="19"/>
  <c r="D33" i="19"/>
  <c r="C33" i="19"/>
  <c r="D32" i="19"/>
  <c r="C32" i="19"/>
  <c r="D31" i="19"/>
  <c r="C31" i="19"/>
  <c r="D30" i="19"/>
  <c r="C30" i="19"/>
  <c r="D29" i="19"/>
  <c r="C29" i="19"/>
  <c r="D28" i="19"/>
  <c r="C28" i="19"/>
  <c r="D27" i="19"/>
  <c r="C27" i="19"/>
  <c r="D26" i="19"/>
  <c r="C26" i="19"/>
  <c r="D25" i="19"/>
  <c r="C25" i="19"/>
  <c r="D20" i="19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C12" i="19"/>
  <c r="D11" i="19"/>
  <c r="C11" i="19"/>
  <c r="C61" i="19"/>
  <c r="C93" i="19"/>
  <c r="C111" i="19"/>
  <c r="C161" i="19"/>
  <c r="D197" i="19"/>
  <c r="D206" i="19"/>
  <c r="C21" i="19"/>
  <c r="C102" i="19"/>
  <c r="C119" i="19"/>
  <c r="D21" i="19"/>
  <c r="D93" i="19"/>
  <c r="D102" i="19"/>
  <c r="D111" i="19"/>
  <c r="C79" i="19"/>
  <c r="D161" i="19"/>
  <c r="D79" i="19"/>
  <c r="D119" i="19"/>
  <c r="C197" i="19"/>
  <c r="C206" i="19"/>
  <c r="C228" i="19"/>
  <c r="D61" i="19"/>
  <c r="C208" i="19"/>
  <c r="C212" i="19"/>
  <c r="D208" i="19"/>
  <c r="D215" i="19"/>
  <c r="C215" i="19"/>
  <c r="C238" i="102"/>
  <c r="C237" i="102"/>
  <c r="C236" i="102"/>
  <c r="C235" i="102"/>
  <c r="C233" i="102"/>
  <c r="C232" i="102"/>
  <c r="C231" i="102"/>
  <c r="D228" i="102"/>
  <c r="C227" i="102"/>
  <c r="C226" i="102"/>
  <c r="C225" i="102"/>
  <c r="C224" i="102"/>
  <c r="C223" i="102"/>
  <c r="C222" i="102"/>
  <c r="C221" i="102"/>
  <c r="C220" i="102"/>
  <c r="C219" i="102"/>
  <c r="C211" i="102"/>
  <c r="D205" i="102"/>
  <c r="C205" i="102"/>
  <c r="D204" i="102"/>
  <c r="C204" i="102"/>
  <c r="D203" i="102"/>
  <c r="C203" i="102"/>
  <c r="D202" i="102"/>
  <c r="C202" i="102"/>
  <c r="D201" i="102"/>
  <c r="C201" i="102"/>
  <c r="D200" i="102"/>
  <c r="C200" i="102"/>
  <c r="D196" i="102"/>
  <c r="C196" i="102"/>
  <c r="D195" i="102"/>
  <c r="C195" i="102"/>
  <c r="D194" i="102"/>
  <c r="C194" i="102"/>
  <c r="D193" i="102"/>
  <c r="C193" i="102"/>
  <c r="D192" i="102"/>
  <c r="C192" i="102"/>
  <c r="D191" i="102"/>
  <c r="C191" i="102"/>
  <c r="D190" i="102"/>
  <c r="C190" i="102"/>
  <c r="D189" i="102"/>
  <c r="C189" i="102"/>
  <c r="D188" i="102"/>
  <c r="C188" i="102"/>
  <c r="D187" i="102"/>
  <c r="C187" i="102"/>
  <c r="D186" i="102"/>
  <c r="C186" i="102"/>
  <c r="D185" i="102"/>
  <c r="C185" i="102"/>
  <c r="D184" i="102"/>
  <c r="C184" i="102"/>
  <c r="D183" i="102"/>
  <c r="C183" i="102"/>
  <c r="D182" i="102"/>
  <c r="C182" i="102"/>
  <c r="D181" i="102"/>
  <c r="C181" i="102"/>
  <c r="D180" i="102"/>
  <c r="C180" i="102"/>
  <c r="D179" i="102"/>
  <c r="C179" i="102"/>
  <c r="D178" i="102"/>
  <c r="C178" i="102"/>
  <c r="D177" i="102"/>
  <c r="C177" i="102"/>
  <c r="D176" i="102"/>
  <c r="C176" i="102"/>
  <c r="D175" i="102"/>
  <c r="C175" i="102"/>
  <c r="D174" i="102"/>
  <c r="C174" i="102"/>
  <c r="D173" i="102"/>
  <c r="C173" i="102"/>
  <c r="D172" i="102"/>
  <c r="C172" i="102"/>
  <c r="D171" i="102"/>
  <c r="C171" i="102"/>
  <c r="D170" i="102"/>
  <c r="C170" i="102"/>
  <c r="D169" i="102"/>
  <c r="C169" i="102"/>
  <c r="D168" i="102"/>
  <c r="C168" i="102"/>
  <c r="D167" i="102"/>
  <c r="C167" i="102"/>
  <c r="D166" i="102"/>
  <c r="C166" i="102"/>
  <c r="D165" i="102"/>
  <c r="C165" i="102"/>
  <c r="D164" i="102"/>
  <c r="C164" i="102"/>
  <c r="D160" i="102"/>
  <c r="C160" i="102"/>
  <c r="D159" i="102"/>
  <c r="C159" i="102"/>
  <c r="D158" i="102"/>
  <c r="C158" i="102"/>
  <c r="D157" i="102"/>
  <c r="C157" i="102"/>
  <c r="D156" i="102"/>
  <c r="C156" i="102"/>
  <c r="D155" i="102"/>
  <c r="C155" i="102"/>
  <c r="D153" i="102"/>
  <c r="C153" i="102"/>
  <c r="D152" i="102"/>
  <c r="C152" i="102"/>
  <c r="D151" i="102"/>
  <c r="C151" i="102"/>
  <c r="D150" i="102"/>
  <c r="C150" i="102"/>
  <c r="D149" i="102"/>
  <c r="C149" i="102"/>
  <c r="D148" i="102"/>
  <c r="C148" i="102"/>
  <c r="D147" i="102"/>
  <c r="C147" i="102"/>
  <c r="D146" i="102"/>
  <c r="C146" i="102"/>
  <c r="D145" i="102"/>
  <c r="C145" i="102"/>
  <c r="D143" i="102"/>
  <c r="C143" i="102"/>
  <c r="D142" i="102"/>
  <c r="C142" i="102"/>
  <c r="D141" i="102"/>
  <c r="C141" i="102"/>
  <c r="D140" i="102"/>
  <c r="C140" i="102"/>
  <c r="D138" i="102"/>
  <c r="C138" i="102"/>
  <c r="D137" i="102"/>
  <c r="C137" i="102"/>
  <c r="D136" i="102"/>
  <c r="C136" i="102"/>
  <c r="D135" i="102"/>
  <c r="C135" i="102"/>
  <c r="D133" i="102"/>
  <c r="C133" i="102"/>
  <c r="D132" i="102"/>
  <c r="C132" i="102"/>
  <c r="D131" i="102"/>
  <c r="C131" i="102"/>
  <c r="D130" i="102"/>
  <c r="C130" i="102"/>
  <c r="D129" i="102"/>
  <c r="C129" i="102"/>
  <c r="D127" i="102"/>
  <c r="C127" i="102"/>
  <c r="D126" i="102"/>
  <c r="C126" i="102"/>
  <c r="D125" i="102"/>
  <c r="C125" i="102"/>
  <c r="D124" i="102"/>
  <c r="C124" i="102"/>
  <c r="D123" i="102"/>
  <c r="C123" i="102"/>
  <c r="D118" i="102"/>
  <c r="C118" i="102"/>
  <c r="D117" i="102"/>
  <c r="C117" i="102"/>
  <c r="D116" i="102"/>
  <c r="C116" i="102"/>
  <c r="D115" i="102"/>
  <c r="C115" i="102"/>
  <c r="D114" i="102"/>
  <c r="C114" i="102"/>
  <c r="D110" i="102"/>
  <c r="C110" i="102"/>
  <c r="D109" i="102"/>
  <c r="C109" i="102"/>
  <c r="D108" i="102"/>
  <c r="C108" i="102"/>
  <c r="D107" i="102"/>
  <c r="C107" i="102"/>
  <c r="D106" i="102"/>
  <c r="C106" i="102"/>
  <c r="D105" i="102"/>
  <c r="C105" i="102"/>
  <c r="D101" i="102"/>
  <c r="C101" i="102"/>
  <c r="D100" i="102"/>
  <c r="C100" i="102"/>
  <c r="D99" i="102"/>
  <c r="C99" i="102"/>
  <c r="D98" i="102"/>
  <c r="C98" i="102"/>
  <c r="D97" i="102"/>
  <c r="C97" i="102"/>
  <c r="D96" i="102"/>
  <c r="C96" i="102"/>
  <c r="D92" i="102"/>
  <c r="C92" i="102"/>
  <c r="D91" i="102"/>
  <c r="C91" i="102"/>
  <c r="D90" i="102"/>
  <c r="C90" i="102"/>
  <c r="D89" i="102"/>
  <c r="C89" i="102"/>
  <c r="D88" i="102"/>
  <c r="C88" i="102"/>
  <c r="D87" i="102"/>
  <c r="C87" i="102"/>
  <c r="D86" i="102"/>
  <c r="C86" i="102"/>
  <c r="D85" i="102"/>
  <c r="C85" i="102"/>
  <c r="D84" i="102"/>
  <c r="C84" i="102"/>
  <c r="D83" i="102"/>
  <c r="C83" i="102"/>
  <c r="D82" i="102"/>
  <c r="C82" i="102"/>
  <c r="D78" i="102"/>
  <c r="C78" i="102"/>
  <c r="D77" i="102"/>
  <c r="C77" i="102"/>
  <c r="D76" i="102"/>
  <c r="C76" i="102"/>
  <c r="D75" i="102"/>
  <c r="C75" i="102"/>
  <c r="D74" i="102"/>
  <c r="C74" i="102"/>
  <c r="D73" i="102"/>
  <c r="C73" i="102"/>
  <c r="D72" i="102"/>
  <c r="C72" i="102"/>
  <c r="D71" i="102"/>
  <c r="C71" i="102"/>
  <c r="D70" i="102"/>
  <c r="C70" i="102"/>
  <c r="D69" i="102"/>
  <c r="C69" i="102"/>
  <c r="D68" i="102"/>
  <c r="C68" i="102"/>
  <c r="D67" i="102"/>
  <c r="C67" i="102"/>
  <c r="D66" i="102"/>
  <c r="C66" i="102"/>
  <c r="D65" i="102"/>
  <c r="C65" i="102"/>
  <c r="D64" i="102"/>
  <c r="C64" i="102"/>
  <c r="D60" i="102"/>
  <c r="C60" i="102"/>
  <c r="D59" i="102"/>
  <c r="C59" i="102"/>
  <c r="D58" i="102"/>
  <c r="C58" i="102"/>
  <c r="D57" i="102"/>
  <c r="C57" i="102"/>
  <c r="D56" i="102"/>
  <c r="C56" i="102"/>
  <c r="D55" i="102"/>
  <c r="C55" i="102"/>
  <c r="D54" i="102"/>
  <c r="C54" i="102"/>
  <c r="D53" i="102"/>
  <c r="C53" i="102"/>
  <c r="D52" i="102"/>
  <c r="C52" i="102"/>
  <c r="D51" i="102"/>
  <c r="C51" i="102"/>
  <c r="D50" i="102"/>
  <c r="C50" i="102"/>
  <c r="D49" i="102"/>
  <c r="C49" i="102"/>
  <c r="D48" i="102"/>
  <c r="C48" i="102"/>
  <c r="D47" i="102"/>
  <c r="C47" i="102"/>
  <c r="D46" i="102"/>
  <c r="C46" i="102"/>
  <c r="D45" i="102"/>
  <c r="C45" i="102"/>
  <c r="D44" i="102"/>
  <c r="C44" i="102"/>
  <c r="D43" i="102"/>
  <c r="C43" i="102"/>
  <c r="D42" i="102"/>
  <c r="C42" i="102"/>
  <c r="D41" i="102"/>
  <c r="C41" i="102"/>
  <c r="D40" i="102"/>
  <c r="C40" i="102"/>
  <c r="D39" i="102"/>
  <c r="C39" i="102"/>
  <c r="D38" i="102"/>
  <c r="C38" i="102"/>
  <c r="D37" i="102"/>
  <c r="C37" i="102"/>
  <c r="D36" i="102"/>
  <c r="C36" i="102"/>
  <c r="D35" i="102"/>
  <c r="C35" i="102"/>
  <c r="D34" i="102"/>
  <c r="C34" i="102"/>
  <c r="D33" i="102"/>
  <c r="C33" i="102"/>
  <c r="D32" i="102"/>
  <c r="C32" i="102"/>
  <c r="D31" i="102"/>
  <c r="C31" i="102"/>
  <c r="D30" i="102"/>
  <c r="C30" i="102"/>
  <c r="D29" i="102"/>
  <c r="C29" i="102"/>
  <c r="D28" i="102"/>
  <c r="C28" i="102"/>
  <c r="D27" i="102"/>
  <c r="C27" i="102"/>
  <c r="D26" i="102"/>
  <c r="C26" i="102"/>
  <c r="D25" i="102"/>
  <c r="C25" i="102"/>
  <c r="D20" i="102"/>
  <c r="C20" i="102"/>
  <c r="D19" i="102"/>
  <c r="C19" i="102"/>
  <c r="D18" i="102"/>
  <c r="C18" i="102"/>
  <c r="D17" i="102"/>
  <c r="C17" i="102"/>
  <c r="D16" i="102"/>
  <c r="C16" i="102"/>
  <c r="D15" i="102"/>
  <c r="C15" i="102"/>
  <c r="D14" i="102"/>
  <c r="C14" i="102"/>
  <c r="D13" i="102"/>
  <c r="C13" i="102"/>
  <c r="D12" i="102"/>
  <c r="C12" i="102"/>
  <c r="D11" i="102"/>
  <c r="C11" i="102"/>
  <c r="C21" i="102"/>
  <c r="C102" i="102"/>
  <c r="C93" i="102"/>
  <c r="C111" i="102"/>
  <c r="C161" i="102"/>
  <c r="C228" i="102"/>
  <c r="D21" i="102"/>
  <c r="D79" i="102"/>
  <c r="D102" i="102"/>
  <c r="D111" i="102"/>
  <c r="D119" i="102"/>
  <c r="D197" i="102"/>
  <c r="C79" i="102"/>
  <c r="C119" i="102"/>
  <c r="C197" i="102"/>
  <c r="C206" i="102"/>
  <c r="D93" i="102"/>
  <c r="D161" i="102"/>
  <c r="D206" i="102"/>
  <c r="C61" i="102"/>
  <c r="D61" i="102"/>
  <c r="C208" i="102"/>
  <c r="C212" i="102"/>
  <c r="D208" i="102"/>
  <c r="D215" i="102"/>
  <c r="C215" i="102"/>
  <c r="C238" i="85"/>
  <c r="C237" i="85"/>
  <c r="C236" i="85"/>
  <c r="C235" i="85"/>
  <c r="C232" i="85"/>
  <c r="C231" i="85"/>
  <c r="D228" i="85"/>
  <c r="C227" i="85"/>
  <c r="C226" i="85"/>
  <c r="C225" i="85"/>
  <c r="C224" i="85"/>
  <c r="C223" i="85"/>
  <c r="C222" i="85"/>
  <c r="C221" i="85"/>
  <c r="C220" i="85"/>
  <c r="C219" i="85"/>
  <c r="C211" i="85"/>
  <c r="D205" i="85"/>
  <c r="C205" i="85"/>
  <c r="D204" i="85"/>
  <c r="C204" i="85"/>
  <c r="D203" i="85"/>
  <c r="C203" i="85"/>
  <c r="D202" i="85"/>
  <c r="C202" i="85"/>
  <c r="D201" i="85"/>
  <c r="C201" i="85"/>
  <c r="D200" i="85"/>
  <c r="C200" i="85"/>
  <c r="D196" i="85"/>
  <c r="C196" i="85"/>
  <c r="D195" i="85"/>
  <c r="C195" i="85"/>
  <c r="D194" i="85"/>
  <c r="C194" i="85"/>
  <c r="D193" i="85"/>
  <c r="C193" i="85"/>
  <c r="D192" i="85"/>
  <c r="C192" i="85"/>
  <c r="D191" i="85"/>
  <c r="C191" i="85"/>
  <c r="D190" i="85"/>
  <c r="C190" i="85"/>
  <c r="D189" i="85"/>
  <c r="C189" i="85"/>
  <c r="D188" i="85"/>
  <c r="C188" i="85"/>
  <c r="D187" i="85"/>
  <c r="C187" i="85"/>
  <c r="D186" i="85"/>
  <c r="C186" i="85"/>
  <c r="D185" i="85"/>
  <c r="C185" i="85"/>
  <c r="D184" i="85"/>
  <c r="C184" i="85"/>
  <c r="D183" i="85"/>
  <c r="C183" i="85"/>
  <c r="D182" i="85"/>
  <c r="C182" i="85"/>
  <c r="D181" i="85"/>
  <c r="C181" i="85"/>
  <c r="D180" i="85"/>
  <c r="C180" i="85"/>
  <c r="D179" i="85"/>
  <c r="C179" i="85"/>
  <c r="D178" i="85"/>
  <c r="C178" i="85"/>
  <c r="D177" i="85"/>
  <c r="C177" i="85"/>
  <c r="D176" i="85"/>
  <c r="C176" i="85"/>
  <c r="D175" i="85"/>
  <c r="C175" i="85"/>
  <c r="D174" i="85"/>
  <c r="C174" i="85"/>
  <c r="D173" i="85"/>
  <c r="C173" i="85"/>
  <c r="D172" i="85"/>
  <c r="C172" i="85"/>
  <c r="D171" i="85"/>
  <c r="C171" i="85"/>
  <c r="D170" i="85"/>
  <c r="C170" i="85"/>
  <c r="D169" i="85"/>
  <c r="C169" i="85"/>
  <c r="D168" i="85"/>
  <c r="C168" i="85"/>
  <c r="D167" i="85"/>
  <c r="C167" i="85"/>
  <c r="D166" i="85"/>
  <c r="C166" i="85"/>
  <c r="D165" i="85"/>
  <c r="C165" i="85"/>
  <c r="D164" i="85"/>
  <c r="C164" i="85"/>
  <c r="D160" i="85"/>
  <c r="C160" i="85"/>
  <c r="D159" i="85"/>
  <c r="C159" i="85"/>
  <c r="D158" i="85"/>
  <c r="C158" i="85"/>
  <c r="D157" i="85"/>
  <c r="C157" i="85"/>
  <c r="D156" i="85"/>
  <c r="C156" i="85"/>
  <c r="D155" i="85"/>
  <c r="C155" i="85"/>
  <c r="D153" i="85"/>
  <c r="C153" i="85"/>
  <c r="D152" i="85"/>
  <c r="C152" i="85"/>
  <c r="D151" i="85"/>
  <c r="C151" i="85"/>
  <c r="D150" i="85"/>
  <c r="C150" i="85"/>
  <c r="D149" i="85"/>
  <c r="C149" i="85"/>
  <c r="D148" i="85"/>
  <c r="C148" i="85"/>
  <c r="D147" i="85"/>
  <c r="C147" i="85"/>
  <c r="D146" i="85"/>
  <c r="C146" i="85"/>
  <c r="D145" i="85"/>
  <c r="C145" i="85"/>
  <c r="D143" i="85"/>
  <c r="C143" i="85"/>
  <c r="D142" i="85"/>
  <c r="C142" i="85"/>
  <c r="D141" i="85"/>
  <c r="C141" i="85"/>
  <c r="D140" i="85"/>
  <c r="C140" i="85"/>
  <c r="D138" i="85"/>
  <c r="C138" i="85"/>
  <c r="D137" i="85"/>
  <c r="C137" i="85"/>
  <c r="D136" i="85"/>
  <c r="C136" i="85"/>
  <c r="D135" i="85"/>
  <c r="C135" i="85"/>
  <c r="D133" i="85"/>
  <c r="C133" i="85"/>
  <c r="D132" i="85"/>
  <c r="C132" i="85"/>
  <c r="D131" i="85"/>
  <c r="C131" i="85"/>
  <c r="D130" i="85"/>
  <c r="C130" i="85"/>
  <c r="D129" i="85"/>
  <c r="C129" i="85"/>
  <c r="D127" i="85"/>
  <c r="C127" i="85"/>
  <c r="D126" i="85"/>
  <c r="C126" i="85"/>
  <c r="D125" i="85"/>
  <c r="C125" i="85"/>
  <c r="D124" i="85"/>
  <c r="C124" i="85"/>
  <c r="D123" i="85"/>
  <c r="C123" i="85"/>
  <c r="D118" i="85"/>
  <c r="C118" i="85"/>
  <c r="D117" i="85"/>
  <c r="C117" i="85"/>
  <c r="D116" i="85"/>
  <c r="C116" i="85"/>
  <c r="D115" i="85"/>
  <c r="C115" i="85"/>
  <c r="D114" i="85"/>
  <c r="C114" i="85"/>
  <c r="D110" i="85"/>
  <c r="C110" i="85"/>
  <c r="D109" i="85"/>
  <c r="C109" i="85"/>
  <c r="D108" i="85"/>
  <c r="C108" i="85"/>
  <c r="D107" i="85"/>
  <c r="C107" i="85"/>
  <c r="D106" i="85"/>
  <c r="C106" i="85"/>
  <c r="D105" i="85"/>
  <c r="C105" i="85"/>
  <c r="D101" i="85"/>
  <c r="C101" i="85"/>
  <c r="D100" i="85"/>
  <c r="C100" i="85"/>
  <c r="D99" i="85"/>
  <c r="C99" i="85"/>
  <c r="D98" i="85"/>
  <c r="C98" i="85"/>
  <c r="D97" i="85"/>
  <c r="C97" i="85"/>
  <c r="D96" i="85"/>
  <c r="C96" i="85"/>
  <c r="D92" i="85"/>
  <c r="C92" i="85"/>
  <c r="D91" i="85"/>
  <c r="C91" i="85"/>
  <c r="D90" i="85"/>
  <c r="C90" i="85"/>
  <c r="D89" i="85"/>
  <c r="C89" i="85"/>
  <c r="D88" i="85"/>
  <c r="C88" i="85"/>
  <c r="D87" i="85"/>
  <c r="C87" i="85"/>
  <c r="D86" i="85"/>
  <c r="C86" i="85"/>
  <c r="D85" i="85"/>
  <c r="C85" i="85"/>
  <c r="D84" i="85"/>
  <c r="C84" i="85"/>
  <c r="D83" i="85"/>
  <c r="C83" i="85"/>
  <c r="D82" i="85"/>
  <c r="C82" i="85"/>
  <c r="D78" i="85"/>
  <c r="C78" i="85"/>
  <c r="D77" i="85"/>
  <c r="C77" i="85"/>
  <c r="D76" i="85"/>
  <c r="C76" i="85"/>
  <c r="D75" i="85"/>
  <c r="C75" i="85"/>
  <c r="D74" i="85"/>
  <c r="C74" i="85"/>
  <c r="D73" i="85"/>
  <c r="C73" i="85"/>
  <c r="D72" i="85"/>
  <c r="C72" i="85"/>
  <c r="D71" i="85"/>
  <c r="C71" i="85"/>
  <c r="D70" i="85"/>
  <c r="C70" i="85"/>
  <c r="D69" i="85"/>
  <c r="C69" i="85"/>
  <c r="D68" i="85"/>
  <c r="C68" i="85"/>
  <c r="D67" i="85"/>
  <c r="C67" i="85"/>
  <c r="D66" i="85"/>
  <c r="C66" i="85"/>
  <c r="D65" i="85"/>
  <c r="C65" i="85"/>
  <c r="D64" i="85"/>
  <c r="C64" i="85"/>
  <c r="D60" i="85"/>
  <c r="C60" i="85"/>
  <c r="D59" i="85"/>
  <c r="C59" i="85"/>
  <c r="D58" i="85"/>
  <c r="C58" i="85"/>
  <c r="D57" i="85"/>
  <c r="C57" i="85"/>
  <c r="D56" i="85"/>
  <c r="C56" i="85"/>
  <c r="D55" i="85"/>
  <c r="C55" i="85"/>
  <c r="D54" i="85"/>
  <c r="C54" i="85"/>
  <c r="D53" i="85"/>
  <c r="C53" i="85"/>
  <c r="D52" i="85"/>
  <c r="C52" i="85"/>
  <c r="D51" i="85"/>
  <c r="C51" i="85"/>
  <c r="D50" i="85"/>
  <c r="C50" i="85"/>
  <c r="D49" i="85"/>
  <c r="C49" i="85"/>
  <c r="D48" i="85"/>
  <c r="C48" i="85"/>
  <c r="D47" i="85"/>
  <c r="C47" i="85"/>
  <c r="D46" i="85"/>
  <c r="C46" i="85"/>
  <c r="D45" i="85"/>
  <c r="C45" i="85"/>
  <c r="D44" i="85"/>
  <c r="C44" i="85"/>
  <c r="D43" i="85"/>
  <c r="C43" i="85"/>
  <c r="D42" i="85"/>
  <c r="C42" i="85"/>
  <c r="D41" i="85"/>
  <c r="C41" i="85"/>
  <c r="D40" i="85"/>
  <c r="C40" i="85"/>
  <c r="D39" i="85"/>
  <c r="C39" i="85"/>
  <c r="D38" i="85"/>
  <c r="C38" i="85"/>
  <c r="D37" i="85"/>
  <c r="C37" i="85"/>
  <c r="D36" i="85"/>
  <c r="C36" i="85"/>
  <c r="D35" i="85"/>
  <c r="C35" i="85"/>
  <c r="D34" i="85"/>
  <c r="C34" i="85"/>
  <c r="D33" i="85"/>
  <c r="C33" i="85"/>
  <c r="D32" i="85"/>
  <c r="C32" i="85"/>
  <c r="D31" i="85"/>
  <c r="C31" i="85"/>
  <c r="D30" i="85"/>
  <c r="C30" i="85"/>
  <c r="D29" i="85"/>
  <c r="C29" i="85"/>
  <c r="D28" i="85"/>
  <c r="C28" i="85"/>
  <c r="D27" i="85"/>
  <c r="C27" i="85"/>
  <c r="D26" i="85"/>
  <c r="C26" i="85"/>
  <c r="D25" i="85"/>
  <c r="C25" i="85"/>
  <c r="D20" i="85"/>
  <c r="C20" i="85"/>
  <c r="D19" i="85"/>
  <c r="C19" i="85"/>
  <c r="D18" i="85"/>
  <c r="C18" i="85"/>
  <c r="D17" i="85"/>
  <c r="C17" i="85"/>
  <c r="D16" i="85"/>
  <c r="C16" i="85"/>
  <c r="D15" i="85"/>
  <c r="C15" i="85"/>
  <c r="D14" i="85"/>
  <c r="C14" i="85"/>
  <c r="D13" i="85"/>
  <c r="C13" i="85"/>
  <c r="D12" i="85"/>
  <c r="C12" i="85"/>
  <c r="D11" i="85"/>
  <c r="C11" i="85"/>
  <c r="C21" i="85"/>
  <c r="C79" i="85"/>
  <c r="C119" i="85"/>
  <c r="C197" i="85"/>
  <c r="C206" i="85"/>
  <c r="D79" i="85"/>
  <c r="D119" i="85"/>
  <c r="D197" i="85"/>
  <c r="D206" i="85"/>
  <c r="C228" i="85"/>
  <c r="D21" i="85"/>
  <c r="D93" i="85"/>
  <c r="D102" i="85"/>
  <c r="D111" i="85"/>
  <c r="D161" i="85"/>
  <c r="C93" i="85"/>
  <c r="C102" i="85"/>
  <c r="C111" i="85"/>
  <c r="C161" i="85"/>
  <c r="C61" i="85"/>
  <c r="D61" i="85"/>
  <c r="D208" i="85"/>
  <c r="D215" i="85"/>
  <c r="C208" i="85"/>
  <c r="C212" i="85"/>
  <c r="C215" i="85"/>
  <c r="C238" i="79"/>
  <c r="C237" i="79"/>
  <c r="C236" i="79"/>
  <c r="C235" i="79"/>
  <c r="C232" i="79"/>
  <c r="C231" i="79"/>
  <c r="D228" i="79"/>
  <c r="C227" i="79"/>
  <c r="C226" i="79"/>
  <c r="C225" i="79"/>
  <c r="C224" i="79"/>
  <c r="C223" i="79"/>
  <c r="C222" i="79"/>
  <c r="C221" i="79"/>
  <c r="C220" i="79"/>
  <c r="C219" i="79"/>
  <c r="C211" i="79"/>
  <c r="D205" i="79"/>
  <c r="C205" i="79"/>
  <c r="D204" i="79"/>
  <c r="C204" i="79"/>
  <c r="D203" i="79"/>
  <c r="C203" i="79"/>
  <c r="D202" i="79"/>
  <c r="C202" i="79"/>
  <c r="D201" i="79"/>
  <c r="C201" i="79"/>
  <c r="D200" i="79"/>
  <c r="C200" i="79"/>
  <c r="D196" i="79"/>
  <c r="C196" i="79"/>
  <c r="D195" i="79"/>
  <c r="C195" i="79"/>
  <c r="D194" i="79"/>
  <c r="C194" i="79"/>
  <c r="D193" i="79"/>
  <c r="C193" i="79"/>
  <c r="D192" i="79"/>
  <c r="C192" i="79"/>
  <c r="D191" i="79"/>
  <c r="C191" i="79"/>
  <c r="D190" i="79"/>
  <c r="C190" i="79"/>
  <c r="D189" i="79"/>
  <c r="C189" i="79"/>
  <c r="D188" i="79"/>
  <c r="C188" i="79"/>
  <c r="D187" i="79"/>
  <c r="C187" i="79"/>
  <c r="D186" i="79"/>
  <c r="C186" i="79"/>
  <c r="D185" i="79"/>
  <c r="C185" i="79"/>
  <c r="D184" i="79"/>
  <c r="C184" i="79"/>
  <c r="D183" i="79"/>
  <c r="C183" i="79"/>
  <c r="D182" i="79"/>
  <c r="C182" i="79"/>
  <c r="D181" i="79"/>
  <c r="C181" i="79"/>
  <c r="D180" i="79"/>
  <c r="C180" i="79"/>
  <c r="D179" i="79"/>
  <c r="C179" i="79"/>
  <c r="D178" i="79"/>
  <c r="C178" i="79"/>
  <c r="D177" i="79"/>
  <c r="C177" i="79"/>
  <c r="D176" i="79"/>
  <c r="C176" i="79"/>
  <c r="D175" i="79"/>
  <c r="C175" i="79"/>
  <c r="D174" i="79"/>
  <c r="C174" i="79"/>
  <c r="D173" i="79"/>
  <c r="C173" i="79"/>
  <c r="D172" i="79"/>
  <c r="C172" i="79"/>
  <c r="D171" i="79"/>
  <c r="C171" i="79"/>
  <c r="D170" i="79"/>
  <c r="C170" i="79"/>
  <c r="D169" i="79"/>
  <c r="C169" i="79"/>
  <c r="D168" i="79"/>
  <c r="C168" i="79"/>
  <c r="D167" i="79"/>
  <c r="C167" i="79"/>
  <c r="D166" i="79"/>
  <c r="C166" i="79"/>
  <c r="D165" i="79"/>
  <c r="C165" i="79"/>
  <c r="D164" i="79"/>
  <c r="C164" i="79"/>
  <c r="D160" i="79"/>
  <c r="C160" i="79"/>
  <c r="D159" i="79"/>
  <c r="C159" i="79"/>
  <c r="D158" i="79"/>
  <c r="C158" i="79"/>
  <c r="D157" i="79"/>
  <c r="C157" i="79"/>
  <c r="D156" i="79"/>
  <c r="C156" i="79"/>
  <c r="D155" i="79"/>
  <c r="C155" i="79"/>
  <c r="D153" i="79"/>
  <c r="C153" i="79"/>
  <c r="D152" i="79"/>
  <c r="C152" i="79"/>
  <c r="D151" i="79"/>
  <c r="C151" i="79"/>
  <c r="D150" i="79"/>
  <c r="C150" i="79"/>
  <c r="D149" i="79"/>
  <c r="C149" i="79"/>
  <c r="D148" i="79"/>
  <c r="C148" i="79"/>
  <c r="D147" i="79"/>
  <c r="C147" i="79"/>
  <c r="D146" i="79"/>
  <c r="C146" i="79"/>
  <c r="D145" i="79"/>
  <c r="C145" i="79"/>
  <c r="D143" i="79"/>
  <c r="C143" i="79"/>
  <c r="D142" i="79"/>
  <c r="C142" i="79"/>
  <c r="D141" i="79"/>
  <c r="C141" i="79"/>
  <c r="D140" i="79"/>
  <c r="C140" i="79"/>
  <c r="D138" i="79"/>
  <c r="C138" i="79"/>
  <c r="D137" i="79"/>
  <c r="C137" i="79"/>
  <c r="D136" i="79"/>
  <c r="C136" i="79"/>
  <c r="D135" i="79"/>
  <c r="C135" i="79"/>
  <c r="D133" i="79"/>
  <c r="C133" i="79"/>
  <c r="D132" i="79"/>
  <c r="C132" i="79"/>
  <c r="D131" i="79"/>
  <c r="C131" i="79"/>
  <c r="D130" i="79"/>
  <c r="C130" i="79"/>
  <c r="D129" i="79"/>
  <c r="C129" i="79"/>
  <c r="D127" i="79"/>
  <c r="C127" i="79"/>
  <c r="D126" i="79"/>
  <c r="C126" i="79"/>
  <c r="D125" i="79"/>
  <c r="C125" i="79"/>
  <c r="D124" i="79"/>
  <c r="C124" i="79"/>
  <c r="D123" i="79"/>
  <c r="C123" i="79"/>
  <c r="D118" i="79"/>
  <c r="C118" i="79"/>
  <c r="D117" i="79"/>
  <c r="C117" i="79"/>
  <c r="D116" i="79"/>
  <c r="C116" i="79"/>
  <c r="D115" i="79"/>
  <c r="C115" i="79"/>
  <c r="D114" i="79"/>
  <c r="C114" i="79"/>
  <c r="D110" i="79"/>
  <c r="C110" i="79"/>
  <c r="D109" i="79"/>
  <c r="C109" i="79"/>
  <c r="D108" i="79"/>
  <c r="C108" i="79"/>
  <c r="D107" i="79"/>
  <c r="C107" i="79"/>
  <c r="D106" i="79"/>
  <c r="C106" i="79"/>
  <c r="D105" i="79"/>
  <c r="C105" i="79"/>
  <c r="D101" i="79"/>
  <c r="C101" i="79"/>
  <c r="D100" i="79"/>
  <c r="C100" i="79"/>
  <c r="D99" i="79"/>
  <c r="C99" i="79"/>
  <c r="D98" i="79"/>
  <c r="C98" i="79"/>
  <c r="D97" i="79"/>
  <c r="C97" i="79"/>
  <c r="D96" i="79"/>
  <c r="C96" i="79"/>
  <c r="D92" i="79"/>
  <c r="C92" i="79"/>
  <c r="D91" i="79"/>
  <c r="C91" i="79"/>
  <c r="D90" i="79"/>
  <c r="C90" i="79"/>
  <c r="D89" i="79"/>
  <c r="C89" i="79"/>
  <c r="D88" i="79"/>
  <c r="C88" i="79"/>
  <c r="D87" i="79"/>
  <c r="C87" i="79"/>
  <c r="D86" i="79"/>
  <c r="C86" i="79"/>
  <c r="D85" i="79"/>
  <c r="C85" i="79"/>
  <c r="D84" i="79"/>
  <c r="C84" i="79"/>
  <c r="D83" i="79"/>
  <c r="C83" i="79"/>
  <c r="D82" i="79"/>
  <c r="C82" i="79"/>
  <c r="D78" i="79"/>
  <c r="C78" i="79"/>
  <c r="D77" i="79"/>
  <c r="C77" i="79"/>
  <c r="D76" i="79"/>
  <c r="C76" i="79"/>
  <c r="D75" i="79"/>
  <c r="C75" i="79"/>
  <c r="D74" i="79"/>
  <c r="C74" i="79"/>
  <c r="D73" i="79"/>
  <c r="C73" i="79"/>
  <c r="D72" i="79"/>
  <c r="C72" i="79"/>
  <c r="D71" i="79"/>
  <c r="C71" i="79"/>
  <c r="D70" i="79"/>
  <c r="C70" i="79"/>
  <c r="D69" i="79"/>
  <c r="C69" i="79"/>
  <c r="D68" i="79"/>
  <c r="C68" i="79"/>
  <c r="D67" i="79"/>
  <c r="C67" i="79"/>
  <c r="D66" i="79"/>
  <c r="C66" i="79"/>
  <c r="D65" i="79"/>
  <c r="C65" i="79"/>
  <c r="D64" i="79"/>
  <c r="C64" i="79"/>
  <c r="D60" i="79"/>
  <c r="C60" i="79"/>
  <c r="D59" i="79"/>
  <c r="C59" i="79"/>
  <c r="D58" i="79"/>
  <c r="C58" i="79"/>
  <c r="D57" i="79"/>
  <c r="C57" i="79"/>
  <c r="D56" i="79"/>
  <c r="C56" i="79"/>
  <c r="D55" i="79"/>
  <c r="C55" i="79"/>
  <c r="D54" i="79"/>
  <c r="C54" i="79"/>
  <c r="D53" i="79"/>
  <c r="C53" i="79"/>
  <c r="D52" i="79"/>
  <c r="C52" i="79"/>
  <c r="D51" i="79"/>
  <c r="C51" i="79"/>
  <c r="D50" i="79"/>
  <c r="C50" i="79"/>
  <c r="D49" i="79"/>
  <c r="C49" i="79"/>
  <c r="D48" i="79"/>
  <c r="C48" i="79"/>
  <c r="D47" i="79"/>
  <c r="C47" i="79"/>
  <c r="D46" i="79"/>
  <c r="C46" i="79"/>
  <c r="D45" i="79"/>
  <c r="C45" i="79"/>
  <c r="D44" i="79"/>
  <c r="C44" i="79"/>
  <c r="D43" i="79"/>
  <c r="C43" i="79"/>
  <c r="D42" i="79"/>
  <c r="C42" i="79"/>
  <c r="D41" i="79"/>
  <c r="C41" i="79"/>
  <c r="D40" i="79"/>
  <c r="C40" i="79"/>
  <c r="D39" i="79"/>
  <c r="C39" i="79"/>
  <c r="D38" i="79"/>
  <c r="C38" i="79"/>
  <c r="D37" i="79"/>
  <c r="C37" i="79"/>
  <c r="D36" i="79"/>
  <c r="C36" i="79"/>
  <c r="D35" i="79"/>
  <c r="C35" i="79"/>
  <c r="D34" i="79"/>
  <c r="C34" i="79"/>
  <c r="D33" i="79"/>
  <c r="C33" i="79"/>
  <c r="D32" i="79"/>
  <c r="C32" i="79"/>
  <c r="D31" i="79"/>
  <c r="C31" i="79"/>
  <c r="D30" i="79"/>
  <c r="C30" i="79"/>
  <c r="D29" i="79"/>
  <c r="C29" i="79"/>
  <c r="D28" i="79"/>
  <c r="C28" i="79"/>
  <c r="D27" i="79"/>
  <c r="C27" i="79"/>
  <c r="D26" i="79"/>
  <c r="C26" i="79"/>
  <c r="D25" i="79"/>
  <c r="C25" i="79"/>
  <c r="D20" i="79"/>
  <c r="C20" i="79"/>
  <c r="D19" i="79"/>
  <c r="C19" i="79"/>
  <c r="D18" i="79"/>
  <c r="C18" i="79"/>
  <c r="D17" i="79"/>
  <c r="C17" i="79"/>
  <c r="D16" i="79"/>
  <c r="C16" i="79"/>
  <c r="D15" i="79"/>
  <c r="C15" i="79"/>
  <c r="D14" i="79"/>
  <c r="C14" i="79"/>
  <c r="D13" i="79"/>
  <c r="C13" i="79"/>
  <c r="D12" i="79"/>
  <c r="C12" i="79"/>
  <c r="D11" i="79"/>
  <c r="C11" i="79"/>
  <c r="C102" i="79"/>
  <c r="C21" i="79"/>
  <c r="D206" i="79"/>
  <c r="D102" i="79"/>
  <c r="D119" i="79"/>
  <c r="C161" i="79"/>
  <c r="D93" i="79"/>
  <c r="C228" i="79"/>
  <c r="C61" i="79"/>
  <c r="C93" i="79"/>
  <c r="C111" i="79"/>
  <c r="C197" i="79"/>
  <c r="C119" i="79"/>
  <c r="D161" i="79"/>
  <c r="D79" i="79"/>
  <c r="D111" i="79"/>
  <c r="D197" i="79"/>
  <c r="D21" i="79"/>
  <c r="C79" i="79"/>
  <c r="C206" i="79"/>
  <c r="D61" i="79"/>
  <c r="C208" i="79"/>
  <c r="C212" i="79"/>
  <c r="D208" i="79"/>
  <c r="D215" i="79"/>
  <c r="C215" i="79"/>
  <c r="C238" i="72"/>
  <c r="C237" i="72"/>
  <c r="C236" i="72"/>
  <c r="C235" i="72"/>
  <c r="C232" i="72"/>
  <c r="C231" i="72"/>
  <c r="D228" i="72"/>
  <c r="C227" i="72"/>
  <c r="C226" i="72"/>
  <c r="C225" i="72"/>
  <c r="C224" i="72"/>
  <c r="C223" i="72"/>
  <c r="C222" i="72"/>
  <c r="C221" i="72"/>
  <c r="C220" i="72"/>
  <c r="C219" i="72"/>
  <c r="C211" i="72"/>
  <c r="D205" i="72"/>
  <c r="C205" i="72"/>
  <c r="D204" i="72"/>
  <c r="C204" i="72"/>
  <c r="D203" i="72"/>
  <c r="C203" i="72"/>
  <c r="D202" i="72"/>
  <c r="C202" i="72"/>
  <c r="D201" i="72"/>
  <c r="C201" i="72"/>
  <c r="D200" i="72"/>
  <c r="C200" i="72"/>
  <c r="D196" i="72"/>
  <c r="C196" i="72"/>
  <c r="D195" i="72"/>
  <c r="C195" i="72"/>
  <c r="D194" i="72"/>
  <c r="C194" i="72"/>
  <c r="D193" i="72"/>
  <c r="C193" i="72"/>
  <c r="D192" i="72"/>
  <c r="C192" i="72"/>
  <c r="D191" i="72"/>
  <c r="C191" i="72"/>
  <c r="D190" i="72"/>
  <c r="C190" i="72"/>
  <c r="D189" i="72"/>
  <c r="C189" i="72"/>
  <c r="D188" i="72"/>
  <c r="C188" i="72"/>
  <c r="D187" i="72"/>
  <c r="C187" i="72"/>
  <c r="D186" i="72"/>
  <c r="C186" i="72"/>
  <c r="D185" i="72"/>
  <c r="C185" i="72"/>
  <c r="D184" i="72"/>
  <c r="C184" i="72"/>
  <c r="D183" i="72"/>
  <c r="C183" i="72"/>
  <c r="D182" i="72"/>
  <c r="C182" i="72"/>
  <c r="D181" i="72"/>
  <c r="C181" i="72"/>
  <c r="D180" i="72"/>
  <c r="C180" i="72"/>
  <c r="D179" i="72"/>
  <c r="C179" i="72"/>
  <c r="D178" i="72"/>
  <c r="C178" i="72"/>
  <c r="D177" i="72"/>
  <c r="C177" i="72"/>
  <c r="D176" i="72"/>
  <c r="C176" i="72"/>
  <c r="D175" i="72"/>
  <c r="C175" i="72"/>
  <c r="D174" i="72"/>
  <c r="C174" i="72"/>
  <c r="D173" i="72"/>
  <c r="C173" i="72"/>
  <c r="D172" i="72"/>
  <c r="C172" i="72"/>
  <c r="D171" i="72"/>
  <c r="C171" i="72"/>
  <c r="D170" i="72"/>
  <c r="C170" i="72"/>
  <c r="D169" i="72"/>
  <c r="C169" i="72"/>
  <c r="D168" i="72"/>
  <c r="C168" i="72"/>
  <c r="D167" i="72"/>
  <c r="C167" i="72"/>
  <c r="D166" i="72"/>
  <c r="C166" i="72"/>
  <c r="D165" i="72"/>
  <c r="C165" i="72"/>
  <c r="D164" i="72"/>
  <c r="C164" i="72"/>
  <c r="D160" i="72"/>
  <c r="C160" i="72"/>
  <c r="D159" i="72"/>
  <c r="C159" i="72"/>
  <c r="D158" i="72"/>
  <c r="C158" i="72"/>
  <c r="D157" i="72"/>
  <c r="C157" i="72"/>
  <c r="D156" i="72"/>
  <c r="C156" i="72"/>
  <c r="D155" i="72"/>
  <c r="C155" i="72"/>
  <c r="D153" i="72"/>
  <c r="C153" i="72"/>
  <c r="D152" i="72"/>
  <c r="C152" i="72"/>
  <c r="D151" i="72"/>
  <c r="C151" i="72"/>
  <c r="D150" i="72"/>
  <c r="C150" i="72"/>
  <c r="D149" i="72"/>
  <c r="C149" i="72"/>
  <c r="D148" i="72"/>
  <c r="C148" i="72"/>
  <c r="D147" i="72"/>
  <c r="C147" i="72"/>
  <c r="D146" i="72"/>
  <c r="C146" i="72"/>
  <c r="D145" i="72"/>
  <c r="C145" i="72"/>
  <c r="D143" i="72"/>
  <c r="C143" i="72"/>
  <c r="D142" i="72"/>
  <c r="C142" i="72"/>
  <c r="D141" i="72"/>
  <c r="C141" i="72"/>
  <c r="D140" i="72"/>
  <c r="C140" i="72"/>
  <c r="D138" i="72"/>
  <c r="C138" i="72"/>
  <c r="D137" i="72"/>
  <c r="C137" i="72"/>
  <c r="D136" i="72"/>
  <c r="C136" i="72"/>
  <c r="D135" i="72"/>
  <c r="C135" i="72"/>
  <c r="D133" i="72"/>
  <c r="C133" i="72"/>
  <c r="D132" i="72"/>
  <c r="C132" i="72"/>
  <c r="D131" i="72"/>
  <c r="C131" i="72"/>
  <c r="D130" i="72"/>
  <c r="C130" i="72"/>
  <c r="D129" i="72"/>
  <c r="C129" i="72"/>
  <c r="D127" i="72"/>
  <c r="C127" i="72"/>
  <c r="D126" i="72"/>
  <c r="C126" i="72"/>
  <c r="D125" i="72"/>
  <c r="C125" i="72"/>
  <c r="D124" i="72"/>
  <c r="C124" i="72"/>
  <c r="D123" i="72"/>
  <c r="C123" i="72"/>
  <c r="D118" i="72"/>
  <c r="C118" i="72"/>
  <c r="D117" i="72"/>
  <c r="C117" i="72"/>
  <c r="D116" i="72"/>
  <c r="C116" i="72"/>
  <c r="D115" i="72"/>
  <c r="C115" i="72"/>
  <c r="D114" i="72"/>
  <c r="C114" i="72"/>
  <c r="D110" i="72"/>
  <c r="C110" i="72"/>
  <c r="D109" i="72"/>
  <c r="C109" i="72"/>
  <c r="D108" i="72"/>
  <c r="C108" i="72"/>
  <c r="D107" i="72"/>
  <c r="C107" i="72"/>
  <c r="D106" i="72"/>
  <c r="C106" i="72"/>
  <c r="D105" i="72"/>
  <c r="C105" i="72"/>
  <c r="D101" i="72"/>
  <c r="C101" i="72"/>
  <c r="D100" i="72"/>
  <c r="C100" i="72"/>
  <c r="D99" i="72"/>
  <c r="C99" i="72"/>
  <c r="D98" i="72"/>
  <c r="C98" i="72"/>
  <c r="D97" i="72"/>
  <c r="C97" i="72"/>
  <c r="D96" i="72"/>
  <c r="C96" i="72"/>
  <c r="D92" i="72"/>
  <c r="C92" i="72"/>
  <c r="D91" i="72"/>
  <c r="C91" i="72"/>
  <c r="D90" i="72"/>
  <c r="C90" i="72"/>
  <c r="D89" i="72"/>
  <c r="C89" i="72"/>
  <c r="D88" i="72"/>
  <c r="C88" i="72"/>
  <c r="D87" i="72"/>
  <c r="C87" i="72"/>
  <c r="D86" i="72"/>
  <c r="C86" i="72"/>
  <c r="D85" i="72"/>
  <c r="C85" i="72"/>
  <c r="D84" i="72"/>
  <c r="C84" i="72"/>
  <c r="D83" i="72"/>
  <c r="C83" i="72"/>
  <c r="D82" i="72"/>
  <c r="C82" i="72"/>
  <c r="D78" i="72"/>
  <c r="C78" i="72"/>
  <c r="D77" i="72"/>
  <c r="C77" i="72"/>
  <c r="D76" i="72"/>
  <c r="C76" i="72"/>
  <c r="D75" i="72"/>
  <c r="C75" i="72"/>
  <c r="D74" i="72"/>
  <c r="C74" i="72"/>
  <c r="D73" i="72"/>
  <c r="C73" i="72"/>
  <c r="D72" i="72"/>
  <c r="C72" i="72"/>
  <c r="D71" i="72"/>
  <c r="C71" i="72"/>
  <c r="D70" i="72"/>
  <c r="C70" i="72"/>
  <c r="D69" i="72"/>
  <c r="C69" i="72"/>
  <c r="D68" i="72"/>
  <c r="C68" i="72"/>
  <c r="D67" i="72"/>
  <c r="C67" i="72"/>
  <c r="D66" i="72"/>
  <c r="C66" i="72"/>
  <c r="D65" i="72"/>
  <c r="C65" i="72"/>
  <c r="D64" i="72"/>
  <c r="C64" i="72"/>
  <c r="D60" i="72"/>
  <c r="C60" i="72"/>
  <c r="D59" i="72"/>
  <c r="C59" i="72"/>
  <c r="D58" i="72"/>
  <c r="C58" i="72"/>
  <c r="D57" i="72"/>
  <c r="C57" i="72"/>
  <c r="D56" i="72"/>
  <c r="C56" i="72"/>
  <c r="D55" i="72"/>
  <c r="C55" i="72"/>
  <c r="D54" i="72"/>
  <c r="C54" i="72"/>
  <c r="D53" i="72"/>
  <c r="C53" i="72"/>
  <c r="D52" i="72"/>
  <c r="C52" i="72"/>
  <c r="D51" i="72"/>
  <c r="C51" i="72"/>
  <c r="D50" i="72"/>
  <c r="C50" i="72"/>
  <c r="D49" i="72"/>
  <c r="C49" i="72"/>
  <c r="D48" i="72"/>
  <c r="C48" i="72"/>
  <c r="D47" i="72"/>
  <c r="C47" i="72"/>
  <c r="D46" i="72"/>
  <c r="C46" i="72"/>
  <c r="D45" i="72"/>
  <c r="C45" i="72"/>
  <c r="D44" i="72"/>
  <c r="C44" i="72"/>
  <c r="D43" i="72"/>
  <c r="C43" i="72"/>
  <c r="D42" i="72"/>
  <c r="C42" i="72"/>
  <c r="D41" i="72"/>
  <c r="C41" i="72"/>
  <c r="D40" i="72"/>
  <c r="C40" i="72"/>
  <c r="D39" i="72"/>
  <c r="C39" i="72"/>
  <c r="D38" i="72"/>
  <c r="C38" i="72"/>
  <c r="D37" i="72"/>
  <c r="C37" i="72"/>
  <c r="D36" i="72"/>
  <c r="C36" i="72"/>
  <c r="D35" i="72"/>
  <c r="C35" i="72"/>
  <c r="D34" i="72"/>
  <c r="C34" i="72"/>
  <c r="D33" i="72"/>
  <c r="C33" i="72"/>
  <c r="D32" i="72"/>
  <c r="C32" i="72"/>
  <c r="D31" i="72"/>
  <c r="C31" i="72"/>
  <c r="D30" i="72"/>
  <c r="C30" i="72"/>
  <c r="D29" i="72"/>
  <c r="C29" i="72"/>
  <c r="D28" i="72"/>
  <c r="C28" i="72"/>
  <c r="D27" i="72"/>
  <c r="C27" i="72"/>
  <c r="D26" i="72"/>
  <c r="C26" i="72"/>
  <c r="D25" i="72"/>
  <c r="C25" i="72"/>
  <c r="D20" i="72"/>
  <c r="C20" i="72"/>
  <c r="D19" i="72"/>
  <c r="C19" i="72"/>
  <c r="D18" i="72"/>
  <c r="C18" i="72"/>
  <c r="D17" i="72"/>
  <c r="C17" i="72"/>
  <c r="D16" i="72"/>
  <c r="C16" i="72"/>
  <c r="D15" i="72"/>
  <c r="C15" i="72"/>
  <c r="D14" i="72"/>
  <c r="C14" i="72"/>
  <c r="D13" i="72"/>
  <c r="C13" i="72"/>
  <c r="D12" i="72"/>
  <c r="C12" i="72"/>
  <c r="D11" i="72"/>
  <c r="C11" i="72"/>
  <c r="D79" i="72"/>
  <c r="D197" i="72"/>
  <c r="C79" i="72"/>
  <c r="C111" i="72"/>
  <c r="C197" i="72"/>
  <c r="C206" i="72"/>
  <c r="D206" i="72"/>
  <c r="C21" i="72"/>
  <c r="C102" i="72"/>
  <c r="C119" i="72"/>
  <c r="D111" i="72"/>
  <c r="D21" i="72"/>
  <c r="C93" i="72"/>
  <c r="C161" i="72"/>
  <c r="D102" i="72"/>
  <c r="D119" i="72"/>
  <c r="D93" i="72"/>
  <c r="D161" i="72"/>
  <c r="C228" i="72"/>
  <c r="C61" i="72"/>
  <c r="D61" i="72"/>
  <c r="D208" i="72"/>
  <c r="D215" i="72"/>
  <c r="C208" i="72"/>
  <c r="C212" i="72"/>
  <c r="C215" i="72"/>
  <c r="F11" i="20"/>
  <c r="F152" i="177"/>
  <c r="C238" i="177"/>
  <c r="C237" i="177"/>
  <c r="C236" i="177"/>
  <c r="C235" i="177"/>
  <c r="C233" i="177"/>
  <c r="C232" i="177"/>
  <c r="C231" i="177"/>
  <c r="D228" i="177"/>
  <c r="C227" i="177"/>
  <c r="C226" i="177"/>
  <c r="C225" i="177"/>
  <c r="C224" i="177"/>
  <c r="C223" i="177"/>
  <c r="C222" i="177"/>
  <c r="C221" i="177"/>
  <c r="C220" i="177"/>
  <c r="C219" i="177"/>
  <c r="C211" i="177"/>
  <c r="D205" i="177"/>
  <c r="C205" i="177"/>
  <c r="D204" i="177"/>
  <c r="C204" i="177"/>
  <c r="D203" i="177"/>
  <c r="C203" i="177"/>
  <c r="D202" i="177"/>
  <c r="C202" i="177"/>
  <c r="D201" i="177"/>
  <c r="C201" i="177"/>
  <c r="D200" i="177"/>
  <c r="C200" i="177"/>
  <c r="D196" i="177"/>
  <c r="C196" i="177"/>
  <c r="D195" i="177"/>
  <c r="C195" i="177"/>
  <c r="D194" i="177"/>
  <c r="C194" i="177"/>
  <c r="D193" i="177"/>
  <c r="C193" i="177"/>
  <c r="D192" i="177"/>
  <c r="C192" i="177"/>
  <c r="D191" i="177"/>
  <c r="C191" i="177"/>
  <c r="D190" i="177"/>
  <c r="C190" i="177"/>
  <c r="D189" i="177"/>
  <c r="C189" i="177"/>
  <c r="D188" i="177"/>
  <c r="C188" i="177"/>
  <c r="D187" i="177"/>
  <c r="C187" i="177"/>
  <c r="D186" i="177"/>
  <c r="C186" i="177"/>
  <c r="D185" i="177"/>
  <c r="C185" i="177"/>
  <c r="D184" i="177"/>
  <c r="C184" i="177"/>
  <c r="D183" i="177"/>
  <c r="C183" i="177"/>
  <c r="D182" i="177"/>
  <c r="C182" i="177"/>
  <c r="D181" i="177"/>
  <c r="C181" i="177"/>
  <c r="D180" i="177"/>
  <c r="C180" i="177"/>
  <c r="D179" i="177"/>
  <c r="C179" i="177"/>
  <c r="D178" i="177"/>
  <c r="C178" i="177"/>
  <c r="D177" i="177"/>
  <c r="C177" i="177"/>
  <c r="D176" i="177"/>
  <c r="C176" i="177"/>
  <c r="D175" i="177"/>
  <c r="C175" i="177"/>
  <c r="D174" i="177"/>
  <c r="C174" i="177"/>
  <c r="D173" i="177"/>
  <c r="C173" i="177"/>
  <c r="D172" i="177"/>
  <c r="C172" i="177"/>
  <c r="D171" i="177"/>
  <c r="C171" i="177"/>
  <c r="D170" i="177"/>
  <c r="C170" i="177"/>
  <c r="D169" i="177"/>
  <c r="C169" i="177"/>
  <c r="D168" i="177"/>
  <c r="C168" i="177"/>
  <c r="D167" i="177"/>
  <c r="C167" i="177"/>
  <c r="D166" i="177"/>
  <c r="C166" i="177"/>
  <c r="D165" i="177"/>
  <c r="C165" i="177"/>
  <c r="D164" i="177"/>
  <c r="C164" i="177"/>
  <c r="D160" i="177"/>
  <c r="C160" i="177"/>
  <c r="D159" i="177"/>
  <c r="C159" i="177"/>
  <c r="D158" i="177"/>
  <c r="C158" i="177"/>
  <c r="D157" i="177"/>
  <c r="C157" i="177"/>
  <c r="D156" i="177"/>
  <c r="C156" i="177"/>
  <c r="D155" i="177"/>
  <c r="C155" i="177"/>
  <c r="D153" i="177"/>
  <c r="C153" i="177"/>
  <c r="D152" i="177"/>
  <c r="C152" i="177"/>
  <c r="D151" i="177"/>
  <c r="C151" i="177"/>
  <c r="D150" i="177"/>
  <c r="C150" i="177"/>
  <c r="D149" i="177"/>
  <c r="C149" i="177"/>
  <c r="D148" i="177"/>
  <c r="C148" i="177"/>
  <c r="D147" i="177"/>
  <c r="C147" i="177"/>
  <c r="D146" i="177"/>
  <c r="C146" i="177"/>
  <c r="D145" i="177"/>
  <c r="C145" i="177"/>
  <c r="D143" i="177"/>
  <c r="C143" i="177"/>
  <c r="D142" i="177"/>
  <c r="C142" i="177"/>
  <c r="D141" i="177"/>
  <c r="C141" i="177"/>
  <c r="D140" i="177"/>
  <c r="C140" i="177"/>
  <c r="D138" i="177"/>
  <c r="C138" i="177"/>
  <c r="D137" i="177"/>
  <c r="C137" i="177"/>
  <c r="D136" i="177"/>
  <c r="C136" i="177"/>
  <c r="D135" i="177"/>
  <c r="C135" i="177"/>
  <c r="D133" i="177"/>
  <c r="C133" i="177"/>
  <c r="D132" i="177"/>
  <c r="C132" i="177"/>
  <c r="D131" i="177"/>
  <c r="C131" i="177"/>
  <c r="D130" i="177"/>
  <c r="C130" i="177"/>
  <c r="D129" i="177"/>
  <c r="C129" i="177"/>
  <c r="D127" i="177"/>
  <c r="C127" i="177"/>
  <c r="D126" i="177"/>
  <c r="C126" i="177"/>
  <c r="D125" i="177"/>
  <c r="C125" i="177"/>
  <c r="D124" i="177"/>
  <c r="C124" i="177"/>
  <c r="D123" i="177"/>
  <c r="C123" i="177"/>
  <c r="D118" i="177"/>
  <c r="C118" i="177"/>
  <c r="D117" i="177"/>
  <c r="C117" i="177"/>
  <c r="D116" i="177"/>
  <c r="C116" i="177"/>
  <c r="D115" i="177"/>
  <c r="C115" i="177"/>
  <c r="D114" i="177"/>
  <c r="C114" i="177"/>
  <c r="D110" i="177"/>
  <c r="C110" i="177"/>
  <c r="D109" i="177"/>
  <c r="C109" i="177"/>
  <c r="D108" i="177"/>
  <c r="C108" i="177"/>
  <c r="D107" i="177"/>
  <c r="C107" i="177"/>
  <c r="D106" i="177"/>
  <c r="C106" i="177"/>
  <c r="D105" i="177"/>
  <c r="C105" i="177"/>
  <c r="D101" i="177"/>
  <c r="C101" i="177"/>
  <c r="D100" i="177"/>
  <c r="C100" i="177"/>
  <c r="D99" i="177"/>
  <c r="C99" i="177"/>
  <c r="D98" i="177"/>
  <c r="C98" i="177"/>
  <c r="D97" i="177"/>
  <c r="C97" i="177"/>
  <c r="D96" i="177"/>
  <c r="C96" i="177"/>
  <c r="D92" i="177"/>
  <c r="C92" i="177"/>
  <c r="D91" i="177"/>
  <c r="C91" i="177"/>
  <c r="D90" i="177"/>
  <c r="C90" i="177"/>
  <c r="D89" i="177"/>
  <c r="C89" i="177"/>
  <c r="D88" i="177"/>
  <c r="C88" i="177"/>
  <c r="D87" i="177"/>
  <c r="C87" i="177"/>
  <c r="D86" i="177"/>
  <c r="C86" i="177"/>
  <c r="D85" i="177"/>
  <c r="C85" i="177"/>
  <c r="D84" i="177"/>
  <c r="C84" i="177"/>
  <c r="D83" i="177"/>
  <c r="C83" i="177"/>
  <c r="D82" i="177"/>
  <c r="C82" i="177"/>
  <c r="D78" i="177"/>
  <c r="C78" i="177"/>
  <c r="D77" i="177"/>
  <c r="C77" i="177"/>
  <c r="D76" i="177"/>
  <c r="C76" i="177"/>
  <c r="D75" i="177"/>
  <c r="C75" i="177"/>
  <c r="D74" i="177"/>
  <c r="C74" i="177"/>
  <c r="D73" i="177"/>
  <c r="C73" i="177"/>
  <c r="D72" i="177"/>
  <c r="C72" i="177"/>
  <c r="D71" i="177"/>
  <c r="C71" i="177"/>
  <c r="D70" i="177"/>
  <c r="C70" i="177"/>
  <c r="D69" i="177"/>
  <c r="C69" i="177"/>
  <c r="D68" i="177"/>
  <c r="C68" i="177"/>
  <c r="D67" i="177"/>
  <c r="C67" i="177"/>
  <c r="D66" i="177"/>
  <c r="C66" i="177"/>
  <c r="D65" i="177"/>
  <c r="C65" i="177"/>
  <c r="D64" i="177"/>
  <c r="C64" i="177"/>
  <c r="D60" i="177"/>
  <c r="C60" i="177"/>
  <c r="D59" i="177"/>
  <c r="C59" i="177"/>
  <c r="D58" i="177"/>
  <c r="C58" i="177"/>
  <c r="D57" i="177"/>
  <c r="C57" i="177"/>
  <c r="D56" i="177"/>
  <c r="C56" i="177"/>
  <c r="D55" i="177"/>
  <c r="C55" i="177"/>
  <c r="D54" i="177"/>
  <c r="C54" i="177"/>
  <c r="D53" i="177"/>
  <c r="C53" i="177"/>
  <c r="D52" i="177"/>
  <c r="C52" i="177"/>
  <c r="D51" i="177"/>
  <c r="C51" i="177"/>
  <c r="D50" i="177"/>
  <c r="C50" i="177"/>
  <c r="D49" i="177"/>
  <c r="C49" i="177"/>
  <c r="D48" i="177"/>
  <c r="C48" i="177"/>
  <c r="D47" i="177"/>
  <c r="C47" i="177"/>
  <c r="D46" i="177"/>
  <c r="C46" i="177"/>
  <c r="D45" i="177"/>
  <c r="C45" i="177"/>
  <c r="D44" i="177"/>
  <c r="C44" i="177"/>
  <c r="D43" i="177"/>
  <c r="C43" i="177"/>
  <c r="D42" i="177"/>
  <c r="C42" i="177"/>
  <c r="D41" i="177"/>
  <c r="C41" i="177"/>
  <c r="D40" i="177"/>
  <c r="C40" i="177"/>
  <c r="D39" i="177"/>
  <c r="C39" i="177"/>
  <c r="D38" i="177"/>
  <c r="C38" i="177"/>
  <c r="D37" i="177"/>
  <c r="C37" i="177"/>
  <c r="D36" i="177"/>
  <c r="C36" i="177"/>
  <c r="D35" i="177"/>
  <c r="C35" i="177"/>
  <c r="D34" i="177"/>
  <c r="C34" i="177"/>
  <c r="D33" i="177"/>
  <c r="C33" i="177"/>
  <c r="D32" i="177"/>
  <c r="C32" i="177"/>
  <c r="D31" i="177"/>
  <c r="C31" i="177"/>
  <c r="D30" i="177"/>
  <c r="C30" i="177"/>
  <c r="D29" i="177"/>
  <c r="C29" i="177"/>
  <c r="D28" i="177"/>
  <c r="C28" i="177"/>
  <c r="D27" i="177"/>
  <c r="C27" i="177"/>
  <c r="D26" i="177"/>
  <c r="C26" i="177"/>
  <c r="D25" i="177"/>
  <c r="C25" i="177"/>
  <c r="D20" i="177"/>
  <c r="C20" i="177"/>
  <c r="D19" i="177"/>
  <c r="C19" i="177"/>
  <c r="D18" i="177"/>
  <c r="C18" i="177"/>
  <c r="D17" i="177"/>
  <c r="C17" i="177"/>
  <c r="D16" i="177"/>
  <c r="C16" i="177"/>
  <c r="D15" i="177"/>
  <c r="C15" i="177"/>
  <c r="D14" i="177"/>
  <c r="C14" i="177"/>
  <c r="D13" i="177"/>
  <c r="C13" i="177"/>
  <c r="D12" i="177"/>
  <c r="C12" i="177"/>
  <c r="D11" i="177"/>
  <c r="C11" i="177"/>
  <c r="D206" i="177"/>
  <c r="D197" i="177"/>
  <c r="C21" i="177"/>
  <c r="C93" i="177"/>
  <c r="C102" i="177"/>
  <c r="C79" i="177"/>
  <c r="C119" i="177"/>
  <c r="D93" i="177"/>
  <c r="D119" i="177"/>
  <c r="D161" i="177"/>
  <c r="D21" i="177"/>
  <c r="D102" i="177"/>
  <c r="C228" i="177"/>
  <c r="D79" i="177"/>
  <c r="D111" i="177"/>
  <c r="C111" i="177"/>
  <c r="C161" i="177"/>
  <c r="C197" i="177"/>
  <c r="C206" i="177"/>
  <c r="C61" i="177"/>
  <c r="D61" i="177"/>
  <c r="C208" i="177"/>
  <c r="C212" i="177"/>
  <c r="D208" i="177"/>
  <c r="D215" i="177"/>
  <c r="C215" i="177"/>
  <c r="C238" i="62"/>
  <c r="C237" i="62"/>
  <c r="C236" i="62"/>
  <c r="C235" i="62"/>
  <c r="C233" i="62"/>
  <c r="C232" i="62"/>
  <c r="C231" i="62"/>
  <c r="D228" i="62"/>
  <c r="C227" i="62"/>
  <c r="C226" i="62"/>
  <c r="C225" i="62"/>
  <c r="C224" i="62"/>
  <c r="C223" i="62"/>
  <c r="C222" i="62"/>
  <c r="C221" i="62"/>
  <c r="C220" i="62"/>
  <c r="C219" i="62"/>
  <c r="C211" i="62"/>
  <c r="D205" i="62"/>
  <c r="C205" i="62"/>
  <c r="D204" i="62"/>
  <c r="C204" i="62"/>
  <c r="D203" i="62"/>
  <c r="C203" i="62"/>
  <c r="D202" i="62"/>
  <c r="C202" i="62"/>
  <c r="D201" i="62"/>
  <c r="C201" i="62"/>
  <c r="D200" i="62"/>
  <c r="C200" i="62"/>
  <c r="D196" i="62"/>
  <c r="C196" i="62"/>
  <c r="D195" i="62"/>
  <c r="C195" i="62"/>
  <c r="D194" i="62"/>
  <c r="C194" i="62"/>
  <c r="D193" i="62"/>
  <c r="C193" i="62"/>
  <c r="D192" i="62"/>
  <c r="C192" i="62"/>
  <c r="D191" i="62"/>
  <c r="C191" i="62"/>
  <c r="D190" i="62"/>
  <c r="C190" i="62"/>
  <c r="D189" i="62"/>
  <c r="C189" i="62"/>
  <c r="D188" i="62"/>
  <c r="C188" i="62"/>
  <c r="D187" i="62"/>
  <c r="C187" i="62"/>
  <c r="D186" i="62"/>
  <c r="C186" i="62"/>
  <c r="D185" i="62"/>
  <c r="C185" i="62"/>
  <c r="D184" i="62"/>
  <c r="C184" i="62"/>
  <c r="D183" i="62"/>
  <c r="C183" i="62"/>
  <c r="D182" i="62"/>
  <c r="C182" i="62"/>
  <c r="D181" i="62"/>
  <c r="C181" i="62"/>
  <c r="D180" i="62"/>
  <c r="C180" i="62"/>
  <c r="D179" i="62"/>
  <c r="C179" i="62"/>
  <c r="D178" i="62"/>
  <c r="C178" i="62"/>
  <c r="D177" i="62"/>
  <c r="C177" i="62"/>
  <c r="D176" i="62"/>
  <c r="C176" i="62"/>
  <c r="D175" i="62"/>
  <c r="C175" i="62"/>
  <c r="D174" i="62"/>
  <c r="C174" i="62"/>
  <c r="D173" i="62"/>
  <c r="C173" i="62"/>
  <c r="D172" i="62"/>
  <c r="C172" i="62"/>
  <c r="D171" i="62"/>
  <c r="C171" i="62"/>
  <c r="D170" i="62"/>
  <c r="C170" i="62"/>
  <c r="D169" i="62"/>
  <c r="C169" i="62"/>
  <c r="D168" i="62"/>
  <c r="C168" i="62"/>
  <c r="D167" i="62"/>
  <c r="C167" i="62"/>
  <c r="D166" i="62"/>
  <c r="C166" i="62"/>
  <c r="D165" i="62"/>
  <c r="C165" i="62"/>
  <c r="D164" i="62"/>
  <c r="C164" i="62"/>
  <c r="D160" i="62"/>
  <c r="C160" i="62"/>
  <c r="D159" i="62"/>
  <c r="C159" i="62"/>
  <c r="D158" i="62"/>
  <c r="C158" i="62"/>
  <c r="D157" i="62"/>
  <c r="C157" i="62"/>
  <c r="D156" i="62"/>
  <c r="C156" i="62"/>
  <c r="D155" i="62"/>
  <c r="C155" i="62"/>
  <c r="D153" i="62"/>
  <c r="C153" i="62"/>
  <c r="D152" i="62"/>
  <c r="C152" i="62"/>
  <c r="D151" i="62"/>
  <c r="C151" i="62"/>
  <c r="D150" i="62"/>
  <c r="C150" i="62"/>
  <c r="D149" i="62"/>
  <c r="C149" i="62"/>
  <c r="D148" i="62"/>
  <c r="C148" i="62"/>
  <c r="D147" i="62"/>
  <c r="C147" i="62"/>
  <c r="D146" i="62"/>
  <c r="C146" i="62"/>
  <c r="D145" i="62"/>
  <c r="C145" i="62"/>
  <c r="D143" i="62"/>
  <c r="C143" i="62"/>
  <c r="D142" i="62"/>
  <c r="C142" i="62"/>
  <c r="D141" i="62"/>
  <c r="C141" i="62"/>
  <c r="D140" i="62"/>
  <c r="C140" i="62"/>
  <c r="D138" i="62"/>
  <c r="C138" i="62"/>
  <c r="D137" i="62"/>
  <c r="C137" i="62"/>
  <c r="D136" i="62"/>
  <c r="C136" i="62"/>
  <c r="D135" i="62"/>
  <c r="C135" i="62"/>
  <c r="D133" i="62"/>
  <c r="C133" i="62"/>
  <c r="D132" i="62"/>
  <c r="C132" i="62"/>
  <c r="D131" i="62"/>
  <c r="C131" i="62"/>
  <c r="D130" i="62"/>
  <c r="C130" i="62"/>
  <c r="D129" i="62"/>
  <c r="C129" i="62"/>
  <c r="D127" i="62"/>
  <c r="C127" i="62"/>
  <c r="D126" i="62"/>
  <c r="C126" i="62"/>
  <c r="D125" i="62"/>
  <c r="C125" i="62"/>
  <c r="D124" i="62"/>
  <c r="C124" i="62"/>
  <c r="D123" i="62"/>
  <c r="C123" i="62"/>
  <c r="D118" i="62"/>
  <c r="C118" i="62"/>
  <c r="D117" i="62"/>
  <c r="C117" i="62"/>
  <c r="D116" i="62"/>
  <c r="C116" i="62"/>
  <c r="D115" i="62"/>
  <c r="C115" i="62"/>
  <c r="D114" i="62"/>
  <c r="C114" i="62"/>
  <c r="D110" i="62"/>
  <c r="C110" i="62"/>
  <c r="D109" i="62"/>
  <c r="C109" i="62"/>
  <c r="D108" i="62"/>
  <c r="C108" i="62"/>
  <c r="D107" i="62"/>
  <c r="C107" i="62"/>
  <c r="D106" i="62"/>
  <c r="C106" i="62"/>
  <c r="D105" i="62"/>
  <c r="C105" i="62"/>
  <c r="D101" i="62"/>
  <c r="C101" i="62"/>
  <c r="D100" i="62"/>
  <c r="C100" i="62"/>
  <c r="D99" i="62"/>
  <c r="C99" i="62"/>
  <c r="D98" i="62"/>
  <c r="C98" i="62"/>
  <c r="D97" i="62"/>
  <c r="C97" i="62"/>
  <c r="D96" i="62"/>
  <c r="C96" i="62"/>
  <c r="D92" i="62"/>
  <c r="C92" i="62"/>
  <c r="D91" i="62"/>
  <c r="C91" i="62"/>
  <c r="D90" i="62"/>
  <c r="C90" i="62"/>
  <c r="D89" i="62"/>
  <c r="C89" i="62"/>
  <c r="D88" i="62"/>
  <c r="C88" i="62"/>
  <c r="D87" i="62"/>
  <c r="C87" i="62"/>
  <c r="D86" i="62"/>
  <c r="C86" i="62"/>
  <c r="D85" i="62"/>
  <c r="C85" i="62"/>
  <c r="D84" i="62"/>
  <c r="C84" i="62"/>
  <c r="D83" i="62"/>
  <c r="C83" i="62"/>
  <c r="D82" i="62"/>
  <c r="C82" i="62"/>
  <c r="D78" i="62"/>
  <c r="C78" i="62"/>
  <c r="D77" i="62"/>
  <c r="C77" i="62"/>
  <c r="D76" i="62"/>
  <c r="C76" i="62"/>
  <c r="D75" i="62"/>
  <c r="C75" i="62"/>
  <c r="D74" i="62"/>
  <c r="C74" i="62"/>
  <c r="D73" i="62"/>
  <c r="C73" i="62"/>
  <c r="D72" i="62"/>
  <c r="C72" i="62"/>
  <c r="D71" i="62"/>
  <c r="C71" i="62"/>
  <c r="D70" i="62"/>
  <c r="C70" i="62"/>
  <c r="D69" i="62"/>
  <c r="C69" i="62"/>
  <c r="D68" i="62"/>
  <c r="C68" i="62"/>
  <c r="D67" i="62"/>
  <c r="C67" i="62"/>
  <c r="D66" i="62"/>
  <c r="C66" i="62"/>
  <c r="D65" i="62"/>
  <c r="C65" i="62"/>
  <c r="D64" i="62"/>
  <c r="C64" i="62"/>
  <c r="D60" i="62"/>
  <c r="C60" i="62"/>
  <c r="D59" i="62"/>
  <c r="C59" i="62"/>
  <c r="D58" i="62"/>
  <c r="C58" i="62"/>
  <c r="D57" i="62"/>
  <c r="C57" i="62"/>
  <c r="D56" i="62"/>
  <c r="C56" i="62"/>
  <c r="D55" i="62"/>
  <c r="C55" i="62"/>
  <c r="D54" i="62"/>
  <c r="C54" i="62"/>
  <c r="D53" i="62"/>
  <c r="C53" i="62"/>
  <c r="D52" i="62"/>
  <c r="C52" i="62"/>
  <c r="D51" i="62"/>
  <c r="C51" i="62"/>
  <c r="D50" i="62"/>
  <c r="C50" i="62"/>
  <c r="D49" i="62"/>
  <c r="C49" i="62"/>
  <c r="D48" i="62"/>
  <c r="C48" i="62"/>
  <c r="D47" i="62"/>
  <c r="C47" i="62"/>
  <c r="D46" i="62"/>
  <c r="C46" i="62"/>
  <c r="D45" i="62"/>
  <c r="C45" i="62"/>
  <c r="D44" i="62"/>
  <c r="C44" i="62"/>
  <c r="D43" i="62"/>
  <c r="C43" i="62"/>
  <c r="D42" i="62"/>
  <c r="C42" i="62"/>
  <c r="D41" i="62"/>
  <c r="C41" i="62"/>
  <c r="D40" i="62"/>
  <c r="C40" i="62"/>
  <c r="D39" i="62"/>
  <c r="C39" i="62"/>
  <c r="D38" i="62"/>
  <c r="C38" i="62"/>
  <c r="D37" i="62"/>
  <c r="C37" i="62"/>
  <c r="D36" i="62"/>
  <c r="C36" i="62"/>
  <c r="D35" i="62"/>
  <c r="C35" i="62"/>
  <c r="D34" i="62"/>
  <c r="C34" i="62"/>
  <c r="D33" i="62"/>
  <c r="C33" i="62"/>
  <c r="D32" i="62"/>
  <c r="C32" i="62"/>
  <c r="D31" i="62"/>
  <c r="C31" i="62"/>
  <c r="D30" i="62"/>
  <c r="C30" i="62"/>
  <c r="D29" i="62"/>
  <c r="C29" i="62"/>
  <c r="D28" i="62"/>
  <c r="C28" i="62"/>
  <c r="D27" i="62"/>
  <c r="C27" i="62"/>
  <c r="D26" i="62"/>
  <c r="C26" i="62"/>
  <c r="D25" i="62"/>
  <c r="C25" i="62"/>
  <c r="D20" i="62"/>
  <c r="C20" i="62"/>
  <c r="D19" i="62"/>
  <c r="C19" i="62"/>
  <c r="D18" i="62"/>
  <c r="C18" i="62"/>
  <c r="D17" i="62"/>
  <c r="C17" i="62"/>
  <c r="D16" i="62"/>
  <c r="C16" i="62"/>
  <c r="D15" i="62"/>
  <c r="C15" i="62"/>
  <c r="D14" i="62"/>
  <c r="C14" i="62"/>
  <c r="D13" i="62"/>
  <c r="C13" i="62"/>
  <c r="D12" i="62"/>
  <c r="C12" i="62"/>
  <c r="D11" i="62"/>
  <c r="C11" i="62"/>
  <c r="C197" i="62"/>
  <c r="D197" i="62"/>
  <c r="D206" i="62"/>
  <c r="C206" i="62"/>
  <c r="C119" i="62"/>
  <c r="D93" i="62"/>
  <c r="D119" i="62"/>
  <c r="D161" i="62"/>
  <c r="C79" i="62"/>
  <c r="C228" i="62"/>
  <c r="C21" i="62"/>
  <c r="C61" i="62"/>
  <c r="C93" i="62"/>
  <c r="C102" i="62"/>
  <c r="C111" i="62"/>
  <c r="C161" i="62"/>
  <c r="D21" i="62"/>
  <c r="D79" i="62"/>
  <c r="D102" i="62"/>
  <c r="D111" i="62"/>
  <c r="D61" i="62"/>
  <c r="C208" i="62"/>
  <c r="C212" i="62"/>
  <c r="D208" i="62"/>
  <c r="D215" i="62"/>
  <c r="C215" i="62"/>
  <c r="C238" i="27"/>
  <c r="C237" i="27"/>
  <c r="C236" i="27"/>
  <c r="C235" i="27"/>
  <c r="C233" i="27"/>
  <c r="C232" i="27"/>
  <c r="C231" i="27"/>
  <c r="D228" i="27"/>
  <c r="C227" i="27"/>
  <c r="C226" i="27"/>
  <c r="C225" i="27"/>
  <c r="C224" i="27"/>
  <c r="C223" i="27"/>
  <c r="C222" i="27"/>
  <c r="C221" i="27"/>
  <c r="C220" i="27"/>
  <c r="C219" i="27"/>
  <c r="C211" i="27"/>
  <c r="D205" i="27"/>
  <c r="C205" i="27"/>
  <c r="D204" i="27"/>
  <c r="C204" i="27"/>
  <c r="D203" i="27"/>
  <c r="C203" i="27"/>
  <c r="D202" i="27"/>
  <c r="C202" i="27"/>
  <c r="D201" i="27"/>
  <c r="C201" i="27"/>
  <c r="D200" i="27"/>
  <c r="C200" i="27"/>
  <c r="D196" i="27"/>
  <c r="C196" i="27"/>
  <c r="D195" i="27"/>
  <c r="C195" i="27"/>
  <c r="D194" i="27"/>
  <c r="C194" i="27"/>
  <c r="D193" i="27"/>
  <c r="C193" i="27"/>
  <c r="D192" i="27"/>
  <c r="C192" i="27"/>
  <c r="D191" i="27"/>
  <c r="C191" i="27"/>
  <c r="D190" i="27"/>
  <c r="C190" i="27"/>
  <c r="D189" i="27"/>
  <c r="C189" i="27"/>
  <c r="D188" i="27"/>
  <c r="C188" i="27"/>
  <c r="D187" i="27"/>
  <c r="C187" i="27"/>
  <c r="D186" i="27"/>
  <c r="C186" i="27"/>
  <c r="D185" i="27"/>
  <c r="C185" i="27"/>
  <c r="D184" i="27"/>
  <c r="C184" i="27"/>
  <c r="D183" i="27"/>
  <c r="C183" i="27"/>
  <c r="D182" i="27"/>
  <c r="C182" i="27"/>
  <c r="D181" i="27"/>
  <c r="C181" i="27"/>
  <c r="D180" i="27"/>
  <c r="C180" i="27"/>
  <c r="D179" i="27"/>
  <c r="C179" i="27"/>
  <c r="D178" i="27"/>
  <c r="C178" i="27"/>
  <c r="D177" i="27"/>
  <c r="C177" i="27"/>
  <c r="D176" i="27"/>
  <c r="C176" i="27"/>
  <c r="D175" i="27"/>
  <c r="C175" i="27"/>
  <c r="D174" i="27"/>
  <c r="C174" i="27"/>
  <c r="D173" i="27"/>
  <c r="C173" i="27"/>
  <c r="D172" i="27"/>
  <c r="C172" i="27"/>
  <c r="D171" i="27"/>
  <c r="C171" i="27"/>
  <c r="D170" i="27"/>
  <c r="C170" i="27"/>
  <c r="D169" i="27"/>
  <c r="C169" i="27"/>
  <c r="D168" i="27"/>
  <c r="C168" i="27"/>
  <c r="D167" i="27"/>
  <c r="C167" i="27"/>
  <c r="D166" i="27"/>
  <c r="C166" i="27"/>
  <c r="D165" i="27"/>
  <c r="C165" i="27"/>
  <c r="D164" i="27"/>
  <c r="C164" i="27"/>
  <c r="D160" i="27"/>
  <c r="C160" i="27"/>
  <c r="D159" i="27"/>
  <c r="C159" i="27"/>
  <c r="D158" i="27"/>
  <c r="C158" i="27"/>
  <c r="D157" i="27"/>
  <c r="C157" i="27"/>
  <c r="D156" i="27"/>
  <c r="C156" i="27"/>
  <c r="D155" i="27"/>
  <c r="C155" i="27"/>
  <c r="D153" i="27"/>
  <c r="C153" i="27"/>
  <c r="D152" i="27"/>
  <c r="C152" i="27"/>
  <c r="D151" i="27"/>
  <c r="C151" i="27"/>
  <c r="D150" i="27"/>
  <c r="C150" i="27"/>
  <c r="D149" i="27"/>
  <c r="C149" i="27"/>
  <c r="D148" i="27"/>
  <c r="C148" i="27"/>
  <c r="D147" i="27"/>
  <c r="C147" i="27"/>
  <c r="D146" i="27"/>
  <c r="C146" i="27"/>
  <c r="D145" i="27"/>
  <c r="C145" i="27"/>
  <c r="D143" i="27"/>
  <c r="C143" i="27"/>
  <c r="D142" i="27"/>
  <c r="C142" i="27"/>
  <c r="D141" i="27"/>
  <c r="C141" i="27"/>
  <c r="D140" i="27"/>
  <c r="C140" i="27"/>
  <c r="D138" i="27"/>
  <c r="C138" i="27"/>
  <c r="D137" i="27"/>
  <c r="C137" i="27"/>
  <c r="D136" i="27"/>
  <c r="C136" i="27"/>
  <c r="D135" i="27"/>
  <c r="C135" i="27"/>
  <c r="D133" i="27"/>
  <c r="C133" i="27"/>
  <c r="D132" i="27"/>
  <c r="C132" i="27"/>
  <c r="D131" i="27"/>
  <c r="C131" i="27"/>
  <c r="D130" i="27"/>
  <c r="C130" i="27"/>
  <c r="D129" i="27"/>
  <c r="C129" i="27"/>
  <c r="D127" i="27"/>
  <c r="C127" i="27"/>
  <c r="D126" i="27"/>
  <c r="C126" i="27"/>
  <c r="D125" i="27"/>
  <c r="C125" i="27"/>
  <c r="D124" i="27"/>
  <c r="C124" i="27"/>
  <c r="D123" i="27"/>
  <c r="C123" i="27"/>
  <c r="D118" i="27"/>
  <c r="C118" i="27"/>
  <c r="D117" i="27"/>
  <c r="C117" i="27"/>
  <c r="D116" i="27"/>
  <c r="C116" i="27"/>
  <c r="D115" i="27"/>
  <c r="C115" i="27"/>
  <c r="D114" i="27"/>
  <c r="C114" i="27"/>
  <c r="D110" i="27"/>
  <c r="C110" i="27"/>
  <c r="D109" i="27"/>
  <c r="C109" i="27"/>
  <c r="D108" i="27"/>
  <c r="C108" i="27"/>
  <c r="D107" i="27"/>
  <c r="C107" i="27"/>
  <c r="D106" i="27"/>
  <c r="C106" i="27"/>
  <c r="D105" i="27"/>
  <c r="C105" i="27"/>
  <c r="D101" i="27"/>
  <c r="C101" i="27"/>
  <c r="D100" i="27"/>
  <c r="C100" i="27"/>
  <c r="D99" i="27"/>
  <c r="C99" i="27"/>
  <c r="D98" i="27"/>
  <c r="C98" i="27"/>
  <c r="D97" i="27"/>
  <c r="C97" i="27"/>
  <c r="D96" i="27"/>
  <c r="C96" i="27"/>
  <c r="D92" i="27"/>
  <c r="C92" i="27"/>
  <c r="D91" i="27"/>
  <c r="C91" i="27"/>
  <c r="D90" i="27"/>
  <c r="C90" i="27"/>
  <c r="D89" i="27"/>
  <c r="C89" i="27"/>
  <c r="D88" i="27"/>
  <c r="C88" i="27"/>
  <c r="D87" i="27"/>
  <c r="C87" i="27"/>
  <c r="D86" i="27"/>
  <c r="C86" i="27"/>
  <c r="D85" i="27"/>
  <c r="C85" i="27"/>
  <c r="D84" i="27"/>
  <c r="C84" i="27"/>
  <c r="D83" i="27"/>
  <c r="C83" i="27"/>
  <c r="D82" i="27"/>
  <c r="C82" i="27"/>
  <c r="D78" i="27"/>
  <c r="C78" i="27"/>
  <c r="D77" i="27"/>
  <c r="C77" i="27"/>
  <c r="D76" i="27"/>
  <c r="C76" i="27"/>
  <c r="D75" i="27"/>
  <c r="C75" i="27"/>
  <c r="D74" i="27"/>
  <c r="C74" i="27"/>
  <c r="D73" i="27"/>
  <c r="C73" i="27"/>
  <c r="D72" i="27"/>
  <c r="C72" i="27"/>
  <c r="D71" i="27"/>
  <c r="C71" i="27"/>
  <c r="D70" i="27"/>
  <c r="C70" i="27"/>
  <c r="D69" i="27"/>
  <c r="C69" i="27"/>
  <c r="D68" i="27"/>
  <c r="C68" i="27"/>
  <c r="D67" i="27"/>
  <c r="C67" i="27"/>
  <c r="D66" i="27"/>
  <c r="C66" i="27"/>
  <c r="D65" i="27"/>
  <c r="C65" i="27"/>
  <c r="D64" i="27"/>
  <c r="C64" i="27"/>
  <c r="D60" i="27"/>
  <c r="C60" i="27"/>
  <c r="D59" i="27"/>
  <c r="C59" i="27"/>
  <c r="D58" i="27"/>
  <c r="C58" i="27"/>
  <c r="D57" i="27"/>
  <c r="C57" i="27"/>
  <c r="D56" i="27"/>
  <c r="C56" i="27"/>
  <c r="D55" i="27"/>
  <c r="C55" i="27"/>
  <c r="D54" i="27"/>
  <c r="C54" i="27"/>
  <c r="D53" i="27"/>
  <c r="C53" i="27"/>
  <c r="D52" i="27"/>
  <c r="C52" i="27"/>
  <c r="D51" i="27"/>
  <c r="C51" i="27"/>
  <c r="D50" i="27"/>
  <c r="C50" i="27"/>
  <c r="D49" i="27"/>
  <c r="C49" i="27"/>
  <c r="D48" i="27"/>
  <c r="C48" i="27"/>
  <c r="D47" i="27"/>
  <c r="C47" i="27"/>
  <c r="D46" i="27"/>
  <c r="C46" i="27"/>
  <c r="D45" i="27"/>
  <c r="C45" i="27"/>
  <c r="D44" i="27"/>
  <c r="C44" i="27"/>
  <c r="D43" i="27"/>
  <c r="C43" i="27"/>
  <c r="D42" i="27"/>
  <c r="C42" i="27"/>
  <c r="D41" i="27"/>
  <c r="C41" i="27"/>
  <c r="D40" i="27"/>
  <c r="C40" i="27"/>
  <c r="D39" i="27"/>
  <c r="C39" i="27"/>
  <c r="D38" i="27"/>
  <c r="C38" i="27"/>
  <c r="D37" i="27"/>
  <c r="C37" i="27"/>
  <c r="D36" i="27"/>
  <c r="C36" i="27"/>
  <c r="D35" i="27"/>
  <c r="C35" i="27"/>
  <c r="D34" i="27"/>
  <c r="C34" i="27"/>
  <c r="D33" i="27"/>
  <c r="C33" i="27"/>
  <c r="D32" i="27"/>
  <c r="C32" i="27"/>
  <c r="D31" i="27"/>
  <c r="C31" i="27"/>
  <c r="D30" i="27"/>
  <c r="C30" i="27"/>
  <c r="D29" i="27"/>
  <c r="C29" i="27"/>
  <c r="D28" i="27"/>
  <c r="C28" i="27"/>
  <c r="D27" i="27"/>
  <c r="C27" i="27"/>
  <c r="D26" i="27"/>
  <c r="C26" i="27"/>
  <c r="D25" i="27"/>
  <c r="C25" i="27"/>
  <c r="D20" i="27"/>
  <c r="C20" i="27"/>
  <c r="D19" i="27"/>
  <c r="C19" i="27"/>
  <c r="D18" i="27"/>
  <c r="C18" i="27"/>
  <c r="D17" i="27"/>
  <c r="C17" i="27"/>
  <c r="D16" i="27"/>
  <c r="C16" i="27"/>
  <c r="D15" i="27"/>
  <c r="C15" i="27"/>
  <c r="D14" i="27"/>
  <c r="C14" i="27"/>
  <c r="D13" i="27"/>
  <c r="C13" i="27"/>
  <c r="D12" i="27"/>
  <c r="C12" i="27"/>
  <c r="D11" i="27"/>
  <c r="C11" i="27"/>
  <c r="C79" i="27"/>
  <c r="C197" i="27"/>
  <c r="D206" i="27"/>
  <c r="C21" i="27"/>
  <c r="C102" i="27"/>
  <c r="C119" i="27"/>
  <c r="D93" i="27"/>
  <c r="C228" i="27"/>
  <c r="D21" i="27"/>
  <c r="D79" i="27"/>
  <c r="D102" i="27"/>
  <c r="D111" i="27"/>
  <c r="D119" i="27"/>
  <c r="D161" i="27"/>
  <c r="D197" i="27"/>
  <c r="C93" i="27"/>
  <c r="C111" i="27"/>
  <c r="C161" i="27"/>
  <c r="C206" i="27"/>
  <c r="C61" i="27"/>
  <c r="D61" i="27"/>
  <c r="C208" i="27"/>
  <c r="C212" i="27"/>
  <c r="D208" i="27"/>
  <c r="D215" i="27"/>
  <c r="C215" i="27"/>
  <c r="C238" i="149"/>
  <c r="C237" i="149"/>
  <c r="C236" i="149"/>
  <c r="C235" i="149"/>
  <c r="C233" i="149"/>
  <c r="C232" i="149"/>
  <c r="C231" i="149"/>
  <c r="D228" i="149"/>
  <c r="C227" i="149"/>
  <c r="C226" i="149"/>
  <c r="C225" i="149"/>
  <c r="C224" i="149"/>
  <c r="C223" i="149"/>
  <c r="C222" i="149"/>
  <c r="C221" i="149"/>
  <c r="C220" i="149"/>
  <c r="C219" i="149"/>
  <c r="C211" i="149"/>
  <c r="D205" i="149"/>
  <c r="C205" i="149"/>
  <c r="D204" i="149"/>
  <c r="C204" i="149"/>
  <c r="D203" i="149"/>
  <c r="C203" i="149"/>
  <c r="D202" i="149"/>
  <c r="C202" i="149"/>
  <c r="D201" i="149"/>
  <c r="C201" i="149"/>
  <c r="D200" i="149"/>
  <c r="C200" i="149"/>
  <c r="D196" i="149"/>
  <c r="C196" i="149"/>
  <c r="D195" i="149"/>
  <c r="C195" i="149"/>
  <c r="D194" i="149"/>
  <c r="C194" i="149"/>
  <c r="D193" i="149"/>
  <c r="C193" i="149"/>
  <c r="D192" i="149"/>
  <c r="C192" i="149"/>
  <c r="D191" i="149"/>
  <c r="C191" i="149"/>
  <c r="D190" i="149"/>
  <c r="C190" i="149"/>
  <c r="D189" i="149"/>
  <c r="C189" i="149"/>
  <c r="D188" i="149"/>
  <c r="C188" i="149"/>
  <c r="D187" i="149"/>
  <c r="C187" i="149"/>
  <c r="D186" i="149"/>
  <c r="C186" i="149"/>
  <c r="D185" i="149"/>
  <c r="C185" i="149"/>
  <c r="D184" i="149"/>
  <c r="C184" i="149"/>
  <c r="D183" i="149"/>
  <c r="C183" i="149"/>
  <c r="D182" i="149"/>
  <c r="C182" i="149"/>
  <c r="D181" i="149"/>
  <c r="C181" i="149"/>
  <c r="D180" i="149"/>
  <c r="C180" i="149"/>
  <c r="D179" i="149"/>
  <c r="C179" i="149"/>
  <c r="D178" i="149"/>
  <c r="C178" i="149"/>
  <c r="D177" i="149"/>
  <c r="C177" i="149"/>
  <c r="D176" i="149"/>
  <c r="C176" i="149"/>
  <c r="D175" i="149"/>
  <c r="C175" i="149"/>
  <c r="D174" i="149"/>
  <c r="C174" i="149"/>
  <c r="D173" i="149"/>
  <c r="C173" i="149"/>
  <c r="D172" i="149"/>
  <c r="C172" i="149"/>
  <c r="D171" i="149"/>
  <c r="C171" i="149"/>
  <c r="D170" i="149"/>
  <c r="C170" i="149"/>
  <c r="D169" i="149"/>
  <c r="C169" i="149"/>
  <c r="D168" i="149"/>
  <c r="C168" i="149"/>
  <c r="D167" i="149"/>
  <c r="C167" i="149"/>
  <c r="D166" i="149"/>
  <c r="C166" i="149"/>
  <c r="D165" i="149"/>
  <c r="C165" i="149"/>
  <c r="D164" i="149"/>
  <c r="C164" i="149"/>
  <c r="D160" i="149"/>
  <c r="C160" i="149"/>
  <c r="D159" i="149"/>
  <c r="C159" i="149"/>
  <c r="D158" i="149"/>
  <c r="C158" i="149"/>
  <c r="D157" i="149"/>
  <c r="C157" i="149"/>
  <c r="D156" i="149"/>
  <c r="C156" i="149"/>
  <c r="D155" i="149"/>
  <c r="C155" i="149"/>
  <c r="D153" i="149"/>
  <c r="C153" i="149"/>
  <c r="D152" i="149"/>
  <c r="C152" i="149"/>
  <c r="D151" i="149"/>
  <c r="C151" i="149"/>
  <c r="D150" i="149"/>
  <c r="C150" i="149"/>
  <c r="D149" i="149"/>
  <c r="C149" i="149"/>
  <c r="D148" i="149"/>
  <c r="C148" i="149"/>
  <c r="D147" i="149"/>
  <c r="C147" i="149"/>
  <c r="D146" i="149"/>
  <c r="C146" i="149"/>
  <c r="D145" i="149"/>
  <c r="C145" i="149"/>
  <c r="D143" i="149"/>
  <c r="C143" i="149"/>
  <c r="D142" i="149"/>
  <c r="C142" i="149"/>
  <c r="D141" i="149"/>
  <c r="C141" i="149"/>
  <c r="D140" i="149"/>
  <c r="C140" i="149"/>
  <c r="D138" i="149"/>
  <c r="C138" i="149"/>
  <c r="D137" i="149"/>
  <c r="C137" i="149"/>
  <c r="D136" i="149"/>
  <c r="C136" i="149"/>
  <c r="D135" i="149"/>
  <c r="C135" i="149"/>
  <c r="D133" i="149"/>
  <c r="C133" i="149"/>
  <c r="D132" i="149"/>
  <c r="C132" i="149"/>
  <c r="D131" i="149"/>
  <c r="C131" i="149"/>
  <c r="D130" i="149"/>
  <c r="C130" i="149"/>
  <c r="D129" i="149"/>
  <c r="C129" i="149"/>
  <c r="D127" i="149"/>
  <c r="C127" i="149"/>
  <c r="D126" i="149"/>
  <c r="C126" i="149"/>
  <c r="D125" i="149"/>
  <c r="C125" i="149"/>
  <c r="D124" i="149"/>
  <c r="C124" i="149"/>
  <c r="D123" i="149"/>
  <c r="C123" i="149"/>
  <c r="D118" i="149"/>
  <c r="C118" i="149"/>
  <c r="D117" i="149"/>
  <c r="C117" i="149"/>
  <c r="D116" i="149"/>
  <c r="C116" i="149"/>
  <c r="D115" i="149"/>
  <c r="C115" i="149"/>
  <c r="D114" i="149"/>
  <c r="C114" i="149"/>
  <c r="D110" i="149"/>
  <c r="C110" i="149"/>
  <c r="D109" i="149"/>
  <c r="C109" i="149"/>
  <c r="D108" i="149"/>
  <c r="C108" i="149"/>
  <c r="D107" i="149"/>
  <c r="C107" i="149"/>
  <c r="D106" i="149"/>
  <c r="C106" i="149"/>
  <c r="D105" i="149"/>
  <c r="C105" i="149"/>
  <c r="D101" i="149"/>
  <c r="C101" i="149"/>
  <c r="D100" i="149"/>
  <c r="C100" i="149"/>
  <c r="D99" i="149"/>
  <c r="C99" i="149"/>
  <c r="D98" i="149"/>
  <c r="C98" i="149"/>
  <c r="D97" i="149"/>
  <c r="C97" i="149"/>
  <c r="D96" i="149"/>
  <c r="C96" i="149"/>
  <c r="D92" i="149"/>
  <c r="C92" i="149"/>
  <c r="D91" i="149"/>
  <c r="C91" i="149"/>
  <c r="D90" i="149"/>
  <c r="C90" i="149"/>
  <c r="D89" i="149"/>
  <c r="C89" i="149"/>
  <c r="D88" i="149"/>
  <c r="C88" i="149"/>
  <c r="D87" i="149"/>
  <c r="C87" i="149"/>
  <c r="D86" i="149"/>
  <c r="C86" i="149"/>
  <c r="D85" i="149"/>
  <c r="C85" i="149"/>
  <c r="D84" i="149"/>
  <c r="C84" i="149"/>
  <c r="D83" i="149"/>
  <c r="C83" i="149"/>
  <c r="D82" i="149"/>
  <c r="C82" i="149"/>
  <c r="D78" i="149"/>
  <c r="C78" i="149"/>
  <c r="D77" i="149"/>
  <c r="C77" i="149"/>
  <c r="D76" i="149"/>
  <c r="C76" i="149"/>
  <c r="D75" i="149"/>
  <c r="C75" i="149"/>
  <c r="D74" i="149"/>
  <c r="C74" i="149"/>
  <c r="D73" i="149"/>
  <c r="C73" i="149"/>
  <c r="D72" i="149"/>
  <c r="C72" i="149"/>
  <c r="D71" i="149"/>
  <c r="C71" i="149"/>
  <c r="D70" i="149"/>
  <c r="C70" i="149"/>
  <c r="D69" i="149"/>
  <c r="C69" i="149"/>
  <c r="D68" i="149"/>
  <c r="C68" i="149"/>
  <c r="D67" i="149"/>
  <c r="C67" i="149"/>
  <c r="D66" i="149"/>
  <c r="C66" i="149"/>
  <c r="D65" i="149"/>
  <c r="C65" i="149"/>
  <c r="D64" i="149"/>
  <c r="C64" i="149"/>
  <c r="D60" i="149"/>
  <c r="C60" i="149"/>
  <c r="D59" i="149"/>
  <c r="C59" i="149"/>
  <c r="D58" i="149"/>
  <c r="C58" i="149"/>
  <c r="D57" i="149"/>
  <c r="C57" i="149"/>
  <c r="D56" i="149"/>
  <c r="C56" i="149"/>
  <c r="D55" i="149"/>
  <c r="C55" i="149"/>
  <c r="D54" i="149"/>
  <c r="C54" i="149"/>
  <c r="D53" i="149"/>
  <c r="C53" i="149"/>
  <c r="D52" i="149"/>
  <c r="C52" i="149"/>
  <c r="D51" i="149"/>
  <c r="C51" i="149"/>
  <c r="D50" i="149"/>
  <c r="C50" i="149"/>
  <c r="D49" i="149"/>
  <c r="C49" i="149"/>
  <c r="D48" i="149"/>
  <c r="C48" i="149"/>
  <c r="D47" i="149"/>
  <c r="C47" i="149"/>
  <c r="D46" i="149"/>
  <c r="C46" i="149"/>
  <c r="D45" i="149"/>
  <c r="C45" i="149"/>
  <c r="D44" i="149"/>
  <c r="C44" i="149"/>
  <c r="D43" i="149"/>
  <c r="C43" i="149"/>
  <c r="D42" i="149"/>
  <c r="C42" i="149"/>
  <c r="D41" i="149"/>
  <c r="C41" i="149"/>
  <c r="D40" i="149"/>
  <c r="C40" i="149"/>
  <c r="D39" i="149"/>
  <c r="C39" i="149"/>
  <c r="D38" i="149"/>
  <c r="C38" i="149"/>
  <c r="D37" i="149"/>
  <c r="C37" i="149"/>
  <c r="D36" i="149"/>
  <c r="C36" i="149"/>
  <c r="D35" i="149"/>
  <c r="C35" i="149"/>
  <c r="D34" i="149"/>
  <c r="C34" i="149"/>
  <c r="D33" i="149"/>
  <c r="C33" i="149"/>
  <c r="D32" i="149"/>
  <c r="C32" i="149"/>
  <c r="D31" i="149"/>
  <c r="C31" i="149"/>
  <c r="D30" i="149"/>
  <c r="C30" i="149"/>
  <c r="D29" i="149"/>
  <c r="C29" i="149"/>
  <c r="D28" i="149"/>
  <c r="C28" i="149"/>
  <c r="D27" i="149"/>
  <c r="C27" i="149"/>
  <c r="D26" i="149"/>
  <c r="C26" i="149"/>
  <c r="D25" i="149"/>
  <c r="C25" i="149"/>
  <c r="D20" i="149"/>
  <c r="C20" i="149"/>
  <c r="D19" i="149"/>
  <c r="C19" i="149"/>
  <c r="D18" i="149"/>
  <c r="C18" i="149"/>
  <c r="D17" i="149"/>
  <c r="C17" i="149"/>
  <c r="D16" i="149"/>
  <c r="C16" i="149"/>
  <c r="D15" i="149"/>
  <c r="C15" i="149"/>
  <c r="D14" i="149"/>
  <c r="C14" i="149"/>
  <c r="D13" i="149"/>
  <c r="C13" i="149"/>
  <c r="D12" i="149"/>
  <c r="C12" i="149"/>
  <c r="D11" i="149"/>
  <c r="C11" i="149"/>
  <c r="D79" i="149"/>
  <c r="D111" i="149"/>
  <c r="C111" i="149"/>
  <c r="C161" i="149"/>
  <c r="C197" i="149"/>
  <c r="C21" i="149"/>
  <c r="C93" i="149"/>
  <c r="C102" i="149"/>
  <c r="C119" i="149"/>
  <c r="C206" i="149"/>
  <c r="C228" i="149"/>
  <c r="D21" i="149"/>
  <c r="D93" i="149"/>
  <c r="D102" i="149"/>
  <c r="D119" i="149"/>
  <c r="D161" i="149"/>
  <c r="D197" i="149"/>
  <c r="D206" i="149"/>
  <c r="C79" i="149"/>
  <c r="C61" i="149"/>
  <c r="D61" i="149"/>
  <c r="C208" i="149"/>
  <c r="C212" i="149"/>
  <c r="D208" i="149"/>
  <c r="D215" i="149"/>
  <c r="C215" i="149"/>
  <c r="F87" i="149"/>
  <c r="F74" i="149"/>
  <c r="F65" i="149"/>
  <c r="F151" i="28"/>
  <c r="F74" i="28"/>
  <c r="F60" i="28"/>
  <c r="F224" i="33"/>
  <c r="F219" i="33"/>
  <c r="F151" i="33"/>
  <c r="F64" i="33"/>
  <c r="F14" i="33"/>
  <c r="F35" i="62"/>
  <c r="F73" i="177"/>
  <c r="F20" i="57"/>
  <c r="C238" i="37"/>
  <c r="C237" i="37"/>
  <c r="C236" i="37"/>
  <c r="C235" i="37"/>
  <c r="C232" i="37"/>
  <c r="C231" i="37"/>
  <c r="D228" i="37"/>
  <c r="C227" i="37"/>
  <c r="C226" i="37"/>
  <c r="C225" i="37"/>
  <c r="C224" i="37"/>
  <c r="C223" i="37"/>
  <c r="C222" i="37"/>
  <c r="C221" i="37"/>
  <c r="C220" i="37"/>
  <c r="C219" i="37"/>
  <c r="C211" i="37"/>
  <c r="D205" i="37"/>
  <c r="C205" i="37"/>
  <c r="D204" i="37"/>
  <c r="C204" i="37"/>
  <c r="D203" i="37"/>
  <c r="C203" i="37"/>
  <c r="D202" i="37"/>
  <c r="C202" i="37"/>
  <c r="D201" i="37"/>
  <c r="C201" i="37"/>
  <c r="D200" i="37"/>
  <c r="C200" i="37"/>
  <c r="D196" i="37"/>
  <c r="C196" i="37"/>
  <c r="D195" i="37"/>
  <c r="C195" i="37"/>
  <c r="D194" i="37"/>
  <c r="C194" i="37"/>
  <c r="D193" i="37"/>
  <c r="C193" i="37"/>
  <c r="D192" i="37"/>
  <c r="C192" i="37"/>
  <c r="D191" i="37"/>
  <c r="C191" i="37"/>
  <c r="D190" i="37"/>
  <c r="C190" i="37"/>
  <c r="D189" i="37"/>
  <c r="C189" i="37"/>
  <c r="D188" i="37"/>
  <c r="C188" i="37"/>
  <c r="D187" i="37"/>
  <c r="C187" i="37"/>
  <c r="D186" i="37"/>
  <c r="C186" i="37"/>
  <c r="D185" i="37"/>
  <c r="C185" i="37"/>
  <c r="D184" i="37"/>
  <c r="C184" i="37"/>
  <c r="D183" i="37"/>
  <c r="C183" i="37"/>
  <c r="D182" i="37"/>
  <c r="C182" i="37"/>
  <c r="D181" i="37"/>
  <c r="C181" i="37"/>
  <c r="D180" i="37"/>
  <c r="C180" i="37"/>
  <c r="D179" i="37"/>
  <c r="C179" i="37"/>
  <c r="D178" i="37"/>
  <c r="C178" i="37"/>
  <c r="D177" i="37"/>
  <c r="C177" i="37"/>
  <c r="D176" i="37"/>
  <c r="C176" i="37"/>
  <c r="D175" i="37"/>
  <c r="C175" i="37"/>
  <c r="D174" i="37"/>
  <c r="C174" i="37"/>
  <c r="D173" i="37"/>
  <c r="C173" i="37"/>
  <c r="D172" i="37"/>
  <c r="C172" i="37"/>
  <c r="D171" i="37"/>
  <c r="C171" i="37"/>
  <c r="D170" i="37"/>
  <c r="C170" i="37"/>
  <c r="D169" i="37"/>
  <c r="C169" i="37"/>
  <c r="D168" i="37"/>
  <c r="C168" i="37"/>
  <c r="D167" i="37"/>
  <c r="C167" i="37"/>
  <c r="D166" i="37"/>
  <c r="C166" i="37"/>
  <c r="D165" i="37"/>
  <c r="C165" i="37"/>
  <c r="D164" i="37"/>
  <c r="C164" i="37"/>
  <c r="D160" i="37"/>
  <c r="C160" i="37"/>
  <c r="D159" i="37"/>
  <c r="C159" i="37"/>
  <c r="D158" i="37"/>
  <c r="C158" i="37"/>
  <c r="D157" i="37"/>
  <c r="C157" i="37"/>
  <c r="D156" i="37"/>
  <c r="C156" i="37"/>
  <c r="D155" i="37"/>
  <c r="C155" i="37"/>
  <c r="D153" i="37"/>
  <c r="C153" i="37"/>
  <c r="D152" i="37"/>
  <c r="C152" i="37"/>
  <c r="D151" i="37"/>
  <c r="C151" i="37"/>
  <c r="D150" i="37"/>
  <c r="C150" i="37"/>
  <c r="D149" i="37"/>
  <c r="C149" i="37"/>
  <c r="D148" i="37"/>
  <c r="C148" i="37"/>
  <c r="D147" i="37"/>
  <c r="C147" i="37"/>
  <c r="D146" i="37"/>
  <c r="C146" i="37"/>
  <c r="D145" i="37"/>
  <c r="C145" i="37"/>
  <c r="D143" i="37"/>
  <c r="C143" i="37"/>
  <c r="D142" i="37"/>
  <c r="C142" i="37"/>
  <c r="D141" i="37"/>
  <c r="C141" i="37"/>
  <c r="D140" i="37"/>
  <c r="C140" i="37"/>
  <c r="D138" i="37"/>
  <c r="C138" i="37"/>
  <c r="D137" i="37"/>
  <c r="C137" i="37"/>
  <c r="D136" i="37"/>
  <c r="C136" i="37"/>
  <c r="D135" i="37"/>
  <c r="C135" i="37"/>
  <c r="D133" i="37"/>
  <c r="C133" i="37"/>
  <c r="D132" i="37"/>
  <c r="C132" i="37"/>
  <c r="D131" i="37"/>
  <c r="C131" i="37"/>
  <c r="D130" i="37"/>
  <c r="C130" i="37"/>
  <c r="D129" i="37"/>
  <c r="C129" i="37"/>
  <c r="D127" i="37"/>
  <c r="C127" i="37"/>
  <c r="D126" i="37"/>
  <c r="C126" i="37"/>
  <c r="D125" i="37"/>
  <c r="C125" i="37"/>
  <c r="D124" i="37"/>
  <c r="C124" i="37"/>
  <c r="D123" i="37"/>
  <c r="C123" i="37"/>
  <c r="D118" i="37"/>
  <c r="C118" i="37"/>
  <c r="D117" i="37"/>
  <c r="C117" i="37"/>
  <c r="D116" i="37"/>
  <c r="C116" i="37"/>
  <c r="D115" i="37"/>
  <c r="C115" i="37"/>
  <c r="D114" i="37"/>
  <c r="C114" i="37"/>
  <c r="D110" i="37"/>
  <c r="C110" i="37"/>
  <c r="D109" i="37"/>
  <c r="C109" i="37"/>
  <c r="D108" i="37"/>
  <c r="C108" i="37"/>
  <c r="D107" i="37"/>
  <c r="C107" i="37"/>
  <c r="D106" i="37"/>
  <c r="C106" i="37"/>
  <c r="D105" i="37"/>
  <c r="C105" i="37"/>
  <c r="D101" i="37"/>
  <c r="C101" i="37"/>
  <c r="D100" i="37"/>
  <c r="C100" i="37"/>
  <c r="D99" i="37"/>
  <c r="C99" i="37"/>
  <c r="D98" i="37"/>
  <c r="C98" i="37"/>
  <c r="D97" i="37"/>
  <c r="C97" i="37"/>
  <c r="D96" i="37"/>
  <c r="C96" i="37"/>
  <c r="D92" i="37"/>
  <c r="C92" i="37"/>
  <c r="D91" i="37"/>
  <c r="C91" i="37"/>
  <c r="D90" i="37"/>
  <c r="C90" i="37"/>
  <c r="D89" i="37"/>
  <c r="C89" i="37"/>
  <c r="D88" i="37"/>
  <c r="C88" i="37"/>
  <c r="D87" i="37"/>
  <c r="C87" i="37"/>
  <c r="D86" i="37"/>
  <c r="C86" i="37"/>
  <c r="D85" i="37"/>
  <c r="C85" i="37"/>
  <c r="D84" i="37"/>
  <c r="C84" i="37"/>
  <c r="D83" i="37"/>
  <c r="C83" i="37"/>
  <c r="D82" i="37"/>
  <c r="C82" i="37"/>
  <c r="D78" i="37"/>
  <c r="C78" i="37"/>
  <c r="D77" i="37"/>
  <c r="C77" i="37"/>
  <c r="D76" i="37"/>
  <c r="C76" i="37"/>
  <c r="D75" i="37"/>
  <c r="C75" i="37"/>
  <c r="D74" i="37"/>
  <c r="C74" i="37"/>
  <c r="D73" i="37"/>
  <c r="C73" i="37"/>
  <c r="D72" i="37"/>
  <c r="C72" i="37"/>
  <c r="D71" i="37"/>
  <c r="C71" i="37"/>
  <c r="D70" i="37"/>
  <c r="C70" i="37"/>
  <c r="D69" i="37"/>
  <c r="C69" i="37"/>
  <c r="D68" i="37"/>
  <c r="C68" i="37"/>
  <c r="D67" i="37"/>
  <c r="C67" i="37"/>
  <c r="D66" i="37"/>
  <c r="C66" i="37"/>
  <c r="D65" i="37"/>
  <c r="C65" i="37"/>
  <c r="D64" i="37"/>
  <c r="C64" i="37"/>
  <c r="D60" i="37"/>
  <c r="C60" i="37"/>
  <c r="D59" i="37"/>
  <c r="C59" i="37"/>
  <c r="D58" i="37"/>
  <c r="C58" i="37"/>
  <c r="D57" i="37"/>
  <c r="C57" i="37"/>
  <c r="D56" i="37"/>
  <c r="C56" i="37"/>
  <c r="D55" i="37"/>
  <c r="C55" i="37"/>
  <c r="D54" i="37"/>
  <c r="C54" i="37"/>
  <c r="D53" i="37"/>
  <c r="C53" i="37"/>
  <c r="D52" i="37"/>
  <c r="C52" i="37"/>
  <c r="D51" i="37"/>
  <c r="C51" i="37"/>
  <c r="D50" i="37"/>
  <c r="C50" i="37"/>
  <c r="D49" i="37"/>
  <c r="C49" i="37"/>
  <c r="D48" i="37"/>
  <c r="C48" i="37"/>
  <c r="D47" i="37"/>
  <c r="C47" i="37"/>
  <c r="D46" i="37"/>
  <c r="C46" i="37"/>
  <c r="D45" i="37"/>
  <c r="C45" i="37"/>
  <c r="D44" i="37"/>
  <c r="C44" i="37"/>
  <c r="D43" i="37"/>
  <c r="C43" i="37"/>
  <c r="D42" i="37"/>
  <c r="C42" i="37"/>
  <c r="D41" i="37"/>
  <c r="C41" i="37"/>
  <c r="D40" i="37"/>
  <c r="C40" i="37"/>
  <c r="D39" i="37"/>
  <c r="C39" i="37"/>
  <c r="D38" i="37"/>
  <c r="C38" i="37"/>
  <c r="D37" i="37"/>
  <c r="C37" i="37"/>
  <c r="D36" i="37"/>
  <c r="C36" i="37"/>
  <c r="D35" i="37"/>
  <c r="C35" i="37"/>
  <c r="D34" i="37"/>
  <c r="C34" i="37"/>
  <c r="D33" i="37"/>
  <c r="C33" i="37"/>
  <c r="D32" i="37"/>
  <c r="C32" i="37"/>
  <c r="D31" i="37"/>
  <c r="C31" i="37"/>
  <c r="D30" i="37"/>
  <c r="C30" i="37"/>
  <c r="D29" i="37"/>
  <c r="C29" i="37"/>
  <c r="D28" i="37"/>
  <c r="C28" i="37"/>
  <c r="D27" i="37"/>
  <c r="C27" i="37"/>
  <c r="D26" i="37"/>
  <c r="C26" i="37"/>
  <c r="D25" i="37"/>
  <c r="C25" i="37"/>
  <c r="D20" i="37"/>
  <c r="C20" i="37"/>
  <c r="D19" i="37"/>
  <c r="C19" i="37"/>
  <c r="D18" i="37"/>
  <c r="C18" i="37"/>
  <c r="D17" i="37"/>
  <c r="C17" i="37"/>
  <c r="D16" i="37"/>
  <c r="C16" i="37"/>
  <c r="D15" i="37"/>
  <c r="C15" i="37"/>
  <c r="D14" i="37"/>
  <c r="C14" i="37"/>
  <c r="D13" i="37"/>
  <c r="C13" i="37"/>
  <c r="D12" i="37"/>
  <c r="C12" i="37"/>
  <c r="D11" i="37"/>
  <c r="C11" i="37"/>
  <c r="C228" i="37"/>
  <c r="C119" i="37"/>
  <c r="D119" i="37"/>
  <c r="C102" i="37"/>
  <c r="C206" i="37"/>
  <c r="D93" i="37"/>
  <c r="D197" i="37"/>
  <c r="D206" i="37"/>
  <c r="C79" i="37"/>
  <c r="C21" i="37"/>
  <c r="D102" i="37"/>
  <c r="C61" i="37"/>
  <c r="C111" i="37"/>
  <c r="C161" i="37"/>
  <c r="C93" i="37"/>
  <c r="C197" i="37"/>
  <c r="D21" i="37"/>
  <c r="D79" i="37"/>
  <c r="D111" i="37"/>
  <c r="D161" i="37"/>
  <c r="D61" i="37"/>
  <c r="C208" i="37"/>
  <c r="C212" i="37"/>
  <c r="D208" i="37"/>
  <c r="D215" i="37"/>
  <c r="C215" i="37"/>
  <c r="F46" i="72"/>
  <c r="F20" i="72"/>
  <c r="F11" i="72"/>
  <c r="F58" i="72"/>
  <c r="F33" i="72"/>
  <c r="F39" i="72"/>
  <c r="F156" i="72"/>
  <c r="F38" i="72"/>
  <c r="F66" i="72"/>
  <c r="F65" i="72"/>
  <c r="F64" i="72"/>
  <c r="F60" i="72"/>
  <c r="F55" i="72"/>
  <c r="F31" i="72"/>
  <c r="F46" i="79"/>
  <c r="F65" i="79"/>
  <c r="F64" i="79"/>
  <c r="F149" i="79"/>
  <c r="F39" i="79"/>
  <c r="F20" i="79"/>
  <c r="F11" i="79"/>
  <c r="F46" i="37"/>
  <c r="F31" i="37"/>
  <c r="F20" i="37"/>
  <c r="F11" i="37"/>
  <c r="F46" i="85"/>
  <c r="F20" i="85"/>
  <c r="F11" i="85"/>
  <c r="F65" i="85"/>
  <c r="F64" i="85"/>
  <c r="F47" i="85"/>
  <c r="F72" i="85"/>
  <c r="F133" i="20"/>
  <c r="F127" i="20"/>
  <c r="F130" i="20"/>
  <c r="F124" i="20"/>
  <c r="F69" i="20"/>
  <c r="F74" i="20"/>
  <c r="F65" i="20"/>
  <c r="F205" i="20"/>
  <c r="F60" i="20"/>
  <c r="F34" i="20"/>
  <c r="F149" i="20"/>
  <c r="F160" i="20"/>
  <c r="F56" i="20"/>
  <c r="F36" i="20"/>
  <c r="F46" i="102"/>
  <c r="F90" i="102"/>
  <c r="F88" i="102"/>
  <c r="F20" i="102"/>
  <c r="F11" i="102"/>
  <c r="F65" i="102"/>
  <c r="F64" i="102"/>
  <c r="F20" i="19"/>
  <c r="F11" i="19"/>
  <c r="F46" i="19"/>
  <c r="F66" i="19"/>
  <c r="F65" i="19"/>
  <c r="F64" i="19"/>
  <c r="F108" i="19"/>
  <c r="F73" i="19"/>
  <c r="F25" i="19"/>
  <c r="F35" i="19"/>
  <c r="F36" i="104"/>
  <c r="F38" i="104"/>
  <c r="F39" i="104"/>
  <c r="F160" i="104"/>
  <c r="F202" i="104"/>
  <c r="F56" i="104"/>
  <c r="F36" i="106"/>
  <c r="F194" i="177"/>
  <c r="F151" i="177"/>
  <c r="F86" i="177"/>
  <c r="F85" i="177"/>
  <c r="F70" i="177"/>
  <c r="F69" i="177"/>
  <c r="F66" i="177"/>
  <c r="F65" i="177"/>
  <c r="F64" i="177"/>
  <c r="F56" i="177"/>
  <c r="F38" i="177"/>
  <c r="F35" i="177"/>
  <c r="F34" i="177"/>
  <c r="F34" i="33"/>
  <c r="F16" i="33"/>
  <c r="F203" i="145"/>
  <c r="F202" i="145"/>
  <c r="F201" i="145"/>
  <c r="F200" i="145"/>
  <c r="F156" i="145"/>
  <c r="F151" i="145"/>
  <c r="F145" i="145"/>
  <c r="F143" i="145"/>
  <c r="F138" i="145"/>
  <c r="F57" i="145"/>
  <c r="F56" i="145"/>
  <c r="F38" i="145"/>
  <c r="F34" i="145"/>
  <c r="F32" i="145"/>
  <c r="F20" i="145"/>
  <c r="F11" i="145"/>
  <c r="F30" i="145"/>
  <c r="F151" i="167"/>
  <c r="F88" i="167"/>
  <c r="F87" i="167"/>
  <c r="F76" i="167"/>
  <c r="F74" i="167"/>
  <c r="F73" i="167"/>
  <c r="F68" i="167"/>
  <c r="F67" i="167"/>
  <c r="F66" i="167"/>
  <c r="F65" i="167"/>
  <c r="F64" i="167"/>
  <c r="F56" i="167"/>
  <c r="F11" i="167"/>
  <c r="F74" i="57"/>
  <c r="F66" i="57"/>
  <c r="F65" i="57"/>
  <c r="F64" i="57"/>
  <c r="F57" i="57"/>
  <c r="F56" i="57"/>
  <c r="F30" i="57"/>
  <c r="F11" i="57"/>
  <c r="F202" i="55"/>
  <c r="F151" i="55"/>
  <c r="F97" i="55"/>
  <c r="F96" i="55"/>
  <c r="F74" i="55"/>
  <c r="F71" i="55"/>
  <c r="F66" i="55"/>
  <c r="F65" i="55"/>
  <c r="F60" i="55"/>
  <c r="F56" i="55"/>
  <c r="F36" i="55"/>
  <c r="F34" i="55"/>
  <c r="F33" i="55"/>
  <c r="F30" i="55"/>
  <c r="F25" i="55"/>
  <c r="F11" i="55"/>
  <c r="F88" i="111"/>
  <c r="F66" i="111"/>
  <c r="F65" i="111"/>
  <c r="F64" i="111"/>
  <c r="F36" i="111"/>
  <c r="F32" i="111"/>
  <c r="F65" i="113"/>
  <c r="F67" i="113"/>
  <c r="F11" i="113"/>
  <c r="F66" i="113"/>
  <c r="F64" i="113"/>
  <c r="F110" i="38"/>
  <c r="F92" i="38"/>
  <c r="F89" i="38"/>
  <c r="F64" i="38"/>
  <c r="F30" i="38"/>
  <c r="F11" i="38"/>
  <c r="F200" i="84"/>
  <c r="F151" i="84"/>
  <c r="F143" i="84"/>
  <c r="F142" i="84"/>
  <c r="F138" i="84"/>
  <c r="F137" i="84"/>
  <c r="F161" i="84"/>
  <c r="F96" i="84"/>
  <c r="F92" i="84"/>
  <c r="F64" i="84"/>
  <c r="F57" i="84"/>
  <c r="F56" i="84"/>
  <c r="F52" i="84"/>
  <c r="F51" i="84"/>
  <c r="F35" i="84"/>
  <c r="F34" i="84"/>
  <c r="F30" i="84"/>
  <c r="F20" i="84"/>
  <c r="F11" i="84"/>
  <c r="G244" i="178"/>
  <c r="G243" i="178"/>
  <c r="G242" i="178"/>
  <c r="G241" i="178"/>
  <c r="C238" i="178"/>
  <c r="C237" i="178"/>
  <c r="C236" i="178"/>
  <c r="C235" i="178"/>
  <c r="C233" i="178"/>
  <c r="C232" i="178"/>
  <c r="C231" i="178"/>
  <c r="D228" i="178"/>
  <c r="C219" i="178"/>
  <c r="C220" i="178"/>
  <c r="C221" i="178"/>
  <c r="C222" i="178"/>
  <c r="C223" i="178"/>
  <c r="C224" i="178"/>
  <c r="C225" i="178"/>
  <c r="C226" i="178"/>
  <c r="C227" i="178"/>
  <c r="D11" i="178"/>
  <c r="D12" i="178"/>
  <c r="D13" i="178"/>
  <c r="D14" i="178"/>
  <c r="D15" i="178"/>
  <c r="D16" i="178"/>
  <c r="D17" i="178"/>
  <c r="D18" i="178"/>
  <c r="D19" i="178"/>
  <c r="D20" i="178"/>
  <c r="D25" i="178"/>
  <c r="D26" i="178"/>
  <c r="D27" i="178"/>
  <c r="D28" i="178"/>
  <c r="D29" i="178"/>
  <c r="D30" i="178"/>
  <c r="D31" i="178"/>
  <c r="D32" i="178"/>
  <c r="D33" i="178"/>
  <c r="D34" i="178"/>
  <c r="D35" i="178"/>
  <c r="D36" i="178"/>
  <c r="D37" i="178"/>
  <c r="D38" i="178"/>
  <c r="D39" i="178"/>
  <c r="D40" i="178"/>
  <c r="D41" i="178"/>
  <c r="D42" i="178"/>
  <c r="D43" i="178"/>
  <c r="D44" i="178"/>
  <c r="D45" i="178"/>
  <c r="D46" i="178"/>
  <c r="D47" i="178"/>
  <c r="D48" i="178"/>
  <c r="D49" i="178"/>
  <c r="D50" i="178"/>
  <c r="D51" i="178"/>
  <c r="D52" i="178"/>
  <c r="D53" i="178"/>
  <c r="D54" i="178"/>
  <c r="D55" i="178"/>
  <c r="D56" i="178"/>
  <c r="D57" i="178"/>
  <c r="D58" i="178"/>
  <c r="D59" i="178"/>
  <c r="D60" i="178"/>
  <c r="D64" i="178"/>
  <c r="D65" i="178"/>
  <c r="D66" i="178"/>
  <c r="D67" i="178"/>
  <c r="D68" i="178"/>
  <c r="D69" i="178"/>
  <c r="D70" i="178"/>
  <c r="D71" i="178"/>
  <c r="D72" i="178"/>
  <c r="D73" i="178"/>
  <c r="D74" i="178"/>
  <c r="D75" i="178"/>
  <c r="D76" i="178"/>
  <c r="D77" i="178"/>
  <c r="D78" i="178"/>
  <c r="D82" i="178"/>
  <c r="D83" i="178"/>
  <c r="D84" i="178"/>
  <c r="D85" i="178"/>
  <c r="D86" i="178"/>
  <c r="D87" i="178"/>
  <c r="D88" i="178"/>
  <c r="D89" i="178"/>
  <c r="D90" i="178"/>
  <c r="D91" i="178"/>
  <c r="D92" i="178"/>
  <c r="D96" i="178"/>
  <c r="D97" i="178"/>
  <c r="D98" i="178"/>
  <c r="D99" i="178"/>
  <c r="D100" i="178"/>
  <c r="D101" i="178"/>
  <c r="D105" i="178"/>
  <c r="D106" i="178"/>
  <c r="D107" i="178"/>
  <c r="D108" i="178"/>
  <c r="D109" i="178"/>
  <c r="D110" i="178"/>
  <c r="D114" i="178"/>
  <c r="D115" i="178"/>
  <c r="D116" i="178"/>
  <c r="D117" i="178"/>
  <c r="D118" i="178"/>
  <c r="D123" i="178"/>
  <c r="D124" i="178"/>
  <c r="D125" i="178"/>
  <c r="D126" i="178"/>
  <c r="D127" i="178"/>
  <c r="D129" i="178"/>
  <c r="D130" i="178"/>
  <c r="D131" i="178"/>
  <c r="D132" i="178"/>
  <c r="D133" i="178"/>
  <c r="D135" i="178"/>
  <c r="D136" i="178"/>
  <c r="D137" i="178"/>
  <c r="D138" i="178"/>
  <c r="D140" i="178"/>
  <c r="D141" i="178"/>
  <c r="D142" i="178"/>
  <c r="D143" i="178"/>
  <c r="D145" i="178"/>
  <c r="D146" i="178"/>
  <c r="D147" i="178"/>
  <c r="D148" i="178"/>
  <c r="D149" i="178"/>
  <c r="D150" i="178"/>
  <c r="D151" i="178"/>
  <c r="D152" i="178"/>
  <c r="D153" i="178"/>
  <c r="D155" i="178"/>
  <c r="D156" i="178"/>
  <c r="D157" i="178"/>
  <c r="D158" i="178"/>
  <c r="D159" i="178"/>
  <c r="D160" i="178"/>
  <c r="D164" i="178"/>
  <c r="D165" i="178"/>
  <c r="D166" i="178"/>
  <c r="D167" i="178"/>
  <c r="D168" i="178"/>
  <c r="D169" i="178"/>
  <c r="D170" i="178"/>
  <c r="D171" i="178"/>
  <c r="D172" i="178"/>
  <c r="D173" i="178"/>
  <c r="D174" i="178"/>
  <c r="D175" i="178"/>
  <c r="D176" i="178"/>
  <c r="D177" i="178"/>
  <c r="D178" i="178"/>
  <c r="D179" i="178"/>
  <c r="D180" i="178"/>
  <c r="D181" i="178"/>
  <c r="D182" i="178"/>
  <c r="D183" i="178"/>
  <c r="D184" i="178"/>
  <c r="D185" i="178"/>
  <c r="D186" i="178"/>
  <c r="D187" i="178"/>
  <c r="D188" i="178"/>
  <c r="D189" i="178"/>
  <c r="D190" i="178"/>
  <c r="D191" i="178"/>
  <c r="D192" i="178"/>
  <c r="D193" i="178"/>
  <c r="D194" i="178"/>
  <c r="D195" i="178"/>
  <c r="D196" i="178"/>
  <c r="D200" i="178"/>
  <c r="D201" i="178"/>
  <c r="D202" i="178"/>
  <c r="D203" i="178"/>
  <c r="D204" i="178"/>
  <c r="D205" i="178"/>
  <c r="C11" i="178"/>
  <c r="C12" i="178"/>
  <c r="C13" i="178"/>
  <c r="C14" i="178"/>
  <c r="C15" i="178"/>
  <c r="C16" i="178"/>
  <c r="C17" i="178"/>
  <c r="C18" i="178"/>
  <c r="C19" i="178"/>
  <c r="C20" i="178"/>
  <c r="C25" i="178"/>
  <c r="C26" i="178"/>
  <c r="C27" i="178"/>
  <c r="C28" i="178"/>
  <c r="C29" i="178"/>
  <c r="C30" i="178"/>
  <c r="C31" i="178"/>
  <c r="C32" i="178"/>
  <c r="C33" i="178"/>
  <c r="C34" i="178"/>
  <c r="C35" i="178"/>
  <c r="C36" i="178"/>
  <c r="C37" i="178"/>
  <c r="C38" i="178"/>
  <c r="C39" i="178"/>
  <c r="C40" i="178"/>
  <c r="C41" i="178"/>
  <c r="C42" i="178"/>
  <c r="C43" i="178"/>
  <c r="C44" i="178"/>
  <c r="C45" i="178"/>
  <c r="C46" i="178"/>
  <c r="C47" i="178"/>
  <c r="C48" i="178"/>
  <c r="C49" i="178"/>
  <c r="C50" i="178"/>
  <c r="C51" i="178"/>
  <c r="C52" i="178"/>
  <c r="C53" i="178"/>
  <c r="C54" i="178"/>
  <c r="C55" i="178"/>
  <c r="C56" i="178"/>
  <c r="C57" i="178"/>
  <c r="C58" i="178"/>
  <c r="C59" i="178"/>
  <c r="C60" i="178"/>
  <c r="C64" i="178"/>
  <c r="C65" i="178"/>
  <c r="C66" i="178"/>
  <c r="C67" i="178"/>
  <c r="C68" i="178"/>
  <c r="C69" i="178"/>
  <c r="C70" i="178"/>
  <c r="C71" i="178"/>
  <c r="C72" i="178"/>
  <c r="C73" i="178"/>
  <c r="C74" i="178"/>
  <c r="C75" i="178"/>
  <c r="C76" i="178"/>
  <c r="C77" i="178"/>
  <c r="C78" i="178"/>
  <c r="C82" i="178"/>
  <c r="C83" i="178"/>
  <c r="C84" i="178"/>
  <c r="C85" i="178"/>
  <c r="C86" i="178"/>
  <c r="C87" i="178"/>
  <c r="C88" i="178"/>
  <c r="C89" i="178"/>
  <c r="C90" i="178"/>
  <c r="C91" i="178"/>
  <c r="C92" i="178"/>
  <c r="C96" i="178"/>
  <c r="C97" i="178"/>
  <c r="C98" i="178"/>
  <c r="C99" i="178"/>
  <c r="C100" i="178"/>
  <c r="C101" i="178"/>
  <c r="C105" i="178"/>
  <c r="C106" i="178"/>
  <c r="C107" i="178"/>
  <c r="C108" i="178"/>
  <c r="C109" i="178"/>
  <c r="C110" i="178"/>
  <c r="C114" i="178"/>
  <c r="C115" i="178"/>
  <c r="C116" i="178"/>
  <c r="C117" i="178"/>
  <c r="C118" i="178"/>
  <c r="C123" i="178"/>
  <c r="C124" i="178"/>
  <c r="C125" i="178"/>
  <c r="C126" i="178"/>
  <c r="C127" i="178"/>
  <c r="C129" i="178"/>
  <c r="C130" i="178"/>
  <c r="C131" i="178"/>
  <c r="C132" i="178"/>
  <c r="C133" i="178"/>
  <c r="C135" i="178"/>
  <c r="C136" i="178"/>
  <c r="C137" i="178"/>
  <c r="C138" i="178"/>
  <c r="C140" i="178"/>
  <c r="C141" i="178"/>
  <c r="C142" i="178"/>
  <c r="C143" i="178"/>
  <c r="C145" i="178"/>
  <c r="C146" i="178"/>
  <c r="C147" i="178"/>
  <c r="C148" i="178"/>
  <c r="C149" i="178"/>
  <c r="C150" i="178"/>
  <c r="C151" i="178"/>
  <c r="C152" i="178"/>
  <c r="C153" i="178"/>
  <c r="C155" i="178"/>
  <c r="C156" i="178"/>
  <c r="C157" i="178"/>
  <c r="C158" i="178"/>
  <c r="C159" i="178"/>
  <c r="C160" i="178"/>
  <c r="C164" i="178"/>
  <c r="C165" i="178"/>
  <c r="C166" i="178"/>
  <c r="C167" i="178"/>
  <c r="C168" i="178"/>
  <c r="C169" i="178"/>
  <c r="C170" i="178"/>
  <c r="C171" i="178"/>
  <c r="C172" i="178"/>
  <c r="C173" i="178"/>
  <c r="C174" i="178"/>
  <c r="C175" i="178"/>
  <c r="C176" i="178"/>
  <c r="C177" i="178"/>
  <c r="C178" i="178"/>
  <c r="C179" i="178"/>
  <c r="C180" i="178"/>
  <c r="C181" i="178"/>
  <c r="C182" i="178"/>
  <c r="C183" i="178"/>
  <c r="C184" i="178"/>
  <c r="C185" i="178"/>
  <c r="C186" i="178"/>
  <c r="C187" i="178"/>
  <c r="C188" i="178"/>
  <c r="C189" i="178"/>
  <c r="C190" i="178"/>
  <c r="C191" i="178"/>
  <c r="C192" i="178"/>
  <c r="C193" i="178"/>
  <c r="C194" i="178"/>
  <c r="C195" i="178"/>
  <c r="C196" i="178"/>
  <c r="C200" i="178"/>
  <c r="C201" i="178"/>
  <c r="C202" i="178"/>
  <c r="C203" i="178"/>
  <c r="C204" i="178"/>
  <c r="C205" i="178"/>
  <c r="C211" i="178"/>
  <c r="E233" i="178"/>
  <c r="F228" i="178"/>
  <c r="F21" i="178"/>
  <c r="F61" i="178"/>
  <c r="F79" i="178"/>
  <c r="F93" i="178"/>
  <c r="F102" i="178"/>
  <c r="F111" i="178"/>
  <c r="F119" i="178"/>
  <c r="F161" i="178"/>
  <c r="F197" i="178"/>
  <c r="F206" i="178"/>
  <c r="K208" i="178"/>
  <c r="J208" i="178"/>
  <c r="A1" i="178"/>
  <c r="F130" i="87"/>
  <c r="F133" i="87"/>
  <c r="F20" i="15"/>
  <c r="F11" i="15"/>
  <c r="F20" i="65"/>
  <c r="F11" i="65"/>
  <c r="F11" i="66"/>
  <c r="F20" i="46"/>
  <c r="F11" i="46"/>
  <c r="F205" i="39"/>
  <c r="K105" i="32"/>
  <c r="J105" i="32"/>
  <c r="C238" i="150"/>
  <c r="C237" i="150"/>
  <c r="C236" i="150"/>
  <c r="C235" i="150"/>
  <c r="C233" i="150"/>
  <c r="C232" i="150"/>
  <c r="C231" i="150"/>
  <c r="D228" i="150"/>
  <c r="C227" i="150"/>
  <c r="C226" i="150"/>
  <c r="E226" i="150"/>
  <c r="C225" i="150"/>
  <c r="C224" i="150"/>
  <c r="C223" i="150"/>
  <c r="C222" i="150"/>
  <c r="C221" i="150"/>
  <c r="C220" i="150"/>
  <c r="C219" i="150"/>
  <c r="E219" i="150"/>
  <c r="C211" i="150"/>
  <c r="D205" i="150"/>
  <c r="C205" i="150"/>
  <c r="D204" i="150"/>
  <c r="C204" i="150"/>
  <c r="D203" i="150"/>
  <c r="C203" i="150"/>
  <c r="D202" i="150"/>
  <c r="C202" i="150"/>
  <c r="D201" i="150"/>
  <c r="C201" i="150"/>
  <c r="D200" i="150"/>
  <c r="C200" i="150"/>
  <c r="D196" i="150"/>
  <c r="C196" i="150"/>
  <c r="D195" i="150"/>
  <c r="C195" i="150"/>
  <c r="D194" i="150"/>
  <c r="C194" i="150"/>
  <c r="D193" i="150"/>
  <c r="C193" i="150"/>
  <c r="D192" i="150"/>
  <c r="C192" i="150"/>
  <c r="D191" i="150"/>
  <c r="C191" i="150"/>
  <c r="D190" i="150"/>
  <c r="C190" i="150"/>
  <c r="D189" i="150"/>
  <c r="C189" i="150"/>
  <c r="D188" i="150"/>
  <c r="C188" i="150"/>
  <c r="D187" i="150"/>
  <c r="C187" i="150"/>
  <c r="D186" i="150"/>
  <c r="C186" i="150"/>
  <c r="D185" i="150"/>
  <c r="C185" i="150"/>
  <c r="D184" i="150"/>
  <c r="C184" i="150"/>
  <c r="D183" i="150"/>
  <c r="C183" i="150"/>
  <c r="D182" i="150"/>
  <c r="C182" i="150"/>
  <c r="D181" i="150"/>
  <c r="C181" i="150"/>
  <c r="D180" i="150"/>
  <c r="C180" i="150"/>
  <c r="D179" i="150"/>
  <c r="C179" i="150"/>
  <c r="D178" i="150"/>
  <c r="C178" i="150"/>
  <c r="D177" i="150"/>
  <c r="C177" i="150"/>
  <c r="D176" i="150"/>
  <c r="C176" i="150"/>
  <c r="D175" i="150"/>
  <c r="C175" i="150"/>
  <c r="D174" i="150"/>
  <c r="C174" i="150"/>
  <c r="D173" i="150"/>
  <c r="C173" i="150"/>
  <c r="D172" i="150"/>
  <c r="C172" i="150"/>
  <c r="D171" i="150"/>
  <c r="C171" i="150"/>
  <c r="D170" i="150"/>
  <c r="C170" i="150"/>
  <c r="D169" i="150"/>
  <c r="C169" i="150"/>
  <c r="D168" i="150"/>
  <c r="C168" i="150"/>
  <c r="D167" i="150"/>
  <c r="C167" i="150"/>
  <c r="D166" i="150"/>
  <c r="C166" i="150"/>
  <c r="D165" i="150"/>
  <c r="C165" i="150"/>
  <c r="D164" i="150"/>
  <c r="C164" i="150"/>
  <c r="D160" i="150"/>
  <c r="C160" i="150"/>
  <c r="D159" i="150"/>
  <c r="C159" i="150"/>
  <c r="D158" i="150"/>
  <c r="C158" i="150"/>
  <c r="D157" i="150"/>
  <c r="C157" i="150"/>
  <c r="D156" i="150"/>
  <c r="C156" i="150"/>
  <c r="D155" i="150"/>
  <c r="C155" i="150"/>
  <c r="D153" i="150"/>
  <c r="C153" i="150"/>
  <c r="D152" i="150"/>
  <c r="C152" i="150"/>
  <c r="D151" i="150"/>
  <c r="C151" i="150"/>
  <c r="D150" i="150"/>
  <c r="C150" i="150"/>
  <c r="D149" i="150"/>
  <c r="C149" i="150"/>
  <c r="D148" i="150"/>
  <c r="C148" i="150"/>
  <c r="D147" i="150"/>
  <c r="C147" i="150"/>
  <c r="D146" i="150"/>
  <c r="C146" i="150"/>
  <c r="D145" i="150"/>
  <c r="C145" i="150"/>
  <c r="D143" i="150"/>
  <c r="C143" i="150"/>
  <c r="D142" i="150"/>
  <c r="C142" i="150"/>
  <c r="D141" i="150"/>
  <c r="C141" i="150"/>
  <c r="D140" i="150"/>
  <c r="C140" i="150"/>
  <c r="D138" i="150"/>
  <c r="C138" i="150"/>
  <c r="D137" i="150"/>
  <c r="C137" i="150"/>
  <c r="D136" i="150"/>
  <c r="C136" i="150"/>
  <c r="D135" i="150"/>
  <c r="C135" i="150"/>
  <c r="D133" i="150"/>
  <c r="C133" i="150"/>
  <c r="D132" i="150"/>
  <c r="C132" i="150"/>
  <c r="D131" i="150"/>
  <c r="C131" i="150"/>
  <c r="D130" i="150"/>
  <c r="C130" i="150"/>
  <c r="D129" i="150"/>
  <c r="C129" i="150"/>
  <c r="D127" i="150"/>
  <c r="C127" i="150"/>
  <c r="D126" i="150"/>
  <c r="C126" i="150"/>
  <c r="D125" i="150"/>
  <c r="C125" i="150"/>
  <c r="D124" i="150"/>
  <c r="C124" i="150"/>
  <c r="D123" i="150"/>
  <c r="C123" i="150"/>
  <c r="D118" i="150"/>
  <c r="C118" i="150"/>
  <c r="D117" i="150"/>
  <c r="C117" i="150"/>
  <c r="D116" i="150"/>
  <c r="C116" i="150"/>
  <c r="D115" i="150"/>
  <c r="C115" i="150"/>
  <c r="D114" i="150"/>
  <c r="C114" i="150"/>
  <c r="D110" i="150"/>
  <c r="C110" i="150"/>
  <c r="D109" i="150"/>
  <c r="C109" i="150"/>
  <c r="D108" i="150"/>
  <c r="C108" i="150"/>
  <c r="D107" i="150"/>
  <c r="C107" i="150"/>
  <c r="D106" i="150"/>
  <c r="C106" i="150"/>
  <c r="D105" i="150"/>
  <c r="C105" i="150"/>
  <c r="D101" i="150"/>
  <c r="C101" i="150"/>
  <c r="D100" i="150"/>
  <c r="C100" i="150"/>
  <c r="D99" i="150"/>
  <c r="C99" i="150"/>
  <c r="D98" i="150"/>
  <c r="C98" i="150"/>
  <c r="D97" i="150"/>
  <c r="C97" i="150"/>
  <c r="D96" i="150"/>
  <c r="C96" i="150"/>
  <c r="D92" i="150"/>
  <c r="C92" i="150"/>
  <c r="D91" i="150"/>
  <c r="C91" i="150"/>
  <c r="D90" i="150"/>
  <c r="C90" i="150"/>
  <c r="D89" i="150"/>
  <c r="C89" i="150"/>
  <c r="D88" i="150"/>
  <c r="C88" i="150"/>
  <c r="D87" i="150"/>
  <c r="C87" i="150"/>
  <c r="D86" i="150"/>
  <c r="C86" i="150"/>
  <c r="D85" i="150"/>
  <c r="C85" i="150"/>
  <c r="D84" i="150"/>
  <c r="C84" i="150"/>
  <c r="D83" i="150"/>
  <c r="C83" i="150"/>
  <c r="D82" i="150"/>
  <c r="C82" i="150"/>
  <c r="D78" i="150"/>
  <c r="C78" i="150"/>
  <c r="D77" i="150"/>
  <c r="C77" i="150"/>
  <c r="D76" i="150"/>
  <c r="C76" i="150"/>
  <c r="D75" i="150"/>
  <c r="C75" i="150"/>
  <c r="D74" i="150"/>
  <c r="C74" i="150"/>
  <c r="D73" i="150"/>
  <c r="C73" i="150"/>
  <c r="D72" i="150"/>
  <c r="C72" i="150"/>
  <c r="D71" i="150"/>
  <c r="C71" i="150"/>
  <c r="D70" i="150"/>
  <c r="C70" i="150"/>
  <c r="D69" i="150"/>
  <c r="C69" i="150"/>
  <c r="D68" i="150"/>
  <c r="C68" i="150"/>
  <c r="D67" i="150"/>
  <c r="C67" i="150"/>
  <c r="D66" i="150"/>
  <c r="C66" i="150"/>
  <c r="D65" i="150"/>
  <c r="C65" i="150"/>
  <c r="D64" i="150"/>
  <c r="C64" i="150"/>
  <c r="D60" i="150"/>
  <c r="C60" i="150"/>
  <c r="D59" i="150"/>
  <c r="C59" i="150"/>
  <c r="D58" i="150"/>
  <c r="C58" i="150"/>
  <c r="D57" i="150"/>
  <c r="C57" i="150"/>
  <c r="D56" i="150"/>
  <c r="C56" i="150"/>
  <c r="D55" i="150"/>
  <c r="C55" i="150"/>
  <c r="D54" i="150"/>
  <c r="C54" i="150"/>
  <c r="D53" i="150"/>
  <c r="C53" i="150"/>
  <c r="D52" i="150"/>
  <c r="C52" i="150"/>
  <c r="D51" i="150"/>
  <c r="C51" i="150"/>
  <c r="D50" i="150"/>
  <c r="C50" i="150"/>
  <c r="D49" i="150"/>
  <c r="C49" i="150"/>
  <c r="D48" i="150"/>
  <c r="C48" i="150"/>
  <c r="D47" i="150"/>
  <c r="C47" i="150"/>
  <c r="D46" i="150"/>
  <c r="C46" i="150"/>
  <c r="D45" i="150"/>
  <c r="C45" i="150"/>
  <c r="D44" i="150"/>
  <c r="C44" i="150"/>
  <c r="D43" i="150"/>
  <c r="C43" i="150"/>
  <c r="D42" i="150"/>
  <c r="C42" i="150"/>
  <c r="D41" i="150"/>
  <c r="C41" i="150"/>
  <c r="D40" i="150"/>
  <c r="C40" i="150"/>
  <c r="D39" i="150"/>
  <c r="C39" i="150"/>
  <c r="D38" i="150"/>
  <c r="C38" i="150"/>
  <c r="D37" i="150"/>
  <c r="C37" i="150"/>
  <c r="D36" i="150"/>
  <c r="C36" i="150"/>
  <c r="D35" i="150"/>
  <c r="C35" i="150"/>
  <c r="D34" i="150"/>
  <c r="C34" i="150"/>
  <c r="D33" i="150"/>
  <c r="C33" i="150"/>
  <c r="D32" i="150"/>
  <c r="C32" i="150"/>
  <c r="D31" i="150"/>
  <c r="C31" i="150"/>
  <c r="D30" i="150"/>
  <c r="C30" i="150"/>
  <c r="D29" i="150"/>
  <c r="C29" i="150"/>
  <c r="D28" i="150"/>
  <c r="C28" i="150"/>
  <c r="D27" i="150"/>
  <c r="C27" i="150"/>
  <c r="D26" i="150"/>
  <c r="C26" i="150"/>
  <c r="D25" i="150"/>
  <c r="C25" i="150"/>
  <c r="F137" i="71"/>
  <c r="F136" i="71"/>
  <c r="F135" i="71"/>
  <c r="F18" i="15"/>
  <c r="G242" i="84"/>
  <c r="G242" i="57"/>
  <c r="C238" i="175"/>
  <c r="C237" i="175"/>
  <c r="C236" i="175"/>
  <c r="C231" i="175"/>
  <c r="C235" i="175"/>
  <c r="K200" i="113"/>
  <c r="J200" i="113"/>
  <c r="K145" i="113"/>
  <c r="J145" i="113"/>
  <c r="K137" i="113"/>
  <c r="K136" i="113"/>
  <c r="K135" i="113"/>
  <c r="J137" i="113"/>
  <c r="J136" i="113"/>
  <c r="J135" i="113"/>
  <c r="K124" i="113"/>
  <c r="J124" i="113"/>
  <c r="K114" i="113"/>
  <c r="J114" i="113"/>
  <c r="J105" i="113"/>
  <c r="K105" i="113"/>
  <c r="K96" i="113"/>
  <c r="J96" i="113"/>
  <c r="K82" i="113"/>
  <c r="J82" i="113"/>
  <c r="K27" i="113"/>
  <c r="J27" i="113"/>
  <c r="K25" i="113"/>
  <c r="J25" i="113"/>
  <c r="G242" i="113"/>
  <c r="E201" i="113"/>
  <c r="E195" i="113"/>
  <c r="E182" i="113"/>
  <c r="E180" i="113"/>
  <c r="E179" i="113"/>
  <c r="E164" i="113"/>
  <c r="E160" i="113"/>
  <c r="E158" i="113"/>
  <c r="E157" i="113"/>
  <c r="E148" i="113"/>
  <c r="E141" i="113"/>
  <c r="G141" i="113"/>
  <c r="E130" i="113"/>
  <c r="E129" i="113"/>
  <c r="E126" i="113"/>
  <c r="E123" i="113"/>
  <c r="E114" i="113"/>
  <c r="E109" i="113"/>
  <c r="E96" i="113"/>
  <c r="E89" i="113"/>
  <c r="E88" i="113"/>
  <c r="E84" i="113"/>
  <c r="E75" i="113"/>
  <c r="E59" i="113"/>
  <c r="E56" i="113"/>
  <c r="E53" i="113"/>
  <c r="E51" i="113"/>
  <c r="E47" i="113"/>
  <c r="E35" i="113"/>
  <c r="E13" i="113"/>
  <c r="K200" i="33"/>
  <c r="J200" i="33"/>
  <c r="K138" i="33"/>
  <c r="J137" i="33"/>
  <c r="K137" i="33"/>
  <c r="K136" i="33"/>
  <c r="K135" i="33"/>
  <c r="J138" i="33"/>
  <c r="J136" i="33"/>
  <c r="J135" i="33"/>
  <c r="K127" i="33"/>
  <c r="J127" i="33"/>
  <c r="K114" i="33"/>
  <c r="J114" i="33"/>
  <c r="K96" i="33"/>
  <c r="J96" i="33"/>
  <c r="K82" i="33"/>
  <c r="J82" i="33"/>
  <c r="K27" i="33"/>
  <c r="J27" i="33"/>
  <c r="K25" i="33"/>
  <c r="J25" i="33"/>
  <c r="D228" i="33"/>
  <c r="C228" i="33"/>
  <c r="D206" i="33"/>
  <c r="C206" i="33"/>
  <c r="D197" i="33"/>
  <c r="C197" i="33"/>
  <c r="D161" i="33"/>
  <c r="C161" i="33"/>
  <c r="D119" i="33"/>
  <c r="C119" i="33"/>
  <c r="D111" i="33"/>
  <c r="C111" i="33"/>
  <c r="D102" i="33"/>
  <c r="C102" i="33"/>
  <c r="D93" i="33"/>
  <c r="C93" i="33"/>
  <c r="D79" i="33"/>
  <c r="D61" i="33"/>
  <c r="D208" i="33"/>
  <c r="C79" i="33"/>
  <c r="C61" i="33"/>
  <c r="C208" i="33"/>
  <c r="D21" i="33"/>
  <c r="C21" i="33"/>
  <c r="K200" i="167"/>
  <c r="J200" i="167"/>
  <c r="K145" i="167"/>
  <c r="J145" i="167"/>
  <c r="K137" i="167"/>
  <c r="K136" i="167"/>
  <c r="K135" i="167"/>
  <c r="J137" i="167"/>
  <c r="J136" i="167"/>
  <c r="J135" i="167"/>
  <c r="K124" i="167"/>
  <c r="J124" i="167"/>
  <c r="K114" i="167"/>
  <c r="J114" i="167"/>
  <c r="K105" i="167"/>
  <c r="J105" i="167"/>
  <c r="K96" i="167"/>
  <c r="J96" i="167"/>
  <c r="K82" i="167"/>
  <c r="J82" i="167"/>
  <c r="K27" i="167"/>
  <c r="K25" i="167"/>
  <c r="J27" i="167"/>
  <c r="J25" i="167"/>
  <c r="E225" i="177"/>
  <c r="G225" i="177"/>
  <c r="E200" i="177"/>
  <c r="E188" i="177"/>
  <c r="G188" i="177"/>
  <c r="E173" i="177"/>
  <c r="E135" i="177"/>
  <c r="E117" i="177"/>
  <c r="E99" i="177"/>
  <c r="E58" i="177"/>
  <c r="E41" i="177"/>
  <c r="E233" i="177"/>
  <c r="F228" i="177"/>
  <c r="K208" i="177"/>
  <c r="J208" i="177"/>
  <c r="K17" i="177"/>
  <c r="F206" i="177"/>
  <c r="F197" i="177"/>
  <c r="F161" i="177"/>
  <c r="F119" i="177"/>
  <c r="F111" i="177"/>
  <c r="F102" i="177"/>
  <c r="F93" i="177"/>
  <c r="F79" i="177"/>
  <c r="F61" i="177"/>
  <c r="F21" i="177"/>
  <c r="A1" i="177"/>
  <c r="K200" i="38"/>
  <c r="J200" i="38"/>
  <c r="K146" i="38"/>
  <c r="J146" i="38"/>
  <c r="K137" i="38"/>
  <c r="J137" i="38"/>
  <c r="K136" i="38"/>
  <c r="J136" i="38"/>
  <c r="K135" i="38"/>
  <c r="J135" i="38"/>
  <c r="K124" i="38"/>
  <c r="J124" i="38"/>
  <c r="K114" i="38"/>
  <c r="J114" i="38"/>
  <c r="K105" i="38"/>
  <c r="J105" i="38"/>
  <c r="K96" i="38"/>
  <c r="J96" i="38"/>
  <c r="K82" i="38"/>
  <c r="J82" i="38"/>
  <c r="K27" i="38"/>
  <c r="K25" i="38"/>
  <c r="J27" i="38"/>
  <c r="J25" i="38"/>
  <c r="E148" i="38"/>
  <c r="F153" i="111"/>
  <c r="F14" i="111"/>
  <c r="F16" i="111"/>
  <c r="C232" i="175"/>
  <c r="C233" i="175"/>
  <c r="E233" i="175"/>
  <c r="G243" i="111"/>
  <c r="G242" i="111"/>
  <c r="G241" i="111"/>
  <c r="G244" i="95"/>
  <c r="G243" i="95"/>
  <c r="G242" i="95"/>
  <c r="G241" i="95"/>
  <c r="C238" i="95"/>
  <c r="C237" i="95"/>
  <c r="C236" i="95"/>
  <c r="C235" i="95"/>
  <c r="C233" i="95"/>
  <c r="C232" i="95"/>
  <c r="C231" i="95"/>
  <c r="D228" i="95"/>
  <c r="C227" i="95"/>
  <c r="C226" i="95"/>
  <c r="C225" i="95"/>
  <c r="C224" i="95"/>
  <c r="C223" i="95"/>
  <c r="C222" i="95"/>
  <c r="C221" i="95"/>
  <c r="C220" i="95"/>
  <c r="C219" i="95"/>
  <c r="C211" i="95"/>
  <c r="D205" i="95"/>
  <c r="C205" i="95"/>
  <c r="D204" i="95"/>
  <c r="C204" i="95"/>
  <c r="D203" i="95"/>
  <c r="C203" i="95"/>
  <c r="D202" i="95"/>
  <c r="C202" i="95"/>
  <c r="D201" i="95"/>
  <c r="C201" i="95"/>
  <c r="D200" i="95"/>
  <c r="C200" i="95"/>
  <c r="D196" i="95"/>
  <c r="C196" i="95"/>
  <c r="D195" i="95"/>
  <c r="C195" i="95"/>
  <c r="D194" i="95"/>
  <c r="C194" i="95"/>
  <c r="D193" i="95"/>
  <c r="C193" i="95"/>
  <c r="D192" i="95"/>
  <c r="C192" i="95"/>
  <c r="D191" i="95"/>
  <c r="C191" i="95"/>
  <c r="D190" i="95"/>
  <c r="C190" i="95"/>
  <c r="D189" i="95"/>
  <c r="C189" i="95"/>
  <c r="D188" i="95"/>
  <c r="C188" i="95"/>
  <c r="D187" i="95"/>
  <c r="C187" i="95"/>
  <c r="D186" i="95"/>
  <c r="C186" i="95"/>
  <c r="D185" i="95"/>
  <c r="C185" i="95"/>
  <c r="D184" i="95"/>
  <c r="C184" i="95"/>
  <c r="D183" i="95"/>
  <c r="C183" i="95"/>
  <c r="D182" i="95"/>
  <c r="C182" i="95"/>
  <c r="D181" i="95"/>
  <c r="C181" i="95"/>
  <c r="D180" i="95"/>
  <c r="C180" i="95"/>
  <c r="D179" i="95"/>
  <c r="C179" i="95"/>
  <c r="D178" i="95"/>
  <c r="C178" i="95"/>
  <c r="D177" i="95"/>
  <c r="C177" i="95"/>
  <c r="D176" i="95"/>
  <c r="C176" i="95"/>
  <c r="D175" i="95"/>
  <c r="C175" i="95"/>
  <c r="D174" i="95"/>
  <c r="C174" i="95"/>
  <c r="D173" i="95"/>
  <c r="C173" i="95"/>
  <c r="D172" i="95"/>
  <c r="C172" i="95"/>
  <c r="D171" i="95"/>
  <c r="C171" i="95"/>
  <c r="D170" i="95"/>
  <c r="C170" i="95"/>
  <c r="D169" i="95"/>
  <c r="C169" i="95"/>
  <c r="D168" i="95"/>
  <c r="C168" i="95"/>
  <c r="D167" i="95"/>
  <c r="C167" i="95"/>
  <c r="D166" i="95"/>
  <c r="C166" i="95"/>
  <c r="D165" i="95"/>
  <c r="C165" i="95"/>
  <c r="D164" i="95"/>
  <c r="C164" i="95"/>
  <c r="D160" i="95"/>
  <c r="C160" i="95"/>
  <c r="D159" i="95"/>
  <c r="C159" i="95"/>
  <c r="D158" i="95"/>
  <c r="C158" i="95"/>
  <c r="D157" i="95"/>
  <c r="C157" i="95"/>
  <c r="D156" i="95"/>
  <c r="C156" i="95"/>
  <c r="D155" i="95"/>
  <c r="C155" i="95"/>
  <c r="D153" i="95"/>
  <c r="C153" i="95"/>
  <c r="D152" i="95"/>
  <c r="C152" i="95"/>
  <c r="D151" i="95"/>
  <c r="C151" i="95"/>
  <c r="D150" i="95"/>
  <c r="C150" i="95"/>
  <c r="D149" i="95"/>
  <c r="C149" i="95"/>
  <c r="D148" i="95"/>
  <c r="C148" i="95"/>
  <c r="D147" i="95"/>
  <c r="C147" i="95"/>
  <c r="D146" i="95"/>
  <c r="C146" i="95"/>
  <c r="D145" i="95"/>
  <c r="C145" i="95"/>
  <c r="D143" i="95"/>
  <c r="C143" i="95"/>
  <c r="D142" i="95"/>
  <c r="C142" i="95"/>
  <c r="D141" i="95"/>
  <c r="C141" i="95"/>
  <c r="D140" i="95"/>
  <c r="C140" i="95"/>
  <c r="D138" i="95"/>
  <c r="C138" i="95"/>
  <c r="D137" i="95"/>
  <c r="C137" i="95"/>
  <c r="D136" i="95"/>
  <c r="C136" i="95"/>
  <c r="D135" i="95"/>
  <c r="C135" i="95"/>
  <c r="D133" i="95"/>
  <c r="C133" i="95"/>
  <c r="D132" i="95"/>
  <c r="C132" i="95"/>
  <c r="D131" i="95"/>
  <c r="C131" i="95"/>
  <c r="D130" i="95"/>
  <c r="C130" i="95"/>
  <c r="D129" i="95"/>
  <c r="C129" i="95"/>
  <c r="D127" i="95"/>
  <c r="C127" i="95"/>
  <c r="D126" i="95"/>
  <c r="C126" i="95"/>
  <c r="D125" i="95"/>
  <c r="C125" i="95"/>
  <c r="D124" i="95"/>
  <c r="C124" i="95"/>
  <c r="D123" i="95"/>
  <c r="C123" i="95"/>
  <c r="D118" i="95"/>
  <c r="C118" i="95"/>
  <c r="D117" i="95"/>
  <c r="C117" i="95"/>
  <c r="D116" i="95"/>
  <c r="C116" i="95"/>
  <c r="D115" i="95"/>
  <c r="C115" i="95"/>
  <c r="D114" i="95"/>
  <c r="C114" i="95"/>
  <c r="D110" i="95"/>
  <c r="C110" i="95"/>
  <c r="D109" i="95"/>
  <c r="C109" i="95"/>
  <c r="D108" i="95"/>
  <c r="C108" i="95"/>
  <c r="D107" i="95"/>
  <c r="C107" i="95"/>
  <c r="D106" i="95"/>
  <c r="C106" i="95"/>
  <c r="D105" i="95"/>
  <c r="C105" i="95"/>
  <c r="D101" i="95"/>
  <c r="C101" i="95"/>
  <c r="D100" i="95"/>
  <c r="C100" i="95"/>
  <c r="D99" i="95"/>
  <c r="C99" i="95"/>
  <c r="D98" i="95"/>
  <c r="C98" i="95"/>
  <c r="D97" i="95"/>
  <c r="C97" i="95"/>
  <c r="D96" i="95"/>
  <c r="C96" i="95"/>
  <c r="D92" i="95"/>
  <c r="C92" i="95"/>
  <c r="D91" i="95"/>
  <c r="C91" i="95"/>
  <c r="D90" i="95"/>
  <c r="C90" i="95"/>
  <c r="D89" i="95"/>
  <c r="C89" i="95"/>
  <c r="D88" i="95"/>
  <c r="C88" i="95"/>
  <c r="D87" i="95"/>
  <c r="C87" i="95"/>
  <c r="D86" i="95"/>
  <c r="C86" i="95"/>
  <c r="D85" i="95"/>
  <c r="C85" i="95"/>
  <c r="D84" i="95"/>
  <c r="C84" i="95"/>
  <c r="D83" i="95"/>
  <c r="C83" i="95"/>
  <c r="D82" i="95"/>
  <c r="C82" i="95"/>
  <c r="D78" i="95"/>
  <c r="C78" i="95"/>
  <c r="D77" i="95"/>
  <c r="C77" i="95"/>
  <c r="D76" i="95"/>
  <c r="C76" i="95"/>
  <c r="D75" i="95"/>
  <c r="C75" i="95"/>
  <c r="D74" i="95"/>
  <c r="C74" i="95"/>
  <c r="D73" i="95"/>
  <c r="C73" i="95"/>
  <c r="D72" i="95"/>
  <c r="C72" i="95"/>
  <c r="D71" i="95"/>
  <c r="C71" i="95"/>
  <c r="D70" i="95"/>
  <c r="C70" i="95"/>
  <c r="D69" i="95"/>
  <c r="C69" i="95"/>
  <c r="D68" i="95"/>
  <c r="C68" i="95"/>
  <c r="D67" i="95"/>
  <c r="C67" i="95"/>
  <c r="D66" i="95"/>
  <c r="C66" i="95"/>
  <c r="D65" i="95"/>
  <c r="C65" i="95"/>
  <c r="D64" i="95"/>
  <c r="C64" i="95"/>
  <c r="D60" i="95"/>
  <c r="C60" i="95"/>
  <c r="D59" i="95"/>
  <c r="C59" i="95"/>
  <c r="D58" i="95"/>
  <c r="C58" i="95"/>
  <c r="D57" i="95"/>
  <c r="C57" i="95"/>
  <c r="D56" i="95"/>
  <c r="C56" i="95"/>
  <c r="D55" i="95"/>
  <c r="C55" i="95"/>
  <c r="D54" i="95"/>
  <c r="C54" i="95"/>
  <c r="D53" i="95"/>
  <c r="C53" i="95"/>
  <c r="D52" i="95"/>
  <c r="C52" i="95"/>
  <c r="D51" i="95"/>
  <c r="C51" i="95"/>
  <c r="D50" i="95"/>
  <c r="C50" i="95"/>
  <c r="D49" i="95"/>
  <c r="C49" i="95"/>
  <c r="D48" i="95"/>
  <c r="C48" i="95"/>
  <c r="D47" i="95"/>
  <c r="C47" i="95"/>
  <c r="D46" i="95"/>
  <c r="C46" i="95"/>
  <c r="D45" i="95"/>
  <c r="C45" i="95"/>
  <c r="D44" i="95"/>
  <c r="C44" i="95"/>
  <c r="D43" i="95"/>
  <c r="C43" i="95"/>
  <c r="D42" i="95"/>
  <c r="C42" i="95"/>
  <c r="D41" i="95"/>
  <c r="C41" i="95"/>
  <c r="D40" i="95"/>
  <c r="C40" i="95"/>
  <c r="D39" i="95"/>
  <c r="C39" i="95"/>
  <c r="D38" i="95"/>
  <c r="C38" i="95"/>
  <c r="D37" i="95"/>
  <c r="C37" i="95"/>
  <c r="D36" i="95"/>
  <c r="C36" i="95"/>
  <c r="D35" i="95"/>
  <c r="C35" i="95"/>
  <c r="D34" i="95"/>
  <c r="C34" i="95"/>
  <c r="D33" i="95"/>
  <c r="C33" i="95"/>
  <c r="D32" i="95"/>
  <c r="C32" i="95"/>
  <c r="D31" i="95"/>
  <c r="C31" i="95"/>
  <c r="D30" i="95"/>
  <c r="C30" i="95"/>
  <c r="D29" i="95"/>
  <c r="C29" i="95"/>
  <c r="D28" i="95"/>
  <c r="C28" i="95"/>
  <c r="D27" i="95"/>
  <c r="C27" i="95"/>
  <c r="D26" i="95"/>
  <c r="C26" i="95"/>
  <c r="D25" i="95"/>
  <c r="C25" i="95"/>
  <c r="D20" i="95"/>
  <c r="C20" i="95"/>
  <c r="D19" i="95"/>
  <c r="C19" i="95"/>
  <c r="D18" i="95"/>
  <c r="C18" i="95"/>
  <c r="D17" i="95"/>
  <c r="C17" i="95"/>
  <c r="D16" i="95"/>
  <c r="C16" i="95"/>
  <c r="D15" i="95"/>
  <c r="C15" i="95"/>
  <c r="D14" i="95"/>
  <c r="C14" i="95"/>
  <c r="D13" i="95"/>
  <c r="C13" i="95"/>
  <c r="D12" i="95"/>
  <c r="C12" i="95"/>
  <c r="D11" i="95"/>
  <c r="C11" i="95"/>
  <c r="G244" i="50"/>
  <c r="G243" i="50"/>
  <c r="G242" i="50"/>
  <c r="G241" i="50"/>
  <c r="C238" i="50"/>
  <c r="C237" i="50"/>
  <c r="C236" i="50"/>
  <c r="C235" i="50"/>
  <c r="C233" i="50"/>
  <c r="C232" i="50"/>
  <c r="C231" i="50"/>
  <c r="D228" i="50"/>
  <c r="C227" i="50"/>
  <c r="C226" i="50"/>
  <c r="C225" i="50"/>
  <c r="C224" i="50"/>
  <c r="C223" i="50"/>
  <c r="C222" i="50"/>
  <c r="C221" i="50"/>
  <c r="E221" i="50"/>
  <c r="C220" i="50"/>
  <c r="C219" i="50"/>
  <c r="C211" i="50"/>
  <c r="D205" i="50"/>
  <c r="C205" i="50"/>
  <c r="D204" i="50"/>
  <c r="C204" i="50"/>
  <c r="D203" i="50"/>
  <c r="C203" i="50"/>
  <c r="D202" i="50"/>
  <c r="C202" i="50"/>
  <c r="D201" i="50"/>
  <c r="C201" i="50"/>
  <c r="D200" i="50"/>
  <c r="C200" i="50"/>
  <c r="D196" i="50"/>
  <c r="C196" i="50"/>
  <c r="D195" i="50"/>
  <c r="C195" i="50"/>
  <c r="D194" i="50"/>
  <c r="C194" i="50"/>
  <c r="D193" i="50"/>
  <c r="C193" i="50"/>
  <c r="D192" i="50"/>
  <c r="C192" i="50"/>
  <c r="D191" i="50"/>
  <c r="C191" i="50"/>
  <c r="D190" i="50"/>
  <c r="C190" i="50"/>
  <c r="D189" i="50"/>
  <c r="C189" i="50"/>
  <c r="D188" i="50"/>
  <c r="C188" i="50"/>
  <c r="D187" i="50"/>
  <c r="C187" i="50"/>
  <c r="D186" i="50"/>
  <c r="C186" i="50"/>
  <c r="D185" i="50"/>
  <c r="C185" i="50"/>
  <c r="D184" i="50"/>
  <c r="C184" i="50"/>
  <c r="D183" i="50"/>
  <c r="C183" i="50"/>
  <c r="D182" i="50"/>
  <c r="C182" i="50"/>
  <c r="D181" i="50"/>
  <c r="C181" i="50"/>
  <c r="D180" i="50"/>
  <c r="C180" i="50"/>
  <c r="D179" i="50"/>
  <c r="C179" i="50"/>
  <c r="D178" i="50"/>
  <c r="C178" i="50"/>
  <c r="D177" i="50"/>
  <c r="C177" i="50"/>
  <c r="D176" i="50"/>
  <c r="C176" i="50"/>
  <c r="D175" i="50"/>
  <c r="C175" i="50"/>
  <c r="D174" i="50"/>
  <c r="C174" i="50"/>
  <c r="D173" i="50"/>
  <c r="C173" i="50"/>
  <c r="D172" i="50"/>
  <c r="C172" i="50"/>
  <c r="D171" i="50"/>
  <c r="C171" i="50"/>
  <c r="D170" i="50"/>
  <c r="C170" i="50"/>
  <c r="D169" i="50"/>
  <c r="C169" i="50"/>
  <c r="D168" i="50"/>
  <c r="C168" i="50"/>
  <c r="D167" i="50"/>
  <c r="C167" i="50"/>
  <c r="D166" i="50"/>
  <c r="C166" i="50"/>
  <c r="D165" i="50"/>
  <c r="C165" i="50"/>
  <c r="D164" i="50"/>
  <c r="C164" i="50"/>
  <c r="D160" i="50"/>
  <c r="C160" i="50"/>
  <c r="D159" i="50"/>
  <c r="C159" i="50"/>
  <c r="D158" i="50"/>
  <c r="C158" i="50"/>
  <c r="D157" i="50"/>
  <c r="C157" i="50"/>
  <c r="D156" i="50"/>
  <c r="C156" i="50"/>
  <c r="D155" i="50"/>
  <c r="C155" i="50"/>
  <c r="D153" i="50"/>
  <c r="C153" i="50"/>
  <c r="D152" i="50"/>
  <c r="C152" i="50"/>
  <c r="D151" i="50"/>
  <c r="C151" i="50"/>
  <c r="D150" i="50"/>
  <c r="C150" i="50"/>
  <c r="D149" i="50"/>
  <c r="C149" i="50"/>
  <c r="D148" i="50"/>
  <c r="C148" i="50"/>
  <c r="D147" i="50"/>
  <c r="C147" i="50"/>
  <c r="D146" i="50"/>
  <c r="C146" i="50"/>
  <c r="D145" i="50"/>
  <c r="C145" i="50"/>
  <c r="D143" i="50"/>
  <c r="C143" i="50"/>
  <c r="D142" i="50"/>
  <c r="C142" i="50"/>
  <c r="D141" i="50"/>
  <c r="C141" i="50"/>
  <c r="D140" i="50"/>
  <c r="C140" i="50"/>
  <c r="D138" i="50"/>
  <c r="C138" i="50"/>
  <c r="D137" i="50"/>
  <c r="C137" i="50"/>
  <c r="D136" i="50"/>
  <c r="C136" i="50"/>
  <c r="D135" i="50"/>
  <c r="C135" i="50"/>
  <c r="D133" i="50"/>
  <c r="C133" i="50"/>
  <c r="D132" i="50"/>
  <c r="C132" i="50"/>
  <c r="D131" i="50"/>
  <c r="C131" i="50"/>
  <c r="D130" i="50"/>
  <c r="C130" i="50"/>
  <c r="D129" i="50"/>
  <c r="C129" i="50"/>
  <c r="D127" i="50"/>
  <c r="C127" i="50"/>
  <c r="D126" i="50"/>
  <c r="C126" i="50"/>
  <c r="D125" i="50"/>
  <c r="C125" i="50"/>
  <c r="D124" i="50"/>
  <c r="C124" i="50"/>
  <c r="D123" i="50"/>
  <c r="C123" i="50"/>
  <c r="D118" i="50"/>
  <c r="C118" i="50"/>
  <c r="D117" i="50"/>
  <c r="C117" i="50"/>
  <c r="D116" i="50"/>
  <c r="C116" i="50"/>
  <c r="D115" i="50"/>
  <c r="C115" i="50"/>
  <c r="D114" i="50"/>
  <c r="C114" i="50"/>
  <c r="D110" i="50"/>
  <c r="C110" i="50"/>
  <c r="D109" i="50"/>
  <c r="C109" i="50"/>
  <c r="D108" i="50"/>
  <c r="C108" i="50"/>
  <c r="D107" i="50"/>
  <c r="C107" i="50"/>
  <c r="D106" i="50"/>
  <c r="C106" i="50"/>
  <c r="D105" i="50"/>
  <c r="C105" i="50"/>
  <c r="D101" i="50"/>
  <c r="C101" i="50"/>
  <c r="D100" i="50"/>
  <c r="C100" i="50"/>
  <c r="D99" i="50"/>
  <c r="C99" i="50"/>
  <c r="D98" i="50"/>
  <c r="C98" i="50"/>
  <c r="D97" i="50"/>
  <c r="C97" i="50"/>
  <c r="D96" i="50"/>
  <c r="C96" i="50"/>
  <c r="D92" i="50"/>
  <c r="C92" i="50"/>
  <c r="D91" i="50"/>
  <c r="C91" i="50"/>
  <c r="D90" i="50"/>
  <c r="C90" i="50"/>
  <c r="D89" i="50"/>
  <c r="C89" i="50"/>
  <c r="D88" i="50"/>
  <c r="C88" i="50"/>
  <c r="D87" i="50"/>
  <c r="C87" i="50"/>
  <c r="D86" i="50"/>
  <c r="C86" i="50"/>
  <c r="D85" i="50"/>
  <c r="C85" i="50"/>
  <c r="D84" i="50"/>
  <c r="C84" i="50"/>
  <c r="D83" i="50"/>
  <c r="C83" i="50"/>
  <c r="D82" i="50"/>
  <c r="C82" i="50"/>
  <c r="D78" i="50"/>
  <c r="C78" i="50"/>
  <c r="D77" i="50"/>
  <c r="C77" i="50"/>
  <c r="D76" i="50"/>
  <c r="C76" i="50"/>
  <c r="D75" i="50"/>
  <c r="C75" i="50"/>
  <c r="D74" i="50"/>
  <c r="C74" i="50"/>
  <c r="D73" i="50"/>
  <c r="C73" i="50"/>
  <c r="D72" i="50"/>
  <c r="C72" i="50"/>
  <c r="D71" i="50"/>
  <c r="C71" i="50"/>
  <c r="D70" i="50"/>
  <c r="C70" i="50"/>
  <c r="D69" i="50"/>
  <c r="C69" i="50"/>
  <c r="D68" i="50"/>
  <c r="C68" i="50"/>
  <c r="D67" i="50"/>
  <c r="C67" i="50"/>
  <c r="D66" i="50"/>
  <c r="C66" i="50"/>
  <c r="D65" i="50"/>
  <c r="C65" i="50"/>
  <c r="D64" i="50"/>
  <c r="C64" i="50"/>
  <c r="D60" i="50"/>
  <c r="C60" i="50"/>
  <c r="D59" i="50"/>
  <c r="C59" i="50"/>
  <c r="D58" i="50"/>
  <c r="C58" i="50"/>
  <c r="D57" i="50"/>
  <c r="C57" i="50"/>
  <c r="D56" i="50"/>
  <c r="C56" i="50"/>
  <c r="D55" i="50"/>
  <c r="C55" i="50"/>
  <c r="D54" i="50"/>
  <c r="C54" i="50"/>
  <c r="D53" i="50"/>
  <c r="C53" i="50"/>
  <c r="D52" i="50"/>
  <c r="C52" i="50"/>
  <c r="D51" i="50"/>
  <c r="C51" i="50"/>
  <c r="D50" i="50"/>
  <c r="C50" i="50"/>
  <c r="D49" i="50"/>
  <c r="C49" i="50"/>
  <c r="D48" i="50"/>
  <c r="C48" i="50"/>
  <c r="D47" i="50"/>
  <c r="C47" i="50"/>
  <c r="D46" i="50"/>
  <c r="C46" i="50"/>
  <c r="D45" i="50"/>
  <c r="C45" i="50"/>
  <c r="D44" i="50"/>
  <c r="C44" i="50"/>
  <c r="D43" i="50"/>
  <c r="C43" i="50"/>
  <c r="D42" i="50"/>
  <c r="C42" i="50"/>
  <c r="D41" i="50"/>
  <c r="C41" i="50"/>
  <c r="D40" i="50"/>
  <c r="C40" i="50"/>
  <c r="D39" i="50"/>
  <c r="C39" i="50"/>
  <c r="D38" i="50"/>
  <c r="C38" i="50"/>
  <c r="D37" i="50"/>
  <c r="C37" i="50"/>
  <c r="D36" i="50"/>
  <c r="C36" i="50"/>
  <c r="D35" i="50"/>
  <c r="C35" i="50"/>
  <c r="D34" i="50"/>
  <c r="C34" i="50"/>
  <c r="D33" i="50"/>
  <c r="C33" i="50"/>
  <c r="D32" i="50"/>
  <c r="C32" i="50"/>
  <c r="D31" i="50"/>
  <c r="C31" i="50"/>
  <c r="D30" i="50"/>
  <c r="C30" i="50"/>
  <c r="D29" i="50"/>
  <c r="C29" i="50"/>
  <c r="D28" i="50"/>
  <c r="C28" i="50"/>
  <c r="D27" i="50"/>
  <c r="C27" i="50"/>
  <c r="D26" i="50"/>
  <c r="C26" i="50"/>
  <c r="D25" i="50"/>
  <c r="C25" i="50"/>
  <c r="D20" i="50"/>
  <c r="C20" i="50"/>
  <c r="D19" i="50"/>
  <c r="C19" i="50"/>
  <c r="D18" i="50"/>
  <c r="C18" i="50"/>
  <c r="D17" i="50"/>
  <c r="C17" i="50"/>
  <c r="D16" i="50"/>
  <c r="C16" i="50"/>
  <c r="D15" i="50"/>
  <c r="C15" i="50"/>
  <c r="D14" i="50"/>
  <c r="C14" i="50"/>
  <c r="D13" i="50"/>
  <c r="C13" i="50"/>
  <c r="D12" i="50"/>
  <c r="C12" i="50"/>
  <c r="D11" i="50"/>
  <c r="C11" i="50"/>
  <c r="G244" i="1"/>
  <c r="G243" i="1"/>
  <c r="G242" i="1"/>
  <c r="G241" i="1"/>
  <c r="C238" i="1"/>
  <c r="C237" i="1"/>
  <c r="C236" i="1"/>
  <c r="C235" i="1"/>
  <c r="C233" i="1"/>
  <c r="C232" i="1"/>
  <c r="C231" i="1"/>
  <c r="D228" i="1"/>
  <c r="C227" i="1"/>
  <c r="C226" i="1"/>
  <c r="C225" i="1"/>
  <c r="C224" i="1"/>
  <c r="C223" i="1"/>
  <c r="C222" i="1"/>
  <c r="C221" i="1"/>
  <c r="C220" i="1"/>
  <c r="C219" i="1"/>
  <c r="C211" i="1"/>
  <c r="D205" i="1"/>
  <c r="C205" i="1"/>
  <c r="D204" i="1"/>
  <c r="C204" i="1"/>
  <c r="D203" i="1"/>
  <c r="C203" i="1"/>
  <c r="D202" i="1"/>
  <c r="C202" i="1"/>
  <c r="D201" i="1"/>
  <c r="C201" i="1"/>
  <c r="D200" i="1"/>
  <c r="C200" i="1"/>
  <c r="D196" i="1"/>
  <c r="C196" i="1"/>
  <c r="D195" i="1"/>
  <c r="C195" i="1"/>
  <c r="D194" i="1"/>
  <c r="C194" i="1"/>
  <c r="D193" i="1"/>
  <c r="C193" i="1"/>
  <c r="D192" i="1"/>
  <c r="C192" i="1"/>
  <c r="D191" i="1"/>
  <c r="C19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3" i="1"/>
  <c r="C183" i="1"/>
  <c r="D182" i="1"/>
  <c r="C182" i="1"/>
  <c r="D181" i="1"/>
  <c r="C181" i="1"/>
  <c r="D180" i="1"/>
  <c r="C180" i="1"/>
  <c r="D179" i="1"/>
  <c r="C179" i="1"/>
  <c r="D178" i="1"/>
  <c r="C178" i="1"/>
  <c r="D177" i="1"/>
  <c r="C177" i="1"/>
  <c r="D176" i="1"/>
  <c r="C176" i="1"/>
  <c r="D175" i="1"/>
  <c r="C175" i="1"/>
  <c r="D174" i="1"/>
  <c r="C174" i="1"/>
  <c r="D173" i="1"/>
  <c r="C173" i="1"/>
  <c r="D172" i="1"/>
  <c r="C172" i="1"/>
  <c r="D171" i="1"/>
  <c r="C171" i="1"/>
  <c r="D170" i="1"/>
  <c r="C170" i="1"/>
  <c r="D169" i="1"/>
  <c r="C169" i="1"/>
  <c r="D168" i="1"/>
  <c r="C168" i="1"/>
  <c r="D167" i="1"/>
  <c r="C167" i="1"/>
  <c r="D166" i="1"/>
  <c r="C166" i="1"/>
  <c r="D165" i="1"/>
  <c r="C165" i="1"/>
  <c r="D164" i="1"/>
  <c r="C164" i="1"/>
  <c r="D160" i="1"/>
  <c r="C160" i="1"/>
  <c r="D159" i="1"/>
  <c r="C159" i="1"/>
  <c r="D158" i="1"/>
  <c r="C158" i="1"/>
  <c r="D157" i="1"/>
  <c r="C157" i="1"/>
  <c r="D156" i="1"/>
  <c r="C156" i="1"/>
  <c r="D155" i="1"/>
  <c r="C155" i="1"/>
  <c r="D153" i="1"/>
  <c r="C153" i="1"/>
  <c r="D152" i="1"/>
  <c r="C152" i="1"/>
  <c r="D151" i="1"/>
  <c r="C151" i="1"/>
  <c r="D150" i="1"/>
  <c r="C150" i="1"/>
  <c r="D149" i="1"/>
  <c r="C149" i="1"/>
  <c r="D148" i="1"/>
  <c r="C148" i="1"/>
  <c r="D147" i="1"/>
  <c r="C147" i="1"/>
  <c r="D146" i="1"/>
  <c r="C146" i="1"/>
  <c r="D145" i="1"/>
  <c r="C145" i="1"/>
  <c r="D143" i="1"/>
  <c r="C143" i="1"/>
  <c r="D142" i="1"/>
  <c r="C142" i="1"/>
  <c r="D141" i="1"/>
  <c r="C141" i="1"/>
  <c r="D140" i="1"/>
  <c r="C140" i="1"/>
  <c r="D138" i="1"/>
  <c r="C138" i="1"/>
  <c r="D137" i="1"/>
  <c r="C137" i="1"/>
  <c r="D136" i="1"/>
  <c r="C136" i="1"/>
  <c r="D135" i="1"/>
  <c r="C135" i="1"/>
  <c r="D133" i="1"/>
  <c r="C133" i="1"/>
  <c r="D132" i="1"/>
  <c r="C132" i="1"/>
  <c r="D131" i="1"/>
  <c r="C131" i="1"/>
  <c r="D130" i="1"/>
  <c r="C130" i="1"/>
  <c r="D129" i="1"/>
  <c r="C129" i="1"/>
  <c r="D127" i="1"/>
  <c r="C127" i="1"/>
  <c r="D126" i="1"/>
  <c r="C126" i="1"/>
  <c r="D125" i="1"/>
  <c r="C125" i="1"/>
  <c r="D124" i="1"/>
  <c r="C124" i="1"/>
  <c r="D123" i="1"/>
  <c r="C123" i="1"/>
  <c r="D118" i="1"/>
  <c r="C118" i="1"/>
  <c r="D117" i="1"/>
  <c r="C117" i="1"/>
  <c r="D116" i="1"/>
  <c r="C116" i="1"/>
  <c r="D115" i="1"/>
  <c r="C115" i="1"/>
  <c r="D114" i="1"/>
  <c r="C114" i="1"/>
  <c r="D110" i="1"/>
  <c r="C110" i="1"/>
  <c r="D109" i="1"/>
  <c r="C109" i="1"/>
  <c r="D108" i="1"/>
  <c r="C108" i="1"/>
  <c r="D107" i="1"/>
  <c r="C107" i="1"/>
  <c r="D106" i="1"/>
  <c r="C106" i="1"/>
  <c r="D105" i="1"/>
  <c r="C105" i="1"/>
  <c r="D101" i="1"/>
  <c r="C101" i="1"/>
  <c r="D100" i="1"/>
  <c r="C100" i="1"/>
  <c r="D99" i="1"/>
  <c r="C99" i="1"/>
  <c r="D98" i="1"/>
  <c r="C98" i="1"/>
  <c r="D97" i="1"/>
  <c r="C97" i="1"/>
  <c r="D96" i="1"/>
  <c r="C96" i="1"/>
  <c r="D92" i="1"/>
  <c r="C92" i="1"/>
  <c r="D91" i="1"/>
  <c r="C91" i="1"/>
  <c r="D90" i="1"/>
  <c r="C90" i="1"/>
  <c r="D89" i="1"/>
  <c r="C89" i="1"/>
  <c r="D88" i="1"/>
  <c r="C88" i="1"/>
  <c r="D87" i="1"/>
  <c r="C87" i="1"/>
  <c r="D86" i="1"/>
  <c r="C86" i="1"/>
  <c r="D85" i="1"/>
  <c r="C85" i="1"/>
  <c r="D84" i="1"/>
  <c r="C84" i="1"/>
  <c r="D83" i="1"/>
  <c r="C83" i="1"/>
  <c r="D82" i="1"/>
  <c r="C82" i="1"/>
  <c r="D78" i="1"/>
  <c r="C78" i="1"/>
  <c r="D77" i="1"/>
  <c r="C77" i="1"/>
  <c r="D76" i="1"/>
  <c r="C76" i="1"/>
  <c r="D75" i="1"/>
  <c r="C75" i="1"/>
  <c r="D74" i="1"/>
  <c r="C74" i="1"/>
  <c r="D73" i="1"/>
  <c r="C73" i="1"/>
  <c r="D72" i="1"/>
  <c r="C72" i="1"/>
  <c r="D71" i="1"/>
  <c r="C71" i="1"/>
  <c r="D70" i="1"/>
  <c r="C70" i="1"/>
  <c r="D69" i="1"/>
  <c r="C69" i="1"/>
  <c r="D68" i="1"/>
  <c r="C68" i="1"/>
  <c r="D67" i="1"/>
  <c r="C67" i="1"/>
  <c r="D66" i="1"/>
  <c r="C66" i="1"/>
  <c r="D65" i="1"/>
  <c r="C65" i="1"/>
  <c r="D64" i="1"/>
  <c r="C64" i="1"/>
  <c r="D60" i="1"/>
  <c r="C60" i="1"/>
  <c r="D59" i="1"/>
  <c r="C59" i="1"/>
  <c r="D58" i="1"/>
  <c r="C58" i="1"/>
  <c r="D57" i="1"/>
  <c r="C57" i="1"/>
  <c r="D56" i="1"/>
  <c r="C56" i="1"/>
  <c r="D55" i="1"/>
  <c r="C55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0" i="1"/>
  <c r="C20" i="1"/>
  <c r="D19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D11" i="1"/>
  <c r="C11" i="1"/>
  <c r="G244" i="92"/>
  <c r="G243" i="92"/>
  <c r="G242" i="92"/>
  <c r="G241" i="92"/>
  <c r="C238" i="92"/>
  <c r="C237" i="92"/>
  <c r="C236" i="92"/>
  <c r="C235" i="92"/>
  <c r="C233" i="92"/>
  <c r="C232" i="92"/>
  <c r="C231" i="92"/>
  <c r="E231" i="92"/>
  <c r="D228" i="92"/>
  <c r="C227" i="92"/>
  <c r="C226" i="92"/>
  <c r="C225" i="92"/>
  <c r="C224" i="92"/>
  <c r="C223" i="92"/>
  <c r="C222" i="92"/>
  <c r="C221" i="92"/>
  <c r="C220" i="92"/>
  <c r="C219" i="92"/>
  <c r="C211" i="92"/>
  <c r="D205" i="92"/>
  <c r="C205" i="92"/>
  <c r="D204" i="92"/>
  <c r="C204" i="92"/>
  <c r="D203" i="92"/>
  <c r="C203" i="92"/>
  <c r="D202" i="92"/>
  <c r="C202" i="92"/>
  <c r="D201" i="92"/>
  <c r="C201" i="92"/>
  <c r="D200" i="92"/>
  <c r="C200" i="92"/>
  <c r="D196" i="92"/>
  <c r="C196" i="92"/>
  <c r="D195" i="92"/>
  <c r="C195" i="92"/>
  <c r="D194" i="92"/>
  <c r="C194" i="92"/>
  <c r="D193" i="92"/>
  <c r="C193" i="92"/>
  <c r="D192" i="92"/>
  <c r="C192" i="92"/>
  <c r="D191" i="92"/>
  <c r="C191" i="92"/>
  <c r="D190" i="92"/>
  <c r="C190" i="92"/>
  <c r="D189" i="92"/>
  <c r="C189" i="92"/>
  <c r="D188" i="92"/>
  <c r="C188" i="92"/>
  <c r="D187" i="92"/>
  <c r="C187" i="92"/>
  <c r="D186" i="92"/>
  <c r="C186" i="92"/>
  <c r="D185" i="92"/>
  <c r="C185" i="92"/>
  <c r="D184" i="92"/>
  <c r="C184" i="92"/>
  <c r="D183" i="92"/>
  <c r="C183" i="92"/>
  <c r="D182" i="92"/>
  <c r="C182" i="92"/>
  <c r="D181" i="92"/>
  <c r="C181" i="92"/>
  <c r="D180" i="92"/>
  <c r="C180" i="92"/>
  <c r="D179" i="92"/>
  <c r="C179" i="92"/>
  <c r="D178" i="92"/>
  <c r="C178" i="92"/>
  <c r="D177" i="92"/>
  <c r="C177" i="92"/>
  <c r="D176" i="92"/>
  <c r="C176" i="92"/>
  <c r="D175" i="92"/>
  <c r="C175" i="92"/>
  <c r="D174" i="92"/>
  <c r="C174" i="92"/>
  <c r="D173" i="92"/>
  <c r="C173" i="92"/>
  <c r="D172" i="92"/>
  <c r="C172" i="92"/>
  <c r="D171" i="92"/>
  <c r="C171" i="92"/>
  <c r="D170" i="92"/>
  <c r="C170" i="92"/>
  <c r="D169" i="92"/>
  <c r="C169" i="92"/>
  <c r="D168" i="92"/>
  <c r="C168" i="92"/>
  <c r="D167" i="92"/>
  <c r="C167" i="92"/>
  <c r="D166" i="92"/>
  <c r="C166" i="92"/>
  <c r="D165" i="92"/>
  <c r="C165" i="92"/>
  <c r="D164" i="92"/>
  <c r="C164" i="92"/>
  <c r="D160" i="92"/>
  <c r="C160" i="92"/>
  <c r="D159" i="92"/>
  <c r="C159" i="92"/>
  <c r="D158" i="92"/>
  <c r="C158" i="92"/>
  <c r="D157" i="92"/>
  <c r="C157" i="92"/>
  <c r="D156" i="92"/>
  <c r="C156" i="92"/>
  <c r="D155" i="92"/>
  <c r="C155" i="92"/>
  <c r="D153" i="92"/>
  <c r="C153" i="92"/>
  <c r="D152" i="92"/>
  <c r="C152" i="92"/>
  <c r="D151" i="92"/>
  <c r="C151" i="92"/>
  <c r="D150" i="92"/>
  <c r="C150" i="92"/>
  <c r="D149" i="92"/>
  <c r="C149" i="92"/>
  <c r="D148" i="92"/>
  <c r="C148" i="92"/>
  <c r="D147" i="92"/>
  <c r="C147" i="92"/>
  <c r="D146" i="92"/>
  <c r="C146" i="92"/>
  <c r="D145" i="92"/>
  <c r="C145" i="92"/>
  <c r="D143" i="92"/>
  <c r="C143" i="92"/>
  <c r="D142" i="92"/>
  <c r="C142" i="92"/>
  <c r="D141" i="92"/>
  <c r="C141" i="92"/>
  <c r="D140" i="92"/>
  <c r="C140" i="92"/>
  <c r="D138" i="92"/>
  <c r="C138" i="92"/>
  <c r="D137" i="92"/>
  <c r="C137" i="92"/>
  <c r="D136" i="92"/>
  <c r="C136" i="92"/>
  <c r="D135" i="92"/>
  <c r="C135" i="92"/>
  <c r="D133" i="92"/>
  <c r="C133" i="92"/>
  <c r="D132" i="92"/>
  <c r="C132" i="92"/>
  <c r="D131" i="92"/>
  <c r="C131" i="92"/>
  <c r="D130" i="92"/>
  <c r="C130" i="92"/>
  <c r="D129" i="92"/>
  <c r="C129" i="92"/>
  <c r="D127" i="92"/>
  <c r="C127" i="92"/>
  <c r="D126" i="92"/>
  <c r="C126" i="92"/>
  <c r="D125" i="92"/>
  <c r="C125" i="92"/>
  <c r="D124" i="92"/>
  <c r="C124" i="92"/>
  <c r="D123" i="92"/>
  <c r="C123" i="92"/>
  <c r="D118" i="92"/>
  <c r="C118" i="92"/>
  <c r="D117" i="92"/>
  <c r="C117" i="92"/>
  <c r="D116" i="92"/>
  <c r="C116" i="92"/>
  <c r="D115" i="92"/>
  <c r="C115" i="92"/>
  <c r="D114" i="92"/>
  <c r="C114" i="92"/>
  <c r="D110" i="92"/>
  <c r="C110" i="92"/>
  <c r="D109" i="92"/>
  <c r="C109" i="92"/>
  <c r="D108" i="92"/>
  <c r="C108" i="92"/>
  <c r="D107" i="92"/>
  <c r="C107" i="92"/>
  <c r="D106" i="92"/>
  <c r="C106" i="92"/>
  <c r="D105" i="92"/>
  <c r="C105" i="92"/>
  <c r="D101" i="92"/>
  <c r="C101" i="92"/>
  <c r="D100" i="92"/>
  <c r="C100" i="92"/>
  <c r="D99" i="92"/>
  <c r="C99" i="92"/>
  <c r="D98" i="92"/>
  <c r="C98" i="92"/>
  <c r="D97" i="92"/>
  <c r="C97" i="92"/>
  <c r="D96" i="92"/>
  <c r="C96" i="92"/>
  <c r="D92" i="92"/>
  <c r="C92" i="92"/>
  <c r="D91" i="92"/>
  <c r="C91" i="92"/>
  <c r="D90" i="92"/>
  <c r="C90" i="92"/>
  <c r="D89" i="92"/>
  <c r="C89" i="92"/>
  <c r="D88" i="92"/>
  <c r="C88" i="92"/>
  <c r="D87" i="92"/>
  <c r="C87" i="92"/>
  <c r="D86" i="92"/>
  <c r="C86" i="92"/>
  <c r="D85" i="92"/>
  <c r="C85" i="92"/>
  <c r="D84" i="92"/>
  <c r="C84" i="92"/>
  <c r="D83" i="92"/>
  <c r="C83" i="92"/>
  <c r="D82" i="92"/>
  <c r="C82" i="92"/>
  <c r="D78" i="92"/>
  <c r="C78" i="92"/>
  <c r="D77" i="92"/>
  <c r="C77" i="92"/>
  <c r="D76" i="92"/>
  <c r="C76" i="92"/>
  <c r="D75" i="92"/>
  <c r="C75" i="92"/>
  <c r="D74" i="92"/>
  <c r="C74" i="92"/>
  <c r="D73" i="92"/>
  <c r="C73" i="92"/>
  <c r="D72" i="92"/>
  <c r="C72" i="92"/>
  <c r="D71" i="92"/>
  <c r="C71" i="92"/>
  <c r="D70" i="92"/>
  <c r="C70" i="92"/>
  <c r="D69" i="92"/>
  <c r="C69" i="92"/>
  <c r="D68" i="92"/>
  <c r="C68" i="92"/>
  <c r="D67" i="92"/>
  <c r="C67" i="92"/>
  <c r="D66" i="92"/>
  <c r="C66" i="92"/>
  <c r="D65" i="92"/>
  <c r="C65" i="92"/>
  <c r="D64" i="92"/>
  <c r="C64" i="92"/>
  <c r="D60" i="92"/>
  <c r="C60" i="92"/>
  <c r="D59" i="92"/>
  <c r="C59" i="92"/>
  <c r="D58" i="92"/>
  <c r="C58" i="92"/>
  <c r="D57" i="92"/>
  <c r="C57" i="92"/>
  <c r="D56" i="92"/>
  <c r="C56" i="92"/>
  <c r="D55" i="92"/>
  <c r="C55" i="92"/>
  <c r="D54" i="92"/>
  <c r="C54" i="92"/>
  <c r="D53" i="92"/>
  <c r="C53" i="92"/>
  <c r="D52" i="92"/>
  <c r="C52" i="92"/>
  <c r="D51" i="92"/>
  <c r="C51" i="92"/>
  <c r="D50" i="92"/>
  <c r="C50" i="92"/>
  <c r="D49" i="92"/>
  <c r="C49" i="92"/>
  <c r="D48" i="92"/>
  <c r="C48" i="92"/>
  <c r="D47" i="92"/>
  <c r="C47" i="92"/>
  <c r="D46" i="92"/>
  <c r="C46" i="92"/>
  <c r="D45" i="92"/>
  <c r="C45" i="92"/>
  <c r="D44" i="92"/>
  <c r="C44" i="92"/>
  <c r="D43" i="92"/>
  <c r="C43" i="92"/>
  <c r="D42" i="92"/>
  <c r="C42" i="92"/>
  <c r="D41" i="92"/>
  <c r="C41" i="92"/>
  <c r="D40" i="92"/>
  <c r="C40" i="92"/>
  <c r="D39" i="92"/>
  <c r="C39" i="92"/>
  <c r="D38" i="92"/>
  <c r="C38" i="92"/>
  <c r="D37" i="92"/>
  <c r="C37" i="92"/>
  <c r="D36" i="92"/>
  <c r="C36" i="92"/>
  <c r="D35" i="92"/>
  <c r="C35" i="92"/>
  <c r="D34" i="92"/>
  <c r="C34" i="92"/>
  <c r="D33" i="92"/>
  <c r="C33" i="92"/>
  <c r="D32" i="92"/>
  <c r="C32" i="92"/>
  <c r="D31" i="92"/>
  <c r="C31" i="92"/>
  <c r="D30" i="92"/>
  <c r="C30" i="92"/>
  <c r="D29" i="92"/>
  <c r="C29" i="92"/>
  <c r="D28" i="92"/>
  <c r="C28" i="92"/>
  <c r="D27" i="92"/>
  <c r="C27" i="92"/>
  <c r="D26" i="92"/>
  <c r="C26" i="92"/>
  <c r="D25" i="92"/>
  <c r="C25" i="92"/>
  <c r="D20" i="92"/>
  <c r="C20" i="92"/>
  <c r="D19" i="92"/>
  <c r="C19" i="92"/>
  <c r="D18" i="92"/>
  <c r="C18" i="92"/>
  <c r="D17" i="92"/>
  <c r="C17" i="92"/>
  <c r="D16" i="92"/>
  <c r="C16" i="92"/>
  <c r="D15" i="92"/>
  <c r="C15" i="92"/>
  <c r="D14" i="92"/>
  <c r="C14" i="92"/>
  <c r="D13" i="92"/>
  <c r="C13" i="92"/>
  <c r="D12" i="92"/>
  <c r="C12" i="92"/>
  <c r="D11" i="92"/>
  <c r="C11" i="92"/>
  <c r="G244" i="142"/>
  <c r="G243" i="142"/>
  <c r="G242" i="142"/>
  <c r="G241" i="142"/>
  <c r="C238" i="142"/>
  <c r="C237" i="142"/>
  <c r="C236" i="142"/>
  <c r="C235" i="142"/>
  <c r="C233" i="142"/>
  <c r="C232" i="142"/>
  <c r="C231" i="142"/>
  <c r="D228" i="142"/>
  <c r="C227" i="142"/>
  <c r="C226" i="142"/>
  <c r="C225" i="142"/>
  <c r="C224" i="142"/>
  <c r="C223" i="142"/>
  <c r="C222" i="142"/>
  <c r="C221" i="142"/>
  <c r="E221" i="142"/>
  <c r="C220" i="142"/>
  <c r="C219" i="142"/>
  <c r="C211" i="142"/>
  <c r="D205" i="142"/>
  <c r="C205" i="142"/>
  <c r="D204" i="142"/>
  <c r="C204" i="142"/>
  <c r="D203" i="142"/>
  <c r="C203" i="142"/>
  <c r="D202" i="142"/>
  <c r="C202" i="142"/>
  <c r="D201" i="142"/>
  <c r="C201" i="142"/>
  <c r="D200" i="142"/>
  <c r="C200" i="142"/>
  <c r="D196" i="142"/>
  <c r="C196" i="142"/>
  <c r="D195" i="142"/>
  <c r="C195" i="142"/>
  <c r="D194" i="142"/>
  <c r="C194" i="142"/>
  <c r="D193" i="142"/>
  <c r="C193" i="142"/>
  <c r="D192" i="142"/>
  <c r="C192" i="142"/>
  <c r="D191" i="142"/>
  <c r="C191" i="142"/>
  <c r="D190" i="142"/>
  <c r="C190" i="142"/>
  <c r="D189" i="142"/>
  <c r="C189" i="142"/>
  <c r="D188" i="142"/>
  <c r="C188" i="142"/>
  <c r="D187" i="142"/>
  <c r="C187" i="142"/>
  <c r="D186" i="142"/>
  <c r="C186" i="142"/>
  <c r="D185" i="142"/>
  <c r="C185" i="142"/>
  <c r="D184" i="142"/>
  <c r="C184" i="142"/>
  <c r="D183" i="142"/>
  <c r="C183" i="142"/>
  <c r="D182" i="142"/>
  <c r="C182" i="142"/>
  <c r="D181" i="142"/>
  <c r="C181" i="142"/>
  <c r="D180" i="142"/>
  <c r="C180" i="142"/>
  <c r="D179" i="142"/>
  <c r="C179" i="142"/>
  <c r="D178" i="142"/>
  <c r="C178" i="142"/>
  <c r="D177" i="142"/>
  <c r="C177" i="142"/>
  <c r="D176" i="142"/>
  <c r="C176" i="142"/>
  <c r="D175" i="142"/>
  <c r="C175" i="142"/>
  <c r="D174" i="142"/>
  <c r="C174" i="142"/>
  <c r="D173" i="142"/>
  <c r="C173" i="142"/>
  <c r="D172" i="142"/>
  <c r="C172" i="142"/>
  <c r="D171" i="142"/>
  <c r="C171" i="142"/>
  <c r="D170" i="142"/>
  <c r="C170" i="142"/>
  <c r="D169" i="142"/>
  <c r="C169" i="142"/>
  <c r="D168" i="142"/>
  <c r="C168" i="142"/>
  <c r="D167" i="142"/>
  <c r="C167" i="142"/>
  <c r="D166" i="142"/>
  <c r="C166" i="142"/>
  <c r="D165" i="142"/>
  <c r="C165" i="142"/>
  <c r="D164" i="142"/>
  <c r="C164" i="142"/>
  <c r="D160" i="142"/>
  <c r="C160" i="142"/>
  <c r="D159" i="142"/>
  <c r="C159" i="142"/>
  <c r="D158" i="142"/>
  <c r="C158" i="142"/>
  <c r="D157" i="142"/>
  <c r="C157" i="142"/>
  <c r="D156" i="142"/>
  <c r="C156" i="142"/>
  <c r="D155" i="142"/>
  <c r="C155" i="142"/>
  <c r="D153" i="142"/>
  <c r="C153" i="142"/>
  <c r="D152" i="142"/>
  <c r="C152" i="142"/>
  <c r="D151" i="142"/>
  <c r="C151" i="142"/>
  <c r="D150" i="142"/>
  <c r="C150" i="142"/>
  <c r="D149" i="142"/>
  <c r="C149" i="142"/>
  <c r="D148" i="142"/>
  <c r="C148" i="142"/>
  <c r="D147" i="142"/>
  <c r="C147" i="142"/>
  <c r="D146" i="142"/>
  <c r="C146" i="142"/>
  <c r="D145" i="142"/>
  <c r="C145" i="142"/>
  <c r="D143" i="142"/>
  <c r="C143" i="142"/>
  <c r="D142" i="142"/>
  <c r="C142" i="142"/>
  <c r="D141" i="142"/>
  <c r="C141" i="142"/>
  <c r="D140" i="142"/>
  <c r="C140" i="142"/>
  <c r="D138" i="142"/>
  <c r="C138" i="142"/>
  <c r="D137" i="142"/>
  <c r="C137" i="142"/>
  <c r="D136" i="142"/>
  <c r="C136" i="142"/>
  <c r="D135" i="142"/>
  <c r="C135" i="142"/>
  <c r="D133" i="142"/>
  <c r="C133" i="142"/>
  <c r="D132" i="142"/>
  <c r="C132" i="142"/>
  <c r="D131" i="142"/>
  <c r="C131" i="142"/>
  <c r="D130" i="142"/>
  <c r="C130" i="142"/>
  <c r="D129" i="142"/>
  <c r="C129" i="142"/>
  <c r="D127" i="142"/>
  <c r="C127" i="142"/>
  <c r="D126" i="142"/>
  <c r="C126" i="142"/>
  <c r="D125" i="142"/>
  <c r="C125" i="142"/>
  <c r="D124" i="142"/>
  <c r="C124" i="142"/>
  <c r="D123" i="142"/>
  <c r="C123" i="142"/>
  <c r="D118" i="142"/>
  <c r="C118" i="142"/>
  <c r="D117" i="142"/>
  <c r="C117" i="142"/>
  <c r="D116" i="142"/>
  <c r="C116" i="142"/>
  <c r="D115" i="142"/>
  <c r="C115" i="142"/>
  <c r="D114" i="142"/>
  <c r="C114" i="142"/>
  <c r="D110" i="142"/>
  <c r="C110" i="142"/>
  <c r="D109" i="142"/>
  <c r="C109" i="142"/>
  <c r="D108" i="142"/>
  <c r="C108" i="142"/>
  <c r="D107" i="142"/>
  <c r="C107" i="142"/>
  <c r="D106" i="142"/>
  <c r="C106" i="142"/>
  <c r="D105" i="142"/>
  <c r="C105" i="142"/>
  <c r="D101" i="142"/>
  <c r="C101" i="142"/>
  <c r="D100" i="142"/>
  <c r="C100" i="142"/>
  <c r="D99" i="142"/>
  <c r="C99" i="142"/>
  <c r="D98" i="142"/>
  <c r="C98" i="142"/>
  <c r="D97" i="142"/>
  <c r="C97" i="142"/>
  <c r="D96" i="142"/>
  <c r="C96" i="142"/>
  <c r="D92" i="142"/>
  <c r="C92" i="142"/>
  <c r="D91" i="142"/>
  <c r="C91" i="142"/>
  <c r="D90" i="142"/>
  <c r="C90" i="142"/>
  <c r="D89" i="142"/>
  <c r="C89" i="142"/>
  <c r="D88" i="142"/>
  <c r="C88" i="142"/>
  <c r="D87" i="142"/>
  <c r="C87" i="142"/>
  <c r="D86" i="142"/>
  <c r="C86" i="142"/>
  <c r="D85" i="142"/>
  <c r="C85" i="142"/>
  <c r="D84" i="142"/>
  <c r="C84" i="142"/>
  <c r="D83" i="142"/>
  <c r="C83" i="142"/>
  <c r="D82" i="142"/>
  <c r="C82" i="142"/>
  <c r="D78" i="142"/>
  <c r="C78" i="142"/>
  <c r="D77" i="142"/>
  <c r="C77" i="142"/>
  <c r="D76" i="142"/>
  <c r="C76" i="142"/>
  <c r="D75" i="142"/>
  <c r="C75" i="142"/>
  <c r="D74" i="142"/>
  <c r="C74" i="142"/>
  <c r="D73" i="142"/>
  <c r="C73" i="142"/>
  <c r="D72" i="142"/>
  <c r="C72" i="142"/>
  <c r="D71" i="142"/>
  <c r="C71" i="142"/>
  <c r="D70" i="142"/>
  <c r="C70" i="142"/>
  <c r="D69" i="142"/>
  <c r="C69" i="142"/>
  <c r="D68" i="142"/>
  <c r="C68" i="142"/>
  <c r="D67" i="142"/>
  <c r="C67" i="142"/>
  <c r="D66" i="142"/>
  <c r="C66" i="142"/>
  <c r="D65" i="142"/>
  <c r="C65" i="142"/>
  <c r="D64" i="142"/>
  <c r="C64" i="142"/>
  <c r="D60" i="142"/>
  <c r="C60" i="142"/>
  <c r="D59" i="142"/>
  <c r="C59" i="142"/>
  <c r="D58" i="142"/>
  <c r="C58" i="142"/>
  <c r="D57" i="142"/>
  <c r="C57" i="142"/>
  <c r="D56" i="142"/>
  <c r="C56" i="142"/>
  <c r="D55" i="142"/>
  <c r="C55" i="142"/>
  <c r="D54" i="142"/>
  <c r="C54" i="142"/>
  <c r="D53" i="142"/>
  <c r="C53" i="142"/>
  <c r="D52" i="142"/>
  <c r="C52" i="142"/>
  <c r="D51" i="142"/>
  <c r="C51" i="142"/>
  <c r="D50" i="142"/>
  <c r="C50" i="142"/>
  <c r="D49" i="142"/>
  <c r="C49" i="142"/>
  <c r="D48" i="142"/>
  <c r="C48" i="142"/>
  <c r="D47" i="142"/>
  <c r="C47" i="142"/>
  <c r="D46" i="142"/>
  <c r="C46" i="142"/>
  <c r="D45" i="142"/>
  <c r="C45" i="142"/>
  <c r="D44" i="142"/>
  <c r="C44" i="142"/>
  <c r="D43" i="142"/>
  <c r="C43" i="142"/>
  <c r="D42" i="142"/>
  <c r="C42" i="142"/>
  <c r="D41" i="142"/>
  <c r="C41" i="142"/>
  <c r="D40" i="142"/>
  <c r="C40" i="142"/>
  <c r="D39" i="142"/>
  <c r="C39" i="142"/>
  <c r="D38" i="142"/>
  <c r="C38" i="142"/>
  <c r="D37" i="142"/>
  <c r="C37" i="142"/>
  <c r="D36" i="142"/>
  <c r="C36" i="142"/>
  <c r="D35" i="142"/>
  <c r="C35" i="142"/>
  <c r="D34" i="142"/>
  <c r="C34" i="142"/>
  <c r="D33" i="142"/>
  <c r="C33" i="142"/>
  <c r="D32" i="142"/>
  <c r="C32" i="142"/>
  <c r="D31" i="142"/>
  <c r="C31" i="142"/>
  <c r="D30" i="142"/>
  <c r="C30" i="142"/>
  <c r="D29" i="142"/>
  <c r="C29" i="142"/>
  <c r="D28" i="142"/>
  <c r="C28" i="142"/>
  <c r="D27" i="142"/>
  <c r="C27" i="142"/>
  <c r="D26" i="142"/>
  <c r="C26" i="142"/>
  <c r="D25" i="142"/>
  <c r="C25" i="142"/>
  <c r="D20" i="142"/>
  <c r="C20" i="142"/>
  <c r="D19" i="142"/>
  <c r="C19" i="142"/>
  <c r="D18" i="142"/>
  <c r="C18" i="142"/>
  <c r="D17" i="142"/>
  <c r="C17" i="142"/>
  <c r="D16" i="142"/>
  <c r="C16" i="142"/>
  <c r="D15" i="142"/>
  <c r="C15" i="142"/>
  <c r="D14" i="142"/>
  <c r="C14" i="142"/>
  <c r="D13" i="142"/>
  <c r="C13" i="142"/>
  <c r="D12" i="142"/>
  <c r="C12" i="142"/>
  <c r="D11" i="142"/>
  <c r="C11" i="142"/>
  <c r="G244" i="69"/>
  <c r="G243" i="69"/>
  <c r="G242" i="69"/>
  <c r="G241" i="69"/>
  <c r="C238" i="69"/>
  <c r="C237" i="69"/>
  <c r="C236" i="69"/>
  <c r="C235" i="69"/>
  <c r="C233" i="69"/>
  <c r="E233" i="69"/>
  <c r="G233" i="69"/>
  <c r="C232" i="69"/>
  <c r="C231" i="69"/>
  <c r="D228" i="69"/>
  <c r="C227" i="69"/>
  <c r="C226" i="69"/>
  <c r="C225" i="69"/>
  <c r="C224" i="69"/>
  <c r="C223" i="69"/>
  <c r="E223" i="69"/>
  <c r="C222" i="69"/>
  <c r="C221" i="69"/>
  <c r="C220" i="69"/>
  <c r="C219" i="69"/>
  <c r="C211" i="69"/>
  <c r="D205" i="69"/>
  <c r="C205" i="69"/>
  <c r="D204" i="69"/>
  <c r="C204" i="69"/>
  <c r="D203" i="69"/>
  <c r="C203" i="69"/>
  <c r="D202" i="69"/>
  <c r="C202" i="69"/>
  <c r="D201" i="69"/>
  <c r="C201" i="69"/>
  <c r="D200" i="69"/>
  <c r="C200" i="69"/>
  <c r="D196" i="69"/>
  <c r="C196" i="69"/>
  <c r="D195" i="69"/>
  <c r="C195" i="69"/>
  <c r="D194" i="69"/>
  <c r="C194" i="69"/>
  <c r="D193" i="69"/>
  <c r="C193" i="69"/>
  <c r="D192" i="69"/>
  <c r="C192" i="69"/>
  <c r="D191" i="69"/>
  <c r="C191" i="69"/>
  <c r="D190" i="69"/>
  <c r="C190" i="69"/>
  <c r="D189" i="69"/>
  <c r="C189" i="69"/>
  <c r="D188" i="69"/>
  <c r="C188" i="69"/>
  <c r="D187" i="69"/>
  <c r="C187" i="69"/>
  <c r="D186" i="69"/>
  <c r="C186" i="69"/>
  <c r="D185" i="69"/>
  <c r="C185" i="69"/>
  <c r="D184" i="69"/>
  <c r="C184" i="69"/>
  <c r="D183" i="69"/>
  <c r="C183" i="69"/>
  <c r="D182" i="69"/>
  <c r="C182" i="69"/>
  <c r="D181" i="69"/>
  <c r="C181" i="69"/>
  <c r="D180" i="69"/>
  <c r="C180" i="69"/>
  <c r="D179" i="69"/>
  <c r="C179" i="69"/>
  <c r="D178" i="69"/>
  <c r="C178" i="69"/>
  <c r="D177" i="69"/>
  <c r="C177" i="69"/>
  <c r="D176" i="69"/>
  <c r="C176" i="69"/>
  <c r="D175" i="69"/>
  <c r="C175" i="69"/>
  <c r="D174" i="69"/>
  <c r="C174" i="69"/>
  <c r="D173" i="69"/>
  <c r="C173" i="69"/>
  <c r="D172" i="69"/>
  <c r="C172" i="69"/>
  <c r="D171" i="69"/>
  <c r="C171" i="69"/>
  <c r="D170" i="69"/>
  <c r="C170" i="69"/>
  <c r="D169" i="69"/>
  <c r="C169" i="69"/>
  <c r="D168" i="69"/>
  <c r="C168" i="69"/>
  <c r="D167" i="69"/>
  <c r="C167" i="69"/>
  <c r="D166" i="69"/>
  <c r="C166" i="69"/>
  <c r="D165" i="69"/>
  <c r="C165" i="69"/>
  <c r="D164" i="69"/>
  <c r="C164" i="69"/>
  <c r="D160" i="69"/>
  <c r="C160" i="69"/>
  <c r="D159" i="69"/>
  <c r="C159" i="69"/>
  <c r="D158" i="69"/>
  <c r="C158" i="69"/>
  <c r="D157" i="69"/>
  <c r="C157" i="69"/>
  <c r="D156" i="69"/>
  <c r="C156" i="69"/>
  <c r="D155" i="69"/>
  <c r="C155" i="69"/>
  <c r="D153" i="69"/>
  <c r="C153" i="69"/>
  <c r="D152" i="69"/>
  <c r="C152" i="69"/>
  <c r="D151" i="69"/>
  <c r="C151" i="69"/>
  <c r="D150" i="69"/>
  <c r="C150" i="69"/>
  <c r="D149" i="69"/>
  <c r="C149" i="69"/>
  <c r="D148" i="69"/>
  <c r="C148" i="69"/>
  <c r="D147" i="69"/>
  <c r="C147" i="69"/>
  <c r="D146" i="69"/>
  <c r="C146" i="69"/>
  <c r="D145" i="69"/>
  <c r="C145" i="69"/>
  <c r="D143" i="69"/>
  <c r="C143" i="69"/>
  <c r="D142" i="69"/>
  <c r="C142" i="69"/>
  <c r="D141" i="69"/>
  <c r="C141" i="69"/>
  <c r="D140" i="69"/>
  <c r="C140" i="69"/>
  <c r="D138" i="69"/>
  <c r="C138" i="69"/>
  <c r="D137" i="69"/>
  <c r="C137" i="69"/>
  <c r="D136" i="69"/>
  <c r="C136" i="69"/>
  <c r="D135" i="69"/>
  <c r="C135" i="69"/>
  <c r="D133" i="69"/>
  <c r="C133" i="69"/>
  <c r="D132" i="69"/>
  <c r="C132" i="69"/>
  <c r="D131" i="69"/>
  <c r="C131" i="69"/>
  <c r="D130" i="69"/>
  <c r="C130" i="69"/>
  <c r="D129" i="69"/>
  <c r="C129" i="69"/>
  <c r="D127" i="69"/>
  <c r="C127" i="69"/>
  <c r="D126" i="69"/>
  <c r="C126" i="69"/>
  <c r="D125" i="69"/>
  <c r="C125" i="69"/>
  <c r="D124" i="69"/>
  <c r="C124" i="69"/>
  <c r="D123" i="69"/>
  <c r="C123" i="69"/>
  <c r="D118" i="69"/>
  <c r="C118" i="69"/>
  <c r="D117" i="69"/>
  <c r="C117" i="69"/>
  <c r="D116" i="69"/>
  <c r="C116" i="69"/>
  <c r="D115" i="69"/>
  <c r="C115" i="69"/>
  <c r="D114" i="69"/>
  <c r="C114" i="69"/>
  <c r="D110" i="69"/>
  <c r="C110" i="69"/>
  <c r="D109" i="69"/>
  <c r="C109" i="69"/>
  <c r="D108" i="69"/>
  <c r="C108" i="69"/>
  <c r="D107" i="69"/>
  <c r="C107" i="69"/>
  <c r="D106" i="69"/>
  <c r="C106" i="69"/>
  <c r="D105" i="69"/>
  <c r="C105" i="69"/>
  <c r="D101" i="69"/>
  <c r="C101" i="69"/>
  <c r="D100" i="69"/>
  <c r="C100" i="69"/>
  <c r="D99" i="69"/>
  <c r="C99" i="69"/>
  <c r="D98" i="69"/>
  <c r="C98" i="69"/>
  <c r="D97" i="69"/>
  <c r="C97" i="69"/>
  <c r="D96" i="69"/>
  <c r="C96" i="69"/>
  <c r="D92" i="69"/>
  <c r="C92" i="69"/>
  <c r="D91" i="69"/>
  <c r="C91" i="69"/>
  <c r="D90" i="69"/>
  <c r="C90" i="69"/>
  <c r="D89" i="69"/>
  <c r="C89" i="69"/>
  <c r="D88" i="69"/>
  <c r="C88" i="69"/>
  <c r="D87" i="69"/>
  <c r="C87" i="69"/>
  <c r="D86" i="69"/>
  <c r="C86" i="69"/>
  <c r="D85" i="69"/>
  <c r="C85" i="69"/>
  <c r="D84" i="69"/>
  <c r="C84" i="69"/>
  <c r="D83" i="69"/>
  <c r="C83" i="69"/>
  <c r="D82" i="69"/>
  <c r="C82" i="69"/>
  <c r="D78" i="69"/>
  <c r="C78" i="69"/>
  <c r="D77" i="69"/>
  <c r="C77" i="69"/>
  <c r="D76" i="69"/>
  <c r="C76" i="69"/>
  <c r="D75" i="69"/>
  <c r="C75" i="69"/>
  <c r="D74" i="69"/>
  <c r="C74" i="69"/>
  <c r="D73" i="69"/>
  <c r="C73" i="69"/>
  <c r="D72" i="69"/>
  <c r="C72" i="69"/>
  <c r="D71" i="69"/>
  <c r="C71" i="69"/>
  <c r="D70" i="69"/>
  <c r="C70" i="69"/>
  <c r="D69" i="69"/>
  <c r="C69" i="69"/>
  <c r="D68" i="69"/>
  <c r="C68" i="69"/>
  <c r="D67" i="69"/>
  <c r="C67" i="69"/>
  <c r="D66" i="69"/>
  <c r="C66" i="69"/>
  <c r="D65" i="69"/>
  <c r="C65" i="69"/>
  <c r="D64" i="69"/>
  <c r="C64" i="69"/>
  <c r="D60" i="69"/>
  <c r="C60" i="69"/>
  <c r="D59" i="69"/>
  <c r="C59" i="69"/>
  <c r="D58" i="69"/>
  <c r="C58" i="69"/>
  <c r="D57" i="69"/>
  <c r="C57" i="69"/>
  <c r="D56" i="69"/>
  <c r="C56" i="69"/>
  <c r="D55" i="69"/>
  <c r="C55" i="69"/>
  <c r="D54" i="69"/>
  <c r="C54" i="69"/>
  <c r="D53" i="69"/>
  <c r="C53" i="69"/>
  <c r="D52" i="69"/>
  <c r="C52" i="69"/>
  <c r="D51" i="69"/>
  <c r="C51" i="69"/>
  <c r="D50" i="69"/>
  <c r="C50" i="69"/>
  <c r="D49" i="69"/>
  <c r="C49" i="69"/>
  <c r="D48" i="69"/>
  <c r="C48" i="69"/>
  <c r="D47" i="69"/>
  <c r="C47" i="69"/>
  <c r="D46" i="69"/>
  <c r="C46" i="69"/>
  <c r="D45" i="69"/>
  <c r="C45" i="69"/>
  <c r="D44" i="69"/>
  <c r="C44" i="69"/>
  <c r="D43" i="69"/>
  <c r="C43" i="69"/>
  <c r="D42" i="69"/>
  <c r="C42" i="69"/>
  <c r="D41" i="69"/>
  <c r="C41" i="69"/>
  <c r="D40" i="69"/>
  <c r="C40" i="69"/>
  <c r="D39" i="69"/>
  <c r="C39" i="69"/>
  <c r="D38" i="69"/>
  <c r="C38" i="69"/>
  <c r="D37" i="69"/>
  <c r="C37" i="69"/>
  <c r="D36" i="69"/>
  <c r="C36" i="69"/>
  <c r="D35" i="69"/>
  <c r="C35" i="69"/>
  <c r="D34" i="69"/>
  <c r="C34" i="69"/>
  <c r="D33" i="69"/>
  <c r="C33" i="69"/>
  <c r="D32" i="69"/>
  <c r="C32" i="69"/>
  <c r="D31" i="69"/>
  <c r="C31" i="69"/>
  <c r="D30" i="69"/>
  <c r="C30" i="69"/>
  <c r="D29" i="69"/>
  <c r="C29" i="69"/>
  <c r="D28" i="69"/>
  <c r="C28" i="69"/>
  <c r="D27" i="69"/>
  <c r="C27" i="69"/>
  <c r="D26" i="69"/>
  <c r="C26" i="69"/>
  <c r="D25" i="69"/>
  <c r="C25" i="69"/>
  <c r="D20" i="69"/>
  <c r="C20" i="69"/>
  <c r="D19" i="69"/>
  <c r="C19" i="69"/>
  <c r="D18" i="69"/>
  <c r="C18" i="69"/>
  <c r="D17" i="69"/>
  <c r="C17" i="69"/>
  <c r="D16" i="69"/>
  <c r="C16" i="69"/>
  <c r="D15" i="69"/>
  <c r="C15" i="69"/>
  <c r="D14" i="69"/>
  <c r="C14" i="69"/>
  <c r="D13" i="69"/>
  <c r="C13" i="69"/>
  <c r="D12" i="69"/>
  <c r="C12" i="69"/>
  <c r="D11" i="69"/>
  <c r="C11" i="69"/>
  <c r="G244" i="89"/>
  <c r="G243" i="89"/>
  <c r="G242" i="89"/>
  <c r="G241" i="89"/>
  <c r="C238" i="89"/>
  <c r="C237" i="89"/>
  <c r="C236" i="89"/>
  <c r="C235" i="89"/>
  <c r="C233" i="89"/>
  <c r="C232" i="89"/>
  <c r="C231" i="89"/>
  <c r="D228" i="89"/>
  <c r="C227" i="89"/>
  <c r="C226" i="89"/>
  <c r="C225" i="89"/>
  <c r="C224" i="89"/>
  <c r="C223" i="89"/>
  <c r="C222" i="89"/>
  <c r="C221" i="89"/>
  <c r="C220" i="89"/>
  <c r="C219" i="89"/>
  <c r="C211" i="89"/>
  <c r="D205" i="89"/>
  <c r="C205" i="89"/>
  <c r="D204" i="89"/>
  <c r="C204" i="89"/>
  <c r="D203" i="89"/>
  <c r="C203" i="89"/>
  <c r="D202" i="89"/>
  <c r="C202" i="89"/>
  <c r="D201" i="89"/>
  <c r="C201" i="89"/>
  <c r="D200" i="89"/>
  <c r="C200" i="89"/>
  <c r="D196" i="89"/>
  <c r="C196" i="89"/>
  <c r="D195" i="89"/>
  <c r="C195" i="89"/>
  <c r="D194" i="89"/>
  <c r="C194" i="89"/>
  <c r="D193" i="89"/>
  <c r="C193" i="89"/>
  <c r="D192" i="89"/>
  <c r="C192" i="89"/>
  <c r="D191" i="89"/>
  <c r="C191" i="89"/>
  <c r="D190" i="89"/>
  <c r="C190" i="89"/>
  <c r="D189" i="89"/>
  <c r="C189" i="89"/>
  <c r="D188" i="89"/>
  <c r="C188" i="89"/>
  <c r="D187" i="89"/>
  <c r="C187" i="89"/>
  <c r="D186" i="89"/>
  <c r="C186" i="89"/>
  <c r="D185" i="89"/>
  <c r="C185" i="89"/>
  <c r="D184" i="89"/>
  <c r="C184" i="89"/>
  <c r="D183" i="89"/>
  <c r="C183" i="89"/>
  <c r="D182" i="89"/>
  <c r="C182" i="89"/>
  <c r="D181" i="89"/>
  <c r="C181" i="89"/>
  <c r="D180" i="89"/>
  <c r="C180" i="89"/>
  <c r="D179" i="89"/>
  <c r="C179" i="89"/>
  <c r="D178" i="89"/>
  <c r="C178" i="89"/>
  <c r="D177" i="89"/>
  <c r="C177" i="89"/>
  <c r="D176" i="89"/>
  <c r="C176" i="89"/>
  <c r="D175" i="89"/>
  <c r="C175" i="89"/>
  <c r="D174" i="89"/>
  <c r="C174" i="89"/>
  <c r="D173" i="89"/>
  <c r="C173" i="89"/>
  <c r="D172" i="89"/>
  <c r="C172" i="89"/>
  <c r="D171" i="89"/>
  <c r="C171" i="89"/>
  <c r="D170" i="89"/>
  <c r="C170" i="89"/>
  <c r="D169" i="89"/>
  <c r="C169" i="89"/>
  <c r="D168" i="89"/>
  <c r="C168" i="89"/>
  <c r="D167" i="89"/>
  <c r="C167" i="89"/>
  <c r="D166" i="89"/>
  <c r="C166" i="89"/>
  <c r="D165" i="89"/>
  <c r="C165" i="89"/>
  <c r="D164" i="89"/>
  <c r="C164" i="89"/>
  <c r="D160" i="89"/>
  <c r="C160" i="89"/>
  <c r="D159" i="89"/>
  <c r="C159" i="89"/>
  <c r="D158" i="89"/>
  <c r="C158" i="89"/>
  <c r="D157" i="89"/>
  <c r="C157" i="89"/>
  <c r="D156" i="89"/>
  <c r="C156" i="89"/>
  <c r="D155" i="89"/>
  <c r="C155" i="89"/>
  <c r="D153" i="89"/>
  <c r="C153" i="89"/>
  <c r="D152" i="89"/>
  <c r="C152" i="89"/>
  <c r="D151" i="89"/>
  <c r="C151" i="89"/>
  <c r="D150" i="89"/>
  <c r="C150" i="89"/>
  <c r="D149" i="89"/>
  <c r="C149" i="89"/>
  <c r="D148" i="89"/>
  <c r="C148" i="89"/>
  <c r="D147" i="89"/>
  <c r="C147" i="89"/>
  <c r="D146" i="89"/>
  <c r="C146" i="89"/>
  <c r="D145" i="89"/>
  <c r="C145" i="89"/>
  <c r="D143" i="89"/>
  <c r="C143" i="89"/>
  <c r="D142" i="89"/>
  <c r="C142" i="89"/>
  <c r="D141" i="89"/>
  <c r="C141" i="89"/>
  <c r="D140" i="89"/>
  <c r="C140" i="89"/>
  <c r="D138" i="89"/>
  <c r="C138" i="89"/>
  <c r="D137" i="89"/>
  <c r="C137" i="89"/>
  <c r="D136" i="89"/>
  <c r="C136" i="89"/>
  <c r="D135" i="89"/>
  <c r="C135" i="89"/>
  <c r="D133" i="89"/>
  <c r="C133" i="89"/>
  <c r="D132" i="89"/>
  <c r="C132" i="89"/>
  <c r="D131" i="89"/>
  <c r="C131" i="89"/>
  <c r="D130" i="89"/>
  <c r="C130" i="89"/>
  <c r="D129" i="89"/>
  <c r="C129" i="89"/>
  <c r="D127" i="89"/>
  <c r="C127" i="89"/>
  <c r="D126" i="89"/>
  <c r="C126" i="89"/>
  <c r="D125" i="89"/>
  <c r="C125" i="89"/>
  <c r="D124" i="89"/>
  <c r="C124" i="89"/>
  <c r="D123" i="89"/>
  <c r="C123" i="89"/>
  <c r="D118" i="89"/>
  <c r="C118" i="89"/>
  <c r="D117" i="89"/>
  <c r="C117" i="89"/>
  <c r="D116" i="89"/>
  <c r="C116" i="89"/>
  <c r="D115" i="89"/>
  <c r="C115" i="89"/>
  <c r="D114" i="89"/>
  <c r="C114" i="89"/>
  <c r="D110" i="89"/>
  <c r="C110" i="89"/>
  <c r="D109" i="89"/>
  <c r="C109" i="89"/>
  <c r="D108" i="89"/>
  <c r="C108" i="89"/>
  <c r="D107" i="89"/>
  <c r="C107" i="89"/>
  <c r="D106" i="89"/>
  <c r="C106" i="89"/>
  <c r="D105" i="89"/>
  <c r="C105" i="89"/>
  <c r="D101" i="89"/>
  <c r="C101" i="89"/>
  <c r="D100" i="89"/>
  <c r="C100" i="89"/>
  <c r="D99" i="89"/>
  <c r="C99" i="89"/>
  <c r="D98" i="89"/>
  <c r="C98" i="89"/>
  <c r="D97" i="89"/>
  <c r="C97" i="89"/>
  <c r="D96" i="89"/>
  <c r="C96" i="89"/>
  <c r="D92" i="89"/>
  <c r="C92" i="89"/>
  <c r="D91" i="89"/>
  <c r="C91" i="89"/>
  <c r="D90" i="89"/>
  <c r="C90" i="89"/>
  <c r="D89" i="89"/>
  <c r="C89" i="89"/>
  <c r="D88" i="89"/>
  <c r="C88" i="89"/>
  <c r="D87" i="89"/>
  <c r="C87" i="89"/>
  <c r="D86" i="89"/>
  <c r="C86" i="89"/>
  <c r="D85" i="89"/>
  <c r="C85" i="89"/>
  <c r="D84" i="89"/>
  <c r="C84" i="89"/>
  <c r="D83" i="89"/>
  <c r="C83" i="89"/>
  <c r="D82" i="89"/>
  <c r="C82" i="89"/>
  <c r="D78" i="89"/>
  <c r="C78" i="89"/>
  <c r="D77" i="89"/>
  <c r="C77" i="89"/>
  <c r="D76" i="89"/>
  <c r="C76" i="89"/>
  <c r="D75" i="89"/>
  <c r="C75" i="89"/>
  <c r="D74" i="89"/>
  <c r="C74" i="89"/>
  <c r="D73" i="89"/>
  <c r="C73" i="89"/>
  <c r="D72" i="89"/>
  <c r="C72" i="89"/>
  <c r="D71" i="89"/>
  <c r="C71" i="89"/>
  <c r="D70" i="89"/>
  <c r="C70" i="89"/>
  <c r="D69" i="89"/>
  <c r="C69" i="89"/>
  <c r="D68" i="89"/>
  <c r="C68" i="89"/>
  <c r="D67" i="89"/>
  <c r="C67" i="89"/>
  <c r="D66" i="89"/>
  <c r="C66" i="89"/>
  <c r="D65" i="89"/>
  <c r="C65" i="89"/>
  <c r="D64" i="89"/>
  <c r="C64" i="89"/>
  <c r="D60" i="89"/>
  <c r="C60" i="89"/>
  <c r="D59" i="89"/>
  <c r="C59" i="89"/>
  <c r="D58" i="89"/>
  <c r="C58" i="89"/>
  <c r="D57" i="89"/>
  <c r="C57" i="89"/>
  <c r="D56" i="89"/>
  <c r="C56" i="89"/>
  <c r="D55" i="89"/>
  <c r="C55" i="89"/>
  <c r="D54" i="89"/>
  <c r="C54" i="89"/>
  <c r="D53" i="89"/>
  <c r="C53" i="89"/>
  <c r="D52" i="89"/>
  <c r="C52" i="89"/>
  <c r="D51" i="89"/>
  <c r="C51" i="89"/>
  <c r="D50" i="89"/>
  <c r="C50" i="89"/>
  <c r="D49" i="89"/>
  <c r="C49" i="89"/>
  <c r="D48" i="89"/>
  <c r="C48" i="89"/>
  <c r="D47" i="89"/>
  <c r="C47" i="89"/>
  <c r="D46" i="89"/>
  <c r="C46" i="89"/>
  <c r="D45" i="89"/>
  <c r="C45" i="89"/>
  <c r="D44" i="89"/>
  <c r="C44" i="89"/>
  <c r="D43" i="89"/>
  <c r="C43" i="89"/>
  <c r="D42" i="89"/>
  <c r="C42" i="89"/>
  <c r="D41" i="89"/>
  <c r="C41" i="89"/>
  <c r="D40" i="89"/>
  <c r="C40" i="89"/>
  <c r="D39" i="89"/>
  <c r="C39" i="89"/>
  <c r="D38" i="89"/>
  <c r="C38" i="89"/>
  <c r="D37" i="89"/>
  <c r="C37" i="89"/>
  <c r="D36" i="89"/>
  <c r="C36" i="89"/>
  <c r="D35" i="89"/>
  <c r="C35" i="89"/>
  <c r="D34" i="89"/>
  <c r="C34" i="89"/>
  <c r="D33" i="89"/>
  <c r="C33" i="89"/>
  <c r="D32" i="89"/>
  <c r="C32" i="89"/>
  <c r="D31" i="89"/>
  <c r="C31" i="89"/>
  <c r="D30" i="89"/>
  <c r="C30" i="89"/>
  <c r="D29" i="89"/>
  <c r="C29" i="89"/>
  <c r="D28" i="89"/>
  <c r="C28" i="89"/>
  <c r="D27" i="89"/>
  <c r="C27" i="89"/>
  <c r="D26" i="89"/>
  <c r="C26" i="89"/>
  <c r="D25" i="89"/>
  <c r="C25" i="89"/>
  <c r="D20" i="89"/>
  <c r="C20" i="89"/>
  <c r="D19" i="89"/>
  <c r="C19" i="89"/>
  <c r="D18" i="89"/>
  <c r="C18" i="89"/>
  <c r="D17" i="89"/>
  <c r="C17" i="89"/>
  <c r="D16" i="89"/>
  <c r="C16" i="89"/>
  <c r="D15" i="89"/>
  <c r="C15" i="89"/>
  <c r="D14" i="89"/>
  <c r="C14" i="89"/>
  <c r="D13" i="89"/>
  <c r="C13" i="89"/>
  <c r="D12" i="89"/>
  <c r="C12" i="89"/>
  <c r="D11" i="89"/>
  <c r="C11" i="89"/>
  <c r="G244" i="86"/>
  <c r="G243" i="86"/>
  <c r="G242" i="86"/>
  <c r="G241" i="86"/>
  <c r="C238" i="86"/>
  <c r="C237" i="86"/>
  <c r="C236" i="86"/>
  <c r="C235" i="86"/>
  <c r="C233" i="86"/>
  <c r="C232" i="86"/>
  <c r="C231" i="86"/>
  <c r="D228" i="86"/>
  <c r="C227" i="86"/>
  <c r="C226" i="86"/>
  <c r="C225" i="86"/>
  <c r="C224" i="86"/>
  <c r="C223" i="86"/>
  <c r="C222" i="86"/>
  <c r="E222" i="86"/>
  <c r="C221" i="86"/>
  <c r="C220" i="86"/>
  <c r="C219" i="86"/>
  <c r="C211" i="86"/>
  <c r="D205" i="86"/>
  <c r="C205" i="86"/>
  <c r="D204" i="86"/>
  <c r="C204" i="86"/>
  <c r="D203" i="86"/>
  <c r="C203" i="86"/>
  <c r="D202" i="86"/>
  <c r="C202" i="86"/>
  <c r="D201" i="86"/>
  <c r="C201" i="86"/>
  <c r="D200" i="86"/>
  <c r="C200" i="86"/>
  <c r="D196" i="86"/>
  <c r="C196" i="86"/>
  <c r="D195" i="86"/>
  <c r="C195" i="86"/>
  <c r="D194" i="86"/>
  <c r="C194" i="86"/>
  <c r="D193" i="86"/>
  <c r="C193" i="86"/>
  <c r="D192" i="86"/>
  <c r="C192" i="86"/>
  <c r="D191" i="86"/>
  <c r="C191" i="86"/>
  <c r="D190" i="86"/>
  <c r="C190" i="86"/>
  <c r="D189" i="86"/>
  <c r="C189" i="86"/>
  <c r="D188" i="86"/>
  <c r="C188" i="86"/>
  <c r="D187" i="86"/>
  <c r="C187" i="86"/>
  <c r="D186" i="86"/>
  <c r="C186" i="86"/>
  <c r="D185" i="86"/>
  <c r="C185" i="86"/>
  <c r="D184" i="86"/>
  <c r="C184" i="86"/>
  <c r="D183" i="86"/>
  <c r="C183" i="86"/>
  <c r="D182" i="86"/>
  <c r="C182" i="86"/>
  <c r="D181" i="86"/>
  <c r="C181" i="86"/>
  <c r="D180" i="86"/>
  <c r="C180" i="86"/>
  <c r="D179" i="86"/>
  <c r="C179" i="86"/>
  <c r="D178" i="86"/>
  <c r="C178" i="86"/>
  <c r="D177" i="86"/>
  <c r="C177" i="86"/>
  <c r="D176" i="86"/>
  <c r="C176" i="86"/>
  <c r="D175" i="86"/>
  <c r="C175" i="86"/>
  <c r="D174" i="86"/>
  <c r="C174" i="86"/>
  <c r="D173" i="86"/>
  <c r="C173" i="86"/>
  <c r="D172" i="86"/>
  <c r="C172" i="86"/>
  <c r="D171" i="86"/>
  <c r="C171" i="86"/>
  <c r="D170" i="86"/>
  <c r="C170" i="86"/>
  <c r="D169" i="86"/>
  <c r="C169" i="86"/>
  <c r="D168" i="86"/>
  <c r="C168" i="86"/>
  <c r="D167" i="86"/>
  <c r="C167" i="86"/>
  <c r="D166" i="86"/>
  <c r="C166" i="86"/>
  <c r="D165" i="86"/>
  <c r="C165" i="86"/>
  <c r="D164" i="86"/>
  <c r="C164" i="86"/>
  <c r="D160" i="86"/>
  <c r="C160" i="86"/>
  <c r="D159" i="86"/>
  <c r="C159" i="86"/>
  <c r="D158" i="86"/>
  <c r="C158" i="86"/>
  <c r="D157" i="86"/>
  <c r="C157" i="86"/>
  <c r="D156" i="86"/>
  <c r="C156" i="86"/>
  <c r="D155" i="86"/>
  <c r="C155" i="86"/>
  <c r="D153" i="86"/>
  <c r="C153" i="86"/>
  <c r="D152" i="86"/>
  <c r="C152" i="86"/>
  <c r="D151" i="86"/>
  <c r="C151" i="86"/>
  <c r="D150" i="86"/>
  <c r="C150" i="86"/>
  <c r="D149" i="86"/>
  <c r="C149" i="86"/>
  <c r="D148" i="86"/>
  <c r="C148" i="86"/>
  <c r="D147" i="86"/>
  <c r="C147" i="86"/>
  <c r="D146" i="86"/>
  <c r="C146" i="86"/>
  <c r="D145" i="86"/>
  <c r="C145" i="86"/>
  <c r="D143" i="86"/>
  <c r="C143" i="86"/>
  <c r="D142" i="86"/>
  <c r="C142" i="86"/>
  <c r="D141" i="86"/>
  <c r="C141" i="86"/>
  <c r="D140" i="86"/>
  <c r="C140" i="86"/>
  <c r="D138" i="86"/>
  <c r="C138" i="86"/>
  <c r="D137" i="86"/>
  <c r="C137" i="86"/>
  <c r="D136" i="86"/>
  <c r="C136" i="86"/>
  <c r="D135" i="86"/>
  <c r="C135" i="86"/>
  <c r="D133" i="86"/>
  <c r="C133" i="86"/>
  <c r="D132" i="86"/>
  <c r="C132" i="86"/>
  <c r="D131" i="86"/>
  <c r="C131" i="86"/>
  <c r="D130" i="86"/>
  <c r="C130" i="86"/>
  <c r="D129" i="86"/>
  <c r="C129" i="86"/>
  <c r="D127" i="86"/>
  <c r="C127" i="86"/>
  <c r="D126" i="86"/>
  <c r="C126" i="86"/>
  <c r="D125" i="86"/>
  <c r="C125" i="86"/>
  <c r="D124" i="86"/>
  <c r="C124" i="86"/>
  <c r="D123" i="86"/>
  <c r="C123" i="86"/>
  <c r="D118" i="86"/>
  <c r="C118" i="86"/>
  <c r="D117" i="86"/>
  <c r="C117" i="86"/>
  <c r="D116" i="86"/>
  <c r="C116" i="86"/>
  <c r="D115" i="86"/>
  <c r="C115" i="86"/>
  <c r="D114" i="86"/>
  <c r="C114" i="86"/>
  <c r="D110" i="86"/>
  <c r="C110" i="86"/>
  <c r="D109" i="86"/>
  <c r="C109" i="86"/>
  <c r="D108" i="86"/>
  <c r="C108" i="86"/>
  <c r="D107" i="86"/>
  <c r="C107" i="86"/>
  <c r="D106" i="86"/>
  <c r="C106" i="86"/>
  <c r="D105" i="86"/>
  <c r="C105" i="86"/>
  <c r="D101" i="86"/>
  <c r="C101" i="86"/>
  <c r="D100" i="86"/>
  <c r="C100" i="86"/>
  <c r="D99" i="86"/>
  <c r="C99" i="86"/>
  <c r="D98" i="86"/>
  <c r="C98" i="86"/>
  <c r="D97" i="86"/>
  <c r="C97" i="86"/>
  <c r="D96" i="86"/>
  <c r="C96" i="86"/>
  <c r="D92" i="86"/>
  <c r="C92" i="86"/>
  <c r="D91" i="86"/>
  <c r="C91" i="86"/>
  <c r="D90" i="86"/>
  <c r="C90" i="86"/>
  <c r="D89" i="86"/>
  <c r="C89" i="86"/>
  <c r="D88" i="86"/>
  <c r="C88" i="86"/>
  <c r="D87" i="86"/>
  <c r="C87" i="86"/>
  <c r="D86" i="86"/>
  <c r="C86" i="86"/>
  <c r="D85" i="86"/>
  <c r="C85" i="86"/>
  <c r="D84" i="86"/>
  <c r="C84" i="86"/>
  <c r="D83" i="86"/>
  <c r="C83" i="86"/>
  <c r="D82" i="86"/>
  <c r="C82" i="86"/>
  <c r="D78" i="86"/>
  <c r="C78" i="86"/>
  <c r="D77" i="86"/>
  <c r="C77" i="86"/>
  <c r="D76" i="86"/>
  <c r="C76" i="86"/>
  <c r="D75" i="86"/>
  <c r="C75" i="86"/>
  <c r="D74" i="86"/>
  <c r="C74" i="86"/>
  <c r="D73" i="86"/>
  <c r="C73" i="86"/>
  <c r="D72" i="86"/>
  <c r="C72" i="86"/>
  <c r="D71" i="86"/>
  <c r="C71" i="86"/>
  <c r="D70" i="86"/>
  <c r="C70" i="86"/>
  <c r="D69" i="86"/>
  <c r="C69" i="86"/>
  <c r="D68" i="86"/>
  <c r="C68" i="86"/>
  <c r="D67" i="86"/>
  <c r="C67" i="86"/>
  <c r="D66" i="86"/>
  <c r="C66" i="86"/>
  <c r="D65" i="86"/>
  <c r="C65" i="86"/>
  <c r="D64" i="86"/>
  <c r="C64" i="86"/>
  <c r="D60" i="86"/>
  <c r="C60" i="86"/>
  <c r="D59" i="86"/>
  <c r="C59" i="86"/>
  <c r="D58" i="86"/>
  <c r="C58" i="86"/>
  <c r="D57" i="86"/>
  <c r="C57" i="86"/>
  <c r="D56" i="86"/>
  <c r="C56" i="86"/>
  <c r="D55" i="86"/>
  <c r="C55" i="86"/>
  <c r="D54" i="86"/>
  <c r="C54" i="86"/>
  <c r="D53" i="86"/>
  <c r="C53" i="86"/>
  <c r="D52" i="86"/>
  <c r="C52" i="86"/>
  <c r="D51" i="86"/>
  <c r="C51" i="86"/>
  <c r="D50" i="86"/>
  <c r="C50" i="86"/>
  <c r="D49" i="86"/>
  <c r="C49" i="86"/>
  <c r="D48" i="86"/>
  <c r="C48" i="86"/>
  <c r="D47" i="86"/>
  <c r="C47" i="86"/>
  <c r="D46" i="86"/>
  <c r="C46" i="86"/>
  <c r="D45" i="86"/>
  <c r="C45" i="86"/>
  <c r="D44" i="86"/>
  <c r="C44" i="86"/>
  <c r="D43" i="86"/>
  <c r="C43" i="86"/>
  <c r="D42" i="86"/>
  <c r="C42" i="86"/>
  <c r="D41" i="86"/>
  <c r="C41" i="86"/>
  <c r="D40" i="86"/>
  <c r="C40" i="86"/>
  <c r="D39" i="86"/>
  <c r="C39" i="86"/>
  <c r="D38" i="86"/>
  <c r="C38" i="86"/>
  <c r="D37" i="86"/>
  <c r="C37" i="86"/>
  <c r="D36" i="86"/>
  <c r="C36" i="86"/>
  <c r="D35" i="86"/>
  <c r="C35" i="86"/>
  <c r="D34" i="86"/>
  <c r="C34" i="86"/>
  <c r="D33" i="86"/>
  <c r="C33" i="86"/>
  <c r="D32" i="86"/>
  <c r="C32" i="86"/>
  <c r="D31" i="86"/>
  <c r="C31" i="86"/>
  <c r="D30" i="86"/>
  <c r="C30" i="86"/>
  <c r="D29" i="86"/>
  <c r="C29" i="86"/>
  <c r="D28" i="86"/>
  <c r="C28" i="86"/>
  <c r="D27" i="86"/>
  <c r="C27" i="86"/>
  <c r="D26" i="86"/>
  <c r="C26" i="86"/>
  <c r="D25" i="86"/>
  <c r="C25" i="86"/>
  <c r="D20" i="86"/>
  <c r="C20" i="86"/>
  <c r="D19" i="86"/>
  <c r="C19" i="86"/>
  <c r="D18" i="86"/>
  <c r="C18" i="86"/>
  <c r="D17" i="86"/>
  <c r="C17" i="86"/>
  <c r="D16" i="86"/>
  <c r="C16" i="86"/>
  <c r="D15" i="86"/>
  <c r="C15" i="86"/>
  <c r="D14" i="86"/>
  <c r="C14" i="86"/>
  <c r="D13" i="86"/>
  <c r="C13" i="86"/>
  <c r="D12" i="86"/>
  <c r="C12" i="86"/>
  <c r="D11" i="86"/>
  <c r="C11" i="86"/>
  <c r="G244" i="87"/>
  <c r="G243" i="87"/>
  <c r="G242" i="87"/>
  <c r="G241" i="87"/>
  <c r="C238" i="87"/>
  <c r="C237" i="87"/>
  <c r="C236" i="87"/>
  <c r="C235" i="87"/>
  <c r="C233" i="87"/>
  <c r="C232" i="87"/>
  <c r="C231" i="87"/>
  <c r="D228" i="87"/>
  <c r="C227" i="87"/>
  <c r="C226" i="87"/>
  <c r="C225" i="87"/>
  <c r="C224" i="87"/>
  <c r="C223" i="87"/>
  <c r="C222" i="87"/>
  <c r="C221" i="87"/>
  <c r="C220" i="87"/>
  <c r="C219" i="87"/>
  <c r="C211" i="87"/>
  <c r="D205" i="87"/>
  <c r="C205" i="87"/>
  <c r="D204" i="87"/>
  <c r="C204" i="87"/>
  <c r="D203" i="87"/>
  <c r="C203" i="87"/>
  <c r="D202" i="87"/>
  <c r="C202" i="87"/>
  <c r="D201" i="87"/>
  <c r="C201" i="87"/>
  <c r="D200" i="87"/>
  <c r="C200" i="87"/>
  <c r="D196" i="87"/>
  <c r="C196" i="87"/>
  <c r="D195" i="87"/>
  <c r="C195" i="87"/>
  <c r="D194" i="87"/>
  <c r="C194" i="87"/>
  <c r="D193" i="87"/>
  <c r="C193" i="87"/>
  <c r="D192" i="87"/>
  <c r="C192" i="87"/>
  <c r="D191" i="87"/>
  <c r="C191" i="87"/>
  <c r="D190" i="87"/>
  <c r="C190" i="87"/>
  <c r="D189" i="87"/>
  <c r="C189" i="87"/>
  <c r="D188" i="87"/>
  <c r="C188" i="87"/>
  <c r="D187" i="87"/>
  <c r="C187" i="87"/>
  <c r="D186" i="87"/>
  <c r="C186" i="87"/>
  <c r="D185" i="87"/>
  <c r="C185" i="87"/>
  <c r="D184" i="87"/>
  <c r="C184" i="87"/>
  <c r="D183" i="87"/>
  <c r="C183" i="87"/>
  <c r="D182" i="87"/>
  <c r="C182" i="87"/>
  <c r="D181" i="87"/>
  <c r="C181" i="87"/>
  <c r="D180" i="87"/>
  <c r="C180" i="87"/>
  <c r="D179" i="87"/>
  <c r="C179" i="87"/>
  <c r="D178" i="87"/>
  <c r="C178" i="87"/>
  <c r="D177" i="87"/>
  <c r="C177" i="87"/>
  <c r="D176" i="87"/>
  <c r="C176" i="87"/>
  <c r="D175" i="87"/>
  <c r="C175" i="87"/>
  <c r="D174" i="87"/>
  <c r="C174" i="87"/>
  <c r="D173" i="87"/>
  <c r="C173" i="87"/>
  <c r="D172" i="87"/>
  <c r="C172" i="87"/>
  <c r="D171" i="87"/>
  <c r="C171" i="87"/>
  <c r="D170" i="87"/>
  <c r="C170" i="87"/>
  <c r="D169" i="87"/>
  <c r="C169" i="87"/>
  <c r="D168" i="87"/>
  <c r="C168" i="87"/>
  <c r="D167" i="87"/>
  <c r="C167" i="87"/>
  <c r="D166" i="87"/>
  <c r="C166" i="87"/>
  <c r="D165" i="87"/>
  <c r="C165" i="87"/>
  <c r="D164" i="87"/>
  <c r="C164" i="87"/>
  <c r="D160" i="87"/>
  <c r="C160" i="87"/>
  <c r="D159" i="87"/>
  <c r="C159" i="87"/>
  <c r="D158" i="87"/>
  <c r="C158" i="87"/>
  <c r="D157" i="87"/>
  <c r="C157" i="87"/>
  <c r="D156" i="87"/>
  <c r="C156" i="87"/>
  <c r="D155" i="87"/>
  <c r="C155" i="87"/>
  <c r="D153" i="87"/>
  <c r="C153" i="87"/>
  <c r="D152" i="87"/>
  <c r="C152" i="87"/>
  <c r="D151" i="87"/>
  <c r="C151" i="87"/>
  <c r="D150" i="87"/>
  <c r="C150" i="87"/>
  <c r="D149" i="87"/>
  <c r="C149" i="87"/>
  <c r="D148" i="87"/>
  <c r="C148" i="87"/>
  <c r="D147" i="87"/>
  <c r="C147" i="87"/>
  <c r="D146" i="87"/>
  <c r="C146" i="87"/>
  <c r="D145" i="87"/>
  <c r="C145" i="87"/>
  <c r="D143" i="87"/>
  <c r="C143" i="87"/>
  <c r="D142" i="87"/>
  <c r="C142" i="87"/>
  <c r="D141" i="87"/>
  <c r="C141" i="87"/>
  <c r="D140" i="87"/>
  <c r="C140" i="87"/>
  <c r="D138" i="87"/>
  <c r="C138" i="87"/>
  <c r="D137" i="87"/>
  <c r="C137" i="87"/>
  <c r="D136" i="87"/>
  <c r="C136" i="87"/>
  <c r="D135" i="87"/>
  <c r="C135" i="87"/>
  <c r="D133" i="87"/>
  <c r="C133" i="87"/>
  <c r="D132" i="87"/>
  <c r="C132" i="87"/>
  <c r="D131" i="87"/>
  <c r="C131" i="87"/>
  <c r="D130" i="87"/>
  <c r="C130" i="87"/>
  <c r="D129" i="87"/>
  <c r="C129" i="87"/>
  <c r="D127" i="87"/>
  <c r="C127" i="87"/>
  <c r="D126" i="87"/>
  <c r="C126" i="87"/>
  <c r="D125" i="87"/>
  <c r="C125" i="87"/>
  <c r="D124" i="87"/>
  <c r="C124" i="87"/>
  <c r="D123" i="87"/>
  <c r="C123" i="87"/>
  <c r="D118" i="87"/>
  <c r="C118" i="87"/>
  <c r="D117" i="87"/>
  <c r="C117" i="87"/>
  <c r="D116" i="87"/>
  <c r="C116" i="87"/>
  <c r="D115" i="87"/>
  <c r="C115" i="87"/>
  <c r="D114" i="87"/>
  <c r="C114" i="87"/>
  <c r="D110" i="87"/>
  <c r="C110" i="87"/>
  <c r="D109" i="87"/>
  <c r="C109" i="87"/>
  <c r="D108" i="87"/>
  <c r="C108" i="87"/>
  <c r="D107" i="87"/>
  <c r="C107" i="87"/>
  <c r="D106" i="87"/>
  <c r="C106" i="87"/>
  <c r="D105" i="87"/>
  <c r="C105" i="87"/>
  <c r="D101" i="87"/>
  <c r="C101" i="87"/>
  <c r="D100" i="87"/>
  <c r="C100" i="87"/>
  <c r="D99" i="87"/>
  <c r="C99" i="87"/>
  <c r="D98" i="87"/>
  <c r="C98" i="87"/>
  <c r="D97" i="87"/>
  <c r="C97" i="87"/>
  <c r="D96" i="87"/>
  <c r="C96" i="87"/>
  <c r="D92" i="87"/>
  <c r="C92" i="87"/>
  <c r="D91" i="87"/>
  <c r="C91" i="87"/>
  <c r="D90" i="87"/>
  <c r="C90" i="87"/>
  <c r="D89" i="87"/>
  <c r="C89" i="87"/>
  <c r="D88" i="87"/>
  <c r="C88" i="87"/>
  <c r="D87" i="87"/>
  <c r="C87" i="87"/>
  <c r="D86" i="87"/>
  <c r="C86" i="87"/>
  <c r="D85" i="87"/>
  <c r="C85" i="87"/>
  <c r="D84" i="87"/>
  <c r="C84" i="87"/>
  <c r="D83" i="87"/>
  <c r="C83" i="87"/>
  <c r="D82" i="87"/>
  <c r="C82" i="87"/>
  <c r="D78" i="87"/>
  <c r="C78" i="87"/>
  <c r="D77" i="87"/>
  <c r="C77" i="87"/>
  <c r="D76" i="87"/>
  <c r="C76" i="87"/>
  <c r="D75" i="87"/>
  <c r="C75" i="87"/>
  <c r="D74" i="87"/>
  <c r="C74" i="87"/>
  <c r="D73" i="87"/>
  <c r="C73" i="87"/>
  <c r="D72" i="87"/>
  <c r="C72" i="87"/>
  <c r="D71" i="87"/>
  <c r="C71" i="87"/>
  <c r="D70" i="87"/>
  <c r="C70" i="87"/>
  <c r="D69" i="87"/>
  <c r="C69" i="87"/>
  <c r="D68" i="87"/>
  <c r="C68" i="87"/>
  <c r="D67" i="87"/>
  <c r="C67" i="87"/>
  <c r="D66" i="87"/>
  <c r="C66" i="87"/>
  <c r="D65" i="87"/>
  <c r="C65" i="87"/>
  <c r="D64" i="87"/>
  <c r="C64" i="87"/>
  <c r="D60" i="87"/>
  <c r="C60" i="87"/>
  <c r="D59" i="87"/>
  <c r="C59" i="87"/>
  <c r="D58" i="87"/>
  <c r="C58" i="87"/>
  <c r="D57" i="87"/>
  <c r="C57" i="87"/>
  <c r="D56" i="87"/>
  <c r="C56" i="87"/>
  <c r="D55" i="87"/>
  <c r="C55" i="87"/>
  <c r="D54" i="87"/>
  <c r="C54" i="87"/>
  <c r="D53" i="87"/>
  <c r="C53" i="87"/>
  <c r="D52" i="87"/>
  <c r="C52" i="87"/>
  <c r="D51" i="87"/>
  <c r="C51" i="87"/>
  <c r="D50" i="87"/>
  <c r="C50" i="87"/>
  <c r="D49" i="87"/>
  <c r="C49" i="87"/>
  <c r="D48" i="87"/>
  <c r="C48" i="87"/>
  <c r="D47" i="87"/>
  <c r="C47" i="87"/>
  <c r="D46" i="87"/>
  <c r="C46" i="87"/>
  <c r="D45" i="87"/>
  <c r="C45" i="87"/>
  <c r="D44" i="87"/>
  <c r="C44" i="87"/>
  <c r="D43" i="87"/>
  <c r="C43" i="87"/>
  <c r="D42" i="87"/>
  <c r="C42" i="87"/>
  <c r="D41" i="87"/>
  <c r="C41" i="87"/>
  <c r="D40" i="87"/>
  <c r="C40" i="87"/>
  <c r="D39" i="87"/>
  <c r="C39" i="87"/>
  <c r="D38" i="87"/>
  <c r="C38" i="87"/>
  <c r="D37" i="87"/>
  <c r="C37" i="87"/>
  <c r="D36" i="87"/>
  <c r="C36" i="87"/>
  <c r="D35" i="87"/>
  <c r="C35" i="87"/>
  <c r="D34" i="87"/>
  <c r="C34" i="87"/>
  <c r="D33" i="87"/>
  <c r="C33" i="87"/>
  <c r="D32" i="87"/>
  <c r="C32" i="87"/>
  <c r="D31" i="87"/>
  <c r="C31" i="87"/>
  <c r="D30" i="87"/>
  <c r="C30" i="87"/>
  <c r="D29" i="87"/>
  <c r="C29" i="87"/>
  <c r="D28" i="87"/>
  <c r="C28" i="87"/>
  <c r="D27" i="87"/>
  <c r="C27" i="87"/>
  <c r="D26" i="87"/>
  <c r="C26" i="87"/>
  <c r="D25" i="87"/>
  <c r="C25" i="87"/>
  <c r="D20" i="87"/>
  <c r="C20" i="87"/>
  <c r="D19" i="87"/>
  <c r="C19" i="87"/>
  <c r="D18" i="87"/>
  <c r="C18" i="87"/>
  <c r="D17" i="87"/>
  <c r="C17" i="87"/>
  <c r="D16" i="87"/>
  <c r="C16" i="87"/>
  <c r="D15" i="87"/>
  <c r="C15" i="87"/>
  <c r="D14" i="87"/>
  <c r="C14" i="87"/>
  <c r="D13" i="87"/>
  <c r="C13" i="87"/>
  <c r="D12" i="87"/>
  <c r="C12" i="87"/>
  <c r="D11" i="87"/>
  <c r="C11" i="87"/>
  <c r="G244" i="10"/>
  <c r="G243" i="10"/>
  <c r="G242" i="10"/>
  <c r="G241" i="10"/>
  <c r="C238" i="10"/>
  <c r="C237" i="10"/>
  <c r="C236" i="10"/>
  <c r="C235" i="10"/>
  <c r="C233" i="10"/>
  <c r="E233" i="10"/>
  <c r="C232" i="10"/>
  <c r="C231" i="10"/>
  <c r="D228" i="10"/>
  <c r="C227" i="10"/>
  <c r="C226" i="10"/>
  <c r="C225" i="10"/>
  <c r="C224" i="10"/>
  <c r="C223" i="10"/>
  <c r="C222" i="10"/>
  <c r="C221" i="10"/>
  <c r="C220" i="10"/>
  <c r="C219" i="10"/>
  <c r="C211" i="10"/>
  <c r="D205" i="10"/>
  <c r="C205" i="10"/>
  <c r="D204" i="10"/>
  <c r="C204" i="10"/>
  <c r="D203" i="10"/>
  <c r="C203" i="10"/>
  <c r="D202" i="10"/>
  <c r="C202" i="10"/>
  <c r="D201" i="10"/>
  <c r="C201" i="10"/>
  <c r="D200" i="10"/>
  <c r="C200" i="10"/>
  <c r="D196" i="10"/>
  <c r="C196" i="10"/>
  <c r="D195" i="10"/>
  <c r="C195" i="10"/>
  <c r="D194" i="10"/>
  <c r="C194" i="10"/>
  <c r="D193" i="10"/>
  <c r="C193" i="10"/>
  <c r="D192" i="10"/>
  <c r="C192" i="10"/>
  <c r="D191" i="10"/>
  <c r="C191" i="10"/>
  <c r="D190" i="10"/>
  <c r="C190" i="10"/>
  <c r="D189" i="10"/>
  <c r="C189" i="10"/>
  <c r="D188" i="10"/>
  <c r="C188" i="10"/>
  <c r="D187" i="10"/>
  <c r="C187" i="10"/>
  <c r="D186" i="10"/>
  <c r="C186" i="10"/>
  <c r="D185" i="10"/>
  <c r="C185" i="10"/>
  <c r="D184" i="10"/>
  <c r="C184" i="10"/>
  <c r="D183" i="10"/>
  <c r="C183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6" i="10"/>
  <c r="C176" i="10"/>
  <c r="D175" i="10"/>
  <c r="C175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8" i="10"/>
  <c r="C168" i="10"/>
  <c r="D167" i="10"/>
  <c r="C167" i="10"/>
  <c r="D166" i="10"/>
  <c r="C166" i="10"/>
  <c r="D165" i="10"/>
  <c r="C165" i="10"/>
  <c r="D164" i="10"/>
  <c r="C164" i="10"/>
  <c r="D160" i="10"/>
  <c r="C160" i="10"/>
  <c r="D159" i="10"/>
  <c r="C159" i="10"/>
  <c r="D158" i="10"/>
  <c r="C158" i="10"/>
  <c r="D157" i="10"/>
  <c r="C157" i="10"/>
  <c r="D156" i="10"/>
  <c r="C156" i="10"/>
  <c r="D155" i="10"/>
  <c r="C155" i="10"/>
  <c r="D153" i="10"/>
  <c r="C153" i="10"/>
  <c r="D152" i="10"/>
  <c r="C152" i="10"/>
  <c r="D151" i="10"/>
  <c r="C151" i="10"/>
  <c r="D150" i="10"/>
  <c r="C150" i="10"/>
  <c r="D149" i="10"/>
  <c r="C149" i="10"/>
  <c r="D148" i="10"/>
  <c r="C148" i="10"/>
  <c r="D147" i="10"/>
  <c r="C147" i="10"/>
  <c r="D146" i="10"/>
  <c r="C146" i="10"/>
  <c r="D145" i="10"/>
  <c r="C145" i="10"/>
  <c r="D143" i="10"/>
  <c r="C143" i="10"/>
  <c r="D142" i="10"/>
  <c r="C142" i="10"/>
  <c r="D141" i="10"/>
  <c r="C141" i="10"/>
  <c r="D140" i="10"/>
  <c r="C140" i="10"/>
  <c r="D138" i="10"/>
  <c r="C138" i="10"/>
  <c r="D137" i="10"/>
  <c r="C137" i="10"/>
  <c r="D136" i="10"/>
  <c r="C136" i="10"/>
  <c r="D135" i="10"/>
  <c r="C135" i="10"/>
  <c r="D133" i="10"/>
  <c r="C133" i="10"/>
  <c r="D132" i="10"/>
  <c r="C132" i="10"/>
  <c r="D131" i="10"/>
  <c r="C131" i="10"/>
  <c r="D130" i="10"/>
  <c r="C130" i="10"/>
  <c r="D129" i="10"/>
  <c r="C129" i="10"/>
  <c r="D127" i="10"/>
  <c r="C127" i="10"/>
  <c r="D126" i="10"/>
  <c r="C126" i="10"/>
  <c r="D125" i="10"/>
  <c r="C125" i="10"/>
  <c r="D124" i="10"/>
  <c r="C124" i="10"/>
  <c r="D123" i="10"/>
  <c r="C123" i="10"/>
  <c r="D118" i="10"/>
  <c r="C118" i="10"/>
  <c r="D117" i="10"/>
  <c r="C117" i="10"/>
  <c r="D116" i="10"/>
  <c r="C116" i="10"/>
  <c r="D115" i="10"/>
  <c r="C115" i="10"/>
  <c r="D114" i="10"/>
  <c r="C114" i="10"/>
  <c r="D110" i="10"/>
  <c r="C110" i="10"/>
  <c r="D109" i="10"/>
  <c r="C109" i="10"/>
  <c r="D108" i="10"/>
  <c r="C108" i="10"/>
  <c r="D107" i="10"/>
  <c r="C107" i="10"/>
  <c r="D106" i="10"/>
  <c r="C106" i="10"/>
  <c r="D105" i="10"/>
  <c r="C105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70" i="10"/>
  <c r="C70" i="10"/>
  <c r="D69" i="10"/>
  <c r="C69" i="10"/>
  <c r="D68" i="10"/>
  <c r="C68" i="10"/>
  <c r="D67" i="10"/>
  <c r="C67" i="10"/>
  <c r="D66" i="10"/>
  <c r="C66" i="10"/>
  <c r="D65" i="10"/>
  <c r="C65" i="10"/>
  <c r="D64" i="10"/>
  <c r="C64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G244" i="143"/>
  <c r="G243" i="143"/>
  <c r="G242" i="143"/>
  <c r="G241" i="143"/>
  <c r="C238" i="143"/>
  <c r="C237" i="143"/>
  <c r="C236" i="143"/>
  <c r="C235" i="143"/>
  <c r="C233" i="143"/>
  <c r="C232" i="143"/>
  <c r="E232" i="143"/>
  <c r="C231" i="143"/>
  <c r="D228" i="143"/>
  <c r="C227" i="143"/>
  <c r="C226" i="143"/>
  <c r="C225" i="143"/>
  <c r="C224" i="143"/>
  <c r="C223" i="143"/>
  <c r="C222" i="143"/>
  <c r="C221" i="143"/>
  <c r="C220" i="143"/>
  <c r="C219" i="143"/>
  <c r="C211" i="143"/>
  <c r="D205" i="143"/>
  <c r="C205" i="143"/>
  <c r="D204" i="143"/>
  <c r="C204" i="143"/>
  <c r="D203" i="143"/>
  <c r="C203" i="143"/>
  <c r="D202" i="143"/>
  <c r="C202" i="143"/>
  <c r="D201" i="143"/>
  <c r="C201" i="143"/>
  <c r="D200" i="143"/>
  <c r="C200" i="143"/>
  <c r="D196" i="143"/>
  <c r="C196" i="143"/>
  <c r="D195" i="143"/>
  <c r="C195" i="143"/>
  <c r="D194" i="143"/>
  <c r="C194" i="143"/>
  <c r="D193" i="143"/>
  <c r="C193" i="143"/>
  <c r="D192" i="143"/>
  <c r="C192" i="143"/>
  <c r="D191" i="143"/>
  <c r="C191" i="143"/>
  <c r="D190" i="143"/>
  <c r="C190" i="143"/>
  <c r="D189" i="143"/>
  <c r="C189" i="143"/>
  <c r="D188" i="143"/>
  <c r="C188" i="143"/>
  <c r="D187" i="143"/>
  <c r="C187" i="143"/>
  <c r="D186" i="143"/>
  <c r="C186" i="143"/>
  <c r="D185" i="143"/>
  <c r="C185" i="143"/>
  <c r="D184" i="143"/>
  <c r="C184" i="143"/>
  <c r="D183" i="143"/>
  <c r="C183" i="143"/>
  <c r="D182" i="143"/>
  <c r="C182" i="143"/>
  <c r="D181" i="143"/>
  <c r="C181" i="143"/>
  <c r="D180" i="143"/>
  <c r="C180" i="143"/>
  <c r="D179" i="143"/>
  <c r="C179" i="143"/>
  <c r="D178" i="143"/>
  <c r="C178" i="143"/>
  <c r="D177" i="143"/>
  <c r="C177" i="143"/>
  <c r="D176" i="143"/>
  <c r="C176" i="143"/>
  <c r="D175" i="143"/>
  <c r="C175" i="143"/>
  <c r="D174" i="143"/>
  <c r="C174" i="143"/>
  <c r="D173" i="143"/>
  <c r="C173" i="143"/>
  <c r="D172" i="143"/>
  <c r="C172" i="143"/>
  <c r="D171" i="143"/>
  <c r="C171" i="143"/>
  <c r="D170" i="143"/>
  <c r="C170" i="143"/>
  <c r="D169" i="143"/>
  <c r="C169" i="143"/>
  <c r="D168" i="143"/>
  <c r="C168" i="143"/>
  <c r="D167" i="143"/>
  <c r="C167" i="143"/>
  <c r="D166" i="143"/>
  <c r="C166" i="143"/>
  <c r="D165" i="143"/>
  <c r="C165" i="143"/>
  <c r="D164" i="143"/>
  <c r="C164" i="143"/>
  <c r="D160" i="143"/>
  <c r="C160" i="143"/>
  <c r="D159" i="143"/>
  <c r="C159" i="143"/>
  <c r="D158" i="143"/>
  <c r="C158" i="143"/>
  <c r="D157" i="143"/>
  <c r="C157" i="143"/>
  <c r="D156" i="143"/>
  <c r="C156" i="143"/>
  <c r="D155" i="143"/>
  <c r="C155" i="143"/>
  <c r="D153" i="143"/>
  <c r="C153" i="143"/>
  <c r="D152" i="143"/>
  <c r="C152" i="143"/>
  <c r="D151" i="143"/>
  <c r="C151" i="143"/>
  <c r="D150" i="143"/>
  <c r="C150" i="143"/>
  <c r="D149" i="143"/>
  <c r="C149" i="143"/>
  <c r="D148" i="143"/>
  <c r="C148" i="143"/>
  <c r="D147" i="143"/>
  <c r="C147" i="143"/>
  <c r="D146" i="143"/>
  <c r="C146" i="143"/>
  <c r="D145" i="143"/>
  <c r="C145" i="143"/>
  <c r="D143" i="143"/>
  <c r="C143" i="143"/>
  <c r="D142" i="143"/>
  <c r="C142" i="143"/>
  <c r="D141" i="143"/>
  <c r="C141" i="143"/>
  <c r="D140" i="143"/>
  <c r="C140" i="143"/>
  <c r="D138" i="143"/>
  <c r="C138" i="143"/>
  <c r="D137" i="143"/>
  <c r="C137" i="143"/>
  <c r="D136" i="143"/>
  <c r="C136" i="143"/>
  <c r="D135" i="143"/>
  <c r="C135" i="143"/>
  <c r="D133" i="143"/>
  <c r="C133" i="143"/>
  <c r="D132" i="143"/>
  <c r="C132" i="143"/>
  <c r="D131" i="143"/>
  <c r="C131" i="143"/>
  <c r="D130" i="143"/>
  <c r="C130" i="143"/>
  <c r="D129" i="143"/>
  <c r="C129" i="143"/>
  <c r="D127" i="143"/>
  <c r="C127" i="143"/>
  <c r="D126" i="143"/>
  <c r="C126" i="143"/>
  <c r="D125" i="143"/>
  <c r="C125" i="143"/>
  <c r="D124" i="143"/>
  <c r="C124" i="143"/>
  <c r="D123" i="143"/>
  <c r="C123" i="143"/>
  <c r="D118" i="143"/>
  <c r="C118" i="143"/>
  <c r="D117" i="143"/>
  <c r="C117" i="143"/>
  <c r="D116" i="143"/>
  <c r="C116" i="143"/>
  <c r="D115" i="143"/>
  <c r="C115" i="143"/>
  <c r="D114" i="143"/>
  <c r="C114" i="143"/>
  <c r="D110" i="143"/>
  <c r="C110" i="143"/>
  <c r="D109" i="143"/>
  <c r="C109" i="143"/>
  <c r="D108" i="143"/>
  <c r="C108" i="143"/>
  <c r="D107" i="143"/>
  <c r="C107" i="143"/>
  <c r="D106" i="143"/>
  <c r="C106" i="143"/>
  <c r="D105" i="143"/>
  <c r="C105" i="143"/>
  <c r="D101" i="143"/>
  <c r="C101" i="143"/>
  <c r="D100" i="143"/>
  <c r="C100" i="143"/>
  <c r="D99" i="143"/>
  <c r="C99" i="143"/>
  <c r="D98" i="143"/>
  <c r="C98" i="143"/>
  <c r="D97" i="143"/>
  <c r="C97" i="143"/>
  <c r="D96" i="143"/>
  <c r="C96" i="143"/>
  <c r="D92" i="143"/>
  <c r="C92" i="143"/>
  <c r="D91" i="143"/>
  <c r="C91" i="143"/>
  <c r="D90" i="143"/>
  <c r="C90" i="143"/>
  <c r="D89" i="143"/>
  <c r="C89" i="143"/>
  <c r="D88" i="143"/>
  <c r="C88" i="143"/>
  <c r="D87" i="143"/>
  <c r="C87" i="143"/>
  <c r="D86" i="143"/>
  <c r="C86" i="143"/>
  <c r="D85" i="143"/>
  <c r="C85" i="143"/>
  <c r="D84" i="143"/>
  <c r="C84" i="143"/>
  <c r="D83" i="143"/>
  <c r="C83" i="143"/>
  <c r="D82" i="143"/>
  <c r="C82" i="143"/>
  <c r="D78" i="143"/>
  <c r="C78" i="143"/>
  <c r="D77" i="143"/>
  <c r="C77" i="143"/>
  <c r="D76" i="143"/>
  <c r="C76" i="143"/>
  <c r="D75" i="143"/>
  <c r="C75" i="143"/>
  <c r="D74" i="143"/>
  <c r="C74" i="143"/>
  <c r="D73" i="143"/>
  <c r="C73" i="143"/>
  <c r="D72" i="143"/>
  <c r="C72" i="143"/>
  <c r="D71" i="143"/>
  <c r="C71" i="143"/>
  <c r="D70" i="143"/>
  <c r="C70" i="143"/>
  <c r="D69" i="143"/>
  <c r="C69" i="143"/>
  <c r="D68" i="143"/>
  <c r="C68" i="143"/>
  <c r="D67" i="143"/>
  <c r="C67" i="143"/>
  <c r="D66" i="143"/>
  <c r="C66" i="143"/>
  <c r="D65" i="143"/>
  <c r="C65" i="143"/>
  <c r="D64" i="143"/>
  <c r="C64" i="143"/>
  <c r="D60" i="143"/>
  <c r="C60" i="143"/>
  <c r="D59" i="143"/>
  <c r="C59" i="143"/>
  <c r="D58" i="143"/>
  <c r="C58" i="143"/>
  <c r="D57" i="143"/>
  <c r="C57" i="143"/>
  <c r="D56" i="143"/>
  <c r="C56" i="143"/>
  <c r="D55" i="143"/>
  <c r="C55" i="143"/>
  <c r="D54" i="143"/>
  <c r="C54" i="143"/>
  <c r="D53" i="143"/>
  <c r="C53" i="143"/>
  <c r="D52" i="143"/>
  <c r="C52" i="143"/>
  <c r="D51" i="143"/>
  <c r="C51" i="143"/>
  <c r="D50" i="143"/>
  <c r="C50" i="143"/>
  <c r="D49" i="143"/>
  <c r="C49" i="143"/>
  <c r="D48" i="143"/>
  <c r="C48" i="143"/>
  <c r="D47" i="143"/>
  <c r="C47" i="143"/>
  <c r="D46" i="143"/>
  <c r="C46" i="143"/>
  <c r="D45" i="143"/>
  <c r="C45" i="143"/>
  <c r="D44" i="143"/>
  <c r="C44" i="143"/>
  <c r="D43" i="143"/>
  <c r="C43" i="143"/>
  <c r="D42" i="143"/>
  <c r="C42" i="143"/>
  <c r="D41" i="143"/>
  <c r="C41" i="143"/>
  <c r="D40" i="143"/>
  <c r="C40" i="143"/>
  <c r="D39" i="143"/>
  <c r="C39" i="143"/>
  <c r="D38" i="143"/>
  <c r="C38" i="143"/>
  <c r="D37" i="143"/>
  <c r="C37" i="143"/>
  <c r="D36" i="143"/>
  <c r="C36" i="143"/>
  <c r="D35" i="143"/>
  <c r="C35" i="143"/>
  <c r="D34" i="143"/>
  <c r="C34" i="143"/>
  <c r="D33" i="143"/>
  <c r="C33" i="143"/>
  <c r="D32" i="143"/>
  <c r="C32" i="143"/>
  <c r="D31" i="143"/>
  <c r="C31" i="143"/>
  <c r="D30" i="143"/>
  <c r="C30" i="143"/>
  <c r="D29" i="143"/>
  <c r="C29" i="143"/>
  <c r="D28" i="143"/>
  <c r="C28" i="143"/>
  <c r="D27" i="143"/>
  <c r="C27" i="143"/>
  <c r="D26" i="143"/>
  <c r="C26" i="143"/>
  <c r="D25" i="143"/>
  <c r="C25" i="143"/>
  <c r="D20" i="143"/>
  <c r="C20" i="143"/>
  <c r="D19" i="143"/>
  <c r="C19" i="143"/>
  <c r="D18" i="143"/>
  <c r="C18" i="143"/>
  <c r="D17" i="143"/>
  <c r="C17" i="143"/>
  <c r="D16" i="143"/>
  <c r="C16" i="143"/>
  <c r="D15" i="143"/>
  <c r="C15" i="143"/>
  <c r="D14" i="143"/>
  <c r="C14" i="143"/>
  <c r="D13" i="143"/>
  <c r="C13" i="143"/>
  <c r="D12" i="143"/>
  <c r="C12" i="143"/>
  <c r="D11" i="143"/>
  <c r="C11" i="143"/>
  <c r="G244" i="176"/>
  <c r="G243" i="176"/>
  <c r="C238" i="176"/>
  <c r="C237" i="176"/>
  <c r="C236" i="176"/>
  <c r="C235" i="176"/>
  <c r="C233" i="176"/>
  <c r="C232" i="176"/>
  <c r="E232" i="176"/>
  <c r="C231" i="176"/>
  <c r="D228" i="176"/>
  <c r="C227" i="176"/>
  <c r="C226" i="176"/>
  <c r="C225" i="176"/>
  <c r="C224" i="176"/>
  <c r="C223" i="176"/>
  <c r="C222" i="176"/>
  <c r="C221" i="176"/>
  <c r="C220" i="176"/>
  <c r="C219" i="176"/>
  <c r="E219" i="176"/>
  <c r="C211" i="176"/>
  <c r="D205" i="176"/>
  <c r="C205" i="176"/>
  <c r="D204" i="176"/>
  <c r="C204" i="176"/>
  <c r="D203" i="176"/>
  <c r="C203" i="176"/>
  <c r="D202" i="176"/>
  <c r="C202" i="176"/>
  <c r="D201" i="176"/>
  <c r="C201" i="176"/>
  <c r="D200" i="176"/>
  <c r="C200" i="176"/>
  <c r="D196" i="176"/>
  <c r="C196" i="176"/>
  <c r="D195" i="176"/>
  <c r="C195" i="176"/>
  <c r="D194" i="176"/>
  <c r="C194" i="176"/>
  <c r="D193" i="176"/>
  <c r="C193" i="176"/>
  <c r="D192" i="176"/>
  <c r="C192" i="176"/>
  <c r="D191" i="176"/>
  <c r="C191" i="176"/>
  <c r="D190" i="176"/>
  <c r="C190" i="176"/>
  <c r="D189" i="176"/>
  <c r="C189" i="176"/>
  <c r="D188" i="176"/>
  <c r="C188" i="176"/>
  <c r="D187" i="176"/>
  <c r="C187" i="176"/>
  <c r="D186" i="176"/>
  <c r="C186" i="176"/>
  <c r="D185" i="176"/>
  <c r="C185" i="176"/>
  <c r="D184" i="176"/>
  <c r="C184" i="176"/>
  <c r="D183" i="176"/>
  <c r="C183" i="176"/>
  <c r="D182" i="176"/>
  <c r="C182" i="176"/>
  <c r="D181" i="176"/>
  <c r="C181" i="176"/>
  <c r="D180" i="176"/>
  <c r="C180" i="176"/>
  <c r="D179" i="176"/>
  <c r="C179" i="176"/>
  <c r="D178" i="176"/>
  <c r="C178" i="176"/>
  <c r="D177" i="176"/>
  <c r="C177" i="176"/>
  <c r="D176" i="176"/>
  <c r="C176" i="176"/>
  <c r="D175" i="176"/>
  <c r="C175" i="176"/>
  <c r="D174" i="176"/>
  <c r="C174" i="176"/>
  <c r="D173" i="176"/>
  <c r="C173" i="176"/>
  <c r="D172" i="176"/>
  <c r="C172" i="176"/>
  <c r="D171" i="176"/>
  <c r="C171" i="176"/>
  <c r="D170" i="176"/>
  <c r="C170" i="176"/>
  <c r="D169" i="176"/>
  <c r="C169" i="176"/>
  <c r="D168" i="176"/>
  <c r="C168" i="176"/>
  <c r="D167" i="176"/>
  <c r="C167" i="176"/>
  <c r="D166" i="176"/>
  <c r="C166" i="176"/>
  <c r="D165" i="176"/>
  <c r="C165" i="176"/>
  <c r="D164" i="176"/>
  <c r="C164" i="176"/>
  <c r="D160" i="176"/>
  <c r="C160" i="176"/>
  <c r="D159" i="176"/>
  <c r="C159" i="176"/>
  <c r="D158" i="176"/>
  <c r="C158" i="176"/>
  <c r="D157" i="176"/>
  <c r="C157" i="176"/>
  <c r="D156" i="176"/>
  <c r="C156" i="176"/>
  <c r="D155" i="176"/>
  <c r="C155" i="176"/>
  <c r="D153" i="176"/>
  <c r="C153" i="176"/>
  <c r="D152" i="176"/>
  <c r="C152" i="176"/>
  <c r="D151" i="176"/>
  <c r="C151" i="176"/>
  <c r="D150" i="176"/>
  <c r="C150" i="176"/>
  <c r="D149" i="176"/>
  <c r="C149" i="176"/>
  <c r="D148" i="176"/>
  <c r="C148" i="176"/>
  <c r="D147" i="176"/>
  <c r="C147" i="176"/>
  <c r="D146" i="176"/>
  <c r="C146" i="176"/>
  <c r="D145" i="176"/>
  <c r="C145" i="176"/>
  <c r="D143" i="176"/>
  <c r="C143" i="176"/>
  <c r="D142" i="176"/>
  <c r="C142" i="176"/>
  <c r="D141" i="176"/>
  <c r="C141" i="176"/>
  <c r="D140" i="176"/>
  <c r="C140" i="176"/>
  <c r="D138" i="176"/>
  <c r="C138" i="176"/>
  <c r="D137" i="176"/>
  <c r="C137" i="176"/>
  <c r="D136" i="176"/>
  <c r="C136" i="176"/>
  <c r="D135" i="176"/>
  <c r="C135" i="176"/>
  <c r="D133" i="176"/>
  <c r="C133" i="176"/>
  <c r="D132" i="176"/>
  <c r="C132" i="176"/>
  <c r="D131" i="176"/>
  <c r="C131" i="176"/>
  <c r="D130" i="176"/>
  <c r="C130" i="176"/>
  <c r="D129" i="176"/>
  <c r="C129" i="176"/>
  <c r="D127" i="176"/>
  <c r="C127" i="176"/>
  <c r="D126" i="176"/>
  <c r="C126" i="176"/>
  <c r="D125" i="176"/>
  <c r="C125" i="176"/>
  <c r="D124" i="176"/>
  <c r="C124" i="176"/>
  <c r="D123" i="176"/>
  <c r="C123" i="176"/>
  <c r="D118" i="176"/>
  <c r="C118" i="176"/>
  <c r="D117" i="176"/>
  <c r="C117" i="176"/>
  <c r="D116" i="176"/>
  <c r="C116" i="176"/>
  <c r="D115" i="176"/>
  <c r="C115" i="176"/>
  <c r="D114" i="176"/>
  <c r="C114" i="176"/>
  <c r="D110" i="176"/>
  <c r="C110" i="176"/>
  <c r="D109" i="176"/>
  <c r="C109" i="176"/>
  <c r="D108" i="176"/>
  <c r="C108" i="176"/>
  <c r="D107" i="176"/>
  <c r="C107" i="176"/>
  <c r="D106" i="176"/>
  <c r="C106" i="176"/>
  <c r="D105" i="176"/>
  <c r="C105" i="176"/>
  <c r="D101" i="176"/>
  <c r="C101" i="176"/>
  <c r="D100" i="176"/>
  <c r="C100" i="176"/>
  <c r="D99" i="176"/>
  <c r="C99" i="176"/>
  <c r="D98" i="176"/>
  <c r="C98" i="176"/>
  <c r="D97" i="176"/>
  <c r="C97" i="176"/>
  <c r="D96" i="176"/>
  <c r="C96" i="176"/>
  <c r="D92" i="176"/>
  <c r="C92" i="176"/>
  <c r="D91" i="176"/>
  <c r="C91" i="176"/>
  <c r="D90" i="176"/>
  <c r="C90" i="176"/>
  <c r="D89" i="176"/>
  <c r="C89" i="176"/>
  <c r="D88" i="176"/>
  <c r="C88" i="176"/>
  <c r="D87" i="176"/>
  <c r="C87" i="176"/>
  <c r="D86" i="176"/>
  <c r="C86" i="176"/>
  <c r="D85" i="176"/>
  <c r="C85" i="176"/>
  <c r="D84" i="176"/>
  <c r="C84" i="176"/>
  <c r="D83" i="176"/>
  <c r="C83" i="176"/>
  <c r="D82" i="176"/>
  <c r="C82" i="176"/>
  <c r="D78" i="176"/>
  <c r="C78" i="176"/>
  <c r="D77" i="176"/>
  <c r="C77" i="176"/>
  <c r="D76" i="176"/>
  <c r="C76" i="176"/>
  <c r="D75" i="176"/>
  <c r="C75" i="176"/>
  <c r="D74" i="176"/>
  <c r="C74" i="176"/>
  <c r="D73" i="176"/>
  <c r="C73" i="176"/>
  <c r="D72" i="176"/>
  <c r="C72" i="176"/>
  <c r="D71" i="176"/>
  <c r="C71" i="176"/>
  <c r="D70" i="176"/>
  <c r="C70" i="176"/>
  <c r="D69" i="176"/>
  <c r="C69" i="176"/>
  <c r="D68" i="176"/>
  <c r="C68" i="176"/>
  <c r="D67" i="176"/>
  <c r="C67" i="176"/>
  <c r="D66" i="176"/>
  <c r="C66" i="176"/>
  <c r="D65" i="176"/>
  <c r="C65" i="176"/>
  <c r="D64" i="176"/>
  <c r="C64" i="176"/>
  <c r="D60" i="176"/>
  <c r="C60" i="176"/>
  <c r="D59" i="176"/>
  <c r="C59" i="176"/>
  <c r="D58" i="176"/>
  <c r="C58" i="176"/>
  <c r="D57" i="176"/>
  <c r="C57" i="176"/>
  <c r="D56" i="176"/>
  <c r="C56" i="176"/>
  <c r="D55" i="176"/>
  <c r="C55" i="176"/>
  <c r="D54" i="176"/>
  <c r="C54" i="176"/>
  <c r="D53" i="176"/>
  <c r="C53" i="176"/>
  <c r="D52" i="176"/>
  <c r="C52" i="176"/>
  <c r="D51" i="176"/>
  <c r="C51" i="176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E233" i="176"/>
  <c r="G233" i="176"/>
  <c r="F228" i="176"/>
  <c r="K208" i="176"/>
  <c r="K18" i="176"/>
  <c r="J208" i="176"/>
  <c r="K17" i="176"/>
  <c r="F206" i="176"/>
  <c r="F197" i="176"/>
  <c r="F161" i="176"/>
  <c r="F119" i="176"/>
  <c r="F111" i="176"/>
  <c r="F102" i="176"/>
  <c r="F93" i="176"/>
  <c r="F79" i="176"/>
  <c r="F61" i="176"/>
  <c r="F21" i="176"/>
  <c r="A1" i="176"/>
  <c r="G244" i="172"/>
  <c r="G243" i="172"/>
  <c r="G242" i="172"/>
  <c r="G241" i="172"/>
  <c r="C238" i="172"/>
  <c r="C237" i="172"/>
  <c r="C236" i="172"/>
  <c r="C235" i="172"/>
  <c r="C233" i="172"/>
  <c r="C232" i="172"/>
  <c r="C231" i="172"/>
  <c r="D228" i="172"/>
  <c r="C227" i="172"/>
  <c r="C226" i="172"/>
  <c r="C225" i="172"/>
  <c r="C224" i="172"/>
  <c r="C223" i="172"/>
  <c r="C222" i="172"/>
  <c r="C221" i="172"/>
  <c r="C220" i="172"/>
  <c r="E220" i="172"/>
  <c r="C219" i="172"/>
  <c r="C211" i="172"/>
  <c r="D205" i="172"/>
  <c r="C205" i="172"/>
  <c r="D204" i="172"/>
  <c r="C204" i="172"/>
  <c r="D203" i="172"/>
  <c r="C203" i="172"/>
  <c r="D202" i="172"/>
  <c r="C202" i="172"/>
  <c r="D201" i="172"/>
  <c r="C201" i="172"/>
  <c r="D200" i="172"/>
  <c r="C200" i="172"/>
  <c r="D196" i="172"/>
  <c r="C196" i="172"/>
  <c r="D195" i="172"/>
  <c r="C195" i="172"/>
  <c r="D194" i="172"/>
  <c r="C194" i="172"/>
  <c r="D193" i="172"/>
  <c r="C193" i="172"/>
  <c r="D192" i="172"/>
  <c r="C192" i="172"/>
  <c r="D191" i="172"/>
  <c r="C191" i="172"/>
  <c r="D190" i="172"/>
  <c r="C190" i="172"/>
  <c r="D189" i="172"/>
  <c r="C189" i="172"/>
  <c r="D188" i="172"/>
  <c r="C188" i="172"/>
  <c r="D187" i="172"/>
  <c r="C187" i="172"/>
  <c r="D186" i="172"/>
  <c r="C186" i="172"/>
  <c r="D185" i="172"/>
  <c r="C185" i="172"/>
  <c r="D184" i="172"/>
  <c r="C184" i="172"/>
  <c r="D183" i="172"/>
  <c r="C183" i="172"/>
  <c r="D182" i="172"/>
  <c r="C182" i="172"/>
  <c r="D181" i="172"/>
  <c r="C181" i="172"/>
  <c r="D180" i="172"/>
  <c r="C180" i="172"/>
  <c r="D179" i="172"/>
  <c r="C179" i="172"/>
  <c r="D178" i="172"/>
  <c r="C178" i="172"/>
  <c r="D177" i="172"/>
  <c r="C177" i="172"/>
  <c r="D176" i="172"/>
  <c r="C176" i="172"/>
  <c r="D175" i="172"/>
  <c r="C175" i="172"/>
  <c r="D174" i="172"/>
  <c r="C174" i="172"/>
  <c r="D173" i="172"/>
  <c r="C173" i="172"/>
  <c r="D172" i="172"/>
  <c r="C172" i="172"/>
  <c r="D171" i="172"/>
  <c r="C171" i="172"/>
  <c r="D170" i="172"/>
  <c r="C170" i="172"/>
  <c r="D169" i="172"/>
  <c r="C169" i="172"/>
  <c r="D168" i="172"/>
  <c r="C168" i="172"/>
  <c r="D167" i="172"/>
  <c r="C167" i="172"/>
  <c r="D166" i="172"/>
  <c r="C166" i="172"/>
  <c r="D165" i="172"/>
  <c r="C165" i="172"/>
  <c r="D164" i="172"/>
  <c r="C164" i="172"/>
  <c r="D160" i="172"/>
  <c r="C160" i="172"/>
  <c r="D159" i="172"/>
  <c r="C159" i="172"/>
  <c r="D158" i="172"/>
  <c r="C158" i="172"/>
  <c r="D157" i="172"/>
  <c r="C157" i="172"/>
  <c r="D156" i="172"/>
  <c r="C156" i="172"/>
  <c r="D155" i="172"/>
  <c r="C155" i="172"/>
  <c r="D153" i="172"/>
  <c r="C153" i="172"/>
  <c r="D152" i="172"/>
  <c r="C152" i="172"/>
  <c r="D151" i="172"/>
  <c r="C151" i="172"/>
  <c r="D150" i="172"/>
  <c r="C150" i="172"/>
  <c r="D149" i="172"/>
  <c r="C149" i="172"/>
  <c r="D148" i="172"/>
  <c r="C148" i="172"/>
  <c r="D147" i="172"/>
  <c r="C147" i="172"/>
  <c r="D146" i="172"/>
  <c r="C146" i="172"/>
  <c r="D145" i="172"/>
  <c r="C145" i="172"/>
  <c r="D143" i="172"/>
  <c r="C143" i="172"/>
  <c r="D142" i="172"/>
  <c r="C142" i="172"/>
  <c r="D141" i="172"/>
  <c r="C141" i="172"/>
  <c r="D140" i="172"/>
  <c r="C140" i="172"/>
  <c r="D138" i="172"/>
  <c r="C138" i="172"/>
  <c r="D137" i="172"/>
  <c r="C137" i="172"/>
  <c r="D136" i="172"/>
  <c r="C136" i="172"/>
  <c r="D135" i="172"/>
  <c r="C135" i="172"/>
  <c r="D133" i="172"/>
  <c r="C133" i="172"/>
  <c r="D132" i="172"/>
  <c r="C132" i="172"/>
  <c r="D131" i="172"/>
  <c r="C131" i="172"/>
  <c r="D130" i="172"/>
  <c r="C130" i="172"/>
  <c r="D129" i="172"/>
  <c r="C129" i="172"/>
  <c r="D127" i="172"/>
  <c r="C127" i="172"/>
  <c r="D126" i="172"/>
  <c r="C126" i="172"/>
  <c r="D125" i="172"/>
  <c r="C125" i="172"/>
  <c r="D124" i="172"/>
  <c r="C124" i="172"/>
  <c r="D123" i="172"/>
  <c r="C123" i="172"/>
  <c r="D118" i="172"/>
  <c r="C118" i="172"/>
  <c r="D117" i="172"/>
  <c r="C117" i="172"/>
  <c r="D116" i="172"/>
  <c r="C116" i="172"/>
  <c r="D115" i="172"/>
  <c r="C115" i="172"/>
  <c r="D114" i="172"/>
  <c r="C114" i="172"/>
  <c r="D110" i="172"/>
  <c r="C110" i="172"/>
  <c r="D109" i="172"/>
  <c r="C109" i="172"/>
  <c r="D108" i="172"/>
  <c r="C108" i="172"/>
  <c r="D107" i="172"/>
  <c r="C107" i="172"/>
  <c r="D106" i="172"/>
  <c r="C106" i="172"/>
  <c r="D105" i="172"/>
  <c r="C105" i="172"/>
  <c r="D101" i="172"/>
  <c r="C101" i="172"/>
  <c r="D100" i="172"/>
  <c r="C100" i="172"/>
  <c r="D99" i="172"/>
  <c r="C99" i="172"/>
  <c r="D98" i="172"/>
  <c r="C98" i="172"/>
  <c r="D97" i="172"/>
  <c r="C97" i="172"/>
  <c r="D96" i="172"/>
  <c r="C96" i="172"/>
  <c r="D92" i="172"/>
  <c r="C92" i="172"/>
  <c r="D91" i="172"/>
  <c r="C91" i="172"/>
  <c r="D90" i="172"/>
  <c r="C90" i="172"/>
  <c r="D89" i="172"/>
  <c r="C89" i="172"/>
  <c r="D88" i="172"/>
  <c r="C88" i="172"/>
  <c r="D87" i="172"/>
  <c r="C87" i="172"/>
  <c r="D86" i="172"/>
  <c r="C86" i="172"/>
  <c r="D85" i="172"/>
  <c r="C85" i="172"/>
  <c r="D84" i="172"/>
  <c r="C84" i="172"/>
  <c r="D83" i="172"/>
  <c r="C83" i="172"/>
  <c r="D82" i="172"/>
  <c r="C82" i="172"/>
  <c r="D78" i="172"/>
  <c r="C78" i="172"/>
  <c r="D77" i="172"/>
  <c r="C77" i="172"/>
  <c r="D76" i="172"/>
  <c r="C76" i="172"/>
  <c r="D75" i="172"/>
  <c r="C75" i="172"/>
  <c r="D74" i="172"/>
  <c r="C74" i="172"/>
  <c r="D73" i="172"/>
  <c r="C73" i="172"/>
  <c r="D72" i="172"/>
  <c r="C72" i="172"/>
  <c r="D71" i="172"/>
  <c r="C71" i="172"/>
  <c r="D70" i="172"/>
  <c r="C70" i="172"/>
  <c r="D69" i="172"/>
  <c r="C69" i="172"/>
  <c r="D68" i="172"/>
  <c r="C68" i="172"/>
  <c r="D67" i="172"/>
  <c r="C67" i="172"/>
  <c r="D66" i="172"/>
  <c r="C66" i="172"/>
  <c r="D65" i="172"/>
  <c r="C65" i="172"/>
  <c r="D64" i="172"/>
  <c r="C64" i="172"/>
  <c r="D60" i="172"/>
  <c r="C60" i="172"/>
  <c r="D59" i="172"/>
  <c r="C59" i="172"/>
  <c r="D58" i="172"/>
  <c r="C58" i="172"/>
  <c r="D57" i="172"/>
  <c r="C57" i="172"/>
  <c r="D56" i="172"/>
  <c r="C56" i="172"/>
  <c r="D55" i="172"/>
  <c r="C55" i="172"/>
  <c r="D54" i="172"/>
  <c r="C54" i="172"/>
  <c r="D53" i="172"/>
  <c r="C53" i="172"/>
  <c r="D52" i="172"/>
  <c r="C52" i="172"/>
  <c r="D51" i="172"/>
  <c r="C51" i="172"/>
  <c r="D50" i="172"/>
  <c r="C50" i="172"/>
  <c r="D49" i="172"/>
  <c r="C49" i="172"/>
  <c r="D48" i="172"/>
  <c r="C48" i="172"/>
  <c r="D47" i="172"/>
  <c r="C47" i="172"/>
  <c r="D46" i="172"/>
  <c r="C46" i="172"/>
  <c r="D45" i="172"/>
  <c r="C45" i="172"/>
  <c r="D44" i="172"/>
  <c r="C44" i="172"/>
  <c r="D43" i="172"/>
  <c r="C43" i="172"/>
  <c r="D42" i="172"/>
  <c r="C42" i="172"/>
  <c r="D41" i="172"/>
  <c r="C41" i="172"/>
  <c r="D40" i="172"/>
  <c r="C40" i="172"/>
  <c r="D39" i="172"/>
  <c r="C39" i="172"/>
  <c r="D38" i="172"/>
  <c r="C38" i="172"/>
  <c r="D37" i="172"/>
  <c r="C37" i="172"/>
  <c r="D36" i="172"/>
  <c r="C36" i="172"/>
  <c r="D35" i="172"/>
  <c r="C35" i="172"/>
  <c r="D34" i="172"/>
  <c r="C34" i="172"/>
  <c r="D33" i="172"/>
  <c r="C33" i="172"/>
  <c r="D32" i="172"/>
  <c r="C32" i="172"/>
  <c r="D31" i="172"/>
  <c r="C31" i="172"/>
  <c r="D30" i="172"/>
  <c r="C30" i="172"/>
  <c r="D29" i="172"/>
  <c r="C29" i="172"/>
  <c r="D28" i="172"/>
  <c r="C28" i="172"/>
  <c r="D27" i="172"/>
  <c r="C27" i="172"/>
  <c r="D26" i="172"/>
  <c r="C26" i="172"/>
  <c r="D25" i="172"/>
  <c r="C25" i="172"/>
  <c r="D20" i="172"/>
  <c r="C20" i="172"/>
  <c r="D19" i="172"/>
  <c r="C19" i="172"/>
  <c r="D18" i="172"/>
  <c r="C18" i="172"/>
  <c r="D17" i="172"/>
  <c r="C17" i="172"/>
  <c r="D16" i="172"/>
  <c r="C16" i="172"/>
  <c r="D15" i="172"/>
  <c r="C15" i="172"/>
  <c r="D14" i="172"/>
  <c r="C14" i="172"/>
  <c r="D13" i="172"/>
  <c r="C13" i="172"/>
  <c r="D12" i="172"/>
  <c r="C12" i="172"/>
  <c r="D11" i="172"/>
  <c r="C11" i="172"/>
  <c r="E225" i="149"/>
  <c r="E223" i="149"/>
  <c r="E220" i="149"/>
  <c r="E219" i="149"/>
  <c r="E127" i="149"/>
  <c r="E97" i="149"/>
  <c r="E88" i="149"/>
  <c r="G88" i="149"/>
  <c r="E75" i="149"/>
  <c r="G75" i="149"/>
  <c r="E67" i="149"/>
  <c r="G67" i="149"/>
  <c r="E52" i="149"/>
  <c r="E44" i="149"/>
  <c r="G44" i="149"/>
  <c r="E36" i="149"/>
  <c r="E34" i="149"/>
  <c r="E32" i="149"/>
  <c r="E28" i="149"/>
  <c r="E16" i="149"/>
  <c r="E12" i="149"/>
  <c r="G244" i="85"/>
  <c r="K114" i="85"/>
  <c r="K200" i="85"/>
  <c r="J200" i="85"/>
  <c r="K172" i="85"/>
  <c r="K168" i="85"/>
  <c r="K166" i="85"/>
  <c r="J172" i="85"/>
  <c r="J168" i="85"/>
  <c r="J166" i="85"/>
  <c r="K138" i="85"/>
  <c r="K137" i="85"/>
  <c r="K136" i="85"/>
  <c r="K135" i="85"/>
  <c r="J138" i="85"/>
  <c r="J137" i="85"/>
  <c r="J136" i="85"/>
  <c r="J135" i="85"/>
  <c r="K127" i="85"/>
  <c r="K125" i="85"/>
  <c r="K124" i="85"/>
  <c r="J127" i="85"/>
  <c r="J125" i="85"/>
  <c r="J124" i="85"/>
  <c r="J114" i="85"/>
  <c r="K105" i="85"/>
  <c r="J105" i="85"/>
  <c r="K96" i="85"/>
  <c r="J96" i="85"/>
  <c r="J82" i="85"/>
  <c r="K82" i="85"/>
  <c r="K27" i="85"/>
  <c r="K25" i="85"/>
  <c r="J27" i="85"/>
  <c r="J25" i="85"/>
  <c r="E220" i="85"/>
  <c r="E196" i="85"/>
  <c r="E189" i="85"/>
  <c r="E185" i="85"/>
  <c r="E184" i="85"/>
  <c r="E176" i="85"/>
  <c r="G176" i="85"/>
  <c r="E167" i="85"/>
  <c r="E160" i="85"/>
  <c r="E158" i="85"/>
  <c r="E155" i="85"/>
  <c r="E153" i="85"/>
  <c r="E149" i="85"/>
  <c r="G149" i="85"/>
  <c r="E145" i="85"/>
  <c r="E125" i="85"/>
  <c r="G125" i="85"/>
  <c r="E116" i="85"/>
  <c r="E109" i="85"/>
  <c r="G109" i="85"/>
  <c r="E105" i="85"/>
  <c r="E97" i="85"/>
  <c r="E92" i="85"/>
  <c r="E91" i="85"/>
  <c r="E90" i="85"/>
  <c r="E89" i="85"/>
  <c r="E88" i="85"/>
  <c r="E85" i="85"/>
  <c r="E77" i="85"/>
  <c r="G77" i="85"/>
  <c r="E74" i="85"/>
  <c r="E73" i="85"/>
  <c r="E68" i="85"/>
  <c r="E64" i="85"/>
  <c r="E59" i="85"/>
  <c r="E57" i="85"/>
  <c r="E54" i="85"/>
  <c r="E53" i="85"/>
  <c r="G53" i="85"/>
  <c r="E50" i="85"/>
  <c r="E47" i="85"/>
  <c r="E46" i="85"/>
  <c r="E44" i="85"/>
  <c r="E42" i="85"/>
  <c r="E40" i="85"/>
  <c r="E37" i="85"/>
  <c r="E30" i="85"/>
  <c r="G30" i="85"/>
  <c r="E29" i="85"/>
  <c r="E26" i="85"/>
  <c r="E25" i="85"/>
  <c r="E19" i="85"/>
  <c r="E17" i="85"/>
  <c r="E16" i="85"/>
  <c r="E12" i="85"/>
  <c r="E11" i="85"/>
  <c r="G11" i="85"/>
  <c r="G244" i="14"/>
  <c r="G243" i="14"/>
  <c r="G242" i="14"/>
  <c r="G241" i="14"/>
  <c r="C238" i="14"/>
  <c r="C237" i="14"/>
  <c r="C236" i="14"/>
  <c r="C235" i="14"/>
  <c r="C233" i="14"/>
  <c r="E233" i="14"/>
  <c r="C232" i="14"/>
  <c r="C231" i="14"/>
  <c r="E231" i="14"/>
  <c r="E235" i="14"/>
  <c r="D228" i="14"/>
  <c r="C227" i="14"/>
  <c r="C226" i="14"/>
  <c r="C225" i="14"/>
  <c r="C224" i="14"/>
  <c r="C223" i="14"/>
  <c r="C222" i="14"/>
  <c r="C221" i="14"/>
  <c r="C220" i="14"/>
  <c r="C219" i="14"/>
  <c r="C211" i="14"/>
  <c r="D205" i="14"/>
  <c r="C205" i="14"/>
  <c r="D204" i="14"/>
  <c r="C204" i="14"/>
  <c r="D203" i="14"/>
  <c r="C203" i="14"/>
  <c r="D202" i="14"/>
  <c r="C202" i="14"/>
  <c r="D201" i="14"/>
  <c r="C201" i="14"/>
  <c r="D200" i="14"/>
  <c r="C200" i="14"/>
  <c r="D196" i="14"/>
  <c r="C196" i="14"/>
  <c r="D195" i="14"/>
  <c r="C195" i="14"/>
  <c r="D194" i="14"/>
  <c r="C194" i="14"/>
  <c r="D193" i="14"/>
  <c r="C193" i="14"/>
  <c r="D192" i="14"/>
  <c r="C192" i="14"/>
  <c r="D191" i="14"/>
  <c r="C191" i="14"/>
  <c r="D190" i="14"/>
  <c r="C190" i="14"/>
  <c r="D189" i="14"/>
  <c r="C189" i="14"/>
  <c r="D188" i="14"/>
  <c r="C188" i="14"/>
  <c r="D187" i="14"/>
  <c r="C187" i="14"/>
  <c r="D186" i="14"/>
  <c r="C186" i="14"/>
  <c r="D185" i="14"/>
  <c r="C185" i="14"/>
  <c r="D184" i="14"/>
  <c r="C184" i="14"/>
  <c r="D183" i="14"/>
  <c r="C183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6" i="14"/>
  <c r="C176" i="14"/>
  <c r="D175" i="14"/>
  <c r="C175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8" i="14"/>
  <c r="C168" i="14"/>
  <c r="D167" i="14"/>
  <c r="C167" i="14"/>
  <c r="D166" i="14"/>
  <c r="C166" i="14"/>
  <c r="D165" i="14"/>
  <c r="C165" i="14"/>
  <c r="D164" i="14"/>
  <c r="C164" i="14"/>
  <c r="D160" i="14"/>
  <c r="C160" i="14"/>
  <c r="D159" i="14"/>
  <c r="C159" i="14"/>
  <c r="D158" i="14"/>
  <c r="C158" i="14"/>
  <c r="D157" i="14"/>
  <c r="C157" i="14"/>
  <c r="D156" i="14"/>
  <c r="C156" i="14"/>
  <c r="D155" i="14"/>
  <c r="C155" i="14"/>
  <c r="D153" i="14"/>
  <c r="C153" i="14"/>
  <c r="D152" i="14"/>
  <c r="C152" i="14"/>
  <c r="D151" i="14"/>
  <c r="C151" i="14"/>
  <c r="D150" i="14"/>
  <c r="C150" i="14"/>
  <c r="D149" i="14"/>
  <c r="C149" i="14"/>
  <c r="D148" i="14"/>
  <c r="C148" i="14"/>
  <c r="D147" i="14"/>
  <c r="C147" i="14"/>
  <c r="D146" i="14"/>
  <c r="C146" i="14"/>
  <c r="D145" i="14"/>
  <c r="C145" i="14"/>
  <c r="D143" i="14"/>
  <c r="C143" i="14"/>
  <c r="D142" i="14"/>
  <c r="C142" i="14"/>
  <c r="D141" i="14"/>
  <c r="C141" i="14"/>
  <c r="D140" i="14"/>
  <c r="C140" i="14"/>
  <c r="D138" i="14"/>
  <c r="C138" i="14"/>
  <c r="D137" i="14"/>
  <c r="C137" i="14"/>
  <c r="D136" i="14"/>
  <c r="C136" i="14"/>
  <c r="D135" i="14"/>
  <c r="C135" i="14"/>
  <c r="D133" i="14"/>
  <c r="C133" i="14"/>
  <c r="D132" i="14"/>
  <c r="C132" i="14"/>
  <c r="D131" i="14"/>
  <c r="C131" i="14"/>
  <c r="D130" i="14"/>
  <c r="C130" i="14"/>
  <c r="D129" i="14"/>
  <c r="C129" i="14"/>
  <c r="D127" i="14"/>
  <c r="C127" i="14"/>
  <c r="D126" i="14"/>
  <c r="C126" i="14"/>
  <c r="D125" i="14"/>
  <c r="C125" i="14"/>
  <c r="D124" i="14"/>
  <c r="C124" i="14"/>
  <c r="D123" i="14"/>
  <c r="C123" i="14"/>
  <c r="D118" i="14"/>
  <c r="C118" i="14"/>
  <c r="D117" i="14"/>
  <c r="C117" i="14"/>
  <c r="D116" i="14"/>
  <c r="C116" i="14"/>
  <c r="D115" i="14"/>
  <c r="C115" i="14"/>
  <c r="D114" i="14"/>
  <c r="C114" i="14"/>
  <c r="D110" i="14"/>
  <c r="C110" i="14"/>
  <c r="D109" i="14"/>
  <c r="C109" i="14"/>
  <c r="D108" i="14"/>
  <c r="C108" i="14"/>
  <c r="D107" i="14"/>
  <c r="C107" i="14"/>
  <c r="D106" i="14"/>
  <c r="C106" i="14"/>
  <c r="D105" i="14"/>
  <c r="C105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G244" i="21"/>
  <c r="G243" i="21"/>
  <c r="G242" i="21"/>
  <c r="G241" i="21"/>
  <c r="K200" i="55"/>
  <c r="J200" i="55"/>
  <c r="K149" i="55"/>
  <c r="J149" i="55"/>
  <c r="K145" i="55"/>
  <c r="J145" i="55"/>
  <c r="K137" i="55"/>
  <c r="K136" i="55"/>
  <c r="K135" i="55"/>
  <c r="J137" i="55"/>
  <c r="J136" i="55"/>
  <c r="J135" i="55"/>
  <c r="K124" i="55"/>
  <c r="J124" i="55"/>
  <c r="K114" i="55"/>
  <c r="J114" i="55"/>
  <c r="K105" i="55"/>
  <c r="J105" i="55"/>
  <c r="K96" i="55"/>
  <c r="J96" i="55"/>
  <c r="K82" i="55"/>
  <c r="J82" i="55"/>
  <c r="K27" i="55"/>
  <c r="K25" i="55"/>
  <c r="J27" i="55"/>
  <c r="J25" i="55"/>
  <c r="G244" i="165"/>
  <c r="G243" i="165"/>
  <c r="G242" i="165"/>
  <c r="G241" i="165"/>
  <c r="C238" i="165"/>
  <c r="C237" i="165"/>
  <c r="C236" i="165"/>
  <c r="C235" i="165"/>
  <c r="C233" i="165"/>
  <c r="C232" i="165"/>
  <c r="C231" i="165"/>
  <c r="D228" i="165"/>
  <c r="C227" i="165"/>
  <c r="C226" i="165"/>
  <c r="C225" i="165"/>
  <c r="C224" i="165"/>
  <c r="C223" i="165"/>
  <c r="E223" i="165"/>
  <c r="G223" i="165"/>
  <c r="C222" i="165"/>
  <c r="C221" i="165"/>
  <c r="E221" i="165"/>
  <c r="C220" i="165"/>
  <c r="C219" i="165"/>
  <c r="C211" i="165"/>
  <c r="D205" i="165"/>
  <c r="C205" i="165"/>
  <c r="D204" i="165"/>
  <c r="C204" i="165"/>
  <c r="D203" i="165"/>
  <c r="C203" i="165"/>
  <c r="D202" i="165"/>
  <c r="C202" i="165"/>
  <c r="D201" i="165"/>
  <c r="C201" i="165"/>
  <c r="D200" i="165"/>
  <c r="C200" i="165"/>
  <c r="D196" i="165"/>
  <c r="C196" i="165"/>
  <c r="D195" i="165"/>
  <c r="C195" i="165"/>
  <c r="D194" i="165"/>
  <c r="C194" i="165"/>
  <c r="D193" i="165"/>
  <c r="C193" i="165"/>
  <c r="D192" i="165"/>
  <c r="C192" i="165"/>
  <c r="D191" i="165"/>
  <c r="C191" i="165"/>
  <c r="D190" i="165"/>
  <c r="C190" i="165"/>
  <c r="D189" i="165"/>
  <c r="C189" i="165"/>
  <c r="D188" i="165"/>
  <c r="C188" i="165"/>
  <c r="D187" i="165"/>
  <c r="C187" i="165"/>
  <c r="D186" i="165"/>
  <c r="C186" i="165"/>
  <c r="D185" i="165"/>
  <c r="C185" i="165"/>
  <c r="D184" i="165"/>
  <c r="C184" i="165"/>
  <c r="D183" i="165"/>
  <c r="C183" i="165"/>
  <c r="D182" i="165"/>
  <c r="C182" i="165"/>
  <c r="D181" i="165"/>
  <c r="C181" i="165"/>
  <c r="D180" i="165"/>
  <c r="C180" i="165"/>
  <c r="D179" i="165"/>
  <c r="C179" i="165"/>
  <c r="D178" i="165"/>
  <c r="C178" i="165"/>
  <c r="D177" i="165"/>
  <c r="C177" i="165"/>
  <c r="D176" i="165"/>
  <c r="C176" i="165"/>
  <c r="D175" i="165"/>
  <c r="C175" i="165"/>
  <c r="D174" i="165"/>
  <c r="C174" i="165"/>
  <c r="D173" i="165"/>
  <c r="C173" i="165"/>
  <c r="D172" i="165"/>
  <c r="C172" i="165"/>
  <c r="D171" i="165"/>
  <c r="C171" i="165"/>
  <c r="D170" i="165"/>
  <c r="C170" i="165"/>
  <c r="D169" i="165"/>
  <c r="C169" i="165"/>
  <c r="D168" i="165"/>
  <c r="C168" i="165"/>
  <c r="D167" i="165"/>
  <c r="C167" i="165"/>
  <c r="D166" i="165"/>
  <c r="C166" i="165"/>
  <c r="D165" i="165"/>
  <c r="C165" i="165"/>
  <c r="D164" i="165"/>
  <c r="C164" i="165"/>
  <c r="D160" i="165"/>
  <c r="C160" i="165"/>
  <c r="D159" i="165"/>
  <c r="C159" i="165"/>
  <c r="D158" i="165"/>
  <c r="C158" i="165"/>
  <c r="D157" i="165"/>
  <c r="C157" i="165"/>
  <c r="D156" i="165"/>
  <c r="C156" i="165"/>
  <c r="D155" i="165"/>
  <c r="C155" i="165"/>
  <c r="D153" i="165"/>
  <c r="C153" i="165"/>
  <c r="D152" i="165"/>
  <c r="C152" i="165"/>
  <c r="D151" i="165"/>
  <c r="C151" i="165"/>
  <c r="D150" i="165"/>
  <c r="C150" i="165"/>
  <c r="D149" i="165"/>
  <c r="C149" i="165"/>
  <c r="D148" i="165"/>
  <c r="C148" i="165"/>
  <c r="D147" i="165"/>
  <c r="C147" i="165"/>
  <c r="D146" i="165"/>
  <c r="C146" i="165"/>
  <c r="D145" i="165"/>
  <c r="C145" i="165"/>
  <c r="D143" i="165"/>
  <c r="C143" i="165"/>
  <c r="D142" i="165"/>
  <c r="C142" i="165"/>
  <c r="D141" i="165"/>
  <c r="C141" i="165"/>
  <c r="D140" i="165"/>
  <c r="C140" i="165"/>
  <c r="D138" i="165"/>
  <c r="C138" i="165"/>
  <c r="D137" i="165"/>
  <c r="C137" i="165"/>
  <c r="D136" i="165"/>
  <c r="C136" i="165"/>
  <c r="D135" i="165"/>
  <c r="C135" i="165"/>
  <c r="D133" i="165"/>
  <c r="C133" i="165"/>
  <c r="D132" i="165"/>
  <c r="C132" i="165"/>
  <c r="D131" i="165"/>
  <c r="C131" i="165"/>
  <c r="D130" i="165"/>
  <c r="C130" i="165"/>
  <c r="D129" i="165"/>
  <c r="C129" i="165"/>
  <c r="D127" i="165"/>
  <c r="C127" i="165"/>
  <c r="D126" i="165"/>
  <c r="C126" i="165"/>
  <c r="D125" i="165"/>
  <c r="C125" i="165"/>
  <c r="D124" i="165"/>
  <c r="C124" i="165"/>
  <c r="D123" i="165"/>
  <c r="C123" i="165"/>
  <c r="D118" i="165"/>
  <c r="C118" i="165"/>
  <c r="D117" i="165"/>
  <c r="C117" i="165"/>
  <c r="D116" i="165"/>
  <c r="C116" i="165"/>
  <c r="D115" i="165"/>
  <c r="C115" i="165"/>
  <c r="D114" i="165"/>
  <c r="C114" i="165"/>
  <c r="D110" i="165"/>
  <c r="C110" i="165"/>
  <c r="D109" i="165"/>
  <c r="C109" i="165"/>
  <c r="D108" i="165"/>
  <c r="C108" i="165"/>
  <c r="D107" i="165"/>
  <c r="C107" i="165"/>
  <c r="D106" i="165"/>
  <c r="C106" i="165"/>
  <c r="D105" i="165"/>
  <c r="C105" i="165"/>
  <c r="D101" i="165"/>
  <c r="C101" i="165"/>
  <c r="D100" i="165"/>
  <c r="C100" i="165"/>
  <c r="D99" i="165"/>
  <c r="C99" i="165"/>
  <c r="D98" i="165"/>
  <c r="C98" i="165"/>
  <c r="D97" i="165"/>
  <c r="C97" i="165"/>
  <c r="D96" i="165"/>
  <c r="C96" i="165"/>
  <c r="D92" i="165"/>
  <c r="C92" i="165"/>
  <c r="D91" i="165"/>
  <c r="C91" i="165"/>
  <c r="D90" i="165"/>
  <c r="C90" i="165"/>
  <c r="D89" i="165"/>
  <c r="C89" i="165"/>
  <c r="D88" i="165"/>
  <c r="C88" i="165"/>
  <c r="D87" i="165"/>
  <c r="C87" i="165"/>
  <c r="D86" i="165"/>
  <c r="C86" i="165"/>
  <c r="D85" i="165"/>
  <c r="C85" i="165"/>
  <c r="D84" i="165"/>
  <c r="C84" i="165"/>
  <c r="D83" i="165"/>
  <c r="C83" i="165"/>
  <c r="D82" i="165"/>
  <c r="C82" i="165"/>
  <c r="D78" i="165"/>
  <c r="C78" i="165"/>
  <c r="D77" i="165"/>
  <c r="C77" i="165"/>
  <c r="D76" i="165"/>
  <c r="C76" i="165"/>
  <c r="D75" i="165"/>
  <c r="C75" i="165"/>
  <c r="D74" i="165"/>
  <c r="C74" i="165"/>
  <c r="D73" i="165"/>
  <c r="C73" i="165"/>
  <c r="D72" i="165"/>
  <c r="C72" i="165"/>
  <c r="D71" i="165"/>
  <c r="C71" i="165"/>
  <c r="D70" i="165"/>
  <c r="C70" i="165"/>
  <c r="D69" i="165"/>
  <c r="C69" i="165"/>
  <c r="D68" i="165"/>
  <c r="C68" i="165"/>
  <c r="D67" i="165"/>
  <c r="C67" i="165"/>
  <c r="D66" i="165"/>
  <c r="C66" i="165"/>
  <c r="D65" i="165"/>
  <c r="C65" i="165"/>
  <c r="D64" i="165"/>
  <c r="C64" i="165"/>
  <c r="D60" i="165"/>
  <c r="C60" i="165"/>
  <c r="D59" i="165"/>
  <c r="C59" i="165"/>
  <c r="D58" i="165"/>
  <c r="C58" i="165"/>
  <c r="D57" i="165"/>
  <c r="C57" i="165"/>
  <c r="D56" i="165"/>
  <c r="C56" i="165"/>
  <c r="D55" i="165"/>
  <c r="C55" i="165"/>
  <c r="D54" i="165"/>
  <c r="C54" i="165"/>
  <c r="D53" i="165"/>
  <c r="C53" i="165"/>
  <c r="D52" i="165"/>
  <c r="C52" i="165"/>
  <c r="D51" i="165"/>
  <c r="C51" i="165"/>
  <c r="D50" i="165"/>
  <c r="C50" i="165"/>
  <c r="D49" i="165"/>
  <c r="C49" i="165"/>
  <c r="D48" i="165"/>
  <c r="C48" i="165"/>
  <c r="D47" i="165"/>
  <c r="C47" i="165"/>
  <c r="D46" i="165"/>
  <c r="C46" i="165"/>
  <c r="D45" i="165"/>
  <c r="C45" i="165"/>
  <c r="D44" i="165"/>
  <c r="C44" i="165"/>
  <c r="D43" i="165"/>
  <c r="C43" i="165"/>
  <c r="D42" i="165"/>
  <c r="C42" i="165"/>
  <c r="D41" i="165"/>
  <c r="C41" i="165"/>
  <c r="D40" i="165"/>
  <c r="C40" i="165"/>
  <c r="D39" i="165"/>
  <c r="C39" i="165"/>
  <c r="D38" i="165"/>
  <c r="C38" i="165"/>
  <c r="D37" i="165"/>
  <c r="C37" i="165"/>
  <c r="D36" i="165"/>
  <c r="C36" i="165"/>
  <c r="D35" i="165"/>
  <c r="C35" i="165"/>
  <c r="D34" i="165"/>
  <c r="C34" i="165"/>
  <c r="D33" i="165"/>
  <c r="C33" i="165"/>
  <c r="D32" i="165"/>
  <c r="C32" i="165"/>
  <c r="D31" i="165"/>
  <c r="C31" i="165"/>
  <c r="D30" i="165"/>
  <c r="C30" i="165"/>
  <c r="D29" i="165"/>
  <c r="C29" i="165"/>
  <c r="D28" i="165"/>
  <c r="C28" i="165"/>
  <c r="D27" i="165"/>
  <c r="C27" i="165"/>
  <c r="D26" i="165"/>
  <c r="C26" i="165"/>
  <c r="D25" i="165"/>
  <c r="C25" i="165"/>
  <c r="D20" i="165"/>
  <c r="C20" i="165"/>
  <c r="D19" i="165"/>
  <c r="C19" i="165"/>
  <c r="D18" i="165"/>
  <c r="C18" i="165"/>
  <c r="D17" i="165"/>
  <c r="C17" i="165"/>
  <c r="D16" i="165"/>
  <c r="C16" i="165"/>
  <c r="D15" i="165"/>
  <c r="C15" i="165"/>
  <c r="D14" i="165"/>
  <c r="C14" i="165"/>
  <c r="D13" i="165"/>
  <c r="C13" i="165"/>
  <c r="D12" i="165"/>
  <c r="C12" i="165"/>
  <c r="D11" i="165"/>
  <c r="C11" i="165"/>
  <c r="K200" i="111"/>
  <c r="J200" i="111"/>
  <c r="K138" i="111"/>
  <c r="K137" i="111"/>
  <c r="K136" i="111"/>
  <c r="K135" i="111"/>
  <c r="J138" i="111"/>
  <c r="J137" i="111"/>
  <c r="J136" i="111"/>
  <c r="J135" i="111"/>
  <c r="K127" i="111"/>
  <c r="K124" i="111"/>
  <c r="J127" i="111"/>
  <c r="J124" i="111"/>
  <c r="K114" i="111"/>
  <c r="J114" i="111"/>
  <c r="K105" i="111"/>
  <c r="J105" i="111"/>
  <c r="K96" i="111"/>
  <c r="J96" i="111"/>
  <c r="K82" i="111"/>
  <c r="J82" i="111"/>
  <c r="K51" i="111"/>
  <c r="J51" i="111"/>
  <c r="K27" i="111"/>
  <c r="K25" i="111"/>
  <c r="J27" i="111"/>
  <c r="J25" i="111"/>
  <c r="E219" i="27"/>
  <c r="E195" i="27"/>
  <c r="E193" i="27"/>
  <c r="E177" i="27"/>
  <c r="E158" i="27"/>
  <c r="E153" i="27"/>
  <c r="E149" i="27"/>
  <c r="E140" i="27"/>
  <c r="E131" i="27"/>
  <c r="E100" i="27"/>
  <c r="E82" i="27"/>
  <c r="E75" i="27"/>
  <c r="E67" i="27"/>
  <c r="E60" i="27"/>
  <c r="E51" i="27"/>
  <c r="E40" i="27"/>
  <c r="E32" i="27"/>
  <c r="E28" i="27"/>
  <c r="G244" i="16"/>
  <c r="G243" i="16"/>
  <c r="G242" i="16"/>
  <c r="G241" i="16"/>
  <c r="C238" i="16"/>
  <c r="C237" i="16"/>
  <c r="C236" i="16"/>
  <c r="C235" i="16"/>
  <c r="C233" i="16"/>
  <c r="C232" i="16"/>
  <c r="C231" i="16"/>
  <c r="D228" i="16"/>
  <c r="C227" i="16"/>
  <c r="C226" i="16"/>
  <c r="E226" i="16"/>
  <c r="C225" i="16"/>
  <c r="C224" i="16"/>
  <c r="C223" i="16"/>
  <c r="C222" i="16"/>
  <c r="E222" i="16"/>
  <c r="C221" i="16"/>
  <c r="C220" i="16"/>
  <c r="C219" i="16"/>
  <c r="C211" i="16"/>
  <c r="D205" i="16"/>
  <c r="C205" i="16"/>
  <c r="D204" i="16"/>
  <c r="C204" i="16"/>
  <c r="D203" i="16"/>
  <c r="C203" i="16"/>
  <c r="D202" i="16"/>
  <c r="C202" i="16"/>
  <c r="D201" i="16"/>
  <c r="C201" i="16"/>
  <c r="D200" i="16"/>
  <c r="C200" i="16"/>
  <c r="D196" i="16"/>
  <c r="C196" i="16"/>
  <c r="D195" i="16"/>
  <c r="C195" i="16"/>
  <c r="D194" i="16"/>
  <c r="C194" i="16"/>
  <c r="D193" i="16"/>
  <c r="C193" i="16"/>
  <c r="D192" i="16"/>
  <c r="C192" i="16"/>
  <c r="D191" i="16"/>
  <c r="C191" i="16"/>
  <c r="D190" i="16"/>
  <c r="C190" i="16"/>
  <c r="D189" i="16"/>
  <c r="C189" i="16"/>
  <c r="D188" i="16"/>
  <c r="C188" i="16"/>
  <c r="D187" i="16"/>
  <c r="C187" i="16"/>
  <c r="D186" i="16"/>
  <c r="C186" i="16"/>
  <c r="D185" i="16"/>
  <c r="C185" i="16"/>
  <c r="D184" i="16"/>
  <c r="C184" i="16"/>
  <c r="D183" i="16"/>
  <c r="C183" i="16"/>
  <c r="D182" i="16"/>
  <c r="C182" i="16"/>
  <c r="D181" i="16"/>
  <c r="C181" i="16"/>
  <c r="D180" i="16"/>
  <c r="C180" i="16"/>
  <c r="D179" i="16"/>
  <c r="C179" i="16"/>
  <c r="D178" i="16"/>
  <c r="C178" i="16"/>
  <c r="D177" i="16"/>
  <c r="C177" i="16"/>
  <c r="D176" i="16"/>
  <c r="C176" i="16"/>
  <c r="D175" i="16"/>
  <c r="C175" i="16"/>
  <c r="D174" i="16"/>
  <c r="C174" i="16"/>
  <c r="D173" i="16"/>
  <c r="C173" i="16"/>
  <c r="D172" i="16"/>
  <c r="C172" i="16"/>
  <c r="D171" i="16"/>
  <c r="C171" i="16"/>
  <c r="D170" i="16"/>
  <c r="C170" i="16"/>
  <c r="D169" i="16"/>
  <c r="C169" i="16"/>
  <c r="D168" i="16"/>
  <c r="C168" i="16"/>
  <c r="D167" i="16"/>
  <c r="C167" i="16"/>
  <c r="D166" i="16"/>
  <c r="C166" i="16"/>
  <c r="D165" i="16"/>
  <c r="C165" i="16"/>
  <c r="D164" i="16"/>
  <c r="C164" i="16"/>
  <c r="D160" i="16"/>
  <c r="C160" i="16"/>
  <c r="D159" i="16"/>
  <c r="C159" i="16"/>
  <c r="D158" i="16"/>
  <c r="C158" i="16"/>
  <c r="D157" i="16"/>
  <c r="C157" i="16"/>
  <c r="D156" i="16"/>
  <c r="C156" i="16"/>
  <c r="D155" i="16"/>
  <c r="C155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3" i="16"/>
  <c r="C143" i="16"/>
  <c r="D142" i="16"/>
  <c r="C142" i="16"/>
  <c r="D141" i="16"/>
  <c r="C141" i="16"/>
  <c r="D140" i="16"/>
  <c r="C140" i="16"/>
  <c r="D138" i="16"/>
  <c r="C138" i="16"/>
  <c r="D137" i="16"/>
  <c r="C137" i="16"/>
  <c r="D136" i="16"/>
  <c r="C136" i="16"/>
  <c r="D135" i="16"/>
  <c r="C135" i="16"/>
  <c r="D133" i="16"/>
  <c r="C133" i="16"/>
  <c r="D132" i="16"/>
  <c r="C132" i="16"/>
  <c r="D131" i="16"/>
  <c r="C131" i="16"/>
  <c r="D130" i="16"/>
  <c r="C130" i="16"/>
  <c r="D129" i="16"/>
  <c r="C129" i="16"/>
  <c r="D127" i="16"/>
  <c r="C127" i="16"/>
  <c r="D126" i="16"/>
  <c r="C126" i="16"/>
  <c r="D125" i="16"/>
  <c r="C125" i="16"/>
  <c r="D124" i="16"/>
  <c r="C124" i="16"/>
  <c r="D123" i="16"/>
  <c r="C123" i="16"/>
  <c r="D118" i="16"/>
  <c r="C118" i="16"/>
  <c r="D117" i="16"/>
  <c r="C117" i="16"/>
  <c r="D116" i="16"/>
  <c r="C116" i="16"/>
  <c r="D115" i="16"/>
  <c r="C115" i="16"/>
  <c r="D114" i="16"/>
  <c r="C114" i="16"/>
  <c r="D110" i="16"/>
  <c r="C110" i="16"/>
  <c r="D109" i="16"/>
  <c r="C109" i="16"/>
  <c r="D108" i="16"/>
  <c r="C108" i="16"/>
  <c r="D107" i="16"/>
  <c r="C107" i="16"/>
  <c r="D106" i="16"/>
  <c r="C106" i="16"/>
  <c r="D105" i="16"/>
  <c r="C105" i="16"/>
  <c r="D101" i="16"/>
  <c r="C101" i="16"/>
  <c r="D100" i="16"/>
  <c r="C100" i="16"/>
  <c r="D99" i="16"/>
  <c r="C99" i="16"/>
  <c r="D98" i="16"/>
  <c r="C98" i="16"/>
  <c r="D97" i="16"/>
  <c r="C97" i="16"/>
  <c r="D96" i="16"/>
  <c r="C96" i="16"/>
  <c r="D92" i="16"/>
  <c r="C92" i="16"/>
  <c r="D91" i="16"/>
  <c r="C91" i="16"/>
  <c r="D90" i="16"/>
  <c r="C90" i="16"/>
  <c r="D89" i="16"/>
  <c r="C89" i="16"/>
  <c r="D88" i="16"/>
  <c r="C88" i="16"/>
  <c r="D87" i="16"/>
  <c r="C87" i="16"/>
  <c r="D86" i="16"/>
  <c r="C86" i="16"/>
  <c r="D85" i="16"/>
  <c r="C85" i="16"/>
  <c r="D84" i="16"/>
  <c r="C84" i="16"/>
  <c r="D83" i="16"/>
  <c r="C83" i="16"/>
  <c r="D82" i="16"/>
  <c r="C82" i="16"/>
  <c r="D78" i="16"/>
  <c r="C78" i="16"/>
  <c r="D77" i="16"/>
  <c r="C77" i="16"/>
  <c r="D76" i="16"/>
  <c r="C76" i="16"/>
  <c r="D75" i="16"/>
  <c r="C75" i="16"/>
  <c r="D74" i="16"/>
  <c r="C74" i="16"/>
  <c r="D73" i="16"/>
  <c r="C73" i="16"/>
  <c r="D72" i="16"/>
  <c r="C72" i="16"/>
  <c r="D71" i="16"/>
  <c r="C71" i="16"/>
  <c r="D70" i="16"/>
  <c r="C70" i="16"/>
  <c r="D69" i="16"/>
  <c r="C69" i="16"/>
  <c r="D68" i="16"/>
  <c r="C68" i="16"/>
  <c r="D67" i="16"/>
  <c r="C67" i="16"/>
  <c r="D66" i="16"/>
  <c r="C66" i="16"/>
  <c r="D65" i="16"/>
  <c r="C65" i="16"/>
  <c r="D64" i="16"/>
  <c r="C64" i="16"/>
  <c r="D60" i="16"/>
  <c r="C60" i="16"/>
  <c r="D59" i="16"/>
  <c r="C59" i="16"/>
  <c r="D58" i="16"/>
  <c r="C58" i="16"/>
  <c r="D57" i="16"/>
  <c r="C57" i="16"/>
  <c r="D56" i="16"/>
  <c r="C56" i="16"/>
  <c r="D55" i="16"/>
  <c r="C55" i="16"/>
  <c r="D54" i="16"/>
  <c r="C54" i="16"/>
  <c r="D53" i="16"/>
  <c r="C53" i="16"/>
  <c r="D52" i="16"/>
  <c r="C52" i="16"/>
  <c r="D51" i="16"/>
  <c r="C51" i="16"/>
  <c r="D50" i="16"/>
  <c r="C50" i="16"/>
  <c r="D49" i="16"/>
  <c r="C49" i="16"/>
  <c r="D48" i="16"/>
  <c r="C48" i="16"/>
  <c r="D47" i="16"/>
  <c r="C47" i="16"/>
  <c r="D46" i="16"/>
  <c r="C46" i="16"/>
  <c r="D45" i="16"/>
  <c r="C45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D37" i="16"/>
  <c r="C37" i="16"/>
  <c r="D36" i="16"/>
  <c r="C36" i="16"/>
  <c r="D35" i="16"/>
  <c r="C35" i="16"/>
  <c r="D34" i="16"/>
  <c r="C34" i="16"/>
  <c r="D33" i="16"/>
  <c r="C33" i="16"/>
  <c r="D32" i="16"/>
  <c r="C32" i="16"/>
  <c r="D31" i="16"/>
  <c r="C31" i="16"/>
  <c r="D30" i="16"/>
  <c r="C30" i="16"/>
  <c r="D29" i="16"/>
  <c r="C29" i="16"/>
  <c r="D28" i="16"/>
  <c r="C28" i="16"/>
  <c r="D27" i="16"/>
  <c r="C27" i="16"/>
  <c r="D26" i="16"/>
  <c r="C26" i="16"/>
  <c r="D25" i="16"/>
  <c r="C25" i="16"/>
  <c r="D20" i="16"/>
  <c r="C20" i="16"/>
  <c r="D19" i="16"/>
  <c r="C19" i="16"/>
  <c r="D18" i="16"/>
  <c r="C18" i="16"/>
  <c r="D17" i="16"/>
  <c r="C17" i="16"/>
  <c r="D16" i="16"/>
  <c r="C16" i="16"/>
  <c r="D15" i="16"/>
  <c r="C15" i="16"/>
  <c r="D14" i="16"/>
  <c r="C14" i="16"/>
  <c r="D13" i="16"/>
  <c r="C13" i="16"/>
  <c r="D12" i="16"/>
  <c r="C12" i="16"/>
  <c r="D11" i="16"/>
  <c r="C11" i="16"/>
  <c r="G244" i="158"/>
  <c r="G243" i="158"/>
  <c r="G242" i="158"/>
  <c r="G241" i="158"/>
  <c r="C238" i="158"/>
  <c r="C237" i="158"/>
  <c r="C236" i="158"/>
  <c r="C235" i="158"/>
  <c r="C233" i="158"/>
  <c r="C232" i="158"/>
  <c r="C231" i="158"/>
  <c r="D228" i="158"/>
  <c r="C227" i="158"/>
  <c r="C226" i="158"/>
  <c r="C225" i="158"/>
  <c r="C224" i="158"/>
  <c r="C223" i="158"/>
  <c r="C222" i="158"/>
  <c r="C221" i="158"/>
  <c r="C220" i="158"/>
  <c r="C219" i="158"/>
  <c r="C211" i="158"/>
  <c r="D205" i="158"/>
  <c r="C205" i="158"/>
  <c r="D204" i="158"/>
  <c r="C204" i="158"/>
  <c r="D203" i="158"/>
  <c r="C203" i="158"/>
  <c r="D202" i="158"/>
  <c r="C202" i="158"/>
  <c r="D201" i="158"/>
  <c r="C201" i="158"/>
  <c r="D200" i="158"/>
  <c r="C200" i="158"/>
  <c r="D196" i="158"/>
  <c r="C196" i="158"/>
  <c r="D195" i="158"/>
  <c r="C195" i="158"/>
  <c r="D194" i="158"/>
  <c r="C194" i="158"/>
  <c r="D193" i="158"/>
  <c r="C193" i="158"/>
  <c r="D192" i="158"/>
  <c r="C192" i="158"/>
  <c r="D191" i="158"/>
  <c r="C191" i="158"/>
  <c r="D190" i="158"/>
  <c r="C190" i="158"/>
  <c r="D189" i="158"/>
  <c r="C189" i="158"/>
  <c r="D188" i="158"/>
  <c r="C188" i="158"/>
  <c r="D187" i="158"/>
  <c r="C187" i="158"/>
  <c r="D186" i="158"/>
  <c r="C186" i="158"/>
  <c r="D185" i="158"/>
  <c r="C185" i="158"/>
  <c r="D184" i="158"/>
  <c r="C184" i="158"/>
  <c r="D183" i="158"/>
  <c r="C183" i="158"/>
  <c r="D182" i="158"/>
  <c r="C182" i="158"/>
  <c r="D181" i="158"/>
  <c r="C181" i="158"/>
  <c r="D180" i="158"/>
  <c r="C180" i="158"/>
  <c r="D179" i="158"/>
  <c r="C179" i="158"/>
  <c r="D178" i="158"/>
  <c r="C178" i="158"/>
  <c r="D177" i="158"/>
  <c r="C177" i="158"/>
  <c r="D176" i="158"/>
  <c r="C176" i="158"/>
  <c r="D175" i="158"/>
  <c r="C175" i="158"/>
  <c r="D174" i="158"/>
  <c r="C174" i="158"/>
  <c r="D173" i="158"/>
  <c r="C173" i="158"/>
  <c r="D172" i="158"/>
  <c r="C172" i="158"/>
  <c r="D171" i="158"/>
  <c r="C171" i="158"/>
  <c r="D170" i="158"/>
  <c r="C170" i="158"/>
  <c r="D169" i="158"/>
  <c r="C169" i="158"/>
  <c r="D168" i="158"/>
  <c r="C168" i="158"/>
  <c r="D167" i="158"/>
  <c r="C167" i="158"/>
  <c r="D166" i="158"/>
  <c r="C166" i="158"/>
  <c r="D165" i="158"/>
  <c r="C165" i="158"/>
  <c r="D164" i="158"/>
  <c r="C164" i="158"/>
  <c r="D160" i="158"/>
  <c r="C160" i="158"/>
  <c r="D159" i="158"/>
  <c r="C159" i="158"/>
  <c r="D158" i="158"/>
  <c r="C158" i="158"/>
  <c r="D157" i="158"/>
  <c r="C157" i="158"/>
  <c r="D156" i="158"/>
  <c r="C156" i="158"/>
  <c r="D155" i="158"/>
  <c r="C155" i="158"/>
  <c r="D153" i="158"/>
  <c r="C153" i="158"/>
  <c r="D152" i="158"/>
  <c r="C152" i="158"/>
  <c r="D151" i="158"/>
  <c r="C151" i="158"/>
  <c r="D150" i="158"/>
  <c r="C150" i="158"/>
  <c r="D149" i="158"/>
  <c r="C149" i="158"/>
  <c r="D148" i="158"/>
  <c r="C148" i="158"/>
  <c r="D147" i="158"/>
  <c r="C147" i="158"/>
  <c r="D146" i="158"/>
  <c r="C146" i="158"/>
  <c r="D145" i="158"/>
  <c r="C145" i="158"/>
  <c r="D143" i="158"/>
  <c r="C143" i="158"/>
  <c r="D142" i="158"/>
  <c r="C142" i="158"/>
  <c r="D141" i="158"/>
  <c r="C141" i="158"/>
  <c r="D140" i="158"/>
  <c r="C140" i="158"/>
  <c r="D138" i="158"/>
  <c r="C138" i="158"/>
  <c r="D137" i="158"/>
  <c r="C137" i="158"/>
  <c r="D136" i="158"/>
  <c r="C136" i="158"/>
  <c r="D135" i="158"/>
  <c r="C135" i="158"/>
  <c r="D133" i="158"/>
  <c r="C133" i="158"/>
  <c r="D132" i="158"/>
  <c r="C132" i="158"/>
  <c r="D131" i="158"/>
  <c r="C131" i="158"/>
  <c r="D130" i="158"/>
  <c r="C130" i="158"/>
  <c r="D129" i="158"/>
  <c r="C129" i="158"/>
  <c r="D127" i="158"/>
  <c r="C127" i="158"/>
  <c r="D126" i="158"/>
  <c r="C126" i="158"/>
  <c r="D125" i="158"/>
  <c r="C125" i="158"/>
  <c r="D124" i="158"/>
  <c r="C124" i="158"/>
  <c r="D123" i="158"/>
  <c r="C123" i="158"/>
  <c r="D118" i="158"/>
  <c r="C118" i="158"/>
  <c r="D117" i="158"/>
  <c r="C117" i="158"/>
  <c r="D116" i="158"/>
  <c r="C116" i="158"/>
  <c r="D115" i="158"/>
  <c r="C115" i="158"/>
  <c r="D114" i="158"/>
  <c r="C114" i="158"/>
  <c r="D110" i="158"/>
  <c r="C110" i="158"/>
  <c r="D109" i="158"/>
  <c r="C109" i="158"/>
  <c r="D108" i="158"/>
  <c r="C108" i="158"/>
  <c r="D107" i="158"/>
  <c r="C107" i="158"/>
  <c r="D106" i="158"/>
  <c r="C106" i="158"/>
  <c r="D105" i="158"/>
  <c r="C105" i="158"/>
  <c r="D101" i="158"/>
  <c r="C101" i="158"/>
  <c r="D100" i="158"/>
  <c r="C100" i="158"/>
  <c r="D99" i="158"/>
  <c r="C99" i="158"/>
  <c r="D98" i="158"/>
  <c r="C98" i="158"/>
  <c r="D97" i="158"/>
  <c r="C97" i="158"/>
  <c r="D96" i="158"/>
  <c r="C96" i="158"/>
  <c r="D92" i="158"/>
  <c r="C92" i="158"/>
  <c r="D91" i="158"/>
  <c r="C91" i="158"/>
  <c r="D90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D83" i="158"/>
  <c r="C83" i="158"/>
  <c r="D82" i="158"/>
  <c r="C82" i="158"/>
  <c r="D78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D67" i="158"/>
  <c r="C67" i="158"/>
  <c r="D66" i="158"/>
  <c r="C66" i="158"/>
  <c r="D65" i="158"/>
  <c r="C65" i="158"/>
  <c r="D64" i="158"/>
  <c r="C64" i="158"/>
  <c r="D60" i="158"/>
  <c r="C60" i="158"/>
  <c r="D59" i="158"/>
  <c r="C59" i="158"/>
  <c r="D58" i="158"/>
  <c r="C58" i="158"/>
  <c r="D57" i="158"/>
  <c r="C57" i="158"/>
  <c r="D56" i="158"/>
  <c r="C56" i="158"/>
  <c r="D55" i="158"/>
  <c r="C55" i="158"/>
  <c r="D54" i="158"/>
  <c r="C54" i="158"/>
  <c r="D53" i="158"/>
  <c r="C53" i="158"/>
  <c r="D52" i="158"/>
  <c r="C52" i="158"/>
  <c r="D51" i="158"/>
  <c r="C51" i="158"/>
  <c r="D50" i="158"/>
  <c r="C50" i="158"/>
  <c r="D49" i="158"/>
  <c r="C49" i="158"/>
  <c r="D48" i="158"/>
  <c r="C48" i="158"/>
  <c r="D47" i="158"/>
  <c r="C47" i="158"/>
  <c r="D46" i="158"/>
  <c r="C46" i="158"/>
  <c r="D45" i="158"/>
  <c r="C45" i="158"/>
  <c r="D44" i="158"/>
  <c r="C44" i="158"/>
  <c r="D43" i="158"/>
  <c r="C43" i="158"/>
  <c r="D42" i="158"/>
  <c r="C42" i="158"/>
  <c r="D41" i="158"/>
  <c r="C41" i="158"/>
  <c r="D40" i="158"/>
  <c r="C40" i="158"/>
  <c r="D39" i="158"/>
  <c r="C39" i="158"/>
  <c r="D38" i="158"/>
  <c r="C38" i="158"/>
  <c r="D37" i="158"/>
  <c r="C37" i="158"/>
  <c r="D36" i="158"/>
  <c r="C36" i="158"/>
  <c r="D35" i="158"/>
  <c r="C35" i="158"/>
  <c r="D34" i="158"/>
  <c r="C34" i="158"/>
  <c r="D33" i="158"/>
  <c r="C33" i="158"/>
  <c r="D32" i="158"/>
  <c r="C32" i="158"/>
  <c r="D31" i="158"/>
  <c r="C31" i="158"/>
  <c r="D30" i="158"/>
  <c r="C30" i="158"/>
  <c r="D29" i="158"/>
  <c r="C29" i="158"/>
  <c r="D28" i="158"/>
  <c r="C28" i="158"/>
  <c r="D27" i="158"/>
  <c r="C27" i="158"/>
  <c r="D26" i="158"/>
  <c r="C26" i="158"/>
  <c r="D25" i="158"/>
  <c r="C25" i="158"/>
  <c r="D20" i="158"/>
  <c r="C20" i="158"/>
  <c r="D19" i="158"/>
  <c r="C19" i="158"/>
  <c r="D18" i="158"/>
  <c r="C18" i="158"/>
  <c r="D17" i="158"/>
  <c r="C17" i="158"/>
  <c r="D16" i="158"/>
  <c r="C16" i="158"/>
  <c r="D15" i="158"/>
  <c r="C15" i="158"/>
  <c r="D14" i="158"/>
  <c r="C14" i="158"/>
  <c r="D13" i="158"/>
  <c r="C13" i="158"/>
  <c r="D12" i="158"/>
  <c r="C12" i="158"/>
  <c r="D11" i="158"/>
  <c r="C11" i="158"/>
  <c r="G244" i="157"/>
  <c r="G243" i="157"/>
  <c r="G242" i="157"/>
  <c r="G241" i="157"/>
  <c r="C238" i="157"/>
  <c r="C237" i="157"/>
  <c r="C236" i="157"/>
  <c r="C235" i="157"/>
  <c r="C233" i="157"/>
  <c r="C232" i="157"/>
  <c r="E232" i="157"/>
  <c r="C231" i="157"/>
  <c r="D228" i="157"/>
  <c r="C227" i="157"/>
  <c r="C226" i="157"/>
  <c r="C225" i="157"/>
  <c r="C224" i="157"/>
  <c r="C223" i="157"/>
  <c r="C222" i="157"/>
  <c r="E222" i="157"/>
  <c r="G222" i="157"/>
  <c r="C221" i="157"/>
  <c r="C220" i="157"/>
  <c r="C219" i="157"/>
  <c r="C211" i="157"/>
  <c r="D205" i="157"/>
  <c r="C205" i="157"/>
  <c r="D204" i="157"/>
  <c r="C204" i="157"/>
  <c r="D203" i="157"/>
  <c r="C203" i="157"/>
  <c r="D202" i="157"/>
  <c r="C202" i="157"/>
  <c r="D201" i="157"/>
  <c r="C201" i="157"/>
  <c r="D200" i="157"/>
  <c r="C200" i="157"/>
  <c r="D196" i="157"/>
  <c r="C196" i="157"/>
  <c r="D195" i="157"/>
  <c r="C195" i="157"/>
  <c r="D194" i="157"/>
  <c r="C194" i="157"/>
  <c r="D193" i="157"/>
  <c r="C193" i="157"/>
  <c r="D192" i="157"/>
  <c r="C192" i="157"/>
  <c r="D191" i="157"/>
  <c r="C191" i="157"/>
  <c r="D190" i="157"/>
  <c r="C190" i="157"/>
  <c r="D189" i="157"/>
  <c r="C189" i="157"/>
  <c r="D188" i="157"/>
  <c r="C188" i="157"/>
  <c r="D187" i="157"/>
  <c r="C187" i="157"/>
  <c r="D186" i="157"/>
  <c r="C186" i="157"/>
  <c r="D185" i="157"/>
  <c r="C185" i="157"/>
  <c r="D184" i="157"/>
  <c r="C184" i="157"/>
  <c r="D183" i="157"/>
  <c r="C183" i="157"/>
  <c r="D182" i="157"/>
  <c r="C182" i="157"/>
  <c r="D181" i="157"/>
  <c r="C181" i="157"/>
  <c r="D180" i="157"/>
  <c r="C180" i="157"/>
  <c r="D179" i="157"/>
  <c r="C179" i="157"/>
  <c r="D178" i="157"/>
  <c r="C178" i="157"/>
  <c r="D177" i="157"/>
  <c r="C177" i="157"/>
  <c r="D176" i="157"/>
  <c r="C176" i="157"/>
  <c r="D175" i="157"/>
  <c r="C175" i="157"/>
  <c r="D174" i="157"/>
  <c r="C174" i="157"/>
  <c r="D173" i="157"/>
  <c r="C173" i="157"/>
  <c r="D172" i="157"/>
  <c r="C172" i="157"/>
  <c r="D171" i="157"/>
  <c r="C171" i="157"/>
  <c r="D170" i="157"/>
  <c r="C170" i="157"/>
  <c r="D169" i="157"/>
  <c r="C169" i="157"/>
  <c r="D168" i="157"/>
  <c r="C168" i="157"/>
  <c r="D167" i="157"/>
  <c r="C167" i="157"/>
  <c r="D166" i="157"/>
  <c r="C166" i="157"/>
  <c r="D165" i="157"/>
  <c r="C165" i="157"/>
  <c r="D164" i="157"/>
  <c r="C164" i="157"/>
  <c r="D160" i="157"/>
  <c r="C160" i="157"/>
  <c r="D159" i="157"/>
  <c r="C159" i="157"/>
  <c r="D158" i="157"/>
  <c r="C158" i="157"/>
  <c r="D157" i="157"/>
  <c r="C157" i="157"/>
  <c r="D156" i="157"/>
  <c r="C156" i="157"/>
  <c r="D155" i="157"/>
  <c r="C155" i="157"/>
  <c r="D153" i="157"/>
  <c r="C153" i="157"/>
  <c r="D152" i="157"/>
  <c r="C152" i="157"/>
  <c r="D151" i="157"/>
  <c r="C151" i="157"/>
  <c r="D150" i="157"/>
  <c r="C150" i="157"/>
  <c r="D149" i="157"/>
  <c r="C149" i="157"/>
  <c r="D148" i="157"/>
  <c r="C148" i="157"/>
  <c r="D147" i="157"/>
  <c r="C147" i="157"/>
  <c r="D146" i="157"/>
  <c r="C146" i="157"/>
  <c r="D145" i="157"/>
  <c r="C145" i="157"/>
  <c r="D143" i="157"/>
  <c r="C143" i="157"/>
  <c r="D142" i="157"/>
  <c r="C142" i="157"/>
  <c r="D141" i="157"/>
  <c r="C141" i="157"/>
  <c r="D140" i="157"/>
  <c r="C140" i="157"/>
  <c r="D138" i="157"/>
  <c r="C138" i="157"/>
  <c r="D137" i="157"/>
  <c r="C137" i="157"/>
  <c r="D136" i="157"/>
  <c r="C136" i="157"/>
  <c r="D135" i="157"/>
  <c r="C135" i="157"/>
  <c r="D133" i="157"/>
  <c r="C133" i="157"/>
  <c r="D132" i="157"/>
  <c r="C132" i="157"/>
  <c r="D131" i="157"/>
  <c r="C131" i="157"/>
  <c r="D130" i="157"/>
  <c r="C130" i="157"/>
  <c r="D129" i="157"/>
  <c r="C129" i="157"/>
  <c r="D127" i="157"/>
  <c r="C127" i="157"/>
  <c r="D126" i="157"/>
  <c r="C126" i="157"/>
  <c r="D125" i="157"/>
  <c r="C125" i="157"/>
  <c r="D124" i="157"/>
  <c r="C124" i="157"/>
  <c r="D123" i="157"/>
  <c r="C123" i="157"/>
  <c r="D118" i="157"/>
  <c r="C118" i="157"/>
  <c r="D117" i="157"/>
  <c r="C117" i="157"/>
  <c r="D116" i="157"/>
  <c r="C116" i="157"/>
  <c r="D115" i="157"/>
  <c r="C115" i="157"/>
  <c r="D114" i="157"/>
  <c r="C114" i="157"/>
  <c r="D110" i="157"/>
  <c r="C110" i="157"/>
  <c r="D109" i="157"/>
  <c r="C109" i="157"/>
  <c r="D108" i="157"/>
  <c r="C108" i="157"/>
  <c r="D107" i="157"/>
  <c r="C107" i="157"/>
  <c r="D106" i="157"/>
  <c r="C106" i="157"/>
  <c r="D105" i="157"/>
  <c r="C105" i="157"/>
  <c r="D101" i="157"/>
  <c r="C101" i="157"/>
  <c r="D100" i="157"/>
  <c r="C100" i="157"/>
  <c r="D99" i="157"/>
  <c r="C99" i="157"/>
  <c r="D98" i="157"/>
  <c r="C98" i="157"/>
  <c r="D97" i="157"/>
  <c r="C97" i="157"/>
  <c r="D96" i="157"/>
  <c r="C96" i="157"/>
  <c r="D92" i="157"/>
  <c r="C92" i="157"/>
  <c r="D91" i="157"/>
  <c r="C91" i="157"/>
  <c r="D90" i="157"/>
  <c r="C90" i="157"/>
  <c r="D89" i="157"/>
  <c r="C89" i="157"/>
  <c r="D88" i="157"/>
  <c r="C88" i="157"/>
  <c r="D87" i="157"/>
  <c r="C87" i="157"/>
  <c r="D86" i="157"/>
  <c r="C86" i="157"/>
  <c r="D85" i="157"/>
  <c r="C85" i="157"/>
  <c r="D84" i="157"/>
  <c r="C84" i="157"/>
  <c r="D83" i="157"/>
  <c r="C83" i="157"/>
  <c r="D82" i="157"/>
  <c r="C82" i="157"/>
  <c r="D78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D67" i="157"/>
  <c r="C67" i="157"/>
  <c r="D66" i="157"/>
  <c r="C66" i="157"/>
  <c r="D65" i="157"/>
  <c r="C65" i="157"/>
  <c r="D64" i="157"/>
  <c r="C64" i="157"/>
  <c r="D60" i="157"/>
  <c r="C60" i="157"/>
  <c r="D59" i="157"/>
  <c r="C59" i="157"/>
  <c r="D58" i="157"/>
  <c r="C58" i="157"/>
  <c r="D57" i="157"/>
  <c r="C57" i="157"/>
  <c r="D56" i="157"/>
  <c r="C56" i="157"/>
  <c r="D55" i="157"/>
  <c r="C55" i="157"/>
  <c r="D54" i="157"/>
  <c r="C54" i="157"/>
  <c r="D53" i="157"/>
  <c r="C53" i="157"/>
  <c r="D52" i="157"/>
  <c r="C52" i="157"/>
  <c r="D51" i="157"/>
  <c r="C51" i="157"/>
  <c r="D50" i="157"/>
  <c r="C50" i="157"/>
  <c r="D49" i="157"/>
  <c r="C49" i="157"/>
  <c r="D48" i="157"/>
  <c r="C48" i="157"/>
  <c r="D47" i="157"/>
  <c r="C47" i="157"/>
  <c r="D46" i="157"/>
  <c r="C46" i="157"/>
  <c r="D45" i="157"/>
  <c r="C45" i="157"/>
  <c r="D44" i="157"/>
  <c r="C44" i="157"/>
  <c r="D43" i="157"/>
  <c r="C43" i="157"/>
  <c r="D42" i="157"/>
  <c r="C42" i="157"/>
  <c r="D41" i="157"/>
  <c r="C41" i="157"/>
  <c r="D40" i="157"/>
  <c r="C40" i="157"/>
  <c r="D39" i="157"/>
  <c r="C39" i="157"/>
  <c r="D38" i="157"/>
  <c r="C38" i="157"/>
  <c r="D37" i="157"/>
  <c r="C37" i="157"/>
  <c r="D36" i="157"/>
  <c r="C36" i="157"/>
  <c r="D35" i="157"/>
  <c r="C35" i="157"/>
  <c r="D34" i="157"/>
  <c r="C34" i="157"/>
  <c r="D33" i="157"/>
  <c r="C33" i="157"/>
  <c r="D32" i="157"/>
  <c r="C32" i="157"/>
  <c r="D31" i="157"/>
  <c r="C31" i="157"/>
  <c r="D30" i="157"/>
  <c r="C30" i="157"/>
  <c r="D29" i="157"/>
  <c r="C29" i="157"/>
  <c r="D28" i="157"/>
  <c r="C28" i="157"/>
  <c r="D27" i="157"/>
  <c r="C27" i="157"/>
  <c r="D26" i="157"/>
  <c r="C26" i="157"/>
  <c r="D25" i="157"/>
  <c r="C25" i="157"/>
  <c r="D20" i="157"/>
  <c r="C20" i="157"/>
  <c r="D19" i="157"/>
  <c r="C19" i="157"/>
  <c r="D18" i="157"/>
  <c r="C18" i="157"/>
  <c r="D17" i="157"/>
  <c r="C17" i="157"/>
  <c r="D16" i="157"/>
  <c r="C16" i="157"/>
  <c r="D15" i="157"/>
  <c r="C15" i="157"/>
  <c r="D14" i="157"/>
  <c r="C14" i="157"/>
  <c r="D13" i="157"/>
  <c r="C13" i="157"/>
  <c r="D12" i="157"/>
  <c r="C12" i="157"/>
  <c r="D11" i="157"/>
  <c r="C11" i="157"/>
  <c r="G244" i="42"/>
  <c r="G243" i="42"/>
  <c r="G242" i="42"/>
  <c r="G241" i="42"/>
  <c r="C238" i="42"/>
  <c r="C237" i="42"/>
  <c r="C236" i="42"/>
  <c r="C235" i="42"/>
  <c r="C233" i="42"/>
  <c r="C232" i="42"/>
  <c r="C231" i="42"/>
  <c r="D228" i="42"/>
  <c r="C227" i="42"/>
  <c r="C226" i="42"/>
  <c r="C225" i="42"/>
  <c r="C224" i="42"/>
  <c r="C223" i="42"/>
  <c r="C222" i="42"/>
  <c r="C221" i="42"/>
  <c r="C220" i="42"/>
  <c r="C219" i="42"/>
  <c r="E219" i="42"/>
  <c r="C211" i="42"/>
  <c r="D205" i="42"/>
  <c r="C205" i="42"/>
  <c r="D204" i="42"/>
  <c r="C204" i="42"/>
  <c r="D203" i="42"/>
  <c r="C203" i="42"/>
  <c r="D202" i="42"/>
  <c r="C202" i="42"/>
  <c r="D201" i="42"/>
  <c r="C201" i="42"/>
  <c r="D200" i="42"/>
  <c r="C200" i="42"/>
  <c r="D196" i="42"/>
  <c r="C196" i="42"/>
  <c r="D195" i="42"/>
  <c r="C195" i="42"/>
  <c r="D194" i="42"/>
  <c r="C194" i="42"/>
  <c r="D193" i="42"/>
  <c r="C193" i="42"/>
  <c r="D192" i="42"/>
  <c r="C192" i="42"/>
  <c r="D191" i="42"/>
  <c r="C191" i="42"/>
  <c r="D190" i="42"/>
  <c r="C190" i="42"/>
  <c r="D189" i="42"/>
  <c r="C189" i="42"/>
  <c r="D188" i="42"/>
  <c r="C188" i="42"/>
  <c r="D187" i="42"/>
  <c r="C187" i="42"/>
  <c r="D186" i="42"/>
  <c r="C186" i="42"/>
  <c r="D185" i="42"/>
  <c r="C185" i="42"/>
  <c r="D184" i="42"/>
  <c r="C184" i="42"/>
  <c r="D183" i="42"/>
  <c r="C183" i="42"/>
  <c r="D182" i="42"/>
  <c r="C182" i="42"/>
  <c r="D181" i="42"/>
  <c r="C181" i="42"/>
  <c r="D180" i="42"/>
  <c r="C180" i="42"/>
  <c r="D179" i="42"/>
  <c r="C179" i="42"/>
  <c r="D178" i="42"/>
  <c r="C178" i="42"/>
  <c r="D177" i="42"/>
  <c r="C177" i="42"/>
  <c r="D176" i="42"/>
  <c r="C176" i="42"/>
  <c r="D175" i="42"/>
  <c r="C175" i="42"/>
  <c r="D174" i="42"/>
  <c r="C174" i="42"/>
  <c r="D173" i="42"/>
  <c r="C173" i="42"/>
  <c r="D172" i="42"/>
  <c r="C172" i="42"/>
  <c r="D171" i="42"/>
  <c r="C171" i="42"/>
  <c r="D170" i="42"/>
  <c r="C170" i="42"/>
  <c r="D169" i="42"/>
  <c r="C169" i="42"/>
  <c r="D168" i="42"/>
  <c r="C168" i="42"/>
  <c r="D167" i="42"/>
  <c r="C167" i="42"/>
  <c r="D166" i="42"/>
  <c r="C166" i="42"/>
  <c r="D165" i="42"/>
  <c r="C165" i="42"/>
  <c r="D164" i="42"/>
  <c r="C164" i="42"/>
  <c r="D160" i="42"/>
  <c r="C160" i="42"/>
  <c r="D159" i="42"/>
  <c r="C159" i="42"/>
  <c r="D158" i="42"/>
  <c r="C158" i="42"/>
  <c r="D157" i="42"/>
  <c r="C157" i="42"/>
  <c r="D156" i="42"/>
  <c r="C156" i="42"/>
  <c r="D155" i="42"/>
  <c r="C155" i="42"/>
  <c r="D153" i="42"/>
  <c r="C153" i="42"/>
  <c r="D152" i="42"/>
  <c r="C152" i="42"/>
  <c r="D151" i="42"/>
  <c r="C151" i="42"/>
  <c r="D150" i="42"/>
  <c r="C150" i="42"/>
  <c r="D149" i="42"/>
  <c r="C149" i="42"/>
  <c r="D148" i="42"/>
  <c r="C148" i="42"/>
  <c r="D147" i="42"/>
  <c r="C147" i="42"/>
  <c r="D146" i="42"/>
  <c r="C146" i="42"/>
  <c r="D145" i="42"/>
  <c r="C145" i="42"/>
  <c r="D143" i="42"/>
  <c r="C143" i="42"/>
  <c r="D142" i="42"/>
  <c r="C142" i="42"/>
  <c r="D141" i="42"/>
  <c r="C141" i="42"/>
  <c r="D140" i="42"/>
  <c r="C140" i="42"/>
  <c r="D138" i="42"/>
  <c r="C138" i="42"/>
  <c r="D137" i="42"/>
  <c r="C137" i="42"/>
  <c r="D136" i="42"/>
  <c r="C136" i="42"/>
  <c r="D135" i="42"/>
  <c r="C135" i="42"/>
  <c r="D133" i="42"/>
  <c r="C133" i="42"/>
  <c r="D132" i="42"/>
  <c r="C132" i="42"/>
  <c r="D131" i="42"/>
  <c r="C131" i="42"/>
  <c r="D130" i="42"/>
  <c r="C130" i="42"/>
  <c r="D129" i="42"/>
  <c r="C129" i="42"/>
  <c r="D127" i="42"/>
  <c r="C127" i="42"/>
  <c r="D126" i="42"/>
  <c r="C126" i="42"/>
  <c r="D125" i="42"/>
  <c r="C125" i="42"/>
  <c r="D124" i="42"/>
  <c r="C124" i="42"/>
  <c r="D123" i="42"/>
  <c r="C123" i="42"/>
  <c r="D118" i="42"/>
  <c r="C118" i="42"/>
  <c r="D117" i="42"/>
  <c r="C117" i="42"/>
  <c r="D116" i="42"/>
  <c r="C116" i="42"/>
  <c r="D115" i="42"/>
  <c r="C115" i="42"/>
  <c r="D114" i="42"/>
  <c r="C114" i="42"/>
  <c r="D110" i="42"/>
  <c r="C110" i="42"/>
  <c r="D109" i="42"/>
  <c r="C109" i="42"/>
  <c r="D108" i="42"/>
  <c r="C108" i="42"/>
  <c r="D107" i="42"/>
  <c r="C107" i="42"/>
  <c r="D106" i="42"/>
  <c r="C106" i="42"/>
  <c r="D105" i="42"/>
  <c r="C105" i="42"/>
  <c r="D101" i="42"/>
  <c r="C101" i="42"/>
  <c r="D100" i="42"/>
  <c r="C100" i="42"/>
  <c r="D99" i="42"/>
  <c r="C99" i="42"/>
  <c r="D98" i="42"/>
  <c r="C98" i="42"/>
  <c r="D97" i="42"/>
  <c r="C97" i="42"/>
  <c r="D96" i="42"/>
  <c r="C96" i="42"/>
  <c r="D92" i="42"/>
  <c r="C92" i="42"/>
  <c r="D91" i="42"/>
  <c r="C91" i="42"/>
  <c r="D90" i="42"/>
  <c r="C90" i="42"/>
  <c r="D89" i="42"/>
  <c r="C89" i="42"/>
  <c r="D88" i="42"/>
  <c r="C88" i="42"/>
  <c r="D87" i="42"/>
  <c r="C87" i="42"/>
  <c r="D86" i="42"/>
  <c r="C86" i="42"/>
  <c r="D85" i="42"/>
  <c r="C85" i="42"/>
  <c r="D84" i="42"/>
  <c r="C84" i="42"/>
  <c r="D83" i="42"/>
  <c r="C83" i="42"/>
  <c r="D82" i="42"/>
  <c r="C82" i="42"/>
  <c r="D78" i="42"/>
  <c r="C78" i="42"/>
  <c r="D77" i="42"/>
  <c r="C77" i="42"/>
  <c r="D76" i="42"/>
  <c r="C76" i="42"/>
  <c r="D75" i="42"/>
  <c r="C75" i="42"/>
  <c r="D74" i="42"/>
  <c r="C74" i="42"/>
  <c r="D73" i="42"/>
  <c r="C73" i="42"/>
  <c r="D72" i="42"/>
  <c r="C72" i="42"/>
  <c r="D71" i="42"/>
  <c r="C71" i="42"/>
  <c r="D70" i="42"/>
  <c r="C70" i="42"/>
  <c r="D69" i="42"/>
  <c r="C69" i="42"/>
  <c r="D68" i="42"/>
  <c r="C68" i="42"/>
  <c r="D67" i="42"/>
  <c r="C67" i="42"/>
  <c r="D66" i="42"/>
  <c r="C66" i="42"/>
  <c r="D65" i="42"/>
  <c r="C65" i="42"/>
  <c r="D64" i="42"/>
  <c r="C64" i="42"/>
  <c r="D60" i="42"/>
  <c r="C60" i="42"/>
  <c r="D59" i="42"/>
  <c r="C59" i="42"/>
  <c r="D58" i="42"/>
  <c r="C58" i="42"/>
  <c r="D57" i="42"/>
  <c r="C57" i="42"/>
  <c r="D56" i="42"/>
  <c r="C56" i="42"/>
  <c r="D55" i="42"/>
  <c r="C55" i="42"/>
  <c r="D54" i="42"/>
  <c r="C54" i="42"/>
  <c r="D53" i="42"/>
  <c r="C53" i="42"/>
  <c r="D52" i="42"/>
  <c r="C52" i="42"/>
  <c r="D51" i="42"/>
  <c r="C51" i="42"/>
  <c r="D50" i="42"/>
  <c r="C50" i="42"/>
  <c r="D49" i="42"/>
  <c r="C49" i="42"/>
  <c r="D48" i="42"/>
  <c r="C48" i="42"/>
  <c r="D47" i="42"/>
  <c r="C47" i="42"/>
  <c r="D46" i="42"/>
  <c r="C46" i="42"/>
  <c r="D45" i="42"/>
  <c r="C45" i="42"/>
  <c r="D44" i="42"/>
  <c r="C44" i="42"/>
  <c r="D43" i="42"/>
  <c r="C43" i="42"/>
  <c r="D42" i="42"/>
  <c r="C42" i="42"/>
  <c r="D41" i="42"/>
  <c r="C41" i="42"/>
  <c r="D40" i="42"/>
  <c r="C40" i="42"/>
  <c r="D39" i="42"/>
  <c r="C39" i="42"/>
  <c r="D38" i="42"/>
  <c r="C38" i="42"/>
  <c r="D37" i="42"/>
  <c r="C37" i="42"/>
  <c r="D36" i="42"/>
  <c r="C36" i="42"/>
  <c r="D35" i="42"/>
  <c r="C35" i="42"/>
  <c r="D34" i="42"/>
  <c r="C34" i="42"/>
  <c r="D33" i="42"/>
  <c r="C33" i="42"/>
  <c r="D32" i="42"/>
  <c r="C32" i="42"/>
  <c r="D31" i="42"/>
  <c r="C31" i="42"/>
  <c r="D30" i="42"/>
  <c r="C30" i="42"/>
  <c r="D29" i="42"/>
  <c r="C29" i="42"/>
  <c r="D28" i="42"/>
  <c r="C28" i="42"/>
  <c r="D27" i="42"/>
  <c r="C27" i="42"/>
  <c r="D26" i="42"/>
  <c r="C26" i="42"/>
  <c r="D25" i="42"/>
  <c r="C25" i="42"/>
  <c r="D20" i="42"/>
  <c r="C20" i="42"/>
  <c r="D19" i="42"/>
  <c r="C19" i="42"/>
  <c r="D18" i="42"/>
  <c r="C18" i="42"/>
  <c r="D17" i="42"/>
  <c r="C17" i="42"/>
  <c r="D16" i="42"/>
  <c r="C16" i="42"/>
  <c r="D15" i="42"/>
  <c r="C15" i="42"/>
  <c r="D14" i="42"/>
  <c r="C14" i="42"/>
  <c r="D13" i="42"/>
  <c r="C13" i="42"/>
  <c r="D12" i="42"/>
  <c r="C12" i="42"/>
  <c r="D11" i="42"/>
  <c r="C11" i="42"/>
  <c r="J200" i="20"/>
  <c r="K200" i="20"/>
  <c r="K138" i="20"/>
  <c r="K137" i="20"/>
  <c r="K136" i="20"/>
  <c r="K135" i="20"/>
  <c r="J138" i="20"/>
  <c r="J137" i="20"/>
  <c r="J136" i="20"/>
  <c r="J135" i="20"/>
  <c r="K127" i="20"/>
  <c r="J127" i="20"/>
  <c r="K114" i="20"/>
  <c r="J114" i="20"/>
  <c r="K105" i="20"/>
  <c r="J105" i="20"/>
  <c r="K96" i="20"/>
  <c r="J96" i="20"/>
  <c r="K82" i="20"/>
  <c r="J82" i="20"/>
  <c r="K27" i="20"/>
  <c r="J27" i="20"/>
  <c r="E220" i="20"/>
  <c r="E193" i="20"/>
  <c r="E191" i="20"/>
  <c r="E190" i="20"/>
  <c r="E166" i="20"/>
  <c r="E159" i="20"/>
  <c r="E151" i="20"/>
  <c r="E137" i="20"/>
  <c r="E92" i="20"/>
  <c r="E91" i="20"/>
  <c r="E88" i="20"/>
  <c r="E87" i="20"/>
  <c r="E84" i="20"/>
  <c r="E83" i="20"/>
  <c r="E66" i="20"/>
  <c r="E60" i="20"/>
  <c r="E55" i="20"/>
  <c r="E52" i="20"/>
  <c r="E46" i="20"/>
  <c r="E36" i="20"/>
  <c r="E28" i="20"/>
  <c r="E14" i="20"/>
  <c r="G244" i="156"/>
  <c r="G243" i="156"/>
  <c r="G242" i="156"/>
  <c r="G241" i="156"/>
  <c r="C238" i="156"/>
  <c r="C237" i="156"/>
  <c r="C236" i="156"/>
  <c r="C235" i="156"/>
  <c r="C233" i="156"/>
  <c r="C232" i="156"/>
  <c r="C231" i="156"/>
  <c r="D228" i="156"/>
  <c r="C227" i="156"/>
  <c r="C226" i="156"/>
  <c r="C225" i="156"/>
  <c r="C224" i="156"/>
  <c r="C223" i="156"/>
  <c r="C222" i="156"/>
  <c r="C221" i="156"/>
  <c r="C220" i="156"/>
  <c r="C219" i="156"/>
  <c r="C211" i="156"/>
  <c r="D205" i="156"/>
  <c r="C205" i="156"/>
  <c r="D204" i="156"/>
  <c r="C204" i="156"/>
  <c r="D203" i="156"/>
  <c r="C203" i="156"/>
  <c r="D202" i="156"/>
  <c r="C202" i="156"/>
  <c r="D201" i="156"/>
  <c r="C201" i="156"/>
  <c r="D200" i="156"/>
  <c r="C200" i="156"/>
  <c r="D196" i="156"/>
  <c r="C196" i="156"/>
  <c r="D195" i="156"/>
  <c r="C195" i="156"/>
  <c r="D194" i="156"/>
  <c r="C194" i="156"/>
  <c r="D193" i="156"/>
  <c r="C193" i="156"/>
  <c r="D192" i="156"/>
  <c r="C192" i="156"/>
  <c r="D191" i="156"/>
  <c r="C191" i="156"/>
  <c r="D190" i="156"/>
  <c r="C190" i="156"/>
  <c r="D189" i="156"/>
  <c r="C189" i="156"/>
  <c r="D188" i="156"/>
  <c r="C188" i="156"/>
  <c r="D187" i="156"/>
  <c r="C187" i="156"/>
  <c r="D186" i="156"/>
  <c r="C186" i="156"/>
  <c r="D185" i="156"/>
  <c r="C185" i="156"/>
  <c r="D184" i="156"/>
  <c r="C184" i="156"/>
  <c r="D183" i="156"/>
  <c r="C183" i="156"/>
  <c r="D182" i="156"/>
  <c r="C182" i="156"/>
  <c r="D181" i="156"/>
  <c r="C181" i="156"/>
  <c r="D180" i="156"/>
  <c r="C180" i="156"/>
  <c r="D179" i="156"/>
  <c r="C179" i="156"/>
  <c r="D178" i="156"/>
  <c r="C178" i="156"/>
  <c r="D177" i="156"/>
  <c r="C177" i="156"/>
  <c r="D176" i="156"/>
  <c r="C176" i="156"/>
  <c r="D175" i="156"/>
  <c r="C175" i="156"/>
  <c r="D174" i="156"/>
  <c r="C174" i="156"/>
  <c r="D173" i="156"/>
  <c r="C173" i="156"/>
  <c r="D172" i="156"/>
  <c r="C172" i="156"/>
  <c r="D171" i="156"/>
  <c r="C171" i="156"/>
  <c r="D170" i="156"/>
  <c r="C170" i="156"/>
  <c r="D169" i="156"/>
  <c r="C169" i="156"/>
  <c r="D168" i="156"/>
  <c r="C168" i="156"/>
  <c r="D167" i="156"/>
  <c r="C167" i="156"/>
  <c r="D166" i="156"/>
  <c r="C166" i="156"/>
  <c r="D165" i="156"/>
  <c r="C165" i="156"/>
  <c r="D164" i="156"/>
  <c r="C164" i="156"/>
  <c r="D160" i="156"/>
  <c r="C160" i="156"/>
  <c r="D159" i="156"/>
  <c r="C159" i="156"/>
  <c r="D158" i="156"/>
  <c r="C158" i="156"/>
  <c r="D157" i="156"/>
  <c r="C157" i="156"/>
  <c r="D156" i="156"/>
  <c r="C156" i="156"/>
  <c r="D155" i="156"/>
  <c r="C155" i="156"/>
  <c r="D153" i="156"/>
  <c r="C153" i="156"/>
  <c r="D152" i="156"/>
  <c r="C152" i="156"/>
  <c r="D151" i="156"/>
  <c r="C151" i="156"/>
  <c r="D150" i="156"/>
  <c r="C150" i="156"/>
  <c r="D149" i="156"/>
  <c r="C149" i="156"/>
  <c r="D148" i="156"/>
  <c r="C148" i="156"/>
  <c r="D147" i="156"/>
  <c r="C147" i="156"/>
  <c r="D146" i="156"/>
  <c r="C146" i="156"/>
  <c r="D145" i="156"/>
  <c r="C145" i="156"/>
  <c r="D143" i="156"/>
  <c r="C143" i="156"/>
  <c r="D142" i="156"/>
  <c r="C142" i="156"/>
  <c r="D141" i="156"/>
  <c r="C141" i="156"/>
  <c r="D140" i="156"/>
  <c r="C140" i="156"/>
  <c r="D138" i="156"/>
  <c r="C138" i="156"/>
  <c r="D137" i="156"/>
  <c r="C137" i="156"/>
  <c r="D136" i="156"/>
  <c r="C136" i="156"/>
  <c r="D135" i="156"/>
  <c r="C135" i="156"/>
  <c r="D133" i="156"/>
  <c r="C133" i="156"/>
  <c r="D132" i="156"/>
  <c r="C132" i="156"/>
  <c r="D131" i="156"/>
  <c r="C131" i="156"/>
  <c r="D130" i="156"/>
  <c r="C130" i="156"/>
  <c r="D129" i="156"/>
  <c r="C129" i="156"/>
  <c r="D127" i="156"/>
  <c r="C127" i="156"/>
  <c r="D126" i="156"/>
  <c r="C126" i="156"/>
  <c r="D125" i="156"/>
  <c r="C125" i="156"/>
  <c r="D124" i="156"/>
  <c r="C124" i="156"/>
  <c r="D123" i="156"/>
  <c r="C123" i="156"/>
  <c r="D118" i="156"/>
  <c r="C118" i="156"/>
  <c r="D117" i="156"/>
  <c r="C117" i="156"/>
  <c r="D116" i="156"/>
  <c r="C116" i="156"/>
  <c r="D115" i="156"/>
  <c r="C115" i="156"/>
  <c r="D114" i="156"/>
  <c r="C114" i="156"/>
  <c r="D110" i="156"/>
  <c r="C110" i="156"/>
  <c r="D109" i="156"/>
  <c r="C109" i="156"/>
  <c r="D108" i="156"/>
  <c r="C108" i="156"/>
  <c r="D107" i="156"/>
  <c r="C107" i="156"/>
  <c r="D106" i="156"/>
  <c r="C106" i="156"/>
  <c r="D105" i="156"/>
  <c r="C105" i="156"/>
  <c r="D101" i="156"/>
  <c r="C101" i="156"/>
  <c r="D100" i="156"/>
  <c r="C100" i="156"/>
  <c r="D99" i="156"/>
  <c r="C99" i="156"/>
  <c r="D98" i="156"/>
  <c r="C98" i="156"/>
  <c r="D97" i="156"/>
  <c r="C97" i="156"/>
  <c r="D96" i="156"/>
  <c r="C96" i="156"/>
  <c r="D92" i="156"/>
  <c r="C92" i="156"/>
  <c r="D91" i="156"/>
  <c r="C91" i="156"/>
  <c r="D90" i="156"/>
  <c r="C90" i="156"/>
  <c r="D89" i="156"/>
  <c r="C89" i="156"/>
  <c r="D88" i="156"/>
  <c r="C88" i="156"/>
  <c r="D87" i="156"/>
  <c r="C87" i="156"/>
  <c r="D86" i="156"/>
  <c r="C86" i="156"/>
  <c r="D85" i="156"/>
  <c r="C85" i="156"/>
  <c r="D84" i="156"/>
  <c r="C84" i="156"/>
  <c r="D83" i="156"/>
  <c r="C83" i="156"/>
  <c r="D82" i="156"/>
  <c r="C82" i="156"/>
  <c r="D78" i="156"/>
  <c r="C78" i="156"/>
  <c r="D77" i="156"/>
  <c r="C77" i="156"/>
  <c r="D76" i="156"/>
  <c r="C76" i="156"/>
  <c r="D75" i="156"/>
  <c r="C75" i="156"/>
  <c r="D74" i="156"/>
  <c r="C74" i="156"/>
  <c r="D73" i="156"/>
  <c r="C73" i="156"/>
  <c r="D72" i="156"/>
  <c r="C72" i="156"/>
  <c r="D71" i="156"/>
  <c r="C71" i="156"/>
  <c r="D70" i="156"/>
  <c r="C70" i="156"/>
  <c r="D69" i="156"/>
  <c r="C69" i="156"/>
  <c r="D68" i="156"/>
  <c r="C68" i="156"/>
  <c r="D67" i="156"/>
  <c r="C67" i="156"/>
  <c r="D66" i="156"/>
  <c r="C66" i="156"/>
  <c r="D65" i="156"/>
  <c r="C65" i="156"/>
  <c r="D64" i="156"/>
  <c r="C64" i="156"/>
  <c r="D60" i="156"/>
  <c r="C60" i="156"/>
  <c r="D59" i="156"/>
  <c r="C59" i="156"/>
  <c r="D58" i="156"/>
  <c r="C58" i="156"/>
  <c r="D57" i="156"/>
  <c r="C57" i="156"/>
  <c r="D56" i="156"/>
  <c r="C56" i="156"/>
  <c r="D55" i="156"/>
  <c r="C55" i="156"/>
  <c r="D54" i="156"/>
  <c r="C54" i="156"/>
  <c r="D53" i="156"/>
  <c r="C53" i="156"/>
  <c r="D52" i="156"/>
  <c r="C52" i="156"/>
  <c r="D51" i="156"/>
  <c r="C51" i="156"/>
  <c r="D50" i="156"/>
  <c r="C50" i="156"/>
  <c r="D49" i="156"/>
  <c r="C49" i="156"/>
  <c r="D48" i="156"/>
  <c r="C48" i="156"/>
  <c r="D47" i="156"/>
  <c r="C47" i="156"/>
  <c r="D46" i="156"/>
  <c r="C46" i="156"/>
  <c r="D45" i="156"/>
  <c r="C45" i="156"/>
  <c r="D44" i="156"/>
  <c r="C44" i="156"/>
  <c r="D43" i="156"/>
  <c r="C43" i="156"/>
  <c r="D42" i="156"/>
  <c r="C42" i="156"/>
  <c r="D41" i="156"/>
  <c r="C41" i="156"/>
  <c r="D40" i="156"/>
  <c r="C40" i="156"/>
  <c r="D39" i="156"/>
  <c r="C39" i="156"/>
  <c r="D38" i="156"/>
  <c r="C38" i="156"/>
  <c r="D37" i="156"/>
  <c r="C37" i="156"/>
  <c r="D36" i="156"/>
  <c r="C36" i="156"/>
  <c r="D35" i="156"/>
  <c r="C35" i="156"/>
  <c r="D34" i="156"/>
  <c r="C34" i="156"/>
  <c r="D33" i="156"/>
  <c r="C33" i="156"/>
  <c r="D32" i="156"/>
  <c r="C32" i="156"/>
  <c r="D31" i="156"/>
  <c r="C31" i="156"/>
  <c r="D30" i="156"/>
  <c r="C30" i="156"/>
  <c r="D29" i="156"/>
  <c r="C29" i="156"/>
  <c r="D28" i="156"/>
  <c r="C28" i="156"/>
  <c r="D27" i="156"/>
  <c r="C27" i="156"/>
  <c r="D26" i="156"/>
  <c r="C26" i="156"/>
  <c r="D25" i="156"/>
  <c r="C25" i="156"/>
  <c r="D20" i="156"/>
  <c r="C20" i="156"/>
  <c r="D19" i="156"/>
  <c r="C19" i="156"/>
  <c r="D18" i="156"/>
  <c r="C18" i="156"/>
  <c r="D17" i="156"/>
  <c r="C17" i="156"/>
  <c r="D16" i="156"/>
  <c r="C16" i="156"/>
  <c r="D15" i="156"/>
  <c r="C15" i="156"/>
  <c r="D14" i="156"/>
  <c r="C14" i="156"/>
  <c r="D13" i="156"/>
  <c r="C13" i="156"/>
  <c r="D12" i="156"/>
  <c r="C12" i="156"/>
  <c r="D11" i="156"/>
  <c r="C11" i="156"/>
  <c r="G244" i="155"/>
  <c r="G243" i="155"/>
  <c r="G242" i="155"/>
  <c r="G241" i="155"/>
  <c r="C238" i="155"/>
  <c r="C237" i="155"/>
  <c r="C236" i="155"/>
  <c r="C235" i="155"/>
  <c r="C233" i="155"/>
  <c r="C232" i="155"/>
  <c r="C231" i="155"/>
  <c r="D228" i="155"/>
  <c r="C227" i="155"/>
  <c r="C226" i="155"/>
  <c r="C225" i="155"/>
  <c r="C224" i="155"/>
  <c r="C223" i="155"/>
  <c r="C222" i="155"/>
  <c r="C221" i="155"/>
  <c r="E221" i="155"/>
  <c r="C220" i="155"/>
  <c r="C219" i="155"/>
  <c r="C211" i="155"/>
  <c r="D205" i="155"/>
  <c r="C205" i="155"/>
  <c r="D204" i="155"/>
  <c r="C204" i="155"/>
  <c r="D203" i="155"/>
  <c r="C203" i="155"/>
  <c r="D202" i="155"/>
  <c r="C202" i="155"/>
  <c r="D201" i="155"/>
  <c r="C201" i="155"/>
  <c r="D200" i="155"/>
  <c r="C200" i="155"/>
  <c r="D196" i="155"/>
  <c r="C196" i="155"/>
  <c r="D195" i="155"/>
  <c r="C195" i="155"/>
  <c r="D194" i="155"/>
  <c r="C194" i="155"/>
  <c r="D193" i="155"/>
  <c r="C193" i="155"/>
  <c r="D192" i="155"/>
  <c r="C192" i="155"/>
  <c r="D191" i="155"/>
  <c r="C191" i="155"/>
  <c r="D190" i="155"/>
  <c r="C190" i="155"/>
  <c r="D189" i="155"/>
  <c r="C189" i="155"/>
  <c r="D188" i="155"/>
  <c r="C188" i="155"/>
  <c r="D187" i="155"/>
  <c r="C187" i="155"/>
  <c r="D186" i="155"/>
  <c r="C186" i="155"/>
  <c r="D185" i="155"/>
  <c r="C185" i="155"/>
  <c r="D184" i="155"/>
  <c r="C184" i="155"/>
  <c r="D183" i="155"/>
  <c r="C183" i="155"/>
  <c r="D182" i="155"/>
  <c r="C182" i="155"/>
  <c r="D181" i="155"/>
  <c r="C181" i="155"/>
  <c r="D180" i="155"/>
  <c r="C180" i="155"/>
  <c r="D179" i="155"/>
  <c r="C179" i="155"/>
  <c r="D178" i="155"/>
  <c r="C178" i="155"/>
  <c r="D177" i="155"/>
  <c r="C177" i="155"/>
  <c r="D176" i="155"/>
  <c r="C176" i="155"/>
  <c r="D175" i="155"/>
  <c r="C175" i="155"/>
  <c r="D174" i="155"/>
  <c r="C174" i="155"/>
  <c r="D173" i="155"/>
  <c r="C173" i="155"/>
  <c r="D172" i="155"/>
  <c r="C172" i="155"/>
  <c r="D171" i="155"/>
  <c r="C171" i="155"/>
  <c r="D170" i="155"/>
  <c r="C170" i="155"/>
  <c r="D169" i="155"/>
  <c r="C169" i="155"/>
  <c r="D168" i="155"/>
  <c r="C168" i="155"/>
  <c r="D167" i="155"/>
  <c r="C167" i="155"/>
  <c r="D166" i="155"/>
  <c r="C166" i="155"/>
  <c r="D165" i="155"/>
  <c r="C165" i="155"/>
  <c r="D164" i="155"/>
  <c r="C164" i="155"/>
  <c r="D160" i="155"/>
  <c r="C160" i="155"/>
  <c r="D159" i="155"/>
  <c r="C159" i="155"/>
  <c r="D158" i="155"/>
  <c r="C158" i="155"/>
  <c r="D157" i="155"/>
  <c r="C157" i="155"/>
  <c r="D156" i="155"/>
  <c r="C156" i="155"/>
  <c r="D155" i="155"/>
  <c r="C155" i="155"/>
  <c r="D153" i="155"/>
  <c r="C153" i="155"/>
  <c r="D152" i="155"/>
  <c r="C152" i="155"/>
  <c r="D151" i="155"/>
  <c r="C151" i="155"/>
  <c r="D150" i="155"/>
  <c r="C150" i="155"/>
  <c r="D149" i="155"/>
  <c r="C149" i="155"/>
  <c r="D148" i="155"/>
  <c r="C148" i="155"/>
  <c r="D147" i="155"/>
  <c r="C147" i="155"/>
  <c r="D146" i="155"/>
  <c r="C146" i="155"/>
  <c r="D145" i="155"/>
  <c r="C145" i="155"/>
  <c r="D143" i="155"/>
  <c r="C143" i="155"/>
  <c r="D142" i="155"/>
  <c r="C142" i="155"/>
  <c r="D141" i="155"/>
  <c r="C141" i="155"/>
  <c r="D140" i="155"/>
  <c r="C140" i="155"/>
  <c r="D138" i="155"/>
  <c r="C138" i="155"/>
  <c r="D137" i="155"/>
  <c r="C137" i="155"/>
  <c r="D136" i="155"/>
  <c r="C136" i="155"/>
  <c r="D135" i="155"/>
  <c r="C135" i="155"/>
  <c r="D133" i="155"/>
  <c r="C133" i="155"/>
  <c r="D132" i="155"/>
  <c r="C132" i="155"/>
  <c r="D131" i="155"/>
  <c r="C131" i="155"/>
  <c r="D130" i="155"/>
  <c r="C130" i="155"/>
  <c r="D129" i="155"/>
  <c r="C129" i="155"/>
  <c r="D127" i="155"/>
  <c r="C127" i="155"/>
  <c r="D126" i="155"/>
  <c r="C126" i="155"/>
  <c r="D125" i="155"/>
  <c r="C125" i="155"/>
  <c r="D124" i="155"/>
  <c r="C124" i="155"/>
  <c r="D123" i="155"/>
  <c r="C123" i="155"/>
  <c r="D118" i="155"/>
  <c r="C118" i="155"/>
  <c r="D117" i="155"/>
  <c r="C117" i="155"/>
  <c r="D116" i="155"/>
  <c r="C116" i="155"/>
  <c r="D115" i="155"/>
  <c r="C115" i="155"/>
  <c r="D114" i="155"/>
  <c r="C114" i="155"/>
  <c r="D110" i="155"/>
  <c r="C110" i="155"/>
  <c r="D109" i="155"/>
  <c r="C109" i="155"/>
  <c r="D108" i="155"/>
  <c r="C108" i="155"/>
  <c r="D107" i="155"/>
  <c r="C107" i="155"/>
  <c r="D106" i="155"/>
  <c r="C106" i="155"/>
  <c r="D105" i="155"/>
  <c r="C105" i="155"/>
  <c r="D101" i="155"/>
  <c r="C101" i="155"/>
  <c r="D100" i="155"/>
  <c r="C100" i="155"/>
  <c r="D99" i="155"/>
  <c r="C99" i="155"/>
  <c r="D98" i="155"/>
  <c r="C98" i="155"/>
  <c r="D97" i="155"/>
  <c r="C97" i="155"/>
  <c r="D96" i="155"/>
  <c r="C96" i="155"/>
  <c r="D92" i="155"/>
  <c r="C92" i="155"/>
  <c r="D91" i="155"/>
  <c r="C91" i="155"/>
  <c r="D90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D83" i="155"/>
  <c r="C83" i="155"/>
  <c r="D82" i="155"/>
  <c r="C82" i="155"/>
  <c r="D78" i="155"/>
  <c r="C78" i="155"/>
  <c r="D77" i="155"/>
  <c r="C77" i="155"/>
  <c r="D76" i="155"/>
  <c r="C76" i="155"/>
  <c r="D75" i="155"/>
  <c r="C75" i="155"/>
  <c r="D74" i="155"/>
  <c r="C74" i="155"/>
  <c r="D73" i="155"/>
  <c r="C73" i="155"/>
  <c r="D72" i="155"/>
  <c r="C72" i="155"/>
  <c r="D71" i="155"/>
  <c r="C71" i="155"/>
  <c r="D70" i="155"/>
  <c r="C70" i="155"/>
  <c r="D69" i="155"/>
  <c r="C69" i="155"/>
  <c r="D68" i="155"/>
  <c r="C68" i="155"/>
  <c r="D67" i="155"/>
  <c r="C67" i="155"/>
  <c r="D66" i="155"/>
  <c r="C66" i="155"/>
  <c r="D65" i="155"/>
  <c r="C65" i="155"/>
  <c r="D64" i="155"/>
  <c r="C64" i="155"/>
  <c r="D60" i="155"/>
  <c r="C60" i="155"/>
  <c r="D59" i="155"/>
  <c r="C59" i="155"/>
  <c r="D58" i="155"/>
  <c r="C58" i="155"/>
  <c r="D57" i="155"/>
  <c r="C57" i="155"/>
  <c r="D56" i="155"/>
  <c r="C56" i="155"/>
  <c r="D55" i="155"/>
  <c r="C55" i="155"/>
  <c r="D54" i="155"/>
  <c r="C54" i="155"/>
  <c r="D53" i="155"/>
  <c r="C53" i="155"/>
  <c r="D52" i="155"/>
  <c r="C52" i="155"/>
  <c r="D51" i="155"/>
  <c r="C51" i="155"/>
  <c r="D50" i="155"/>
  <c r="C50" i="155"/>
  <c r="D49" i="155"/>
  <c r="C49" i="155"/>
  <c r="D48" i="155"/>
  <c r="C48" i="155"/>
  <c r="D47" i="155"/>
  <c r="C47" i="155"/>
  <c r="D46" i="155"/>
  <c r="C46" i="155"/>
  <c r="D45" i="155"/>
  <c r="C45" i="155"/>
  <c r="D44" i="155"/>
  <c r="C44" i="155"/>
  <c r="D43" i="155"/>
  <c r="C43" i="155"/>
  <c r="D42" i="155"/>
  <c r="C42" i="155"/>
  <c r="D41" i="155"/>
  <c r="C41" i="155"/>
  <c r="D40" i="155"/>
  <c r="C40" i="155"/>
  <c r="D39" i="155"/>
  <c r="C39" i="155"/>
  <c r="D38" i="155"/>
  <c r="C38" i="155"/>
  <c r="D37" i="155"/>
  <c r="C37" i="155"/>
  <c r="D36" i="155"/>
  <c r="C36" i="155"/>
  <c r="D35" i="155"/>
  <c r="C35" i="155"/>
  <c r="D34" i="155"/>
  <c r="C34" i="155"/>
  <c r="D33" i="155"/>
  <c r="C33" i="155"/>
  <c r="D32" i="155"/>
  <c r="C32" i="155"/>
  <c r="D31" i="155"/>
  <c r="C31" i="155"/>
  <c r="D30" i="155"/>
  <c r="C30" i="155"/>
  <c r="D29" i="155"/>
  <c r="C29" i="155"/>
  <c r="D28" i="155"/>
  <c r="C28" i="155"/>
  <c r="D27" i="155"/>
  <c r="C27" i="155"/>
  <c r="D26" i="155"/>
  <c r="C26" i="155"/>
  <c r="D25" i="155"/>
  <c r="C25" i="155"/>
  <c r="D20" i="155"/>
  <c r="C20" i="155"/>
  <c r="D19" i="155"/>
  <c r="C19" i="155"/>
  <c r="D18" i="155"/>
  <c r="C18" i="155"/>
  <c r="D17" i="155"/>
  <c r="C17" i="155"/>
  <c r="D16" i="155"/>
  <c r="C16" i="155"/>
  <c r="D15" i="155"/>
  <c r="C15" i="155"/>
  <c r="D14" i="155"/>
  <c r="C14" i="155"/>
  <c r="D13" i="155"/>
  <c r="C13" i="155"/>
  <c r="D12" i="155"/>
  <c r="C12" i="155"/>
  <c r="D11" i="155"/>
  <c r="C11" i="155"/>
  <c r="G244" i="25"/>
  <c r="G243" i="25"/>
  <c r="G242" i="25"/>
  <c r="G241" i="25"/>
  <c r="C238" i="25"/>
  <c r="C237" i="25"/>
  <c r="C236" i="25"/>
  <c r="C235" i="25"/>
  <c r="C233" i="25"/>
  <c r="C232" i="25"/>
  <c r="C231" i="25"/>
  <c r="D228" i="25"/>
  <c r="C227" i="25"/>
  <c r="C226" i="25"/>
  <c r="C225" i="25"/>
  <c r="C224" i="25"/>
  <c r="C223" i="25"/>
  <c r="C222" i="25"/>
  <c r="C221" i="25"/>
  <c r="C220" i="25"/>
  <c r="C219" i="25"/>
  <c r="C211" i="25"/>
  <c r="D205" i="25"/>
  <c r="C205" i="25"/>
  <c r="D204" i="25"/>
  <c r="C204" i="25"/>
  <c r="D203" i="25"/>
  <c r="C203" i="25"/>
  <c r="D202" i="25"/>
  <c r="C202" i="25"/>
  <c r="D201" i="25"/>
  <c r="C201" i="25"/>
  <c r="D200" i="25"/>
  <c r="C200" i="25"/>
  <c r="D196" i="25"/>
  <c r="C196" i="25"/>
  <c r="D195" i="25"/>
  <c r="C195" i="25"/>
  <c r="D194" i="25"/>
  <c r="C194" i="25"/>
  <c r="D193" i="25"/>
  <c r="C193" i="25"/>
  <c r="D192" i="25"/>
  <c r="C192" i="25"/>
  <c r="D191" i="25"/>
  <c r="C191" i="25"/>
  <c r="D190" i="25"/>
  <c r="C190" i="25"/>
  <c r="D189" i="25"/>
  <c r="C189" i="25"/>
  <c r="D188" i="25"/>
  <c r="C188" i="25"/>
  <c r="D187" i="25"/>
  <c r="C187" i="25"/>
  <c r="D186" i="25"/>
  <c r="C186" i="25"/>
  <c r="D185" i="25"/>
  <c r="C185" i="25"/>
  <c r="D184" i="25"/>
  <c r="C184" i="25"/>
  <c r="D183" i="25"/>
  <c r="C183" i="25"/>
  <c r="D182" i="25"/>
  <c r="C182" i="25"/>
  <c r="D181" i="25"/>
  <c r="C181" i="25"/>
  <c r="D180" i="25"/>
  <c r="C180" i="25"/>
  <c r="D179" i="25"/>
  <c r="C179" i="25"/>
  <c r="D178" i="25"/>
  <c r="C178" i="25"/>
  <c r="D177" i="25"/>
  <c r="C177" i="25"/>
  <c r="D176" i="25"/>
  <c r="C176" i="25"/>
  <c r="D175" i="25"/>
  <c r="C175" i="25"/>
  <c r="D174" i="25"/>
  <c r="C174" i="25"/>
  <c r="D173" i="25"/>
  <c r="C173" i="25"/>
  <c r="D172" i="25"/>
  <c r="C172" i="25"/>
  <c r="D171" i="25"/>
  <c r="C171" i="25"/>
  <c r="D170" i="25"/>
  <c r="C170" i="25"/>
  <c r="D169" i="25"/>
  <c r="C169" i="25"/>
  <c r="D168" i="25"/>
  <c r="C168" i="25"/>
  <c r="D167" i="25"/>
  <c r="C167" i="25"/>
  <c r="D166" i="25"/>
  <c r="C166" i="25"/>
  <c r="D165" i="25"/>
  <c r="C165" i="25"/>
  <c r="D164" i="25"/>
  <c r="C164" i="25"/>
  <c r="D160" i="25"/>
  <c r="C160" i="25"/>
  <c r="D159" i="25"/>
  <c r="C159" i="25"/>
  <c r="D158" i="25"/>
  <c r="C158" i="25"/>
  <c r="D157" i="25"/>
  <c r="C157" i="25"/>
  <c r="D156" i="25"/>
  <c r="C156" i="25"/>
  <c r="D155" i="25"/>
  <c r="C155" i="25"/>
  <c r="D153" i="25"/>
  <c r="C153" i="25"/>
  <c r="D152" i="25"/>
  <c r="C152" i="25"/>
  <c r="D151" i="25"/>
  <c r="C151" i="25"/>
  <c r="D150" i="25"/>
  <c r="C150" i="25"/>
  <c r="D149" i="25"/>
  <c r="C149" i="25"/>
  <c r="D148" i="25"/>
  <c r="C148" i="25"/>
  <c r="D147" i="25"/>
  <c r="C147" i="25"/>
  <c r="D146" i="25"/>
  <c r="C146" i="25"/>
  <c r="D145" i="25"/>
  <c r="C145" i="25"/>
  <c r="D143" i="25"/>
  <c r="C143" i="25"/>
  <c r="D142" i="25"/>
  <c r="C142" i="25"/>
  <c r="D141" i="25"/>
  <c r="C141" i="25"/>
  <c r="D140" i="25"/>
  <c r="C140" i="25"/>
  <c r="D138" i="25"/>
  <c r="C138" i="25"/>
  <c r="D137" i="25"/>
  <c r="C137" i="25"/>
  <c r="D136" i="25"/>
  <c r="C136" i="25"/>
  <c r="D135" i="25"/>
  <c r="C135" i="25"/>
  <c r="D133" i="25"/>
  <c r="C133" i="25"/>
  <c r="D132" i="25"/>
  <c r="C132" i="25"/>
  <c r="D131" i="25"/>
  <c r="C131" i="25"/>
  <c r="D130" i="25"/>
  <c r="C130" i="25"/>
  <c r="D129" i="25"/>
  <c r="C129" i="25"/>
  <c r="D127" i="25"/>
  <c r="C127" i="25"/>
  <c r="D126" i="25"/>
  <c r="C126" i="25"/>
  <c r="D125" i="25"/>
  <c r="C125" i="25"/>
  <c r="D124" i="25"/>
  <c r="C124" i="25"/>
  <c r="D123" i="25"/>
  <c r="C123" i="25"/>
  <c r="D118" i="25"/>
  <c r="C118" i="25"/>
  <c r="D117" i="25"/>
  <c r="C117" i="25"/>
  <c r="D116" i="25"/>
  <c r="C116" i="25"/>
  <c r="D115" i="25"/>
  <c r="C115" i="25"/>
  <c r="D114" i="25"/>
  <c r="C114" i="25"/>
  <c r="D110" i="25"/>
  <c r="C110" i="25"/>
  <c r="D109" i="25"/>
  <c r="C109" i="25"/>
  <c r="D108" i="25"/>
  <c r="C108" i="25"/>
  <c r="D107" i="25"/>
  <c r="C107" i="25"/>
  <c r="D106" i="25"/>
  <c r="C106" i="25"/>
  <c r="D105" i="25"/>
  <c r="C105" i="25"/>
  <c r="D101" i="25"/>
  <c r="C101" i="25"/>
  <c r="D100" i="25"/>
  <c r="C100" i="25"/>
  <c r="D99" i="25"/>
  <c r="C99" i="25"/>
  <c r="D98" i="25"/>
  <c r="C98" i="25"/>
  <c r="D97" i="25"/>
  <c r="C97" i="25"/>
  <c r="D96" i="25"/>
  <c r="C96" i="25"/>
  <c r="D92" i="25"/>
  <c r="C92" i="25"/>
  <c r="D91" i="25"/>
  <c r="C91" i="25"/>
  <c r="D90" i="25"/>
  <c r="C90" i="25"/>
  <c r="D89" i="25"/>
  <c r="C89" i="25"/>
  <c r="D88" i="25"/>
  <c r="C88" i="25"/>
  <c r="D87" i="25"/>
  <c r="C87" i="25"/>
  <c r="D86" i="25"/>
  <c r="C86" i="25"/>
  <c r="D85" i="25"/>
  <c r="C85" i="25"/>
  <c r="D84" i="25"/>
  <c r="C84" i="25"/>
  <c r="D83" i="25"/>
  <c r="C83" i="25"/>
  <c r="D82" i="25"/>
  <c r="C82" i="25"/>
  <c r="D78" i="25"/>
  <c r="C78" i="25"/>
  <c r="D77" i="25"/>
  <c r="C77" i="25"/>
  <c r="D76" i="25"/>
  <c r="C76" i="25"/>
  <c r="D75" i="25"/>
  <c r="C75" i="25"/>
  <c r="D74" i="25"/>
  <c r="C74" i="25"/>
  <c r="D73" i="25"/>
  <c r="C73" i="25"/>
  <c r="D72" i="25"/>
  <c r="C72" i="25"/>
  <c r="D71" i="25"/>
  <c r="C71" i="25"/>
  <c r="D70" i="25"/>
  <c r="C70" i="25"/>
  <c r="D69" i="25"/>
  <c r="C69" i="25"/>
  <c r="D68" i="25"/>
  <c r="C68" i="25"/>
  <c r="D67" i="25"/>
  <c r="C67" i="25"/>
  <c r="D66" i="25"/>
  <c r="C66" i="25"/>
  <c r="D65" i="25"/>
  <c r="C65" i="25"/>
  <c r="D64" i="25"/>
  <c r="C64" i="25"/>
  <c r="D60" i="25"/>
  <c r="C60" i="25"/>
  <c r="D59" i="25"/>
  <c r="C59" i="25"/>
  <c r="D58" i="25"/>
  <c r="C58" i="25"/>
  <c r="D57" i="25"/>
  <c r="C57" i="25"/>
  <c r="D56" i="25"/>
  <c r="C56" i="25"/>
  <c r="D55" i="25"/>
  <c r="C55" i="25"/>
  <c r="D54" i="25"/>
  <c r="C54" i="25"/>
  <c r="D53" i="25"/>
  <c r="C53" i="25"/>
  <c r="D52" i="25"/>
  <c r="C52" i="25"/>
  <c r="D51" i="25"/>
  <c r="C51" i="25"/>
  <c r="D50" i="25"/>
  <c r="C50" i="25"/>
  <c r="D49" i="25"/>
  <c r="C49" i="25"/>
  <c r="D48" i="25"/>
  <c r="C48" i="25"/>
  <c r="D47" i="25"/>
  <c r="C47" i="25"/>
  <c r="D46" i="25"/>
  <c r="C46" i="25"/>
  <c r="D45" i="25"/>
  <c r="C45" i="25"/>
  <c r="D44" i="25"/>
  <c r="C44" i="25"/>
  <c r="D43" i="25"/>
  <c r="C43" i="25"/>
  <c r="D42" i="25"/>
  <c r="C42" i="25"/>
  <c r="D41" i="25"/>
  <c r="C41" i="25"/>
  <c r="D40" i="25"/>
  <c r="C40" i="25"/>
  <c r="D39" i="25"/>
  <c r="C39" i="25"/>
  <c r="D38" i="25"/>
  <c r="C38" i="25"/>
  <c r="D37" i="25"/>
  <c r="C37" i="25"/>
  <c r="D36" i="25"/>
  <c r="C36" i="25"/>
  <c r="D35" i="25"/>
  <c r="C35" i="25"/>
  <c r="D34" i="25"/>
  <c r="C34" i="25"/>
  <c r="D33" i="25"/>
  <c r="C33" i="25"/>
  <c r="D32" i="25"/>
  <c r="C32" i="25"/>
  <c r="D31" i="25"/>
  <c r="C31" i="25"/>
  <c r="D30" i="25"/>
  <c r="C30" i="25"/>
  <c r="D29" i="25"/>
  <c r="C29" i="25"/>
  <c r="D28" i="25"/>
  <c r="C28" i="25"/>
  <c r="D27" i="25"/>
  <c r="C27" i="25"/>
  <c r="D26" i="25"/>
  <c r="C26" i="25"/>
  <c r="D25" i="25"/>
  <c r="C25" i="25"/>
  <c r="D20" i="25"/>
  <c r="C20" i="25"/>
  <c r="D19" i="25"/>
  <c r="C19" i="25"/>
  <c r="D18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D11" i="25"/>
  <c r="C11" i="25"/>
  <c r="G244" i="119"/>
  <c r="G243" i="119"/>
  <c r="G242" i="119"/>
  <c r="G241" i="119"/>
  <c r="C238" i="119"/>
  <c r="C237" i="119"/>
  <c r="C236" i="119"/>
  <c r="C235" i="119"/>
  <c r="C233" i="119"/>
  <c r="E233" i="119"/>
  <c r="C232" i="119"/>
  <c r="C231" i="119"/>
  <c r="D228" i="119"/>
  <c r="C227" i="119"/>
  <c r="C226" i="119"/>
  <c r="C225" i="119"/>
  <c r="C224" i="119"/>
  <c r="C223" i="119"/>
  <c r="C222" i="119"/>
  <c r="C221" i="119"/>
  <c r="C220" i="119"/>
  <c r="C219" i="119"/>
  <c r="C211" i="119"/>
  <c r="D205" i="119"/>
  <c r="C205" i="119"/>
  <c r="D204" i="119"/>
  <c r="C204" i="119"/>
  <c r="D203" i="119"/>
  <c r="C203" i="119"/>
  <c r="D202" i="119"/>
  <c r="C202" i="119"/>
  <c r="D201" i="119"/>
  <c r="C201" i="119"/>
  <c r="D200" i="119"/>
  <c r="C200" i="119"/>
  <c r="D196" i="119"/>
  <c r="C196" i="119"/>
  <c r="D195" i="119"/>
  <c r="C195" i="119"/>
  <c r="D194" i="119"/>
  <c r="C194" i="119"/>
  <c r="D193" i="119"/>
  <c r="C193" i="119"/>
  <c r="D192" i="119"/>
  <c r="C192" i="119"/>
  <c r="D191" i="119"/>
  <c r="C191" i="119"/>
  <c r="D190" i="119"/>
  <c r="C190" i="119"/>
  <c r="D189" i="119"/>
  <c r="C189" i="119"/>
  <c r="D188" i="119"/>
  <c r="C188" i="119"/>
  <c r="D187" i="119"/>
  <c r="C187" i="119"/>
  <c r="D186" i="119"/>
  <c r="C186" i="119"/>
  <c r="D185" i="119"/>
  <c r="C185" i="119"/>
  <c r="D184" i="119"/>
  <c r="C184" i="119"/>
  <c r="D183" i="119"/>
  <c r="C183" i="119"/>
  <c r="D182" i="119"/>
  <c r="C182" i="119"/>
  <c r="D181" i="119"/>
  <c r="C181" i="119"/>
  <c r="D180" i="119"/>
  <c r="C180" i="119"/>
  <c r="D179" i="119"/>
  <c r="C179" i="119"/>
  <c r="D178" i="119"/>
  <c r="C178" i="119"/>
  <c r="D177" i="119"/>
  <c r="C177" i="119"/>
  <c r="D176" i="119"/>
  <c r="C176" i="119"/>
  <c r="D175" i="119"/>
  <c r="C175" i="119"/>
  <c r="D174" i="119"/>
  <c r="C174" i="119"/>
  <c r="D173" i="119"/>
  <c r="C173" i="119"/>
  <c r="D172" i="119"/>
  <c r="C172" i="119"/>
  <c r="D171" i="119"/>
  <c r="C171" i="119"/>
  <c r="D170" i="119"/>
  <c r="C170" i="119"/>
  <c r="D169" i="119"/>
  <c r="C169" i="119"/>
  <c r="D168" i="119"/>
  <c r="C168" i="119"/>
  <c r="D167" i="119"/>
  <c r="C167" i="119"/>
  <c r="D166" i="119"/>
  <c r="C166" i="119"/>
  <c r="D165" i="119"/>
  <c r="C165" i="119"/>
  <c r="D164" i="119"/>
  <c r="C164" i="119"/>
  <c r="D160" i="119"/>
  <c r="C160" i="119"/>
  <c r="D159" i="119"/>
  <c r="C159" i="119"/>
  <c r="D158" i="119"/>
  <c r="C158" i="119"/>
  <c r="D157" i="119"/>
  <c r="C157" i="119"/>
  <c r="D156" i="119"/>
  <c r="C156" i="119"/>
  <c r="D155" i="119"/>
  <c r="C155" i="119"/>
  <c r="D153" i="119"/>
  <c r="C153" i="119"/>
  <c r="D152" i="119"/>
  <c r="C152" i="119"/>
  <c r="D151" i="119"/>
  <c r="C151" i="119"/>
  <c r="D150" i="119"/>
  <c r="C150" i="119"/>
  <c r="D149" i="119"/>
  <c r="C149" i="119"/>
  <c r="D148" i="119"/>
  <c r="C148" i="119"/>
  <c r="D147" i="119"/>
  <c r="C147" i="119"/>
  <c r="D146" i="119"/>
  <c r="C146" i="119"/>
  <c r="D145" i="119"/>
  <c r="C145" i="119"/>
  <c r="D143" i="119"/>
  <c r="C143" i="119"/>
  <c r="D142" i="119"/>
  <c r="C142" i="119"/>
  <c r="D141" i="119"/>
  <c r="C141" i="119"/>
  <c r="D140" i="119"/>
  <c r="C140" i="119"/>
  <c r="D138" i="119"/>
  <c r="C138" i="119"/>
  <c r="D137" i="119"/>
  <c r="C137" i="119"/>
  <c r="D136" i="119"/>
  <c r="C136" i="119"/>
  <c r="D135" i="119"/>
  <c r="C135" i="119"/>
  <c r="D133" i="119"/>
  <c r="C133" i="119"/>
  <c r="D132" i="119"/>
  <c r="C132" i="119"/>
  <c r="D131" i="119"/>
  <c r="C131" i="119"/>
  <c r="D130" i="119"/>
  <c r="C130" i="119"/>
  <c r="D129" i="119"/>
  <c r="C129" i="119"/>
  <c r="D127" i="119"/>
  <c r="C127" i="119"/>
  <c r="D126" i="119"/>
  <c r="C126" i="119"/>
  <c r="D125" i="119"/>
  <c r="C125" i="119"/>
  <c r="D124" i="119"/>
  <c r="C124" i="119"/>
  <c r="D123" i="119"/>
  <c r="C123" i="119"/>
  <c r="D118" i="119"/>
  <c r="C118" i="119"/>
  <c r="D117" i="119"/>
  <c r="C117" i="119"/>
  <c r="D116" i="119"/>
  <c r="C116" i="119"/>
  <c r="D115" i="119"/>
  <c r="C115" i="119"/>
  <c r="D114" i="119"/>
  <c r="C114" i="119"/>
  <c r="D110" i="119"/>
  <c r="C110" i="119"/>
  <c r="D109" i="119"/>
  <c r="C109" i="119"/>
  <c r="D108" i="119"/>
  <c r="C108" i="119"/>
  <c r="D107" i="119"/>
  <c r="C107" i="119"/>
  <c r="D106" i="119"/>
  <c r="C106" i="119"/>
  <c r="D105" i="119"/>
  <c r="C105" i="119"/>
  <c r="D101" i="119"/>
  <c r="C101" i="119"/>
  <c r="D100" i="119"/>
  <c r="C100" i="119"/>
  <c r="D99" i="119"/>
  <c r="C99" i="119"/>
  <c r="D98" i="119"/>
  <c r="C98" i="119"/>
  <c r="D97" i="119"/>
  <c r="C97" i="119"/>
  <c r="D96" i="119"/>
  <c r="C96" i="119"/>
  <c r="D92" i="119"/>
  <c r="C92" i="119"/>
  <c r="D91" i="119"/>
  <c r="C91" i="119"/>
  <c r="D90" i="119"/>
  <c r="C90" i="119"/>
  <c r="D89" i="119"/>
  <c r="C89" i="119"/>
  <c r="D88" i="119"/>
  <c r="C88" i="119"/>
  <c r="D87" i="119"/>
  <c r="C87" i="119"/>
  <c r="D86" i="119"/>
  <c r="C86" i="119"/>
  <c r="D85" i="119"/>
  <c r="C85" i="119"/>
  <c r="D84" i="119"/>
  <c r="C84" i="119"/>
  <c r="D83" i="119"/>
  <c r="C83" i="119"/>
  <c r="D82" i="119"/>
  <c r="C82" i="119"/>
  <c r="D78" i="119"/>
  <c r="C78" i="119"/>
  <c r="D77" i="119"/>
  <c r="C77" i="119"/>
  <c r="D76" i="119"/>
  <c r="C76" i="119"/>
  <c r="D75" i="119"/>
  <c r="C75" i="119"/>
  <c r="D74" i="119"/>
  <c r="C74" i="119"/>
  <c r="D73" i="119"/>
  <c r="C73" i="119"/>
  <c r="D72" i="119"/>
  <c r="C72" i="119"/>
  <c r="D71" i="119"/>
  <c r="C71" i="119"/>
  <c r="D70" i="119"/>
  <c r="C70" i="119"/>
  <c r="D69" i="119"/>
  <c r="C69" i="119"/>
  <c r="D68" i="119"/>
  <c r="C68" i="119"/>
  <c r="D67" i="119"/>
  <c r="C67" i="119"/>
  <c r="D66" i="119"/>
  <c r="C66" i="119"/>
  <c r="D65" i="119"/>
  <c r="C65" i="119"/>
  <c r="D64" i="119"/>
  <c r="C64" i="119"/>
  <c r="D60" i="119"/>
  <c r="C60" i="119"/>
  <c r="D59" i="119"/>
  <c r="C59" i="119"/>
  <c r="D58" i="119"/>
  <c r="C58" i="119"/>
  <c r="D57" i="119"/>
  <c r="C57" i="119"/>
  <c r="D56" i="119"/>
  <c r="C56" i="119"/>
  <c r="D55" i="119"/>
  <c r="C55" i="119"/>
  <c r="D54" i="119"/>
  <c r="C54" i="119"/>
  <c r="D53" i="119"/>
  <c r="C53" i="119"/>
  <c r="D52" i="119"/>
  <c r="C52" i="119"/>
  <c r="D51" i="119"/>
  <c r="C51" i="119"/>
  <c r="D50" i="119"/>
  <c r="C50" i="119"/>
  <c r="D49" i="119"/>
  <c r="C49" i="119"/>
  <c r="D48" i="119"/>
  <c r="C48" i="119"/>
  <c r="D47" i="119"/>
  <c r="C47" i="119"/>
  <c r="D46" i="119"/>
  <c r="C46" i="119"/>
  <c r="D45" i="119"/>
  <c r="C45" i="119"/>
  <c r="D44" i="119"/>
  <c r="C44" i="119"/>
  <c r="D43" i="119"/>
  <c r="C43" i="119"/>
  <c r="D42" i="119"/>
  <c r="C42" i="119"/>
  <c r="D41" i="119"/>
  <c r="C41" i="119"/>
  <c r="D40" i="119"/>
  <c r="C40" i="119"/>
  <c r="D39" i="119"/>
  <c r="C39" i="119"/>
  <c r="D38" i="119"/>
  <c r="C38" i="119"/>
  <c r="D37" i="119"/>
  <c r="C37" i="119"/>
  <c r="D36" i="119"/>
  <c r="C36" i="119"/>
  <c r="D35" i="119"/>
  <c r="C35" i="119"/>
  <c r="D34" i="119"/>
  <c r="C34" i="119"/>
  <c r="D33" i="119"/>
  <c r="C33" i="119"/>
  <c r="D32" i="119"/>
  <c r="C32" i="119"/>
  <c r="D31" i="119"/>
  <c r="C31" i="119"/>
  <c r="D30" i="119"/>
  <c r="C30" i="119"/>
  <c r="D29" i="119"/>
  <c r="C29" i="119"/>
  <c r="D28" i="119"/>
  <c r="C28" i="119"/>
  <c r="D27" i="119"/>
  <c r="C27" i="119"/>
  <c r="D26" i="119"/>
  <c r="C26" i="119"/>
  <c r="D25" i="119"/>
  <c r="C25" i="119"/>
  <c r="D20" i="119"/>
  <c r="C20" i="119"/>
  <c r="D19" i="119"/>
  <c r="C19" i="119"/>
  <c r="D18" i="119"/>
  <c r="C18" i="119"/>
  <c r="D17" i="119"/>
  <c r="C17" i="119"/>
  <c r="D16" i="119"/>
  <c r="C16" i="119"/>
  <c r="D15" i="119"/>
  <c r="C15" i="119"/>
  <c r="D14" i="119"/>
  <c r="C14" i="119"/>
  <c r="D13" i="119"/>
  <c r="C13" i="119"/>
  <c r="D12" i="119"/>
  <c r="C12" i="119"/>
  <c r="D11" i="119"/>
  <c r="C11" i="119"/>
  <c r="J200" i="65"/>
  <c r="K200" i="65"/>
  <c r="K172" i="65"/>
  <c r="K168" i="65"/>
  <c r="K166" i="65"/>
  <c r="J172" i="65"/>
  <c r="J168" i="65"/>
  <c r="J166" i="65"/>
  <c r="J138" i="65"/>
  <c r="K138" i="65"/>
  <c r="K137" i="65"/>
  <c r="K136" i="65"/>
  <c r="K135" i="65"/>
  <c r="J137" i="65"/>
  <c r="J136" i="65"/>
  <c r="J135" i="65"/>
  <c r="K127" i="65"/>
  <c r="K125" i="65"/>
  <c r="K124" i="65"/>
  <c r="J127" i="65"/>
  <c r="J125" i="65"/>
  <c r="J124" i="65"/>
  <c r="K114" i="65"/>
  <c r="J114" i="65"/>
  <c r="K105" i="65"/>
  <c r="J105" i="65"/>
  <c r="K96" i="65"/>
  <c r="J96" i="65"/>
  <c r="K82" i="65"/>
  <c r="J82" i="65"/>
  <c r="K27" i="65"/>
  <c r="K25" i="65"/>
  <c r="J27" i="65"/>
  <c r="J25" i="65"/>
  <c r="G244" i="65"/>
  <c r="C233" i="65"/>
  <c r="G243" i="65"/>
  <c r="G242" i="65"/>
  <c r="G241" i="65"/>
  <c r="C238" i="65"/>
  <c r="C237" i="65"/>
  <c r="C236" i="65"/>
  <c r="C235" i="65"/>
  <c r="C232" i="65"/>
  <c r="C231" i="65"/>
  <c r="D228" i="65"/>
  <c r="C227" i="65"/>
  <c r="C226" i="65"/>
  <c r="C225" i="65"/>
  <c r="C224" i="65"/>
  <c r="C223" i="65"/>
  <c r="C222" i="65"/>
  <c r="E222" i="65"/>
  <c r="C221" i="65"/>
  <c r="E221" i="65"/>
  <c r="C220" i="65"/>
  <c r="C219" i="65"/>
  <c r="C211" i="65"/>
  <c r="D205" i="65"/>
  <c r="C205" i="65"/>
  <c r="D204" i="65"/>
  <c r="C204" i="65"/>
  <c r="D203" i="65"/>
  <c r="C203" i="65"/>
  <c r="D202" i="65"/>
  <c r="C202" i="65"/>
  <c r="D201" i="65"/>
  <c r="C201" i="65"/>
  <c r="D200" i="65"/>
  <c r="C200" i="65"/>
  <c r="D196" i="65"/>
  <c r="C196" i="65"/>
  <c r="D195" i="65"/>
  <c r="C195" i="65"/>
  <c r="D194" i="65"/>
  <c r="C194" i="65"/>
  <c r="D193" i="65"/>
  <c r="C193" i="65"/>
  <c r="D192" i="65"/>
  <c r="C192" i="65"/>
  <c r="D191" i="65"/>
  <c r="C191" i="65"/>
  <c r="D190" i="65"/>
  <c r="C190" i="65"/>
  <c r="D189" i="65"/>
  <c r="C189" i="65"/>
  <c r="D188" i="65"/>
  <c r="C188" i="65"/>
  <c r="D187" i="65"/>
  <c r="C187" i="65"/>
  <c r="D186" i="65"/>
  <c r="C186" i="65"/>
  <c r="D185" i="65"/>
  <c r="C185" i="65"/>
  <c r="D184" i="65"/>
  <c r="C184" i="65"/>
  <c r="D183" i="65"/>
  <c r="C183" i="65"/>
  <c r="D182" i="65"/>
  <c r="C182" i="65"/>
  <c r="D181" i="65"/>
  <c r="C181" i="65"/>
  <c r="D180" i="65"/>
  <c r="C180" i="65"/>
  <c r="D179" i="65"/>
  <c r="C179" i="65"/>
  <c r="D178" i="65"/>
  <c r="C178" i="65"/>
  <c r="D177" i="65"/>
  <c r="C177" i="65"/>
  <c r="D176" i="65"/>
  <c r="C176" i="65"/>
  <c r="D175" i="65"/>
  <c r="C175" i="65"/>
  <c r="D174" i="65"/>
  <c r="C174" i="65"/>
  <c r="D173" i="65"/>
  <c r="C173" i="65"/>
  <c r="D172" i="65"/>
  <c r="C172" i="65"/>
  <c r="D171" i="65"/>
  <c r="C171" i="65"/>
  <c r="D170" i="65"/>
  <c r="C170" i="65"/>
  <c r="D169" i="65"/>
  <c r="C169" i="65"/>
  <c r="D168" i="65"/>
  <c r="C168" i="65"/>
  <c r="D167" i="65"/>
  <c r="C167" i="65"/>
  <c r="D166" i="65"/>
  <c r="C166" i="65"/>
  <c r="D165" i="65"/>
  <c r="C165" i="65"/>
  <c r="D164" i="65"/>
  <c r="C164" i="65"/>
  <c r="D160" i="65"/>
  <c r="C160" i="65"/>
  <c r="D159" i="65"/>
  <c r="C159" i="65"/>
  <c r="D158" i="65"/>
  <c r="C158" i="65"/>
  <c r="D157" i="65"/>
  <c r="C157" i="65"/>
  <c r="D156" i="65"/>
  <c r="C156" i="65"/>
  <c r="D155" i="65"/>
  <c r="C155" i="65"/>
  <c r="D153" i="65"/>
  <c r="C153" i="65"/>
  <c r="D152" i="65"/>
  <c r="C152" i="65"/>
  <c r="D151" i="65"/>
  <c r="C151" i="65"/>
  <c r="D150" i="65"/>
  <c r="C150" i="65"/>
  <c r="D149" i="65"/>
  <c r="C149" i="65"/>
  <c r="D148" i="65"/>
  <c r="C148" i="65"/>
  <c r="D147" i="65"/>
  <c r="C147" i="65"/>
  <c r="D146" i="65"/>
  <c r="C146" i="65"/>
  <c r="D145" i="65"/>
  <c r="C145" i="65"/>
  <c r="D143" i="65"/>
  <c r="C143" i="65"/>
  <c r="D142" i="65"/>
  <c r="C142" i="65"/>
  <c r="D141" i="65"/>
  <c r="C141" i="65"/>
  <c r="D140" i="65"/>
  <c r="C140" i="65"/>
  <c r="D138" i="65"/>
  <c r="C138" i="65"/>
  <c r="D137" i="65"/>
  <c r="C137" i="65"/>
  <c r="D136" i="65"/>
  <c r="C136" i="65"/>
  <c r="D135" i="65"/>
  <c r="C135" i="65"/>
  <c r="D133" i="65"/>
  <c r="C133" i="65"/>
  <c r="D132" i="65"/>
  <c r="C132" i="65"/>
  <c r="D131" i="65"/>
  <c r="C131" i="65"/>
  <c r="D130" i="65"/>
  <c r="C130" i="65"/>
  <c r="D129" i="65"/>
  <c r="C129" i="65"/>
  <c r="D127" i="65"/>
  <c r="C127" i="65"/>
  <c r="D126" i="65"/>
  <c r="C126" i="65"/>
  <c r="D125" i="65"/>
  <c r="C125" i="65"/>
  <c r="D124" i="65"/>
  <c r="C124" i="65"/>
  <c r="D123" i="65"/>
  <c r="C123" i="65"/>
  <c r="D118" i="65"/>
  <c r="C118" i="65"/>
  <c r="D117" i="65"/>
  <c r="C117" i="65"/>
  <c r="D116" i="65"/>
  <c r="C116" i="65"/>
  <c r="D115" i="65"/>
  <c r="C115" i="65"/>
  <c r="D114" i="65"/>
  <c r="C114" i="65"/>
  <c r="D110" i="65"/>
  <c r="C110" i="65"/>
  <c r="D109" i="65"/>
  <c r="C109" i="65"/>
  <c r="D108" i="65"/>
  <c r="C108" i="65"/>
  <c r="D107" i="65"/>
  <c r="C107" i="65"/>
  <c r="D106" i="65"/>
  <c r="C106" i="65"/>
  <c r="D105" i="65"/>
  <c r="C105" i="65"/>
  <c r="D101" i="65"/>
  <c r="C101" i="65"/>
  <c r="D100" i="65"/>
  <c r="C100" i="65"/>
  <c r="D99" i="65"/>
  <c r="C99" i="65"/>
  <c r="D98" i="65"/>
  <c r="C98" i="65"/>
  <c r="D97" i="65"/>
  <c r="C97" i="65"/>
  <c r="D96" i="65"/>
  <c r="C96" i="65"/>
  <c r="D92" i="65"/>
  <c r="C92" i="65"/>
  <c r="D91" i="65"/>
  <c r="C91" i="65"/>
  <c r="D90" i="65"/>
  <c r="C90" i="65"/>
  <c r="D89" i="65"/>
  <c r="C89" i="65"/>
  <c r="D88" i="65"/>
  <c r="C88" i="65"/>
  <c r="D87" i="65"/>
  <c r="C87" i="65"/>
  <c r="D86" i="65"/>
  <c r="C86" i="65"/>
  <c r="D85" i="65"/>
  <c r="C85" i="65"/>
  <c r="D84" i="65"/>
  <c r="C84" i="65"/>
  <c r="D83" i="65"/>
  <c r="C83" i="65"/>
  <c r="D82" i="65"/>
  <c r="C82" i="65"/>
  <c r="D78" i="65"/>
  <c r="C78" i="65"/>
  <c r="D77" i="65"/>
  <c r="C77" i="65"/>
  <c r="D76" i="65"/>
  <c r="C76" i="65"/>
  <c r="D75" i="65"/>
  <c r="C75" i="65"/>
  <c r="D74" i="65"/>
  <c r="C74" i="65"/>
  <c r="D73" i="65"/>
  <c r="C73" i="65"/>
  <c r="D72" i="65"/>
  <c r="C72" i="65"/>
  <c r="D71" i="65"/>
  <c r="C71" i="65"/>
  <c r="D70" i="65"/>
  <c r="C70" i="65"/>
  <c r="D69" i="65"/>
  <c r="C69" i="65"/>
  <c r="D68" i="65"/>
  <c r="C68" i="65"/>
  <c r="D67" i="65"/>
  <c r="C67" i="65"/>
  <c r="D66" i="65"/>
  <c r="C66" i="65"/>
  <c r="D65" i="65"/>
  <c r="C65" i="65"/>
  <c r="D64" i="65"/>
  <c r="C64" i="65"/>
  <c r="D60" i="65"/>
  <c r="C60" i="65"/>
  <c r="D59" i="65"/>
  <c r="C59" i="65"/>
  <c r="D58" i="65"/>
  <c r="C58" i="65"/>
  <c r="D57" i="65"/>
  <c r="C57" i="65"/>
  <c r="D56" i="65"/>
  <c r="C56" i="65"/>
  <c r="D55" i="65"/>
  <c r="C55" i="65"/>
  <c r="D54" i="65"/>
  <c r="C54" i="65"/>
  <c r="D53" i="65"/>
  <c r="C53" i="65"/>
  <c r="D52" i="65"/>
  <c r="C52" i="65"/>
  <c r="D51" i="65"/>
  <c r="C51" i="65"/>
  <c r="D50" i="65"/>
  <c r="C50" i="65"/>
  <c r="D49" i="65"/>
  <c r="C49" i="65"/>
  <c r="D48" i="65"/>
  <c r="C48" i="65"/>
  <c r="D47" i="65"/>
  <c r="C47" i="65"/>
  <c r="D46" i="65"/>
  <c r="C46" i="65"/>
  <c r="D45" i="65"/>
  <c r="C45" i="65"/>
  <c r="D44" i="65"/>
  <c r="C44" i="65"/>
  <c r="D43" i="65"/>
  <c r="C43" i="65"/>
  <c r="D42" i="65"/>
  <c r="C42" i="65"/>
  <c r="D41" i="65"/>
  <c r="C41" i="65"/>
  <c r="D40" i="65"/>
  <c r="C40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D33" i="65"/>
  <c r="C33" i="65"/>
  <c r="D32" i="65"/>
  <c r="C32" i="65"/>
  <c r="D31" i="65"/>
  <c r="C31" i="65"/>
  <c r="D30" i="65"/>
  <c r="C30" i="65"/>
  <c r="D29" i="65"/>
  <c r="C29" i="65"/>
  <c r="D28" i="65"/>
  <c r="C28" i="65"/>
  <c r="D27" i="65"/>
  <c r="C27" i="65"/>
  <c r="D26" i="65"/>
  <c r="C26" i="65"/>
  <c r="D25" i="65"/>
  <c r="C25" i="65"/>
  <c r="D20" i="65"/>
  <c r="C20" i="65"/>
  <c r="D19" i="65"/>
  <c r="C19" i="65"/>
  <c r="D18" i="65"/>
  <c r="C18" i="65"/>
  <c r="D17" i="65"/>
  <c r="C17" i="65"/>
  <c r="D16" i="65"/>
  <c r="C16" i="65"/>
  <c r="D15" i="65"/>
  <c r="C15" i="65"/>
  <c r="D14" i="65"/>
  <c r="C14" i="65"/>
  <c r="D13" i="65"/>
  <c r="C13" i="65"/>
  <c r="D12" i="65"/>
  <c r="C12" i="65"/>
  <c r="D11" i="65"/>
  <c r="C11" i="65"/>
  <c r="J200" i="72"/>
  <c r="K125" i="72"/>
  <c r="K200" i="72"/>
  <c r="K172" i="72"/>
  <c r="J172" i="72"/>
  <c r="K166" i="72"/>
  <c r="J166" i="72"/>
  <c r="K138" i="72"/>
  <c r="K137" i="72"/>
  <c r="K136" i="72"/>
  <c r="K135" i="72"/>
  <c r="J138" i="72"/>
  <c r="J137" i="72"/>
  <c r="J136" i="72"/>
  <c r="J135" i="72"/>
  <c r="K127" i="72"/>
  <c r="K124" i="72"/>
  <c r="J127" i="72"/>
  <c r="J125" i="72"/>
  <c r="J124" i="72"/>
  <c r="K114" i="72"/>
  <c r="J114" i="72"/>
  <c r="K96" i="72"/>
  <c r="J96" i="72"/>
  <c r="K82" i="72"/>
  <c r="J82" i="72"/>
  <c r="K27" i="72"/>
  <c r="K25" i="72"/>
  <c r="J27" i="72"/>
  <c r="J25" i="72"/>
  <c r="E225" i="72"/>
  <c r="E195" i="72"/>
  <c r="E178" i="72"/>
  <c r="E175" i="72"/>
  <c r="E170" i="72"/>
  <c r="E167" i="72"/>
  <c r="E159" i="72"/>
  <c r="E152" i="72"/>
  <c r="G152" i="72"/>
  <c r="E145" i="72"/>
  <c r="E140" i="72"/>
  <c r="G140" i="72"/>
  <c r="E132" i="72"/>
  <c r="G132" i="72"/>
  <c r="E131" i="72"/>
  <c r="E127" i="72"/>
  <c r="E123" i="72"/>
  <c r="E115" i="72"/>
  <c r="E108" i="72"/>
  <c r="E100" i="72"/>
  <c r="E91" i="72"/>
  <c r="E88" i="72"/>
  <c r="G88" i="72"/>
  <c r="E87" i="72"/>
  <c r="E85" i="72"/>
  <c r="E83" i="72"/>
  <c r="E77" i="72"/>
  <c r="E74" i="72"/>
  <c r="E73" i="72"/>
  <c r="G73" i="72"/>
  <c r="E65" i="72"/>
  <c r="E60" i="72"/>
  <c r="E56" i="72"/>
  <c r="E55" i="72"/>
  <c r="E52" i="72"/>
  <c r="G52" i="72"/>
  <c r="E48" i="72"/>
  <c r="G48" i="72"/>
  <c r="E47" i="72"/>
  <c r="E39" i="72"/>
  <c r="E37" i="72"/>
  <c r="E33" i="72"/>
  <c r="E28" i="72"/>
  <c r="E27" i="72"/>
  <c r="E26" i="72"/>
  <c r="G26" i="72"/>
  <c r="E18" i="72"/>
  <c r="E15" i="72"/>
  <c r="G244" i="64"/>
  <c r="G243" i="64"/>
  <c r="G242" i="64"/>
  <c r="G241" i="64"/>
  <c r="K168" i="79"/>
  <c r="K200" i="79"/>
  <c r="J200" i="79"/>
  <c r="K172" i="79"/>
  <c r="K166" i="79"/>
  <c r="J172" i="79"/>
  <c r="J168" i="79"/>
  <c r="J166" i="79"/>
  <c r="K149" i="79"/>
  <c r="K148" i="79"/>
  <c r="K147" i="79"/>
  <c r="K146" i="79"/>
  <c r="J149" i="79"/>
  <c r="J148" i="79"/>
  <c r="J147" i="79"/>
  <c r="J146" i="79"/>
  <c r="K138" i="79"/>
  <c r="K137" i="79"/>
  <c r="K136" i="79"/>
  <c r="K135" i="79"/>
  <c r="J138" i="79"/>
  <c r="J137" i="79"/>
  <c r="J136" i="79"/>
  <c r="J135" i="79"/>
  <c r="K127" i="79"/>
  <c r="K125" i="79"/>
  <c r="K124" i="79"/>
  <c r="J127" i="79"/>
  <c r="J125" i="79"/>
  <c r="J124" i="79"/>
  <c r="K114" i="79"/>
  <c r="J114" i="79"/>
  <c r="K105" i="79"/>
  <c r="J105" i="79"/>
  <c r="K96" i="79"/>
  <c r="J96" i="79"/>
  <c r="K82" i="79"/>
  <c r="K27" i="79"/>
  <c r="K25" i="79"/>
  <c r="J82" i="79"/>
  <c r="J27" i="79"/>
  <c r="J25" i="79"/>
  <c r="E232" i="79"/>
  <c r="E227" i="79"/>
  <c r="G227" i="79"/>
  <c r="E222" i="79"/>
  <c r="E203" i="79"/>
  <c r="E202" i="79"/>
  <c r="G202" i="79"/>
  <c r="E190" i="79"/>
  <c r="E176" i="79"/>
  <c r="G176" i="79"/>
  <c r="E170" i="79"/>
  <c r="E157" i="79"/>
  <c r="E150" i="79"/>
  <c r="E146" i="79"/>
  <c r="E143" i="79"/>
  <c r="G143" i="79"/>
  <c r="E127" i="79"/>
  <c r="E65" i="79"/>
  <c r="E60" i="79"/>
  <c r="E57" i="79"/>
  <c r="E53" i="79"/>
  <c r="G53" i="79"/>
  <c r="E51" i="79"/>
  <c r="E49" i="79"/>
  <c r="E43" i="79"/>
  <c r="E35" i="79"/>
  <c r="E34" i="79"/>
  <c r="E31" i="79"/>
  <c r="E27" i="79"/>
  <c r="E17" i="79"/>
  <c r="J125" i="32"/>
  <c r="K200" i="32"/>
  <c r="J200" i="32"/>
  <c r="J166" i="32"/>
  <c r="K172" i="32"/>
  <c r="K168" i="32"/>
  <c r="K166" i="32"/>
  <c r="J172" i="32"/>
  <c r="J168" i="32"/>
  <c r="K138" i="32"/>
  <c r="K137" i="32"/>
  <c r="K136" i="32"/>
  <c r="K135" i="32"/>
  <c r="J138" i="32"/>
  <c r="J137" i="32"/>
  <c r="J136" i="32"/>
  <c r="J135" i="32"/>
  <c r="K125" i="32"/>
  <c r="K124" i="32"/>
  <c r="J124" i="32"/>
  <c r="K114" i="32"/>
  <c r="J114" i="32"/>
  <c r="K96" i="32"/>
  <c r="J96" i="32"/>
  <c r="K82" i="32"/>
  <c r="J82" i="32"/>
  <c r="K27" i="32"/>
  <c r="K25" i="32"/>
  <c r="J27" i="32"/>
  <c r="J25" i="32"/>
  <c r="G244" i="32"/>
  <c r="C233" i="32"/>
  <c r="E233" i="32"/>
  <c r="G243" i="32"/>
  <c r="G242" i="32"/>
  <c r="G241" i="32"/>
  <c r="C238" i="32"/>
  <c r="C237" i="32"/>
  <c r="C236" i="32"/>
  <c r="C235" i="32"/>
  <c r="C232" i="32"/>
  <c r="C231" i="32"/>
  <c r="D228" i="32"/>
  <c r="C227" i="32"/>
  <c r="C226" i="32"/>
  <c r="C225" i="32"/>
  <c r="C224" i="32"/>
  <c r="C223" i="32"/>
  <c r="C222" i="32"/>
  <c r="C221" i="32"/>
  <c r="C220" i="32"/>
  <c r="C219" i="32"/>
  <c r="C211" i="32"/>
  <c r="D205" i="32"/>
  <c r="C205" i="32"/>
  <c r="D204" i="32"/>
  <c r="C204" i="32"/>
  <c r="D203" i="32"/>
  <c r="C203" i="32"/>
  <c r="D202" i="32"/>
  <c r="C202" i="32"/>
  <c r="D201" i="32"/>
  <c r="C201" i="32"/>
  <c r="D200" i="32"/>
  <c r="C200" i="32"/>
  <c r="D196" i="32"/>
  <c r="C196" i="32"/>
  <c r="D195" i="32"/>
  <c r="C195" i="32"/>
  <c r="D194" i="32"/>
  <c r="C194" i="32"/>
  <c r="D193" i="32"/>
  <c r="C193" i="32"/>
  <c r="D192" i="32"/>
  <c r="C192" i="32"/>
  <c r="D191" i="32"/>
  <c r="C191" i="32"/>
  <c r="D190" i="32"/>
  <c r="C190" i="32"/>
  <c r="D189" i="32"/>
  <c r="C189" i="32"/>
  <c r="D188" i="32"/>
  <c r="C188" i="32"/>
  <c r="D187" i="32"/>
  <c r="C187" i="32"/>
  <c r="D186" i="32"/>
  <c r="C186" i="32"/>
  <c r="D185" i="32"/>
  <c r="C185" i="32"/>
  <c r="D184" i="32"/>
  <c r="C184" i="32"/>
  <c r="D183" i="32"/>
  <c r="C183" i="32"/>
  <c r="D182" i="32"/>
  <c r="C182" i="32"/>
  <c r="D181" i="32"/>
  <c r="C181" i="32"/>
  <c r="D180" i="32"/>
  <c r="C180" i="32"/>
  <c r="D179" i="32"/>
  <c r="C179" i="32"/>
  <c r="D178" i="32"/>
  <c r="C178" i="32"/>
  <c r="D177" i="32"/>
  <c r="C177" i="32"/>
  <c r="D176" i="32"/>
  <c r="C176" i="32"/>
  <c r="D175" i="32"/>
  <c r="C175" i="32"/>
  <c r="D174" i="32"/>
  <c r="C174" i="32"/>
  <c r="D173" i="32"/>
  <c r="C173" i="32"/>
  <c r="D172" i="32"/>
  <c r="C172" i="32"/>
  <c r="D171" i="32"/>
  <c r="C171" i="32"/>
  <c r="D170" i="32"/>
  <c r="C170" i="32"/>
  <c r="D169" i="32"/>
  <c r="C169" i="32"/>
  <c r="D168" i="32"/>
  <c r="C168" i="32"/>
  <c r="D167" i="32"/>
  <c r="C167" i="32"/>
  <c r="D166" i="32"/>
  <c r="C166" i="32"/>
  <c r="D165" i="32"/>
  <c r="C165" i="32"/>
  <c r="D164" i="32"/>
  <c r="C164" i="32"/>
  <c r="D160" i="32"/>
  <c r="C160" i="32"/>
  <c r="D159" i="32"/>
  <c r="C159" i="32"/>
  <c r="D158" i="32"/>
  <c r="C158" i="32"/>
  <c r="D157" i="32"/>
  <c r="C157" i="32"/>
  <c r="D156" i="32"/>
  <c r="C156" i="32"/>
  <c r="D155" i="32"/>
  <c r="C155" i="32"/>
  <c r="D153" i="32"/>
  <c r="C153" i="32"/>
  <c r="D152" i="32"/>
  <c r="C152" i="32"/>
  <c r="D151" i="32"/>
  <c r="C151" i="32"/>
  <c r="D150" i="32"/>
  <c r="C150" i="32"/>
  <c r="D149" i="32"/>
  <c r="C149" i="32"/>
  <c r="D148" i="32"/>
  <c r="C148" i="32"/>
  <c r="D147" i="32"/>
  <c r="C147" i="32"/>
  <c r="D146" i="32"/>
  <c r="C146" i="32"/>
  <c r="D145" i="32"/>
  <c r="C145" i="32"/>
  <c r="D143" i="32"/>
  <c r="C143" i="32"/>
  <c r="D142" i="32"/>
  <c r="C142" i="32"/>
  <c r="D141" i="32"/>
  <c r="C141" i="32"/>
  <c r="D140" i="32"/>
  <c r="C140" i="32"/>
  <c r="D138" i="32"/>
  <c r="C138" i="32"/>
  <c r="D137" i="32"/>
  <c r="C137" i="32"/>
  <c r="D136" i="32"/>
  <c r="C136" i="32"/>
  <c r="D135" i="32"/>
  <c r="C135" i="32"/>
  <c r="D133" i="32"/>
  <c r="C133" i="32"/>
  <c r="D132" i="32"/>
  <c r="C132" i="32"/>
  <c r="D131" i="32"/>
  <c r="C131" i="32"/>
  <c r="D130" i="32"/>
  <c r="C130" i="32"/>
  <c r="D129" i="32"/>
  <c r="C129" i="32"/>
  <c r="D127" i="32"/>
  <c r="C127" i="32"/>
  <c r="D126" i="32"/>
  <c r="C126" i="32"/>
  <c r="D125" i="32"/>
  <c r="C125" i="32"/>
  <c r="D124" i="32"/>
  <c r="C124" i="32"/>
  <c r="D123" i="32"/>
  <c r="C123" i="32"/>
  <c r="D118" i="32"/>
  <c r="C118" i="32"/>
  <c r="D117" i="32"/>
  <c r="C117" i="32"/>
  <c r="D116" i="32"/>
  <c r="C116" i="32"/>
  <c r="D115" i="32"/>
  <c r="C115" i="32"/>
  <c r="D114" i="32"/>
  <c r="C114" i="32"/>
  <c r="D110" i="32"/>
  <c r="C110" i="32"/>
  <c r="D109" i="32"/>
  <c r="C109" i="32"/>
  <c r="D108" i="32"/>
  <c r="C108" i="32"/>
  <c r="D107" i="32"/>
  <c r="C107" i="32"/>
  <c r="D106" i="32"/>
  <c r="C106" i="32"/>
  <c r="D105" i="32"/>
  <c r="C105" i="32"/>
  <c r="D101" i="32"/>
  <c r="C101" i="32"/>
  <c r="D100" i="32"/>
  <c r="C100" i="32"/>
  <c r="D99" i="32"/>
  <c r="C99" i="32"/>
  <c r="D98" i="32"/>
  <c r="C98" i="32"/>
  <c r="D97" i="32"/>
  <c r="C97" i="32"/>
  <c r="D96" i="32"/>
  <c r="C96" i="32"/>
  <c r="D92" i="32"/>
  <c r="C92" i="32"/>
  <c r="D91" i="32"/>
  <c r="C91" i="32"/>
  <c r="D90" i="32"/>
  <c r="C90" i="32"/>
  <c r="D89" i="32"/>
  <c r="C89" i="32"/>
  <c r="D88" i="32"/>
  <c r="C88" i="32"/>
  <c r="D87" i="32"/>
  <c r="C87" i="32"/>
  <c r="D86" i="32"/>
  <c r="C86" i="32"/>
  <c r="D85" i="32"/>
  <c r="C85" i="32"/>
  <c r="D84" i="32"/>
  <c r="C84" i="32"/>
  <c r="D83" i="32"/>
  <c r="C83" i="32"/>
  <c r="D82" i="32"/>
  <c r="C82" i="32"/>
  <c r="D78" i="32"/>
  <c r="C78" i="32"/>
  <c r="D77" i="32"/>
  <c r="C77" i="32"/>
  <c r="D76" i="32"/>
  <c r="C76" i="32"/>
  <c r="D75" i="32"/>
  <c r="C75" i="32"/>
  <c r="D74" i="32"/>
  <c r="C74" i="32"/>
  <c r="D73" i="32"/>
  <c r="C73" i="32"/>
  <c r="D72" i="32"/>
  <c r="C72" i="32"/>
  <c r="D71" i="32"/>
  <c r="C71" i="32"/>
  <c r="D70" i="32"/>
  <c r="C70" i="32"/>
  <c r="D69" i="32"/>
  <c r="C69" i="32"/>
  <c r="D68" i="32"/>
  <c r="C68" i="32"/>
  <c r="D67" i="32"/>
  <c r="C67" i="32"/>
  <c r="D66" i="32"/>
  <c r="C66" i="32"/>
  <c r="D65" i="32"/>
  <c r="C65" i="32"/>
  <c r="D64" i="32"/>
  <c r="C64" i="32"/>
  <c r="D60" i="32"/>
  <c r="C60" i="32"/>
  <c r="D59" i="32"/>
  <c r="C59" i="32"/>
  <c r="D58" i="32"/>
  <c r="C58" i="32"/>
  <c r="D57" i="32"/>
  <c r="C57" i="32"/>
  <c r="D56" i="32"/>
  <c r="C56" i="32"/>
  <c r="D55" i="32"/>
  <c r="C55" i="32"/>
  <c r="D54" i="32"/>
  <c r="C54" i="32"/>
  <c r="D53" i="32"/>
  <c r="C53" i="32"/>
  <c r="D52" i="32"/>
  <c r="C52" i="32"/>
  <c r="D51" i="32"/>
  <c r="C51" i="32"/>
  <c r="D50" i="32"/>
  <c r="C50" i="32"/>
  <c r="D49" i="32"/>
  <c r="C49" i="32"/>
  <c r="D48" i="32"/>
  <c r="C48" i="32"/>
  <c r="D47" i="32"/>
  <c r="C47" i="32"/>
  <c r="D46" i="32"/>
  <c r="C46" i="32"/>
  <c r="D45" i="32"/>
  <c r="C45" i="32"/>
  <c r="D44" i="32"/>
  <c r="C44" i="32"/>
  <c r="D43" i="32"/>
  <c r="C43" i="32"/>
  <c r="D42" i="32"/>
  <c r="C42" i="32"/>
  <c r="D41" i="32"/>
  <c r="C41" i="32"/>
  <c r="D40" i="32"/>
  <c r="C40" i="32"/>
  <c r="D39" i="32"/>
  <c r="C39" i="32"/>
  <c r="D38" i="32"/>
  <c r="C38" i="32"/>
  <c r="D37" i="32"/>
  <c r="C37" i="32"/>
  <c r="D36" i="32"/>
  <c r="C36" i="32"/>
  <c r="D35" i="32"/>
  <c r="C35" i="32"/>
  <c r="D34" i="32"/>
  <c r="C34" i="32"/>
  <c r="D33" i="32"/>
  <c r="C33" i="32"/>
  <c r="D32" i="32"/>
  <c r="C32" i="32"/>
  <c r="D31" i="32"/>
  <c r="C31" i="32"/>
  <c r="D30" i="32"/>
  <c r="C30" i="32"/>
  <c r="D29" i="32"/>
  <c r="C29" i="32"/>
  <c r="D28" i="32"/>
  <c r="C28" i="32"/>
  <c r="D27" i="32"/>
  <c r="C27" i="32"/>
  <c r="D26" i="32"/>
  <c r="C26" i="32"/>
  <c r="D25" i="32"/>
  <c r="C25" i="32"/>
  <c r="D20" i="32"/>
  <c r="C20" i="32"/>
  <c r="D19" i="32"/>
  <c r="C19" i="32"/>
  <c r="D18" i="32"/>
  <c r="C18" i="32"/>
  <c r="D17" i="32"/>
  <c r="C17" i="32"/>
  <c r="D16" i="32"/>
  <c r="C16" i="32"/>
  <c r="D15" i="32"/>
  <c r="C15" i="32"/>
  <c r="D14" i="32"/>
  <c r="C14" i="32"/>
  <c r="D13" i="32"/>
  <c r="C13" i="32"/>
  <c r="D12" i="32"/>
  <c r="C12" i="32"/>
  <c r="D11" i="32"/>
  <c r="C11" i="32"/>
  <c r="G244" i="141"/>
  <c r="G243" i="141"/>
  <c r="G242" i="141"/>
  <c r="G241" i="141"/>
  <c r="C238" i="141"/>
  <c r="C237" i="141"/>
  <c r="C236" i="141"/>
  <c r="C235" i="141"/>
  <c r="C233" i="141"/>
  <c r="E233" i="141"/>
  <c r="C232" i="141"/>
  <c r="C231" i="141"/>
  <c r="D228" i="141"/>
  <c r="C227" i="141"/>
  <c r="E227" i="141"/>
  <c r="C226" i="141"/>
  <c r="C225" i="141"/>
  <c r="C224" i="141"/>
  <c r="C223" i="141"/>
  <c r="C222" i="141"/>
  <c r="C221" i="141"/>
  <c r="C220" i="141"/>
  <c r="C219" i="141"/>
  <c r="C211" i="141"/>
  <c r="D205" i="141"/>
  <c r="C205" i="141"/>
  <c r="D204" i="141"/>
  <c r="C204" i="141"/>
  <c r="D203" i="141"/>
  <c r="C203" i="141"/>
  <c r="D202" i="141"/>
  <c r="C202" i="141"/>
  <c r="D201" i="141"/>
  <c r="C201" i="141"/>
  <c r="D200" i="141"/>
  <c r="C200" i="141"/>
  <c r="D196" i="141"/>
  <c r="C196" i="141"/>
  <c r="D195" i="141"/>
  <c r="C195" i="141"/>
  <c r="D194" i="141"/>
  <c r="C194" i="141"/>
  <c r="D193" i="141"/>
  <c r="C193" i="141"/>
  <c r="D192" i="141"/>
  <c r="C192" i="141"/>
  <c r="D191" i="141"/>
  <c r="C191" i="141"/>
  <c r="D190" i="141"/>
  <c r="C190" i="141"/>
  <c r="D189" i="141"/>
  <c r="C189" i="141"/>
  <c r="D188" i="141"/>
  <c r="C188" i="141"/>
  <c r="D187" i="141"/>
  <c r="C187" i="141"/>
  <c r="D186" i="141"/>
  <c r="C186" i="141"/>
  <c r="D185" i="141"/>
  <c r="C185" i="141"/>
  <c r="D184" i="141"/>
  <c r="C184" i="141"/>
  <c r="D183" i="141"/>
  <c r="C183" i="141"/>
  <c r="D182" i="141"/>
  <c r="C182" i="141"/>
  <c r="D181" i="141"/>
  <c r="C181" i="141"/>
  <c r="D180" i="141"/>
  <c r="C180" i="141"/>
  <c r="D179" i="141"/>
  <c r="C179" i="141"/>
  <c r="D178" i="141"/>
  <c r="C178" i="141"/>
  <c r="D177" i="141"/>
  <c r="C177" i="141"/>
  <c r="D176" i="141"/>
  <c r="C176" i="141"/>
  <c r="D175" i="141"/>
  <c r="C175" i="141"/>
  <c r="D174" i="141"/>
  <c r="C174" i="141"/>
  <c r="D173" i="141"/>
  <c r="C173" i="141"/>
  <c r="D172" i="141"/>
  <c r="C172" i="141"/>
  <c r="D171" i="141"/>
  <c r="C171" i="141"/>
  <c r="D170" i="141"/>
  <c r="C170" i="141"/>
  <c r="D169" i="141"/>
  <c r="C169" i="141"/>
  <c r="D168" i="141"/>
  <c r="C168" i="141"/>
  <c r="D167" i="141"/>
  <c r="C167" i="141"/>
  <c r="D166" i="141"/>
  <c r="C166" i="141"/>
  <c r="D165" i="141"/>
  <c r="C165" i="141"/>
  <c r="D164" i="141"/>
  <c r="C164" i="141"/>
  <c r="D160" i="141"/>
  <c r="C160" i="141"/>
  <c r="D159" i="141"/>
  <c r="C159" i="141"/>
  <c r="D158" i="141"/>
  <c r="C158" i="141"/>
  <c r="D157" i="141"/>
  <c r="C157" i="141"/>
  <c r="D156" i="141"/>
  <c r="C156" i="141"/>
  <c r="D155" i="141"/>
  <c r="C155" i="141"/>
  <c r="D153" i="141"/>
  <c r="C153" i="141"/>
  <c r="D152" i="141"/>
  <c r="C152" i="141"/>
  <c r="D151" i="141"/>
  <c r="C151" i="141"/>
  <c r="D150" i="141"/>
  <c r="C150" i="141"/>
  <c r="D149" i="141"/>
  <c r="C149" i="141"/>
  <c r="D148" i="141"/>
  <c r="C148" i="141"/>
  <c r="D147" i="141"/>
  <c r="C147" i="141"/>
  <c r="D146" i="141"/>
  <c r="C146" i="141"/>
  <c r="D145" i="141"/>
  <c r="C145" i="141"/>
  <c r="D143" i="141"/>
  <c r="C143" i="141"/>
  <c r="D142" i="141"/>
  <c r="C142" i="141"/>
  <c r="D141" i="141"/>
  <c r="C141" i="141"/>
  <c r="D140" i="141"/>
  <c r="C140" i="141"/>
  <c r="D138" i="141"/>
  <c r="C138" i="141"/>
  <c r="D137" i="141"/>
  <c r="C137" i="141"/>
  <c r="D136" i="141"/>
  <c r="C136" i="141"/>
  <c r="D135" i="141"/>
  <c r="C135" i="141"/>
  <c r="D133" i="141"/>
  <c r="C133" i="141"/>
  <c r="D132" i="141"/>
  <c r="C132" i="141"/>
  <c r="D131" i="141"/>
  <c r="C131" i="141"/>
  <c r="D130" i="141"/>
  <c r="C130" i="141"/>
  <c r="D129" i="141"/>
  <c r="C129" i="141"/>
  <c r="D127" i="141"/>
  <c r="C127" i="141"/>
  <c r="D126" i="141"/>
  <c r="C126" i="141"/>
  <c r="D125" i="141"/>
  <c r="C125" i="141"/>
  <c r="D124" i="141"/>
  <c r="C124" i="141"/>
  <c r="D123" i="141"/>
  <c r="C123" i="141"/>
  <c r="D118" i="141"/>
  <c r="C118" i="141"/>
  <c r="D117" i="141"/>
  <c r="C117" i="141"/>
  <c r="D116" i="141"/>
  <c r="C116" i="141"/>
  <c r="D115" i="141"/>
  <c r="C115" i="141"/>
  <c r="D114" i="141"/>
  <c r="C114" i="141"/>
  <c r="D110" i="141"/>
  <c r="C110" i="141"/>
  <c r="D109" i="141"/>
  <c r="C109" i="141"/>
  <c r="D108" i="141"/>
  <c r="C108" i="141"/>
  <c r="D107" i="141"/>
  <c r="C107" i="141"/>
  <c r="D106" i="141"/>
  <c r="C106" i="141"/>
  <c r="D105" i="141"/>
  <c r="C105" i="141"/>
  <c r="D101" i="141"/>
  <c r="C101" i="141"/>
  <c r="D100" i="141"/>
  <c r="C100" i="141"/>
  <c r="D99" i="141"/>
  <c r="C99" i="141"/>
  <c r="D98" i="141"/>
  <c r="C98" i="141"/>
  <c r="D97" i="141"/>
  <c r="C97" i="141"/>
  <c r="D96" i="141"/>
  <c r="C96" i="141"/>
  <c r="D92" i="141"/>
  <c r="C92" i="141"/>
  <c r="D91" i="141"/>
  <c r="C91" i="141"/>
  <c r="D90" i="141"/>
  <c r="C90" i="141"/>
  <c r="D89" i="141"/>
  <c r="C89" i="141"/>
  <c r="D88" i="141"/>
  <c r="C88" i="141"/>
  <c r="D87" i="141"/>
  <c r="C87" i="141"/>
  <c r="D86" i="141"/>
  <c r="C86" i="141"/>
  <c r="D85" i="141"/>
  <c r="C85" i="141"/>
  <c r="D84" i="141"/>
  <c r="C84" i="141"/>
  <c r="D83" i="141"/>
  <c r="C83" i="141"/>
  <c r="D82" i="141"/>
  <c r="C82" i="141"/>
  <c r="D78" i="141"/>
  <c r="C78" i="141"/>
  <c r="D77" i="141"/>
  <c r="C77" i="141"/>
  <c r="D76" i="141"/>
  <c r="C76" i="141"/>
  <c r="D75" i="141"/>
  <c r="C75" i="141"/>
  <c r="D74" i="141"/>
  <c r="C74" i="141"/>
  <c r="D73" i="141"/>
  <c r="C73" i="141"/>
  <c r="D72" i="141"/>
  <c r="C72" i="141"/>
  <c r="D71" i="141"/>
  <c r="C71" i="141"/>
  <c r="D70" i="141"/>
  <c r="C70" i="141"/>
  <c r="D69" i="141"/>
  <c r="C69" i="141"/>
  <c r="D68" i="141"/>
  <c r="C68" i="141"/>
  <c r="D67" i="141"/>
  <c r="C67" i="141"/>
  <c r="D66" i="141"/>
  <c r="C66" i="141"/>
  <c r="D65" i="141"/>
  <c r="C65" i="141"/>
  <c r="D64" i="141"/>
  <c r="C64" i="141"/>
  <c r="D60" i="141"/>
  <c r="C60" i="141"/>
  <c r="D59" i="141"/>
  <c r="C59" i="141"/>
  <c r="D58" i="141"/>
  <c r="C58" i="141"/>
  <c r="D57" i="141"/>
  <c r="C57" i="141"/>
  <c r="D56" i="141"/>
  <c r="C56" i="141"/>
  <c r="D55" i="141"/>
  <c r="C55" i="141"/>
  <c r="D54" i="141"/>
  <c r="C54" i="141"/>
  <c r="D53" i="141"/>
  <c r="C53" i="141"/>
  <c r="D52" i="141"/>
  <c r="C52" i="141"/>
  <c r="D51" i="141"/>
  <c r="C51" i="141"/>
  <c r="D50" i="141"/>
  <c r="C50" i="141"/>
  <c r="D49" i="141"/>
  <c r="C49" i="141"/>
  <c r="D48" i="141"/>
  <c r="C48" i="141"/>
  <c r="D47" i="141"/>
  <c r="C47" i="141"/>
  <c r="D46" i="141"/>
  <c r="C46" i="141"/>
  <c r="D45" i="141"/>
  <c r="C45" i="141"/>
  <c r="D44" i="141"/>
  <c r="C44" i="141"/>
  <c r="D43" i="141"/>
  <c r="C43" i="141"/>
  <c r="D42" i="141"/>
  <c r="C42" i="141"/>
  <c r="D41" i="141"/>
  <c r="C41" i="141"/>
  <c r="D40" i="141"/>
  <c r="C40" i="141"/>
  <c r="D39" i="141"/>
  <c r="C39" i="141"/>
  <c r="D38" i="141"/>
  <c r="C38" i="141"/>
  <c r="D37" i="141"/>
  <c r="C37" i="141"/>
  <c r="D36" i="141"/>
  <c r="C36" i="141"/>
  <c r="D35" i="141"/>
  <c r="C35" i="141"/>
  <c r="D34" i="141"/>
  <c r="C34" i="141"/>
  <c r="D33" i="141"/>
  <c r="C33" i="141"/>
  <c r="D32" i="141"/>
  <c r="C32" i="141"/>
  <c r="D31" i="141"/>
  <c r="C31" i="141"/>
  <c r="D30" i="141"/>
  <c r="C30" i="141"/>
  <c r="D29" i="141"/>
  <c r="C29" i="141"/>
  <c r="D28" i="141"/>
  <c r="C28" i="141"/>
  <c r="D27" i="141"/>
  <c r="C27" i="141"/>
  <c r="D26" i="141"/>
  <c r="C26" i="141"/>
  <c r="D25" i="141"/>
  <c r="C25" i="141"/>
  <c r="D20" i="141"/>
  <c r="C20" i="141"/>
  <c r="D19" i="141"/>
  <c r="C19" i="141"/>
  <c r="D18" i="141"/>
  <c r="C18" i="141"/>
  <c r="D17" i="141"/>
  <c r="C17" i="141"/>
  <c r="D16" i="141"/>
  <c r="C16" i="141"/>
  <c r="D15" i="141"/>
  <c r="C15" i="141"/>
  <c r="D14" i="141"/>
  <c r="C14" i="141"/>
  <c r="D13" i="141"/>
  <c r="C13" i="141"/>
  <c r="D12" i="141"/>
  <c r="C12" i="141"/>
  <c r="D11" i="141"/>
  <c r="C11" i="141"/>
  <c r="G244" i="24"/>
  <c r="G243" i="24"/>
  <c r="G242" i="24"/>
  <c r="G241" i="24"/>
  <c r="C238" i="24"/>
  <c r="C237" i="24"/>
  <c r="C236" i="24"/>
  <c r="C235" i="24"/>
  <c r="C233" i="24"/>
  <c r="E233" i="24"/>
  <c r="C232" i="24"/>
  <c r="C231" i="24"/>
  <c r="D228" i="24"/>
  <c r="C227" i="24"/>
  <c r="C226" i="24"/>
  <c r="C225" i="24"/>
  <c r="C224" i="24"/>
  <c r="C223" i="24"/>
  <c r="E223" i="24"/>
  <c r="C222" i="24"/>
  <c r="C221" i="24"/>
  <c r="C220" i="24"/>
  <c r="C219" i="24"/>
  <c r="C211" i="24"/>
  <c r="D205" i="24"/>
  <c r="C205" i="24"/>
  <c r="D204" i="24"/>
  <c r="C204" i="24"/>
  <c r="D203" i="24"/>
  <c r="C203" i="24"/>
  <c r="D202" i="24"/>
  <c r="C202" i="24"/>
  <c r="D201" i="24"/>
  <c r="C201" i="24"/>
  <c r="D200" i="24"/>
  <c r="C200" i="24"/>
  <c r="D196" i="24"/>
  <c r="C196" i="24"/>
  <c r="D195" i="24"/>
  <c r="C195" i="24"/>
  <c r="D194" i="24"/>
  <c r="C194" i="24"/>
  <c r="D193" i="24"/>
  <c r="C193" i="24"/>
  <c r="D192" i="24"/>
  <c r="C192" i="24"/>
  <c r="D191" i="24"/>
  <c r="C191" i="24"/>
  <c r="D190" i="24"/>
  <c r="C190" i="24"/>
  <c r="D189" i="24"/>
  <c r="C189" i="24"/>
  <c r="D188" i="24"/>
  <c r="C188" i="24"/>
  <c r="D187" i="24"/>
  <c r="C187" i="24"/>
  <c r="D186" i="24"/>
  <c r="C186" i="24"/>
  <c r="D185" i="24"/>
  <c r="C185" i="24"/>
  <c r="D184" i="24"/>
  <c r="C184" i="24"/>
  <c r="D183" i="24"/>
  <c r="C183" i="24"/>
  <c r="D182" i="24"/>
  <c r="C182" i="24"/>
  <c r="D181" i="24"/>
  <c r="C181" i="24"/>
  <c r="D180" i="24"/>
  <c r="C180" i="24"/>
  <c r="D179" i="24"/>
  <c r="C179" i="24"/>
  <c r="D178" i="24"/>
  <c r="C178" i="24"/>
  <c r="D177" i="24"/>
  <c r="C177" i="24"/>
  <c r="D176" i="24"/>
  <c r="C176" i="24"/>
  <c r="D175" i="24"/>
  <c r="C175" i="24"/>
  <c r="D174" i="24"/>
  <c r="C174" i="24"/>
  <c r="D173" i="24"/>
  <c r="C173" i="24"/>
  <c r="D172" i="24"/>
  <c r="C172" i="24"/>
  <c r="D171" i="24"/>
  <c r="C171" i="24"/>
  <c r="D170" i="24"/>
  <c r="C170" i="24"/>
  <c r="D169" i="24"/>
  <c r="C169" i="24"/>
  <c r="D168" i="24"/>
  <c r="C168" i="24"/>
  <c r="D167" i="24"/>
  <c r="C167" i="24"/>
  <c r="D166" i="24"/>
  <c r="C166" i="24"/>
  <c r="D165" i="24"/>
  <c r="C165" i="24"/>
  <c r="D164" i="24"/>
  <c r="C164" i="24"/>
  <c r="D160" i="24"/>
  <c r="C160" i="24"/>
  <c r="D159" i="24"/>
  <c r="C159" i="24"/>
  <c r="D158" i="24"/>
  <c r="C158" i="24"/>
  <c r="D157" i="24"/>
  <c r="C157" i="24"/>
  <c r="D156" i="24"/>
  <c r="C156" i="24"/>
  <c r="D155" i="24"/>
  <c r="C155" i="24"/>
  <c r="D153" i="24"/>
  <c r="C153" i="24"/>
  <c r="D152" i="24"/>
  <c r="C152" i="24"/>
  <c r="D151" i="24"/>
  <c r="C151" i="24"/>
  <c r="D150" i="24"/>
  <c r="C150" i="24"/>
  <c r="D149" i="24"/>
  <c r="C149" i="24"/>
  <c r="D148" i="24"/>
  <c r="C148" i="24"/>
  <c r="D147" i="24"/>
  <c r="C147" i="24"/>
  <c r="D146" i="24"/>
  <c r="C146" i="24"/>
  <c r="D145" i="24"/>
  <c r="C145" i="24"/>
  <c r="D143" i="24"/>
  <c r="C143" i="24"/>
  <c r="D142" i="24"/>
  <c r="C142" i="24"/>
  <c r="D141" i="24"/>
  <c r="C141" i="24"/>
  <c r="D140" i="24"/>
  <c r="C140" i="24"/>
  <c r="D138" i="24"/>
  <c r="C138" i="24"/>
  <c r="D137" i="24"/>
  <c r="C137" i="24"/>
  <c r="D136" i="24"/>
  <c r="C136" i="24"/>
  <c r="D135" i="24"/>
  <c r="C135" i="24"/>
  <c r="D133" i="24"/>
  <c r="C133" i="24"/>
  <c r="D132" i="24"/>
  <c r="C132" i="24"/>
  <c r="D131" i="24"/>
  <c r="C131" i="24"/>
  <c r="D130" i="24"/>
  <c r="C130" i="24"/>
  <c r="D129" i="24"/>
  <c r="C129" i="24"/>
  <c r="D127" i="24"/>
  <c r="C127" i="24"/>
  <c r="D126" i="24"/>
  <c r="C126" i="24"/>
  <c r="D125" i="24"/>
  <c r="C125" i="24"/>
  <c r="D124" i="24"/>
  <c r="C124" i="24"/>
  <c r="D123" i="24"/>
  <c r="C123" i="24"/>
  <c r="D118" i="24"/>
  <c r="C118" i="24"/>
  <c r="D117" i="24"/>
  <c r="C117" i="24"/>
  <c r="D116" i="24"/>
  <c r="C116" i="24"/>
  <c r="D115" i="24"/>
  <c r="C115" i="24"/>
  <c r="D114" i="24"/>
  <c r="C114" i="24"/>
  <c r="D110" i="24"/>
  <c r="C110" i="24"/>
  <c r="D109" i="24"/>
  <c r="C109" i="24"/>
  <c r="D108" i="24"/>
  <c r="C108" i="24"/>
  <c r="D107" i="24"/>
  <c r="C107" i="24"/>
  <c r="D106" i="24"/>
  <c r="C106" i="24"/>
  <c r="D105" i="24"/>
  <c r="C105" i="24"/>
  <c r="D101" i="24"/>
  <c r="C101" i="24"/>
  <c r="D100" i="24"/>
  <c r="C100" i="24"/>
  <c r="D99" i="24"/>
  <c r="C99" i="24"/>
  <c r="D98" i="24"/>
  <c r="C98" i="24"/>
  <c r="D97" i="24"/>
  <c r="C97" i="24"/>
  <c r="D96" i="24"/>
  <c r="C96" i="24"/>
  <c r="D92" i="24"/>
  <c r="C92" i="24"/>
  <c r="D91" i="24"/>
  <c r="C91" i="24"/>
  <c r="D90" i="24"/>
  <c r="C90" i="24"/>
  <c r="D89" i="24"/>
  <c r="C89" i="24"/>
  <c r="D88" i="24"/>
  <c r="C88" i="24"/>
  <c r="D87" i="24"/>
  <c r="C87" i="24"/>
  <c r="D86" i="24"/>
  <c r="C86" i="24"/>
  <c r="D85" i="24"/>
  <c r="C85" i="24"/>
  <c r="D84" i="24"/>
  <c r="C84" i="24"/>
  <c r="D83" i="24"/>
  <c r="C83" i="24"/>
  <c r="D82" i="24"/>
  <c r="C82" i="24"/>
  <c r="D78" i="24"/>
  <c r="C78" i="24"/>
  <c r="D77" i="24"/>
  <c r="C77" i="24"/>
  <c r="D76" i="24"/>
  <c r="C76" i="24"/>
  <c r="D75" i="24"/>
  <c r="C75" i="24"/>
  <c r="D74" i="24"/>
  <c r="C74" i="24"/>
  <c r="D73" i="24"/>
  <c r="C73" i="24"/>
  <c r="D72" i="24"/>
  <c r="C72" i="24"/>
  <c r="D71" i="24"/>
  <c r="C71" i="24"/>
  <c r="D70" i="24"/>
  <c r="C70" i="24"/>
  <c r="D69" i="24"/>
  <c r="C69" i="24"/>
  <c r="D68" i="24"/>
  <c r="C68" i="24"/>
  <c r="D67" i="24"/>
  <c r="C67" i="24"/>
  <c r="D66" i="24"/>
  <c r="C66" i="24"/>
  <c r="D65" i="24"/>
  <c r="C65" i="24"/>
  <c r="D64" i="24"/>
  <c r="C64" i="24"/>
  <c r="D60" i="24"/>
  <c r="C60" i="24"/>
  <c r="D59" i="24"/>
  <c r="C59" i="24"/>
  <c r="D58" i="24"/>
  <c r="C58" i="24"/>
  <c r="D57" i="24"/>
  <c r="C57" i="24"/>
  <c r="D56" i="24"/>
  <c r="C56" i="24"/>
  <c r="D55" i="24"/>
  <c r="C55" i="24"/>
  <c r="D54" i="24"/>
  <c r="C54" i="24"/>
  <c r="D53" i="24"/>
  <c r="C53" i="24"/>
  <c r="D52" i="24"/>
  <c r="C52" i="24"/>
  <c r="D51" i="24"/>
  <c r="C51" i="24"/>
  <c r="D50" i="24"/>
  <c r="C50" i="24"/>
  <c r="D49" i="24"/>
  <c r="C49" i="24"/>
  <c r="D48" i="24"/>
  <c r="C48" i="24"/>
  <c r="D47" i="24"/>
  <c r="C47" i="24"/>
  <c r="D46" i="24"/>
  <c r="C46" i="24"/>
  <c r="D45" i="24"/>
  <c r="C45" i="24"/>
  <c r="D44" i="24"/>
  <c r="C44" i="24"/>
  <c r="D43" i="24"/>
  <c r="C43" i="24"/>
  <c r="D42" i="24"/>
  <c r="C42" i="24"/>
  <c r="D41" i="24"/>
  <c r="C41" i="24"/>
  <c r="D40" i="24"/>
  <c r="C40" i="24"/>
  <c r="D39" i="24"/>
  <c r="C39" i="24"/>
  <c r="D38" i="24"/>
  <c r="C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0" i="24"/>
  <c r="C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D11" i="24"/>
  <c r="C11" i="24"/>
  <c r="G244" i="90"/>
  <c r="G243" i="90"/>
  <c r="G242" i="90"/>
  <c r="G241" i="90"/>
  <c r="C238" i="90"/>
  <c r="C237" i="90"/>
  <c r="C236" i="90"/>
  <c r="C235" i="90"/>
  <c r="C233" i="90"/>
  <c r="C232" i="90"/>
  <c r="C231" i="90"/>
  <c r="D228" i="90"/>
  <c r="C227" i="90"/>
  <c r="C226" i="90"/>
  <c r="C225" i="90"/>
  <c r="C224" i="90"/>
  <c r="C223" i="90"/>
  <c r="C222" i="90"/>
  <c r="C221" i="90"/>
  <c r="C220" i="90"/>
  <c r="C219" i="90"/>
  <c r="C211" i="90"/>
  <c r="D205" i="90"/>
  <c r="C205" i="90"/>
  <c r="D204" i="90"/>
  <c r="C204" i="90"/>
  <c r="D203" i="90"/>
  <c r="C203" i="90"/>
  <c r="D202" i="90"/>
  <c r="C202" i="90"/>
  <c r="D201" i="90"/>
  <c r="C201" i="90"/>
  <c r="D200" i="90"/>
  <c r="C200" i="90"/>
  <c r="D196" i="90"/>
  <c r="C196" i="90"/>
  <c r="D195" i="90"/>
  <c r="C195" i="90"/>
  <c r="D194" i="90"/>
  <c r="C194" i="90"/>
  <c r="D193" i="90"/>
  <c r="C193" i="90"/>
  <c r="D192" i="90"/>
  <c r="C192" i="90"/>
  <c r="D191" i="90"/>
  <c r="C191" i="90"/>
  <c r="D190" i="90"/>
  <c r="C190" i="90"/>
  <c r="D189" i="90"/>
  <c r="C189" i="90"/>
  <c r="D188" i="90"/>
  <c r="C188" i="90"/>
  <c r="D187" i="90"/>
  <c r="C187" i="90"/>
  <c r="D186" i="90"/>
  <c r="C186" i="90"/>
  <c r="D185" i="90"/>
  <c r="C185" i="90"/>
  <c r="D184" i="90"/>
  <c r="C184" i="90"/>
  <c r="D183" i="90"/>
  <c r="C183" i="90"/>
  <c r="D182" i="90"/>
  <c r="C182" i="90"/>
  <c r="D181" i="90"/>
  <c r="C181" i="90"/>
  <c r="D180" i="90"/>
  <c r="C180" i="90"/>
  <c r="D179" i="90"/>
  <c r="C179" i="90"/>
  <c r="D178" i="90"/>
  <c r="C178" i="90"/>
  <c r="D177" i="90"/>
  <c r="C177" i="90"/>
  <c r="D176" i="90"/>
  <c r="C176" i="90"/>
  <c r="D175" i="90"/>
  <c r="C175" i="90"/>
  <c r="D174" i="90"/>
  <c r="C174" i="90"/>
  <c r="D173" i="90"/>
  <c r="C173" i="90"/>
  <c r="D172" i="90"/>
  <c r="C172" i="90"/>
  <c r="D171" i="90"/>
  <c r="C171" i="90"/>
  <c r="D170" i="90"/>
  <c r="C170" i="90"/>
  <c r="D169" i="90"/>
  <c r="C169" i="90"/>
  <c r="D168" i="90"/>
  <c r="C168" i="90"/>
  <c r="D167" i="90"/>
  <c r="C167" i="90"/>
  <c r="D166" i="90"/>
  <c r="C166" i="90"/>
  <c r="D165" i="90"/>
  <c r="C165" i="90"/>
  <c r="D164" i="90"/>
  <c r="C164" i="90"/>
  <c r="D160" i="90"/>
  <c r="C160" i="90"/>
  <c r="D159" i="90"/>
  <c r="C159" i="90"/>
  <c r="D158" i="90"/>
  <c r="C158" i="90"/>
  <c r="D157" i="90"/>
  <c r="C157" i="90"/>
  <c r="D156" i="90"/>
  <c r="C156" i="90"/>
  <c r="D155" i="90"/>
  <c r="C155" i="90"/>
  <c r="D153" i="90"/>
  <c r="C153" i="90"/>
  <c r="D152" i="90"/>
  <c r="C152" i="90"/>
  <c r="D151" i="90"/>
  <c r="C151" i="90"/>
  <c r="D150" i="90"/>
  <c r="C150" i="90"/>
  <c r="D149" i="90"/>
  <c r="C149" i="90"/>
  <c r="D148" i="90"/>
  <c r="C148" i="90"/>
  <c r="D147" i="90"/>
  <c r="C147" i="90"/>
  <c r="D146" i="90"/>
  <c r="C146" i="90"/>
  <c r="D145" i="90"/>
  <c r="C145" i="90"/>
  <c r="D143" i="90"/>
  <c r="C143" i="90"/>
  <c r="D142" i="90"/>
  <c r="C142" i="90"/>
  <c r="D141" i="90"/>
  <c r="C141" i="90"/>
  <c r="D140" i="90"/>
  <c r="C140" i="90"/>
  <c r="D138" i="90"/>
  <c r="C138" i="90"/>
  <c r="D137" i="90"/>
  <c r="C137" i="90"/>
  <c r="D136" i="90"/>
  <c r="C136" i="90"/>
  <c r="D135" i="90"/>
  <c r="C135" i="90"/>
  <c r="D133" i="90"/>
  <c r="C133" i="90"/>
  <c r="D132" i="90"/>
  <c r="C132" i="90"/>
  <c r="D131" i="90"/>
  <c r="C131" i="90"/>
  <c r="D130" i="90"/>
  <c r="C130" i="90"/>
  <c r="D129" i="90"/>
  <c r="C129" i="90"/>
  <c r="D127" i="90"/>
  <c r="C127" i="90"/>
  <c r="D126" i="90"/>
  <c r="C126" i="90"/>
  <c r="D125" i="90"/>
  <c r="C125" i="90"/>
  <c r="D124" i="90"/>
  <c r="C124" i="90"/>
  <c r="D123" i="90"/>
  <c r="C123" i="90"/>
  <c r="D118" i="90"/>
  <c r="C118" i="90"/>
  <c r="D117" i="90"/>
  <c r="C117" i="90"/>
  <c r="D116" i="90"/>
  <c r="C116" i="90"/>
  <c r="D115" i="90"/>
  <c r="C115" i="90"/>
  <c r="D114" i="90"/>
  <c r="C114" i="90"/>
  <c r="D110" i="90"/>
  <c r="C110" i="90"/>
  <c r="D109" i="90"/>
  <c r="C109" i="90"/>
  <c r="D108" i="90"/>
  <c r="C108" i="90"/>
  <c r="D107" i="90"/>
  <c r="C107" i="90"/>
  <c r="D106" i="90"/>
  <c r="C106" i="90"/>
  <c r="D105" i="90"/>
  <c r="C105" i="90"/>
  <c r="D101" i="90"/>
  <c r="C101" i="90"/>
  <c r="D100" i="90"/>
  <c r="C100" i="90"/>
  <c r="D99" i="90"/>
  <c r="C99" i="90"/>
  <c r="D98" i="90"/>
  <c r="C98" i="90"/>
  <c r="D97" i="90"/>
  <c r="C97" i="90"/>
  <c r="D96" i="90"/>
  <c r="C96" i="90"/>
  <c r="D92" i="90"/>
  <c r="C92" i="90"/>
  <c r="D91" i="90"/>
  <c r="C91" i="90"/>
  <c r="D90" i="90"/>
  <c r="C90" i="90"/>
  <c r="D89" i="90"/>
  <c r="C89" i="90"/>
  <c r="D88" i="90"/>
  <c r="C88" i="90"/>
  <c r="D87" i="90"/>
  <c r="C87" i="90"/>
  <c r="D86" i="90"/>
  <c r="C86" i="90"/>
  <c r="D85" i="90"/>
  <c r="C85" i="90"/>
  <c r="D84" i="90"/>
  <c r="C84" i="90"/>
  <c r="D83" i="90"/>
  <c r="C83" i="90"/>
  <c r="D82" i="90"/>
  <c r="C82" i="90"/>
  <c r="D78" i="90"/>
  <c r="C78" i="90"/>
  <c r="D77" i="90"/>
  <c r="C77" i="90"/>
  <c r="D76" i="90"/>
  <c r="C76" i="90"/>
  <c r="D75" i="90"/>
  <c r="C75" i="90"/>
  <c r="D74" i="90"/>
  <c r="C74" i="90"/>
  <c r="D73" i="90"/>
  <c r="C73" i="90"/>
  <c r="D72" i="90"/>
  <c r="C72" i="90"/>
  <c r="D71" i="90"/>
  <c r="C71" i="90"/>
  <c r="D70" i="90"/>
  <c r="C70" i="90"/>
  <c r="D69" i="90"/>
  <c r="C69" i="90"/>
  <c r="D68" i="90"/>
  <c r="C68" i="90"/>
  <c r="D67" i="90"/>
  <c r="C67" i="90"/>
  <c r="D66" i="90"/>
  <c r="C66" i="90"/>
  <c r="D65" i="90"/>
  <c r="C65" i="90"/>
  <c r="D64" i="90"/>
  <c r="C64" i="90"/>
  <c r="D60" i="90"/>
  <c r="C60" i="90"/>
  <c r="D59" i="90"/>
  <c r="C59" i="90"/>
  <c r="D58" i="90"/>
  <c r="C58" i="90"/>
  <c r="D57" i="90"/>
  <c r="C57" i="90"/>
  <c r="D56" i="90"/>
  <c r="C56" i="90"/>
  <c r="D55" i="90"/>
  <c r="C55" i="90"/>
  <c r="D54" i="90"/>
  <c r="C54" i="90"/>
  <c r="D53" i="90"/>
  <c r="C53" i="90"/>
  <c r="D52" i="90"/>
  <c r="C52" i="90"/>
  <c r="D51" i="90"/>
  <c r="C51" i="90"/>
  <c r="D50" i="90"/>
  <c r="C50" i="90"/>
  <c r="D49" i="90"/>
  <c r="C49" i="90"/>
  <c r="D48" i="90"/>
  <c r="C48" i="90"/>
  <c r="D47" i="90"/>
  <c r="C47" i="90"/>
  <c r="D46" i="90"/>
  <c r="C46" i="90"/>
  <c r="D45" i="90"/>
  <c r="C45" i="90"/>
  <c r="D44" i="90"/>
  <c r="C44" i="90"/>
  <c r="D43" i="90"/>
  <c r="C43" i="90"/>
  <c r="D42" i="90"/>
  <c r="C42" i="90"/>
  <c r="D41" i="90"/>
  <c r="C41" i="90"/>
  <c r="D40" i="90"/>
  <c r="C40" i="90"/>
  <c r="D39" i="90"/>
  <c r="C39" i="90"/>
  <c r="D38" i="90"/>
  <c r="C38" i="90"/>
  <c r="D37" i="90"/>
  <c r="C37" i="90"/>
  <c r="D36" i="90"/>
  <c r="C36" i="90"/>
  <c r="D35" i="90"/>
  <c r="C35" i="90"/>
  <c r="D34" i="90"/>
  <c r="C34" i="90"/>
  <c r="D33" i="90"/>
  <c r="C33" i="90"/>
  <c r="D32" i="90"/>
  <c r="C32" i="90"/>
  <c r="D31" i="90"/>
  <c r="C31" i="90"/>
  <c r="D30" i="90"/>
  <c r="C30" i="90"/>
  <c r="D29" i="90"/>
  <c r="C29" i="90"/>
  <c r="D28" i="90"/>
  <c r="C28" i="90"/>
  <c r="D27" i="90"/>
  <c r="C27" i="90"/>
  <c r="D26" i="90"/>
  <c r="C26" i="90"/>
  <c r="D25" i="90"/>
  <c r="C25" i="90"/>
  <c r="D20" i="90"/>
  <c r="C20" i="90"/>
  <c r="D19" i="90"/>
  <c r="C19" i="90"/>
  <c r="D18" i="90"/>
  <c r="C18" i="90"/>
  <c r="D17" i="90"/>
  <c r="C17" i="90"/>
  <c r="D16" i="90"/>
  <c r="C16" i="90"/>
  <c r="D15" i="90"/>
  <c r="C15" i="90"/>
  <c r="D14" i="90"/>
  <c r="C14" i="90"/>
  <c r="D13" i="90"/>
  <c r="C13" i="90"/>
  <c r="D12" i="90"/>
  <c r="C12" i="90"/>
  <c r="D11" i="90"/>
  <c r="C11" i="90"/>
  <c r="K200" i="37"/>
  <c r="J200" i="37"/>
  <c r="K172" i="37"/>
  <c r="K168" i="37"/>
  <c r="K166" i="37"/>
  <c r="J172" i="37"/>
  <c r="J168" i="37"/>
  <c r="J166" i="37"/>
  <c r="K138" i="37"/>
  <c r="K137" i="37"/>
  <c r="K136" i="37"/>
  <c r="K135" i="37"/>
  <c r="J138" i="37"/>
  <c r="J137" i="37"/>
  <c r="J136" i="37"/>
  <c r="J135" i="37"/>
  <c r="K127" i="37"/>
  <c r="K125" i="37"/>
  <c r="K124" i="37"/>
  <c r="J127" i="37"/>
  <c r="J125" i="37"/>
  <c r="J124" i="37"/>
  <c r="K96" i="37"/>
  <c r="J96" i="37"/>
  <c r="K82" i="37"/>
  <c r="J82" i="37"/>
  <c r="K27" i="37"/>
  <c r="K25" i="37"/>
  <c r="J27" i="37"/>
  <c r="J25" i="37"/>
  <c r="E233" i="37"/>
  <c r="E223" i="37"/>
  <c r="G223" i="37"/>
  <c r="E222" i="37"/>
  <c r="E221" i="37"/>
  <c r="E219" i="37"/>
  <c r="E193" i="37"/>
  <c r="E190" i="37"/>
  <c r="E188" i="37"/>
  <c r="G188" i="37"/>
  <c r="E176" i="37"/>
  <c r="E152" i="37"/>
  <c r="E148" i="37"/>
  <c r="G148" i="37"/>
  <c r="E135" i="37"/>
  <c r="E130" i="37"/>
  <c r="E124" i="37"/>
  <c r="E123" i="37"/>
  <c r="E118" i="37"/>
  <c r="G118" i="37"/>
  <c r="E115" i="37"/>
  <c r="G115" i="37"/>
  <c r="E109" i="37"/>
  <c r="E96" i="37"/>
  <c r="E74" i="37"/>
  <c r="E67" i="37"/>
  <c r="E60" i="37"/>
  <c r="E59" i="37"/>
  <c r="G59" i="37"/>
  <c r="E52" i="37"/>
  <c r="E49" i="37"/>
  <c r="E28" i="37"/>
  <c r="E18" i="37"/>
  <c r="E13" i="37"/>
  <c r="E12" i="37"/>
  <c r="G12" i="37"/>
  <c r="E11" i="37"/>
  <c r="G11" i="37"/>
  <c r="G244" i="120"/>
  <c r="G243" i="120"/>
  <c r="G242" i="120"/>
  <c r="G241" i="120"/>
  <c r="C238" i="120"/>
  <c r="C237" i="120"/>
  <c r="C236" i="120"/>
  <c r="C235" i="120"/>
  <c r="C233" i="120"/>
  <c r="C232" i="120"/>
  <c r="C231" i="120"/>
  <c r="D228" i="120"/>
  <c r="C227" i="120"/>
  <c r="C226" i="120"/>
  <c r="C225" i="120"/>
  <c r="C224" i="120"/>
  <c r="C223" i="120"/>
  <c r="C222" i="120"/>
  <c r="C221" i="120"/>
  <c r="C220" i="120"/>
  <c r="C219" i="120"/>
  <c r="C211" i="120"/>
  <c r="D205" i="120"/>
  <c r="C205" i="120"/>
  <c r="D204" i="120"/>
  <c r="C204" i="120"/>
  <c r="D203" i="120"/>
  <c r="C203" i="120"/>
  <c r="D202" i="120"/>
  <c r="C202" i="120"/>
  <c r="D201" i="120"/>
  <c r="C201" i="120"/>
  <c r="D200" i="120"/>
  <c r="C200" i="120"/>
  <c r="D196" i="120"/>
  <c r="C196" i="120"/>
  <c r="D195" i="120"/>
  <c r="C195" i="120"/>
  <c r="D194" i="120"/>
  <c r="C194" i="120"/>
  <c r="D193" i="120"/>
  <c r="C193" i="120"/>
  <c r="D192" i="120"/>
  <c r="C192" i="120"/>
  <c r="D191" i="120"/>
  <c r="C191" i="120"/>
  <c r="D190" i="120"/>
  <c r="C190" i="120"/>
  <c r="D189" i="120"/>
  <c r="C189" i="120"/>
  <c r="D188" i="120"/>
  <c r="C188" i="120"/>
  <c r="D187" i="120"/>
  <c r="C187" i="120"/>
  <c r="D186" i="120"/>
  <c r="C186" i="120"/>
  <c r="D185" i="120"/>
  <c r="C185" i="120"/>
  <c r="D184" i="120"/>
  <c r="C184" i="120"/>
  <c r="D183" i="120"/>
  <c r="C183" i="120"/>
  <c r="D182" i="120"/>
  <c r="C182" i="120"/>
  <c r="D181" i="120"/>
  <c r="C181" i="120"/>
  <c r="D180" i="120"/>
  <c r="C180" i="120"/>
  <c r="D179" i="120"/>
  <c r="C179" i="120"/>
  <c r="D178" i="120"/>
  <c r="C178" i="120"/>
  <c r="D177" i="120"/>
  <c r="C177" i="120"/>
  <c r="D176" i="120"/>
  <c r="C176" i="120"/>
  <c r="D175" i="120"/>
  <c r="C175" i="120"/>
  <c r="D174" i="120"/>
  <c r="C174" i="120"/>
  <c r="D173" i="120"/>
  <c r="C173" i="120"/>
  <c r="D172" i="120"/>
  <c r="C172" i="120"/>
  <c r="D171" i="120"/>
  <c r="C171" i="120"/>
  <c r="D170" i="120"/>
  <c r="C170" i="120"/>
  <c r="D169" i="120"/>
  <c r="C169" i="120"/>
  <c r="D168" i="120"/>
  <c r="C168" i="120"/>
  <c r="D167" i="120"/>
  <c r="C167" i="120"/>
  <c r="D166" i="120"/>
  <c r="C166" i="120"/>
  <c r="D165" i="120"/>
  <c r="C165" i="120"/>
  <c r="D164" i="120"/>
  <c r="C164" i="120"/>
  <c r="D160" i="120"/>
  <c r="C160" i="120"/>
  <c r="D159" i="120"/>
  <c r="C159" i="120"/>
  <c r="D158" i="120"/>
  <c r="C158" i="120"/>
  <c r="D157" i="120"/>
  <c r="C157" i="120"/>
  <c r="D156" i="120"/>
  <c r="C156" i="120"/>
  <c r="D155" i="120"/>
  <c r="C155" i="120"/>
  <c r="D153" i="120"/>
  <c r="C153" i="120"/>
  <c r="D152" i="120"/>
  <c r="C152" i="120"/>
  <c r="D151" i="120"/>
  <c r="C151" i="120"/>
  <c r="D150" i="120"/>
  <c r="C150" i="120"/>
  <c r="D149" i="120"/>
  <c r="C149" i="120"/>
  <c r="D148" i="120"/>
  <c r="C148" i="120"/>
  <c r="D147" i="120"/>
  <c r="C147" i="120"/>
  <c r="D146" i="120"/>
  <c r="C146" i="120"/>
  <c r="D145" i="120"/>
  <c r="C145" i="120"/>
  <c r="D143" i="120"/>
  <c r="C143" i="120"/>
  <c r="D142" i="120"/>
  <c r="C142" i="120"/>
  <c r="D141" i="120"/>
  <c r="C141" i="120"/>
  <c r="D140" i="120"/>
  <c r="C140" i="120"/>
  <c r="D138" i="120"/>
  <c r="C138" i="120"/>
  <c r="D137" i="120"/>
  <c r="C137" i="120"/>
  <c r="D136" i="120"/>
  <c r="C136" i="120"/>
  <c r="D135" i="120"/>
  <c r="C135" i="120"/>
  <c r="D133" i="120"/>
  <c r="C133" i="120"/>
  <c r="D132" i="120"/>
  <c r="C132" i="120"/>
  <c r="D131" i="120"/>
  <c r="C131" i="120"/>
  <c r="D130" i="120"/>
  <c r="C130" i="120"/>
  <c r="D129" i="120"/>
  <c r="C129" i="120"/>
  <c r="D127" i="120"/>
  <c r="C127" i="120"/>
  <c r="D126" i="120"/>
  <c r="C126" i="120"/>
  <c r="D125" i="120"/>
  <c r="C125" i="120"/>
  <c r="D124" i="120"/>
  <c r="C124" i="120"/>
  <c r="D123" i="120"/>
  <c r="C123" i="120"/>
  <c r="D118" i="120"/>
  <c r="C118" i="120"/>
  <c r="D117" i="120"/>
  <c r="C117" i="120"/>
  <c r="D116" i="120"/>
  <c r="C116" i="120"/>
  <c r="D115" i="120"/>
  <c r="C115" i="120"/>
  <c r="D114" i="120"/>
  <c r="C114" i="120"/>
  <c r="D110" i="120"/>
  <c r="C110" i="120"/>
  <c r="D109" i="120"/>
  <c r="C109" i="120"/>
  <c r="D108" i="120"/>
  <c r="C108" i="120"/>
  <c r="D107" i="120"/>
  <c r="C107" i="120"/>
  <c r="D106" i="120"/>
  <c r="C106" i="120"/>
  <c r="D105" i="120"/>
  <c r="C105" i="120"/>
  <c r="D101" i="120"/>
  <c r="C101" i="120"/>
  <c r="D100" i="120"/>
  <c r="C100" i="120"/>
  <c r="D99" i="120"/>
  <c r="C99" i="120"/>
  <c r="D98" i="120"/>
  <c r="C98" i="120"/>
  <c r="D97" i="120"/>
  <c r="C97" i="120"/>
  <c r="D96" i="120"/>
  <c r="C96" i="120"/>
  <c r="D92" i="120"/>
  <c r="C92" i="120"/>
  <c r="D91" i="120"/>
  <c r="C91" i="120"/>
  <c r="D90" i="120"/>
  <c r="C90" i="120"/>
  <c r="D89" i="120"/>
  <c r="C89" i="120"/>
  <c r="D88" i="120"/>
  <c r="C88" i="120"/>
  <c r="D87" i="120"/>
  <c r="C87" i="120"/>
  <c r="D86" i="120"/>
  <c r="C86" i="120"/>
  <c r="D85" i="120"/>
  <c r="C85" i="120"/>
  <c r="D84" i="120"/>
  <c r="C84" i="120"/>
  <c r="D83" i="120"/>
  <c r="C83" i="120"/>
  <c r="D82" i="120"/>
  <c r="C82" i="120"/>
  <c r="D78" i="120"/>
  <c r="C78" i="120"/>
  <c r="D77" i="120"/>
  <c r="C77" i="120"/>
  <c r="D76" i="120"/>
  <c r="C76" i="120"/>
  <c r="D75" i="120"/>
  <c r="C75" i="120"/>
  <c r="D74" i="120"/>
  <c r="C74" i="120"/>
  <c r="D73" i="120"/>
  <c r="C73" i="120"/>
  <c r="D72" i="120"/>
  <c r="C72" i="120"/>
  <c r="D71" i="120"/>
  <c r="C71" i="120"/>
  <c r="D70" i="120"/>
  <c r="C70" i="120"/>
  <c r="D69" i="120"/>
  <c r="C69" i="120"/>
  <c r="D68" i="120"/>
  <c r="C68" i="120"/>
  <c r="D67" i="120"/>
  <c r="C67" i="120"/>
  <c r="D66" i="120"/>
  <c r="C66" i="120"/>
  <c r="D65" i="120"/>
  <c r="C65" i="120"/>
  <c r="D64" i="120"/>
  <c r="C64" i="120"/>
  <c r="D60" i="120"/>
  <c r="C60" i="120"/>
  <c r="D59" i="120"/>
  <c r="C59" i="120"/>
  <c r="D58" i="120"/>
  <c r="C58" i="120"/>
  <c r="D57" i="120"/>
  <c r="C57" i="120"/>
  <c r="D56" i="120"/>
  <c r="C56" i="120"/>
  <c r="D55" i="120"/>
  <c r="C55" i="120"/>
  <c r="D54" i="120"/>
  <c r="C54" i="120"/>
  <c r="D53" i="120"/>
  <c r="C53" i="120"/>
  <c r="D52" i="120"/>
  <c r="C52" i="120"/>
  <c r="D51" i="120"/>
  <c r="C51" i="120"/>
  <c r="D50" i="120"/>
  <c r="C50" i="120"/>
  <c r="D49" i="120"/>
  <c r="C49" i="120"/>
  <c r="D48" i="120"/>
  <c r="C48" i="120"/>
  <c r="D47" i="120"/>
  <c r="C47" i="120"/>
  <c r="D46" i="120"/>
  <c r="C46" i="120"/>
  <c r="D45" i="120"/>
  <c r="C45" i="120"/>
  <c r="D44" i="120"/>
  <c r="C44" i="120"/>
  <c r="D43" i="120"/>
  <c r="C43" i="120"/>
  <c r="D42" i="120"/>
  <c r="C42" i="120"/>
  <c r="D41" i="120"/>
  <c r="C41" i="120"/>
  <c r="D40" i="120"/>
  <c r="C40" i="120"/>
  <c r="D39" i="120"/>
  <c r="C39" i="120"/>
  <c r="D38" i="120"/>
  <c r="C38" i="120"/>
  <c r="D37" i="120"/>
  <c r="C37" i="120"/>
  <c r="D36" i="120"/>
  <c r="C36" i="120"/>
  <c r="D35" i="120"/>
  <c r="C35" i="120"/>
  <c r="D34" i="120"/>
  <c r="C34" i="120"/>
  <c r="D33" i="120"/>
  <c r="C33" i="120"/>
  <c r="D32" i="120"/>
  <c r="C32" i="120"/>
  <c r="D31" i="120"/>
  <c r="C31" i="120"/>
  <c r="D30" i="120"/>
  <c r="C30" i="120"/>
  <c r="D29" i="120"/>
  <c r="C29" i="120"/>
  <c r="D28" i="120"/>
  <c r="C28" i="120"/>
  <c r="D27" i="120"/>
  <c r="C27" i="120"/>
  <c r="D26" i="120"/>
  <c r="C26" i="120"/>
  <c r="D25" i="120"/>
  <c r="C25" i="120"/>
  <c r="D20" i="120"/>
  <c r="C20" i="120"/>
  <c r="D19" i="120"/>
  <c r="C19" i="120"/>
  <c r="D18" i="120"/>
  <c r="C18" i="120"/>
  <c r="D17" i="120"/>
  <c r="C17" i="120"/>
  <c r="D16" i="120"/>
  <c r="C16" i="120"/>
  <c r="D15" i="120"/>
  <c r="C15" i="120"/>
  <c r="D14" i="120"/>
  <c r="C14" i="120"/>
  <c r="D13" i="120"/>
  <c r="C13" i="120"/>
  <c r="D12" i="120"/>
  <c r="C12" i="120"/>
  <c r="D11" i="120"/>
  <c r="C11" i="120"/>
  <c r="G244" i="152"/>
  <c r="G243" i="152"/>
  <c r="G242" i="152"/>
  <c r="G241" i="152"/>
  <c r="C238" i="152"/>
  <c r="C237" i="152"/>
  <c r="C236" i="152"/>
  <c r="C235" i="152"/>
  <c r="C233" i="152"/>
  <c r="C232" i="152"/>
  <c r="C231" i="152"/>
  <c r="D228" i="152"/>
  <c r="C227" i="152"/>
  <c r="C226" i="152"/>
  <c r="C225" i="152"/>
  <c r="E225" i="152"/>
  <c r="G225" i="152"/>
  <c r="C224" i="152"/>
  <c r="C223" i="152"/>
  <c r="C222" i="152"/>
  <c r="C221" i="152"/>
  <c r="E221" i="152"/>
  <c r="C220" i="152"/>
  <c r="C219" i="152"/>
  <c r="C211" i="152"/>
  <c r="D205" i="152"/>
  <c r="C205" i="152"/>
  <c r="D204" i="152"/>
  <c r="C204" i="152"/>
  <c r="D203" i="152"/>
  <c r="C203" i="152"/>
  <c r="D202" i="152"/>
  <c r="C202" i="152"/>
  <c r="D201" i="152"/>
  <c r="C201" i="152"/>
  <c r="D200" i="152"/>
  <c r="C200" i="152"/>
  <c r="D196" i="152"/>
  <c r="C196" i="152"/>
  <c r="D195" i="152"/>
  <c r="C195" i="152"/>
  <c r="D194" i="152"/>
  <c r="C194" i="152"/>
  <c r="D193" i="152"/>
  <c r="C193" i="152"/>
  <c r="D192" i="152"/>
  <c r="C192" i="152"/>
  <c r="D191" i="152"/>
  <c r="C191" i="152"/>
  <c r="D190" i="152"/>
  <c r="C190" i="152"/>
  <c r="D189" i="152"/>
  <c r="C189" i="152"/>
  <c r="D188" i="152"/>
  <c r="C188" i="152"/>
  <c r="D187" i="152"/>
  <c r="C187" i="152"/>
  <c r="D186" i="152"/>
  <c r="C186" i="152"/>
  <c r="D185" i="152"/>
  <c r="C185" i="152"/>
  <c r="D184" i="152"/>
  <c r="C184" i="152"/>
  <c r="D183" i="152"/>
  <c r="C183" i="152"/>
  <c r="D182" i="152"/>
  <c r="C182" i="152"/>
  <c r="D181" i="152"/>
  <c r="C181" i="152"/>
  <c r="D180" i="152"/>
  <c r="C180" i="152"/>
  <c r="D179" i="152"/>
  <c r="C179" i="152"/>
  <c r="D178" i="152"/>
  <c r="C178" i="152"/>
  <c r="D177" i="152"/>
  <c r="C177" i="152"/>
  <c r="D176" i="152"/>
  <c r="C176" i="152"/>
  <c r="D175" i="152"/>
  <c r="C175" i="152"/>
  <c r="D174" i="152"/>
  <c r="C174" i="152"/>
  <c r="D173" i="152"/>
  <c r="C173" i="152"/>
  <c r="D172" i="152"/>
  <c r="C172" i="152"/>
  <c r="D171" i="152"/>
  <c r="C171" i="152"/>
  <c r="D170" i="152"/>
  <c r="C170" i="152"/>
  <c r="D169" i="152"/>
  <c r="C169" i="152"/>
  <c r="D168" i="152"/>
  <c r="C168" i="152"/>
  <c r="D167" i="152"/>
  <c r="C167" i="152"/>
  <c r="D166" i="152"/>
  <c r="C166" i="152"/>
  <c r="D165" i="152"/>
  <c r="C165" i="152"/>
  <c r="D164" i="152"/>
  <c r="C164" i="152"/>
  <c r="D160" i="152"/>
  <c r="C160" i="152"/>
  <c r="D159" i="152"/>
  <c r="C159" i="152"/>
  <c r="D158" i="152"/>
  <c r="C158" i="152"/>
  <c r="D157" i="152"/>
  <c r="C157" i="152"/>
  <c r="D156" i="152"/>
  <c r="C156" i="152"/>
  <c r="D155" i="152"/>
  <c r="C155" i="152"/>
  <c r="D153" i="152"/>
  <c r="C153" i="152"/>
  <c r="D152" i="152"/>
  <c r="C152" i="152"/>
  <c r="D151" i="152"/>
  <c r="C151" i="152"/>
  <c r="D150" i="152"/>
  <c r="C150" i="152"/>
  <c r="D149" i="152"/>
  <c r="C149" i="152"/>
  <c r="D148" i="152"/>
  <c r="C148" i="152"/>
  <c r="D147" i="152"/>
  <c r="C147" i="152"/>
  <c r="D146" i="152"/>
  <c r="C146" i="152"/>
  <c r="D145" i="152"/>
  <c r="C145" i="152"/>
  <c r="D143" i="152"/>
  <c r="C143" i="152"/>
  <c r="D142" i="152"/>
  <c r="C142" i="152"/>
  <c r="D141" i="152"/>
  <c r="C141" i="152"/>
  <c r="D140" i="152"/>
  <c r="C140" i="152"/>
  <c r="D138" i="152"/>
  <c r="C138" i="152"/>
  <c r="D137" i="152"/>
  <c r="C137" i="152"/>
  <c r="D136" i="152"/>
  <c r="C136" i="152"/>
  <c r="D135" i="152"/>
  <c r="C135" i="152"/>
  <c r="D133" i="152"/>
  <c r="C133" i="152"/>
  <c r="D132" i="152"/>
  <c r="C132" i="152"/>
  <c r="D131" i="152"/>
  <c r="C131" i="152"/>
  <c r="D130" i="152"/>
  <c r="C130" i="152"/>
  <c r="D129" i="152"/>
  <c r="C129" i="152"/>
  <c r="D127" i="152"/>
  <c r="C127" i="152"/>
  <c r="D126" i="152"/>
  <c r="C126" i="152"/>
  <c r="D125" i="152"/>
  <c r="C125" i="152"/>
  <c r="D124" i="152"/>
  <c r="C124" i="152"/>
  <c r="D123" i="152"/>
  <c r="C123" i="152"/>
  <c r="D118" i="152"/>
  <c r="C118" i="152"/>
  <c r="D117" i="152"/>
  <c r="C117" i="152"/>
  <c r="D116" i="152"/>
  <c r="C116" i="152"/>
  <c r="D115" i="152"/>
  <c r="C115" i="152"/>
  <c r="D114" i="152"/>
  <c r="C114" i="152"/>
  <c r="D110" i="152"/>
  <c r="C110" i="152"/>
  <c r="D109" i="152"/>
  <c r="C109" i="152"/>
  <c r="D108" i="152"/>
  <c r="C108" i="152"/>
  <c r="D107" i="152"/>
  <c r="C107" i="152"/>
  <c r="D106" i="152"/>
  <c r="C106" i="152"/>
  <c r="D105" i="152"/>
  <c r="C105" i="152"/>
  <c r="D101" i="152"/>
  <c r="C101" i="152"/>
  <c r="D100" i="152"/>
  <c r="C100" i="152"/>
  <c r="D99" i="152"/>
  <c r="C99" i="152"/>
  <c r="D98" i="152"/>
  <c r="C98" i="152"/>
  <c r="D97" i="152"/>
  <c r="C97" i="152"/>
  <c r="D96" i="152"/>
  <c r="C96" i="152"/>
  <c r="D92" i="152"/>
  <c r="C92" i="152"/>
  <c r="D91" i="152"/>
  <c r="C91" i="152"/>
  <c r="D90" i="152"/>
  <c r="C90" i="152"/>
  <c r="D89" i="152"/>
  <c r="C89" i="152"/>
  <c r="D88" i="152"/>
  <c r="C88" i="152"/>
  <c r="D87" i="152"/>
  <c r="C87" i="152"/>
  <c r="D86" i="152"/>
  <c r="C86" i="152"/>
  <c r="D85" i="152"/>
  <c r="C85" i="152"/>
  <c r="D84" i="152"/>
  <c r="C84" i="152"/>
  <c r="D83" i="152"/>
  <c r="C83" i="152"/>
  <c r="D82" i="152"/>
  <c r="C82" i="152"/>
  <c r="D78" i="152"/>
  <c r="C78" i="152"/>
  <c r="D77" i="152"/>
  <c r="C77" i="152"/>
  <c r="D76" i="152"/>
  <c r="C76" i="152"/>
  <c r="D75" i="152"/>
  <c r="C75" i="152"/>
  <c r="D74" i="152"/>
  <c r="C74" i="152"/>
  <c r="D73" i="152"/>
  <c r="C73" i="152"/>
  <c r="D72" i="152"/>
  <c r="C72" i="152"/>
  <c r="D71" i="152"/>
  <c r="C71" i="152"/>
  <c r="D70" i="152"/>
  <c r="C70" i="152"/>
  <c r="D69" i="152"/>
  <c r="C69" i="152"/>
  <c r="D68" i="152"/>
  <c r="C68" i="152"/>
  <c r="D67" i="152"/>
  <c r="C67" i="152"/>
  <c r="D66" i="152"/>
  <c r="C66" i="152"/>
  <c r="D65" i="152"/>
  <c r="C65" i="152"/>
  <c r="D64" i="152"/>
  <c r="C64" i="152"/>
  <c r="D60" i="152"/>
  <c r="C60" i="152"/>
  <c r="D59" i="152"/>
  <c r="C59" i="152"/>
  <c r="D58" i="152"/>
  <c r="C58" i="152"/>
  <c r="D57" i="152"/>
  <c r="C57" i="152"/>
  <c r="D56" i="152"/>
  <c r="C56" i="152"/>
  <c r="D55" i="152"/>
  <c r="C55" i="152"/>
  <c r="D54" i="152"/>
  <c r="C54" i="152"/>
  <c r="D53" i="152"/>
  <c r="C53" i="152"/>
  <c r="D52" i="152"/>
  <c r="C52" i="152"/>
  <c r="D51" i="152"/>
  <c r="C51" i="152"/>
  <c r="D50" i="152"/>
  <c r="C50" i="152"/>
  <c r="D49" i="152"/>
  <c r="C49" i="152"/>
  <c r="D48" i="152"/>
  <c r="C48" i="152"/>
  <c r="D47" i="152"/>
  <c r="C47" i="152"/>
  <c r="D46" i="152"/>
  <c r="C46" i="152"/>
  <c r="D45" i="152"/>
  <c r="C45" i="152"/>
  <c r="D44" i="152"/>
  <c r="C44" i="152"/>
  <c r="D43" i="152"/>
  <c r="C43" i="152"/>
  <c r="D42" i="152"/>
  <c r="C42" i="152"/>
  <c r="D41" i="152"/>
  <c r="C41" i="152"/>
  <c r="D40" i="152"/>
  <c r="C40" i="152"/>
  <c r="D39" i="152"/>
  <c r="C39" i="152"/>
  <c r="D38" i="152"/>
  <c r="C38" i="152"/>
  <c r="D37" i="152"/>
  <c r="C37" i="152"/>
  <c r="D36" i="152"/>
  <c r="C36" i="152"/>
  <c r="D35" i="152"/>
  <c r="C35" i="152"/>
  <c r="D34" i="152"/>
  <c r="C34" i="152"/>
  <c r="D33" i="152"/>
  <c r="C33" i="152"/>
  <c r="D32" i="152"/>
  <c r="C32" i="152"/>
  <c r="D31" i="152"/>
  <c r="C31" i="152"/>
  <c r="D30" i="152"/>
  <c r="C30" i="152"/>
  <c r="D29" i="152"/>
  <c r="C29" i="152"/>
  <c r="D28" i="152"/>
  <c r="C28" i="152"/>
  <c r="D27" i="152"/>
  <c r="C27" i="152"/>
  <c r="D26" i="152"/>
  <c r="C26" i="152"/>
  <c r="D25" i="152"/>
  <c r="C25" i="152"/>
  <c r="D20" i="152"/>
  <c r="C20" i="152"/>
  <c r="D19" i="152"/>
  <c r="C19" i="152"/>
  <c r="D18" i="152"/>
  <c r="C18" i="152"/>
  <c r="D17" i="152"/>
  <c r="C17" i="152"/>
  <c r="D16" i="152"/>
  <c r="C16" i="152"/>
  <c r="D15" i="152"/>
  <c r="C15" i="152"/>
  <c r="D14" i="152"/>
  <c r="C14" i="152"/>
  <c r="D13" i="152"/>
  <c r="C13" i="152"/>
  <c r="D12" i="152"/>
  <c r="C12" i="152"/>
  <c r="D11" i="152"/>
  <c r="C11" i="152"/>
  <c r="G244" i="133"/>
  <c r="G243" i="133"/>
  <c r="G242" i="133"/>
  <c r="G241" i="133"/>
  <c r="C238" i="133"/>
  <c r="C237" i="133"/>
  <c r="C236" i="133"/>
  <c r="C235" i="133"/>
  <c r="C233" i="133"/>
  <c r="C232" i="133"/>
  <c r="C231" i="133"/>
  <c r="D228" i="133"/>
  <c r="C227" i="133"/>
  <c r="C226" i="133"/>
  <c r="C225" i="133"/>
  <c r="C224" i="133"/>
  <c r="C223" i="133"/>
  <c r="C222" i="133"/>
  <c r="C221" i="133"/>
  <c r="C220" i="133"/>
  <c r="C219" i="133"/>
  <c r="C211" i="133"/>
  <c r="D205" i="133"/>
  <c r="C205" i="133"/>
  <c r="D204" i="133"/>
  <c r="C204" i="133"/>
  <c r="D203" i="133"/>
  <c r="C203" i="133"/>
  <c r="D202" i="133"/>
  <c r="C202" i="133"/>
  <c r="D201" i="133"/>
  <c r="C201" i="133"/>
  <c r="D200" i="133"/>
  <c r="C200" i="133"/>
  <c r="D196" i="133"/>
  <c r="C196" i="133"/>
  <c r="D195" i="133"/>
  <c r="C195" i="133"/>
  <c r="D194" i="133"/>
  <c r="C194" i="133"/>
  <c r="D193" i="133"/>
  <c r="C193" i="133"/>
  <c r="D192" i="133"/>
  <c r="C192" i="133"/>
  <c r="D191" i="133"/>
  <c r="C191" i="133"/>
  <c r="D190" i="133"/>
  <c r="C190" i="133"/>
  <c r="D189" i="133"/>
  <c r="C189" i="133"/>
  <c r="D188" i="133"/>
  <c r="C188" i="133"/>
  <c r="D187" i="133"/>
  <c r="C187" i="133"/>
  <c r="D186" i="133"/>
  <c r="C186" i="133"/>
  <c r="D185" i="133"/>
  <c r="C185" i="133"/>
  <c r="D184" i="133"/>
  <c r="C184" i="133"/>
  <c r="D183" i="133"/>
  <c r="C183" i="133"/>
  <c r="D182" i="133"/>
  <c r="C182" i="133"/>
  <c r="D181" i="133"/>
  <c r="C181" i="133"/>
  <c r="D180" i="133"/>
  <c r="C180" i="133"/>
  <c r="D179" i="133"/>
  <c r="C179" i="133"/>
  <c r="D178" i="133"/>
  <c r="C178" i="133"/>
  <c r="D177" i="133"/>
  <c r="C177" i="133"/>
  <c r="D176" i="133"/>
  <c r="C176" i="133"/>
  <c r="D175" i="133"/>
  <c r="C175" i="133"/>
  <c r="D174" i="133"/>
  <c r="C174" i="133"/>
  <c r="D173" i="133"/>
  <c r="C173" i="133"/>
  <c r="D172" i="133"/>
  <c r="C172" i="133"/>
  <c r="D171" i="133"/>
  <c r="C171" i="133"/>
  <c r="D170" i="133"/>
  <c r="C170" i="133"/>
  <c r="D169" i="133"/>
  <c r="C169" i="133"/>
  <c r="D168" i="133"/>
  <c r="C168" i="133"/>
  <c r="D167" i="133"/>
  <c r="C167" i="133"/>
  <c r="D166" i="133"/>
  <c r="C166" i="133"/>
  <c r="D165" i="133"/>
  <c r="C165" i="133"/>
  <c r="D164" i="133"/>
  <c r="C164" i="133"/>
  <c r="D160" i="133"/>
  <c r="C160" i="133"/>
  <c r="D159" i="133"/>
  <c r="C159" i="133"/>
  <c r="D158" i="133"/>
  <c r="C158" i="133"/>
  <c r="D157" i="133"/>
  <c r="C157" i="133"/>
  <c r="D156" i="133"/>
  <c r="C156" i="133"/>
  <c r="D155" i="133"/>
  <c r="C155" i="133"/>
  <c r="D153" i="133"/>
  <c r="C153" i="133"/>
  <c r="D152" i="133"/>
  <c r="C152" i="133"/>
  <c r="D151" i="133"/>
  <c r="C151" i="133"/>
  <c r="D150" i="133"/>
  <c r="C150" i="133"/>
  <c r="D149" i="133"/>
  <c r="C149" i="133"/>
  <c r="D148" i="133"/>
  <c r="C148" i="133"/>
  <c r="D147" i="133"/>
  <c r="C147" i="133"/>
  <c r="D146" i="133"/>
  <c r="C146" i="133"/>
  <c r="D145" i="133"/>
  <c r="C145" i="133"/>
  <c r="D143" i="133"/>
  <c r="C143" i="133"/>
  <c r="D142" i="133"/>
  <c r="C142" i="133"/>
  <c r="D141" i="133"/>
  <c r="C141" i="133"/>
  <c r="D140" i="133"/>
  <c r="C140" i="133"/>
  <c r="D138" i="133"/>
  <c r="C138" i="133"/>
  <c r="D137" i="133"/>
  <c r="C137" i="133"/>
  <c r="D136" i="133"/>
  <c r="C136" i="133"/>
  <c r="D135" i="133"/>
  <c r="C135" i="133"/>
  <c r="D133" i="133"/>
  <c r="C133" i="133"/>
  <c r="D132" i="133"/>
  <c r="C132" i="133"/>
  <c r="D131" i="133"/>
  <c r="C131" i="133"/>
  <c r="D130" i="133"/>
  <c r="C130" i="133"/>
  <c r="D129" i="133"/>
  <c r="C129" i="133"/>
  <c r="D127" i="133"/>
  <c r="C127" i="133"/>
  <c r="D126" i="133"/>
  <c r="C126" i="133"/>
  <c r="D125" i="133"/>
  <c r="C125" i="133"/>
  <c r="D124" i="133"/>
  <c r="C124" i="133"/>
  <c r="D123" i="133"/>
  <c r="C123" i="133"/>
  <c r="D118" i="133"/>
  <c r="C118" i="133"/>
  <c r="D117" i="133"/>
  <c r="C117" i="133"/>
  <c r="D116" i="133"/>
  <c r="C116" i="133"/>
  <c r="D115" i="133"/>
  <c r="C115" i="133"/>
  <c r="D114" i="133"/>
  <c r="C114" i="133"/>
  <c r="D110" i="133"/>
  <c r="C110" i="133"/>
  <c r="D109" i="133"/>
  <c r="C109" i="133"/>
  <c r="D108" i="133"/>
  <c r="C108" i="133"/>
  <c r="D107" i="133"/>
  <c r="C107" i="133"/>
  <c r="D106" i="133"/>
  <c r="C106" i="133"/>
  <c r="D105" i="133"/>
  <c r="C105" i="133"/>
  <c r="D101" i="133"/>
  <c r="C101" i="133"/>
  <c r="D100" i="133"/>
  <c r="C100" i="133"/>
  <c r="D99" i="133"/>
  <c r="C99" i="133"/>
  <c r="D98" i="133"/>
  <c r="C98" i="133"/>
  <c r="D97" i="133"/>
  <c r="C97" i="133"/>
  <c r="D96" i="133"/>
  <c r="C96" i="133"/>
  <c r="D92" i="133"/>
  <c r="C92" i="133"/>
  <c r="D91" i="133"/>
  <c r="C91" i="133"/>
  <c r="D90" i="133"/>
  <c r="C90" i="133"/>
  <c r="D89" i="133"/>
  <c r="C89" i="133"/>
  <c r="D88" i="133"/>
  <c r="C88" i="133"/>
  <c r="D87" i="133"/>
  <c r="C87" i="133"/>
  <c r="D86" i="133"/>
  <c r="C86" i="133"/>
  <c r="D85" i="133"/>
  <c r="C85" i="133"/>
  <c r="D84" i="133"/>
  <c r="C84" i="133"/>
  <c r="D83" i="133"/>
  <c r="C83" i="133"/>
  <c r="D82" i="133"/>
  <c r="C82" i="133"/>
  <c r="D78" i="133"/>
  <c r="C78" i="133"/>
  <c r="D77" i="133"/>
  <c r="C77" i="133"/>
  <c r="D76" i="133"/>
  <c r="C76" i="133"/>
  <c r="D75" i="133"/>
  <c r="C75" i="133"/>
  <c r="D74" i="133"/>
  <c r="C74" i="133"/>
  <c r="D73" i="133"/>
  <c r="C73" i="133"/>
  <c r="D72" i="133"/>
  <c r="C72" i="133"/>
  <c r="D71" i="133"/>
  <c r="C71" i="133"/>
  <c r="D70" i="133"/>
  <c r="C70" i="133"/>
  <c r="D69" i="133"/>
  <c r="C69" i="133"/>
  <c r="D68" i="133"/>
  <c r="C68" i="133"/>
  <c r="D67" i="133"/>
  <c r="C67" i="133"/>
  <c r="D66" i="133"/>
  <c r="C66" i="133"/>
  <c r="D65" i="133"/>
  <c r="C65" i="133"/>
  <c r="D64" i="133"/>
  <c r="C64" i="133"/>
  <c r="D60" i="133"/>
  <c r="C60" i="133"/>
  <c r="D59" i="133"/>
  <c r="C59" i="133"/>
  <c r="D58" i="133"/>
  <c r="C58" i="133"/>
  <c r="D57" i="133"/>
  <c r="C57" i="133"/>
  <c r="D56" i="133"/>
  <c r="C56" i="133"/>
  <c r="D55" i="133"/>
  <c r="C55" i="133"/>
  <c r="D54" i="133"/>
  <c r="C54" i="133"/>
  <c r="D53" i="133"/>
  <c r="C53" i="133"/>
  <c r="D52" i="133"/>
  <c r="C52" i="133"/>
  <c r="D51" i="133"/>
  <c r="C51" i="133"/>
  <c r="D50" i="133"/>
  <c r="C50" i="133"/>
  <c r="D49" i="133"/>
  <c r="C49" i="133"/>
  <c r="D48" i="133"/>
  <c r="C48" i="133"/>
  <c r="D47" i="133"/>
  <c r="C47" i="133"/>
  <c r="D46" i="133"/>
  <c r="C46" i="133"/>
  <c r="D45" i="133"/>
  <c r="C45" i="133"/>
  <c r="D44" i="133"/>
  <c r="C44" i="133"/>
  <c r="D43" i="133"/>
  <c r="C43" i="133"/>
  <c r="D42" i="133"/>
  <c r="C42" i="133"/>
  <c r="D41" i="133"/>
  <c r="C41" i="133"/>
  <c r="D40" i="133"/>
  <c r="C40" i="133"/>
  <c r="D39" i="133"/>
  <c r="C39" i="133"/>
  <c r="D38" i="133"/>
  <c r="C38" i="133"/>
  <c r="D37" i="133"/>
  <c r="C37" i="133"/>
  <c r="D36" i="133"/>
  <c r="C36" i="133"/>
  <c r="D35" i="133"/>
  <c r="C35" i="133"/>
  <c r="D34" i="133"/>
  <c r="C34" i="133"/>
  <c r="D33" i="133"/>
  <c r="C33" i="133"/>
  <c r="D32" i="133"/>
  <c r="C32" i="133"/>
  <c r="D31" i="133"/>
  <c r="C31" i="133"/>
  <c r="D30" i="133"/>
  <c r="C30" i="133"/>
  <c r="D29" i="133"/>
  <c r="C29" i="133"/>
  <c r="D28" i="133"/>
  <c r="C28" i="133"/>
  <c r="D27" i="133"/>
  <c r="C27" i="133"/>
  <c r="D26" i="133"/>
  <c r="C26" i="133"/>
  <c r="D25" i="133"/>
  <c r="C25" i="133"/>
  <c r="D20" i="133"/>
  <c r="C20" i="133"/>
  <c r="D19" i="133"/>
  <c r="C19" i="133"/>
  <c r="D18" i="133"/>
  <c r="C18" i="133"/>
  <c r="D17" i="133"/>
  <c r="C17" i="133"/>
  <c r="D16" i="133"/>
  <c r="C16" i="133"/>
  <c r="D15" i="133"/>
  <c r="C15" i="133"/>
  <c r="D14" i="133"/>
  <c r="C14" i="133"/>
  <c r="D13" i="133"/>
  <c r="C13" i="133"/>
  <c r="D12" i="133"/>
  <c r="C12" i="133"/>
  <c r="D11" i="133"/>
  <c r="C11" i="133"/>
  <c r="G244" i="39"/>
  <c r="G243" i="39"/>
  <c r="G242" i="39"/>
  <c r="G241" i="39"/>
  <c r="C237" i="39"/>
  <c r="C236" i="39"/>
  <c r="C235" i="39"/>
  <c r="C233" i="39"/>
  <c r="E233" i="39"/>
  <c r="C232" i="39"/>
  <c r="C231" i="39"/>
  <c r="D228" i="39"/>
  <c r="C227" i="39"/>
  <c r="C226" i="39"/>
  <c r="C225" i="39"/>
  <c r="C224" i="39"/>
  <c r="C223" i="39"/>
  <c r="C222" i="39"/>
  <c r="C221" i="39"/>
  <c r="C220" i="39"/>
  <c r="C219" i="39"/>
  <c r="C211" i="39"/>
  <c r="D205" i="39"/>
  <c r="C205" i="39"/>
  <c r="D204" i="39"/>
  <c r="C204" i="39"/>
  <c r="D203" i="39"/>
  <c r="C203" i="39"/>
  <c r="D202" i="39"/>
  <c r="C202" i="39"/>
  <c r="D201" i="39"/>
  <c r="C201" i="39"/>
  <c r="D200" i="39"/>
  <c r="C200" i="39"/>
  <c r="D196" i="39"/>
  <c r="C196" i="39"/>
  <c r="D195" i="39"/>
  <c r="C195" i="39"/>
  <c r="D194" i="39"/>
  <c r="C194" i="39"/>
  <c r="D193" i="39"/>
  <c r="C193" i="39"/>
  <c r="D192" i="39"/>
  <c r="C192" i="39"/>
  <c r="D191" i="39"/>
  <c r="C191" i="39"/>
  <c r="D190" i="39"/>
  <c r="C190" i="39"/>
  <c r="D189" i="39"/>
  <c r="C189" i="39"/>
  <c r="D188" i="39"/>
  <c r="C188" i="39"/>
  <c r="D187" i="39"/>
  <c r="C187" i="39"/>
  <c r="D186" i="39"/>
  <c r="C186" i="39"/>
  <c r="D185" i="39"/>
  <c r="C185" i="39"/>
  <c r="D184" i="39"/>
  <c r="C184" i="39"/>
  <c r="D183" i="39"/>
  <c r="C183" i="39"/>
  <c r="D182" i="39"/>
  <c r="C182" i="39"/>
  <c r="D181" i="39"/>
  <c r="C181" i="39"/>
  <c r="D180" i="39"/>
  <c r="C180" i="39"/>
  <c r="D179" i="39"/>
  <c r="C179" i="39"/>
  <c r="D178" i="39"/>
  <c r="C178" i="39"/>
  <c r="D177" i="39"/>
  <c r="C177" i="39"/>
  <c r="D176" i="39"/>
  <c r="C176" i="39"/>
  <c r="D175" i="39"/>
  <c r="C175" i="39"/>
  <c r="D174" i="39"/>
  <c r="C174" i="39"/>
  <c r="D173" i="39"/>
  <c r="C173" i="39"/>
  <c r="D172" i="39"/>
  <c r="C172" i="39"/>
  <c r="D171" i="39"/>
  <c r="C171" i="39"/>
  <c r="D170" i="39"/>
  <c r="C170" i="39"/>
  <c r="D169" i="39"/>
  <c r="C169" i="39"/>
  <c r="D168" i="39"/>
  <c r="C168" i="39"/>
  <c r="D167" i="39"/>
  <c r="C167" i="39"/>
  <c r="D166" i="39"/>
  <c r="C166" i="39"/>
  <c r="D165" i="39"/>
  <c r="C165" i="39"/>
  <c r="D164" i="39"/>
  <c r="C164" i="39"/>
  <c r="D160" i="39"/>
  <c r="C160" i="39"/>
  <c r="D159" i="39"/>
  <c r="C159" i="39"/>
  <c r="D158" i="39"/>
  <c r="C158" i="39"/>
  <c r="D157" i="39"/>
  <c r="C157" i="39"/>
  <c r="D156" i="39"/>
  <c r="C156" i="39"/>
  <c r="D155" i="39"/>
  <c r="C155" i="39"/>
  <c r="D153" i="39"/>
  <c r="C153" i="39"/>
  <c r="D152" i="39"/>
  <c r="C152" i="39"/>
  <c r="D151" i="39"/>
  <c r="C151" i="39"/>
  <c r="D150" i="39"/>
  <c r="C150" i="39"/>
  <c r="D149" i="39"/>
  <c r="C149" i="39"/>
  <c r="D148" i="39"/>
  <c r="C148" i="39"/>
  <c r="D147" i="39"/>
  <c r="C147" i="39"/>
  <c r="D146" i="39"/>
  <c r="C146" i="39"/>
  <c r="D145" i="39"/>
  <c r="C145" i="39"/>
  <c r="D143" i="39"/>
  <c r="C143" i="39"/>
  <c r="D142" i="39"/>
  <c r="C142" i="39"/>
  <c r="D141" i="39"/>
  <c r="C141" i="39"/>
  <c r="D140" i="39"/>
  <c r="C140" i="39"/>
  <c r="D138" i="39"/>
  <c r="C138" i="39"/>
  <c r="D137" i="39"/>
  <c r="C137" i="39"/>
  <c r="D136" i="39"/>
  <c r="C136" i="39"/>
  <c r="D135" i="39"/>
  <c r="C135" i="39"/>
  <c r="D133" i="39"/>
  <c r="C133" i="39"/>
  <c r="D132" i="39"/>
  <c r="C132" i="39"/>
  <c r="D131" i="39"/>
  <c r="C131" i="39"/>
  <c r="D130" i="39"/>
  <c r="C130" i="39"/>
  <c r="D129" i="39"/>
  <c r="C129" i="39"/>
  <c r="D127" i="39"/>
  <c r="C127" i="39"/>
  <c r="D126" i="39"/>
  <c r="C126" i="39"/>
  <c r="D125" i="39"/>
  <c r="C125" i="39"/>
  <c r="D124" i="39"/>
  <c r="C124" i="39"/>
  <c r="D123" i="39"/>
  <c r="C123" i="39"/>
  <c r="D118" i="39"/>
  <c r="C118" i="39"/>
  <c r="D117" i="39"/>
  <c r="C117" i="39"/>
  <c r="D116" i="39"/>
  <c r="C116" i="39"/>
  <c r="D115" i="39"/>
  <c r="C115" i="39"/>
  <c r="D114" i="39"/>
  <c r="C114" i="39"/>
  <c r="D110" i="39"/>
  <c r="C110" i="39"/>
  <c r="D109" i="39"/>
  <c r="C109" i="39"/>
  <c r="D108" i="39"/>
  <c r="C108" i="39"/>
  <c r="D107" i="39"/>
  <c r="C107" i="39"/>
  <c r="D106" i="39"/>
  <c r="C106" i="39"/>
  <c r="D105" i="39"/>
  <c r="C105" i="39"/>
  <c r="D101" i="39"/>
  <c r="C101" i="39"/>
  <c r="D100" i="39"/>
  <c r="C100" i="39"/>
  <c r="D99" i="39"/>
  <c r="C99" i="39"/>
  <c r="D98" i="39"/>
  <c r="C98" i="39"/>
  <c r="D97" i="39"/>
  <c r="C97" i="39"/>
  <c r="D96" i="39"/>
  <c r="C96" i="39"/>
  <c r="D92" i="39"/>
  <c r="C92" i="39"/>
  <c r="D91" i="39"/>
  <c r="C91" i="39"/>
  <c r="D90" i="39"/>
  <c r="C90" i="39"/>
  <c r="D89" i="39"/>
  <c r="C89" i="39"/>
  <c r="D88" i="39"/>
  <c r="C88" i="39"/>
  <c r="D87" i="39"/>
  <c r="C87" i="39"/>
  <c r="D86" i="39"/>
  <c r="C86" i="39"/>
  <c r="D85" i="39"/>
  <c r="C85" i="39"/>
  <c r="D84" i="39"/>
  <c r="C84" i="39"/>
  <c r="D83" i="39"/>
  <c r="C83" i="39"/>
  <c r="D82" i="39"/>
  <c r="C82" i="39"/>
  <c r="D78" i="39"/>
  <c r="C78" i="39"/>
  <c r="D77" i="39"/>
  <c r="C77" i="39"/>
  <c r="D76" i="39"/>
  <c r="C76" i="39"/>
  <c r="D75" i="39"/>
  <c r="C75" i="39"/>
  <c r="D74" i="39"/>
  <c r="C74" i="39"/>
  <c r="D73" i="39"/>
  <c r="C73" i="39"/>
  <c r="D72" i="39"/>
  <c r="C72" i="39"/>
  <c r="D71" i="39"/>
  <c r="C71" i="39"/>
  <c r="D70" i="39"/>
  <c r="C70" i="39"/>
  <c r="D69" i="39"/>
  <c r="C69" i="39"/>
  <c r="D68" i="39"/>
  <c r="C68" i="39"/>
  <c r="D67" i="39"/>
  <c r="C67" i="39"/>
  <c r="D66" i="39"/>
  <c r="C66" i="39"/>
  <c r="D65" i="39"/>
  <c r="C65" i="39"/>
  <c r="D64" i="39"/>
  <c r="C64" i="39"/>
  <c r="D60" i="39"/>
  <c r="C60" i="39"/>
  <c r="D59" i="39"/>
  <c r="C59" i="39"/>
  <c r="D58" i="39"/>
  <c r="C58" i="39"/>
  <c r="D57" i="39"/>
  <c r="C57" i="39"/>
  <c r="D56" i="39"/>
  <c r="C56" i="39"/>
  <c r="D55" i="39"/>
  <c r="C55" i="39"/>
  <c r="D54" i="39"/>
  <c r="C54" i="39"/>
  <c r="D53" i="39"/>
  <c r="C53" i="39"/>
  <c r="D52" i="39"/>
  <c r="C52" i="39"/>
  <c r="D51" i="39"/>
  <c r="C51" i="39"/>
  <c r="D50" i="39"/>
  <c r="C50" i="39"/>
  <c r="D49" i="39"/>
  <c r="C49" i="39"/>
  <c r="D48" i="39"/>
  <c r="C48" i="39"/>
  <c r="D47" i="39"/>
  <c r="C47" i="39"/>
  <c r="D46" i="39"/>
  <c r="C46" i="39"/>
  <c r="D45" i="39"/>
  <c r="C45" i="39"/>
  <c r="D44" i="39"/>
  <c r="C44" i="39"/>
  <c r="D43" i="39"/>
  <c r="C43" i="39"/>
  <c r="D42" i="39"/>
  <c r="C42" i="39"/>
  <c r="D41" i="39"/>
  <c r="C41" i="39"/>
  <c r="D40" i="39"/>
  <c r="C40" i="39"/>
  <c r="D39" i="39"/>
  <c r="C39" i="39"/>
  <c r="D38" i="39"/>
  <c r="C38" i="39"/>
  <c r="D37" i="39"/>
  <c r="C37" i="39"/>
  <c r="D36" i="39"/>
  <c r="C36" i="39"/>
  <c r="D35" i="39"/>
  <c r="C35" i="39"/>
  <c r="D34" i="39"/>
  <c r="C34" i="39"/>
  <c r="D33" i="39"/>
  <c r="C33" i="39"/>
  <c r="D32" i="39"/>
  <c r="C32" i="39"/>
  <c r="D31" i="39"/>
  <c r="C31" i="39"/>
  <c r="D30" i="39"/>
  <c r="C30" i="39"/>
  <c r="D29" i="39"/>
  <c r="C29" i="39"/>
  <c r="D28" i="39"/>
  <c r="C28" i="39"/>
  <c r="D27" i="39"/>
  <c r="C27" i="39"/>
  <c r="D26" i="39"/>
  <c r="C26" i="39"/>
  <c r="D25" i="39"/>
  <c r="C25" i="39"/>
  <c r="D20" i="39"/>
  <c r="C20" i="39"/>
  <c r="D19" i="39"/>
  <c r="C19" i="39"/>
  <c r="D18" i="39"/>
  <c r="C18" i="39"/>
  <c r="D17" i="39"/>
  <c r="C17" i="39"/>
  <c r="D16" i="39"/>
  <c r="C16" i="39"/>
  <c r="D15" i="39"/>
  <c r="C15" i="39"/>
  <c r="D14" i="39"/>
  <c r="C14" i="39"/>
  <c r="D13" i="39"/>
  <c r="C13" i="39"/>
  <c r="D12" i="39"/>
  <c r="C12" i="39"/>
  <c r="D11" i="39"/>
  <c r="C11" i="39"/>
  <c r="K200" i="71"/>
  <c r="J200" i="71"/>
  <c r="K172" i="71"/>
  <c r="K168" i="71"/>
  <c r="K166" i="71"/>
  <c r="J172" i="71"/>
  <c r="J168" i="71"/>
  <c r="J166" i="71"/>
  <c r="K137" i="71"/>
  <c r="K136" i="71"/>
  <c r="K135" i="71"/>
  <c r="J137" i="71"/>
  <c r="J136" i="71"/>
  <c r="J135" i="71"/>
  <c r="K127" i="71"/>
  <c r="K124" i="71"/>
  <c r="J127" i="71"/>
  <c r="J124" i="71"/>
  <c r="K114" i="71"/>
  <c r="J114" i="71"/>
  <c r="K105" i="71"/>
  <c r="J105" i="71"/>
  <c r="K96" i="71"/>
  <c r="J96" i="71"/>
  <c r="K82" i="71"/>
  <c r="J82" i="71"/>
  <c r="K27" i="71"/>
  <c r="K25" i="71"/>
  <c r="J27" i="71"/>
  <c r="J25" i="71"/>
  <c r="G244" i="71"/>
  <c r="G243" i="71"/>
  <c r="G242" i="71"/>
  <c r="G241" i="71"/>
  <c r="K96" i="84"/>
  <c r="J137" i="84"/>
  <c r="K149" i="84"/>
  <c r="J149" i="84"/>
  <c r="K145" i="84"/>
  <c r="J145" i="84"/>
  <c r="K138" i="84"/>
  <c r="K137" i="84"/>
  <c r="K136" i="84"/>
  <c r="K135" i="84"/>
  <c r="J138" i="84"/>
  <c r="J136" i="84"/>
  <c r="J135" i="84"/>
  <c r="K127" i="84"/>
  <c r="J127" i="84"/>
  <c r="K124" i="84"/>
  <c r="J124" i="84"/>
  <c r="K114" i="84"/>
  <c r="J114" i="84"/>
  <c r="K105" i="84"/>
  <c r="J105" i="84"/>
  <c r="J96" i="84"/>
  <c r="K82" i="84"/>
  <c r="J82" i="84"/>
  <c r="K27" i="84"/>
  <c r="J27" i="84"/>
  <c r="K25" i="84"/>
  <c r="J25" i="84"/>
  <c r="E226" i="84"/>
  <c r="K200" i="57"/>
  <c r="J200" i="57"/>
  <c r="K149" i="57"/>
  <c r="J149" i="57"/>
  <c r="K145" i="57"/>
  <c r="J145" i="57"/>
  <c r="K137" i="57"/>
  <c r="K136" i="57"/>
  <c r="K135" i="57"/>
  <c r="J137" i="57"/>
  <c r="J136" i="57"/>
  <c r="J135" i="57"/>
  <c r="K127" i="57"/>
  <c r="K124" i="57"/>
  <c r="J127" i="57"/>
  <c r="J124" i="57"/>
  <c r="K114" i="57"/>
  <c r="J114" i="57"/>
  <c r="K105" i="57"/>
  <c r="J105" i="57"/>
  <c r="K96" i="57"/>
  <c r="J96" i="57"/>
  <c r="K82" i="57"/>
  <c r="J82" i="57"/>
  <c r="K27" i="57"/>
  <c r="K25" i="57"/>
  <c r="J27" i="57"/>
  <c r="J25" i="57"/>
  <c r="C233" i="57"/>
  <c r="D228" i="57"/>
  <c r="C93" i="57"/>
  <c r="C161" i="57"/>
  <c r="D93" i="57"/>
  <c r="D161" i="57"/>
  <c r="C79" i="57"/>
  <c r="C228" i="57"/>
  <c r="D79" i="57"/>
  <c r="D197" i="57"/>
  <c r="C111" i="57"/>
  <c r="C206" i="57"/>
  <c r="D111" i="57"/>
  <c r="D206" i="57"/>
  <c r="C102" i="57"/>
  <c r="C119" i="57"/>
  <c r="C197" i="57"/>
  <c r="C21" i="57"/>
  <c r="D21" i="57"/>
  <c r="D102" i="57"/>
  <c r="D119" i="57"/>
  <c r="C61" i="57"/>
  <c r="D61" i="57"/>
  <c r="G244" i="175"/>
  <c r="G243" i="175"/>
  <c r="G242" i="175"/>
  <c r="G241" i="175"/>
  <c r="D228" i="175"/>
  <c r="C227" i="175"/>
  <c r="E227" i="175"/>
  <c r="C226" i="175"/>
  <c r="C225" i="175"/>
  <c r="C224" i="175"/>
  <c r="C223" i="175"/>
  <c r="C222" i="175"/>
  <c r="C221" i="175"/>
  <c r="C220" i="175"/>
  <c r="C219" i="175"/>
  <c r="E219" i="175"/>
  <c r="G219" i="175"/>
  <c r="C211" i="175"/>
  <c r="D205" i="175"/>
  <c r="C205" i="175"/>
  <c r="D204" i="175"/>
  <c r="C204" i="175"/>
  <c r="D203" i="175"/>
  <c r="C203" i="175"/>
  <c r="D202" i="175"/>
  <c r="C202" i="175"/>
  <c r="D201" i="175"/>
  <c r="C201" i="175"/>
  <c r="D200" i="175"/>
  <c r="C200" i="175"/>
  <c r="D196" i="175"/>
  <c r="C196" i="175"/>
  <c r="D195" i="175"/>
  <c r="C195" i="175"/>
  <c r="D194" i="175"/>
  <c r="C194" i="175"/>
  <c r="D193" i="175"/>
  <c r="C193" i="175"/>
  <c r="D192" i="175"/>
  <c r="C192" i="175"/>
  <c r="D191" i="175"/>
  <c r="C191" i="175"/>
  <c r="D190" i="175"/>
  <c r="C190" i="175"/>
  <c r="D189" i="175"/>
  <c r="C189" i="175"/>
  <c r="D188" i="175"/>
  <c r="C188" i="175"/>
  <c r="D187" i="175"/>
  <c r="C187" i="175"/>
  <c r="D186" i="175"/>
  <c r="C186" i="175"/>
  <c r="D185" i="175"/>
  <c r="C185" i="175"/>
  <c r="D184" i="175"/>
  <c r="C184" i="175"/>
  <c r="D183" i="175"/>
  <c r="C183" i="175"/>
  <c r="D182" i="175"/>
  <c r="C182" i="175"/>
  <c r="D181" i="175"/>
  <c r="C181" i="175"/>
  <c r="D180" i="175"/>
  <c r="C180" i="175"/>
  <c r="D179" i="175"/>
  <c r="C179" i="175"/>
  <c r="D178" i="175"/>
  <c r="C178" i="175"/>
  <c r="D177" i="175"/>
  <c r="C177" i="175"/>
  <c r="D176" i="175"/>
  <c r="C176" i="175"/>
  <c r="D175" i="175"/>
  <c r="C175" i="175"/>
  <c r="D174" i="175"/>
  <c r="C174" i="175"/>
  <c r="D173" i="175"/>
  <c r="C173" i="175"/>
  <c r="D172" i="175"/>
  <c r="C172" i="175"/>
  <c r="D171" i="175"/>
  <c r="C171" i="175"/>
  <c r="D170" i="175"/>
  <c r="C170" i="175"/>
  <c r="D169" i="175"/>
  <c r="C169" i="175"/>
  <c r="D168" i="175"/>
  <c r="C168" i="175"/>
  <c r="D167" i="175"/>
  <c r="C167" i="175"/>
  <c r="D166" i="175"/>
  <c r="C166" i="175"/>
  <c r="D165" i="175"/>
  <c r="C165" i="175"/>
  <c r="D164" i="175"/>
  <c r="C164" i="175"/>
  <c r="D160" i="175"/>
  <c r="C160" i="175"/>
  <c r="D159" i="175"/>
  <c r="C159" i="175"/>
  <c r="D158" i="175"/>
  <c r="C158" i="175"/>
  <c r="D157" i="175"/>
  <c r="C157" i="175"/>
  <c r="D156" i="175"/>
  <c r="C156" i="175"/>
  <c r="D155" i="175"/>
  <c r="C155" i="175"/>
  <c r="D153" i="175"/>
  <c r="C153" i="175"/>
  <c r="D152" i="175"/>
  <c r="C152" i="175"/>
  <c r="D151" i="175"/>
  <c r="C151" i="175"/>
  <c r="D150" i="175"/>
  <c r="C150" i="175"/>
  <c r="D149" i="175"/>
  <c r="C149" i="175"/>
  <c r="D148" i="175"/>
  <c r="C148" i="175"/>
  <c r="D147" i="175"/>
  <c r="C147" i="175"/>
  <c r="D146" i="175"/>
  <c r="C146" i="175"/>
  <c r="D145" i="175"/>
  <c r="C145" i="175"/>
  <c r="D143" i="175"/>
  <c r="C143" i="175"/>
  <c r="D142" i="175"/>
  <c r="C142" i="175"/>
  <c r="D141" i="175"/>
  <c r="C141" i="175"/>
  <c r="D140" i="175"/>
  <c r="C140" i="175"/>
  <c r="D138" i="175"/>
  <c r="C138" i="175"/>
  <c r="D137" i="175"/>
  <c r="C137" i="175"/>
  <c r="D136" i="175"/>
  <c r="C136" i="175"/>
  <c r="D135" i="175"/>
  <c r="C135" i="175"/>
  <c r="D133" i="175"/>
  <c r="C133" i="175"/>
  <c r="D132" i="175"/>
  <c r="C132" i="175"/>
  <c r="D131" i="175"/>
  <c r="C131" i="175"/>
  <c r="D130" i="175"/>
  <c r="C130" i="175"/>
  <c r="D129" i="175"/>
  <c r="C129" i="175"/>
  <c r="D127" i="175"/>
  <c r="C127" i="175"/>
  <c r="D126" i="175"/>
  <c r="C126" i="175"/>
  <c r="D125" i="175"/>
  <c r="C125" i="175"/>
  <c r="D124" i="175"/>
  <c r="C124" i="175"/>
  <c r="D123" i="175"/>
  <c r="C123" i="175"/>
  <c r="D118" i="175"/>
  <c r="C118" i="175"/>
  <c r="D117" i="175"/>
  <c r="C117" i="175"/>
  <c r="D116" i="175"/>
  <c r="C116" i="175"/>
  <c r="D115" i="175"/>
  <c r="C115" i="175"/>
  <c r="D114" i="175"/>
  <c r="C114" i="175"/>
  <c r="D110" i="175"/>
  <c r="C110" i="175"/>
  <c r="D109" i="175"/>
  <c r="C109" i="175"/>
  <c r="D108" i="175"/>
  <c r="C108" i="175"/>
  <c r="D107" i="175"/>
  <c r="C107" i="175"/>
  <c r="D106" i="175"/>
  <c r="C106" i="175"/>
  <c r="D105" i="175"/>
  <c r="C105" i="175"/>
  <c r="D101" i="175"/>
  <c r="C101" i="175"/>
  <c r="D100" i="175"/>
  <c r="C100" i="175"/>
  <c r="D99" i="175"/>
  <c r="C99" i="175"/>
  <c r="D98" i="175"/>
  <c r="C98" i="175"/>
  <c r="D97" i="175"/>
  <c r="C97" i="175"/>
  <c r="D96" i="175"/>
  <c r="C96" i="175"/>
  <c r="D92" i="175"/>
  <c r="C92" i="175"/>
  <c r="D91" i="175"/>
  <c r="C91" i="175"/>
  <c r="D90" i="175"/>
  <c r="C90" i="175"/>
  <c r="D89" i="175"/>
  <c r="C89" i="175"/>
  <c r="D88" i="175"/>
  <c r="C88" i="175"/>
  <c r="D87" i="175"/>
  <c r="C87" i="175"/>
  <c r="D86" i="175"/>
  <c r="C86" i="175"/>
  <c r="D85" i="175"/>
  <c r="C85" i="175"/>
  <c r="D84" i="175"/>
  <c r="C84" i="175"/>
  <c r="D83" i="175"/>
  <c r="C83" i="175"/>
  <c r="D82" i="175"/>
  <c r="C82" i="175"/>
  <c r="D78" i="175"/>
  <c r="C78" i="175"/>
  <c r="D77" i="175"/>
  <c r="C77" i="175"/>
  <c r="D76" i="175"/>
  <c r="C76" i="175"/>
  <c r="D75" i="175"/>
  <c r="C75" i="175"/>
  <c r="D74" i="175"/>
  <c r="C74" i="175"/>
  <c r="D73" i="175"/>
  <c r="C73" i="175"/>
  <c r="D72" i="175"/>
  <c r="C72" i="175"/>
  <c r="D71" i="175"/>
  <c r="C71" i="175"/>
  <c r="D70" i="175"/>
  <c r="C70" i="175"/>
  <c r="D69" i="175"/>
  <c r="C69" i="175"/>
  <c r="D68" i="175"/>
  <c r="C68" i="175"/>
  <c r="D67" i="175"/>
  <c r="C67" i="175"/>
  <c r="D66" i="175"/>
  <c r="C66" i="175"/>
  <c r="D65" i="175"/>
  <c r="C65" i="175"/>
  <c r="D64" i="175"/>
  <c r="C64" i="175"/>
  <c r="D60" i="175"/>
  <c r="C60" i="175"/>
  <c r="D59" i="175"/>
  <c r="C59" i="175"/>
  <c r="D58" i="175"/>
  <c r="C58" i="175"/>
  <c r="D57" i="175"/>
  <c r="C57" i="175"/>
  <c r="D56" i="175"/>
  <c r="C56" i="175"/>
  <c r="D55" i="175"/>
  <c r="C55" i="175"/>
  <c r="D54" i="175"/>
  <c r="C54" i="175"/>
  <c r="D53" i="175"/>
  <c r="C53" i="175"/>
  <c r="D52" i="175"/>
  <c r="C52" i="175"/>
  <c r="D51" i="175"/>
  <c r="C51" i="175"/>
  <c r="D50" i="175"/>
  <c r="C50" i="175"/>
  <c r="D49" i="175"/>
  <c r="C49" i="175"/>
  <c r="D48" i="175"/>
  <c r="C48" i="175"/>
  <c r="D47" i="175"/>
  <c r="C47" i="175"/>
  <c r="D46" i="175"/>
  <c r="C46" i="175"/>
  <c r="D45" i="175"/>
  <c r="C45" i="175"/>
  <c r="D44" i="175"/>
  <c r="C44" i="175"/>
  <c r="D43" i="175"/>
  <c r="C43" i="175"/>
  <c r="D42" i="175"/>
  <c r="C42" i="175"/>
  <c r="D41" i="175"/>
  <c r="C41" i="175"/>
  <c r="D40" i="175"/>
  <c r="C40" i="175"/>
  <c r="D39" i="175"/>
  <c r="C39" i="175"/>
  <c r="D38" i="175"/>
  <c r="C38" i="175"/>
  <c r="D37" i="175"/>
  <c r="C37" i="175"/>
  <c r="D36" i="175"/>
  <c r="C36" i="175"/>
  <c r="D35" i="175"/>
  <c r="C35" i="175"/>
  <c r="D34" i="175"/>
  <c r="C34" i="175"/>
  <c r="D33" i="175"/>
  <c r="C33" i="175"/>
  <c r="D32" i="175"/>
  <c r="C32" i="175"/>
  <c r="D31" i="175"/>
  <c r="C31" i="175"/>
  <c r="D30" i="175"/>
  <c r="C30" i="175"/>
  <c r="D29" i="175"/>
  <c r="C29" i="175"/>
  <c r="D28" i="175"/>
  <c r="C28" i="175"/>
  <c r="D27" i="175"/>
  <c r="C27" i="175"/>
  <c r="D26" i="175"/>
  <c r="C26" i="175"/>
  <c r="D25" i="175"/>
  <c r="C25" i="175"/>
  <c r="D20" i="175"/>
  <c r="C20" i="175"/>
  <c r="D19" i="175"/>
  <c r="C19" i="175"/>
  <c r="D18" i="175"/>
  <c r="C18" i="175"/>
  <c r="D17" i="175"/>
  <c r="C17" i="175"/>
  <c r="D16" i="175"/>
  <c r="C16" i="175"/>
  <c r="D15" i="175"/>
  <c r="C15" i="175"/>
  <c r="D14" i="175"/>
  <c r="C14" i="175"/>
  <c r="D13" i="175"/>
  <c r="C13" i="175"/>
  <c r="D12" i="175"/>
  <c r="C12" i="175"/>
  <c r="D11" i="175"/>
  <c r="C11" i="175"/>
  <c r="F228" i="175"/>
  <c r="K208" i="175"/>
  <c r="J208" i="175"/>
  <c r="F206" i="175"/>
  <c r="F197" i="175"/>
  <c r="F161" i="175"/>
  <c r="F119" i="175"/>
  <c r="F111" i="175"/>
  <c r="F102" i="175"/>
  <c r="F93" i="175"/>
  <c r="F79" i="175"/>
  <c r="F61" i="175"/>
  <c r="F21" i="175"/>
  <c r="K18" i="175"/>
  <c r="K17" i="175"/>
  <c r="A1" i="175"/>
  <c r="G244" i="43"/>
  <c r="G243" i="43"/>
  <c r="G242" i="43"/>
  <c r="G241" i="43"/>
  <c r="C238" i="43"/>
  <c r="C237" i="43"/>
  <c r="C236" i="43"/>
  <c r="C235" i="43"/>
  <c r="C233" i="43"/>
  <c r="C232" i="43"/>
  <c r="E232" i="43"/>
  <c r="C231" i="43"/>
  <c r="D228" i="43"/>
  <c r="C227" i="43"/>
  <c r="C226" i="43"/>
  <c r="C225" i="43"/>
  <c r="C224" i="43"/>
  <c r="C223" i="43"/>
  <c r="C222" i="43"/>
  <c r="C221" i="43"/>
  <c r="C220" i="43"/>
  <c r="C219" i="43"/>
  <c r="C211" i="43"/>
  <c r="D205" i="43"/>
  <c r="C205" i="43"/>
  <c r="D204" i="43"/>
  <c r="C204" i="43"/>
  <c r="D203" i="43"/>
  <c r="C203" i="43"/>
  <c r="D202" i="43"/>
  <c r="C202" i="43"/>
  <c r="D201" i="43"/>
  <c r="C201" i="43"/>
  <c r="D200" i="43"/>
  <c r="C200" i="43"/>
  <c r="D196" i="43"/>
  <c r="C196" i="43"/>
  <c r="D195" i="43"/>
  <c r="C195" i="43"/>
  <c r="D194" i="43"/>
  <c r="C194" i="43"/>
  <c r="D193" i="43"/>
  <c r="C193" i="43"/>
  <c r="D192" i="43"/>
  <c r="C192" i="43"/>
  <c r="D191" i="43"/>
  <c r="C191" i="43"/>
  <c r="D190" i="43"/>
  <c r="C190" i="43"/>
  <c r="D189" i="43"/>
  <c r="C189" i="43"/>
  <c r="D188" i="43"/>
  <c r="C188" i="43"/>
  <c r="D187" i="43"/>
  <c r="C187" i="43"/>
  <c r="D186" i="43"/>
  <c r="C186" i="43"/>
  <c r="D185" i="43"/>
  <c r="C185" i="43"/>
  <c r="D184" i="43"/>
  <c r="C184" i="43"/>
  <c r="D183" i="43"/>
  <c r="C183" i="43"/>
  <c r="D182" i="43"/>
  <c r="C182" i="43"/>
  <c r="D181" i="43"/>
  <c r="C181" i="43"/>
  <c r="D180" i="43"/>
  <c r="C180" i="43"/>
  <c r="D179" i="43"/>
  <c r="C179" i="43"/>
  <c r="D178" i="43"/>
  <c r="C178" i="43"/>
  <c r="D177" i="43"/>
  <c r="C177" i="43"/>
  <c r="D176" i="43"/>
  <c r="C176" i="43"/>
  <c r="D175" i="43"/>
  <c r="C175" i="43"/>
  <c r="D174" i="43"/>
  <c r="C174" i="43"/>
  <c r="D173" i="43"/>
  <c r="C173" i="43"/>
  <c r="D172" i="43"/>
  <c r="C172" i="43"/>
  <c r="D171" i="43"/>
  <c r="C171" i="43"/>
  <c r="D170" i="43"/>
  <c r="C170" i="43"/>
  <c r="D169" i="43"/>
  <c r="C169" i="43"/>
  <c r="D168" i="43"/>
  <c r="C168" i="43"/>
  <c r="D167" i="43"/>
  <c r="C167" i="43"/>
  <c r="D166" i="43"/>
  <c r="C166" i="43"/>
  <c r="D165" i="43"/>
  <c r="C165" i="43"/>
  <c r="D164" i="43"/>
  <c r="C164" i="43"/>
  <c r="D160" i="43"/>
  <c r="C160" i="43"/>
  <c r="D159" i="43"/>
  <c r="C159" i="43"/>
  <c r="D158" i="43"/>
  <c r="C158" i="43"/>
  <c r="D157" i="43"/>
  <c r="C157" i="43"/>
  <c r="D156" i="43"/>
  <c r="C156" i="43"/>
  <c r="D155" i="43"/>
  <c r="C155" i="43"/>
  <c r="D153" i="43"/>
  <c r="C153" i="43"/>
  <c r="D152" i="43"/>
  <c r="C152" i="43"/>
  <c r="D151" i="43"/>
  <c r="C151" i="43"/>
  <c r="D150" i="43"/>
  <c r="C150" i="43"/>
  <c r="D149" i="43"/>
  <c r="C149" i="43"/>
  <c r="D148" i="43"/>
  <c r="C148" i="43"/>
  <c r="D147" i="43"/>
  <c r="C147" i="43"/>
  <c r="D146" i="43"/>
  <c r="C146" i="43"/>
  <c r="D145" i="43"/>
  <c r="C145" i="43"/>
  <c r="D143" i="43"/>
  <c r="C143" i="43"/>
  <c r="D142" i="43"/>
  <c r="C142" i="43"/>
  <c r="D141" i="43"/>
  <c r="C141" i="43"/>
  <c r="D140" i="43"/>
  <c r="C140" i="43"/>
  <c r="D138" i="43"/>
  <c r="C138" i="43"/>
  <c r="D137" i="43"/>
  <c r="C137" i="43"/>
  <c r="D136" i="43"/>
  <c r="C136" i="43"/>
  <c r="D135" i="43"/>
  <c r="C135" i="43"/>
  <c r="D133" i="43"/>
  <c r="C133" i="43"/>
  <c r="D132" i="43"/>
  <c r="C132" i="43"/>
  <c r="D131" i="43"/>
  <c r="C131" i="43"/>
  <c r="D130" i="43"/>
  <c r="C130" i="43"/>
  <c r="D129" i="43"/>
  <c r="C129" i="43"/>
  <c r="D127" i="43"/>
  <c r="C127" i="43"/>
  <c r="D126" i="43"/>
  <c r="C126" i="43"/>
  <c r="D125" i="43"/>
  <c r="C125" i="43"/>
  <c r="D124" i="43"/>
  <c r="C124" i="43"/>
  <c r="D123" i="43"/>
  <c r="C123" i="43"/>
  <c r="D118" i="43"/>
  <c r="C118" i="43"/>
  <c r="D117" i="43"/>
  <c r="C117" i="43"/>
  <c r="D116" i="43"/>
  <c r="C116" i="43"/>
  <c r="D115" i="43"/>
  <c r="C115" i="43"/>
  <c r="D114" i="43"/>
  <c r="C114" i="43"/>
  <c r="D110" i="43"/>
  <c r="C110" i="43"/>
  <c r="D109" i="43"/>
  <c r="C109" i="43"/>
  <c r="D108" i="43"/>
  <c r="C108" i="43"/>
  <c r="D107" i="43"/>
  <c r="C107" i="43"/>
  <c r="D106" i="43"/>
  <c r="C106" i="43"/>
  <c r="D105" i="43"/>
  <c r="C105" i="43"/>
  <c r="D101" i="43"/>
  <c r="C101" i="43"/>
  <c r="D100" i="43"/>
  <c r="C100" i="43"/>
  <c r="D99" i="43"/>
  <c r="C99" i="43"/>
  <c r="D98" i="43"/>
  <c r="C98" i="43"/>
  <c r="D97" i="43"/>
  <c r="C97" i="43"/>
  <c r="D96" i="43"/>
  <c r="C96" i="43"/>
  <c r="D92" i="43"/>
  <c r="C92" i="43"/>
  <c r="D91" i="43"/>
  <c r="C91" i="43"/>
  <c r="D90" i="43"/>
  <c r="C90" i="43"/>
  <c r="D89" i="43"/>
  <c r="C89" i="43"/>
  <c r="D88" i="43"/>
  <c r="C88" i="43"/>
  <c r="D87" i="43"/>
  <c r="C87" i="43"/>
  <c r="D86" i="43"/>
  <c r="C86" i="43"/>
  <c r="D85" i="43"/>
  <c r="C85" i="43"/>
  <c r="D84" i="43"/>
  <c r="C84" i="43"/>
  <c r="D83" i="43"/>
  <c r="C83" i="43"/>
  <c r="D82" i="43"/>
  <c r="C82" i="43"/>
  <c r="D78" i="43"/>
  <c r="C78" i="43"/>
  <c r="D77" i="43"/>
  <c r="C77" i="43"/>
  <c r="D76" i="43"/>
  <c r="C76" i="43"/>
  <c r="D75" i="43"/>
  <c r="C75" i="43"/>
  <c r="D74" i="43"/>
  <c r="C74" i="43"/>
  <c r="D73" i="43"/>
  <c r="C73" i="43"/>
  <c r="D72" i="43"/>
  <c r="C72" i="43"/>
  <c r="D71" i="43"/>
  <c r="C71" i="43"/>
  <c r="D70" i="43"/>
  <c r="C70" i="43"/>
  <c r="D69" i="43"/>
  <c r="C69" i="43"/>
  <c r="D68" i="43"/>
  <c r="C68" i="43"/>
  <c r="D67" i="43"/>
  <c r="C67" i="43"/>
  <c r="D66" i="43"/>
  <c r="C66" i="43"/>
  <c r="D65" i="43"/>
  <c r="C65" i="43"/>
  <c r="D64" i="43"/>
  <c r="C64" i="43"/>
  <c r="D60" i="43"/>
  <c r="C60" i="43"/>
  <c r="D59" i="43"/>
  <c r="C59" i="43"/>
  <c r="D58" i="43"/>
  <c r="C58" i="43"/>
  <c r="D57" i="43"/>
  <c r="C57" i="43"/>
  <c r="D56" i="43"/>
  <c r="C56" i="43"/>
  <c r="D55" i="43"/>
  <c r="C55" i="43"/>
  <c r="D54" i="43"/>
  <c r="C54" i="43"/>
  <c r="D53" i="43"/>
  <c r="C53" i="43"/>
  <c r="D52" i="43"/>
  <c r="C52" i="43"/>
  <c r="D51" i="43"/>
  <c r="C51" i="43"/>
  <c r="D50" i="43"/>
  <c r="C50" i="43"/>
  <c r="D49" i="43"/>
  <c r="C49" i="43"/>
  <c r="D48" i="43"/>
  <c r="C48" i="43"/>
  <c r="D47" i="43"/>
  <c r="C47" i="43"/>
  <c r="D46" i="43"/>
  <c r="C46" i="43"/>
  <c r="D45" i="43"/>
  <c r="C45" i="43"/>
  <c r="D44" i="43"/>
  <c r="C44" i="43"/>
  <c r="D43" i="43"/>
  <c r="C43" i="43"/>
  <c r="D42" i="43"/>
  <c r="C42" i="43"/>
  <c r="D41" i="43"/>
  <c r="C41" i="43"/>
  <c r="D40" i="43"/>
  <c r="C40" i="43"/>
  <c r="D39" i="43"/>
  <c r="C39" i="43"/>
  <c r="D38" i="43"/>
  <c r="C38" i="43"/>
  <c r="D37" i="43"/>
  <c r="C37" i="43"/>
  <c r="D36" i="43"/>
  <c r="C36" i="43"/>
  <c r="D35" i="43"/>
  <c r="C35" i="43"/>
  <c r="D34" i="43"/>
  <c r="C34" i="43"/>
  <c r="D33" i="43"/>
  <c r="C33" i="43"/>
  <c r="D32" i="43"/>
  <c r="C32" i="43"/>
  <c r="D31" i="43"/>
  <c r="C31" i="43"/>
  <c r="D30" i="43"/>
  <c r="C30" i="43"/>
  <c r="D29" i="43"/>
  <c r="C29" i="43"/>
  <c r="D28" i="43"/>
  <c r="C28" i="43"/>
  <c r="D27" i="43"/>
  <c r="C27" i="43"/>
  <c r="D26" i="43"/>
  <c r="C26" i="43"/>
  <c r="D25" i="43"/>
  <c r="C25" i="43"/>
  <c r="D20" i="43"/>
  <c r="C20" i="43"/>
  <c r="D19" i="43"/>
  <c r="C19" i="43"/>
  <c r="D18" i="43"/>
  <c r="C18" i="43"/>
  <c r="D17" i="43"/>
  <c r="C17" i="43"/>
  <c r="D16" i="43"/>
  <c r="C16" i="43"/>
  <c r="D15" i="43"/>
  <c r="C15" i="43"/>
  <c r="D14" i="43"/>
  <c r="C14" i="43"/>
  <c r="D13" i="43"/>
  <c r="C13" i="43"/>
  <c r="D12" i="43"/>
  <c r="C12" i="43"/>
  <c r="D11" i="43"/>
  <c r="C11" i="43"/>
  <c r="G243" i="104"/>
  <c r="K200" i="104"/>
  <c r="J200" i="104"/>
  <c r="K137" i="104"/>
  <c r="K136" i="104"/>
  <c r="K135" i="104"/>
  <c r="J137" i="104"/>
  <c r="J136" i="104"/>
  <c r="J135" i="104"/>
  <c r="K127" i="104"/>
  <c r="J127" i="104"/>
  <c r="K124" i="104"/>
  <c r="J124" i="104"/>
  <c r="K114" i="104"/>
  <c r="J114" i="104"/>
  <c r="K105" i="104"/>
  <c r="J105" i="104"/>
  <c r="K96" i="104"/>
  <c r="J96" i="104"/>
  <c r="K82" i="104"/>
  <c r="J82" i="104"/>
  <c r="K51" i="104"/>
  <c r="J51" i="104"/>
  <c r="K25" i="104"/>
  <c r="K27" i="104"/>
  <c r="J27" i="104"/>
  <c r="J25" i="104"/>
  <c r="G242" i="104"/>
  <c r="G241" i="104"/>
  <c r="C238" i="104"/>
  <c r="C237" i="104"/>
  <c r="C236" i="104"/>
  <c r="C235" i="104"/>
  <c r="C232" i="104"/>
  <c r="C231" i="104"/>
  <c r="D228" i="104"/>
  <c r="C227" i="104"/>
  <c r="C226" i="104"/>
  <c r="C225" i="104"/>
  <c r="C224" i="104"/>
  <c r="C223" i="104"/>
  <c r="C222" i="104"/>
  <c r="C221" i="104"/>
  <c r="C220" i="104"/>
  <c r="C219" i="104"/>
  <c r="C211" i="104"/>
  <c r="D205" i="104"/>
  <c r="C205" i="104"/>
  <c r="D204" i="104"/>
  <c r="C204" i="104"/>
  <c r="D203" i="104"/>
  <c r="C203" i="104"/>
  <c r="D202" i="104"/>
  <c r="C202" i="104"/>
  <c r="D201" i="104"/>
  <c r="C201" i="104"/>
  <c r="D200" i="104"/>
  <c r="C200" i="104"/>
  <c r="D196" i="104"/>
  <c r="C196" i="104"/>
  <c r="D195" i="104"/>
  <c r="C195" i="104"/>
  <c r="D194" i="104"/>
  <c r="C194" i="104"/>
  <c r="D193" i="104"/>
  <c r="C193" i="104"/>
  <c r="D192" i="104"/>
  <c r="C192" i="104"/>
  <c r="D191" i="104"/>
  <c r="C191" i="104"/>
  <c r="D190" i="104"/>
  <c r="C190" i="104"/>
  <c r="D189" i="104"/>
  <c r="C189" i="104"/>
  <c r="D188" i="104"/>
  <c r="C188" i="104"/>
  <c r="D187" i="104"/>
  <c r="C187" i="104"/>
  <c r="D186" i="104"/>
  <c r="C186" i="104"/>
  <c r="D185" i="104"/>
  <c r="C185" i="104"/>
  <c r="D184" i="104"/>
  <c r="C184" i="104"/>
  <c r="D183" i="104"/>
  <c r="C183" i="104"/>
  <c r="D182" i="104"/>
  <c r="C182" i="104"/>
  <c r="D181" i="104"/>
  <c r="C181" i="104"/>
  <c r="D180" i="104"/>
  <c r="C180" i="104"/>
  <c r="D179" i="104"/>
  <c r="C179" i="104"/>
  <c r="D178" i="104"/>
  <c r="C178" i="104"/>
  <c r="D177" i="104"/>
  <c r="C177" i="104"/>
  <c r="D176" i="104"/>
  <c r="C176" i="104"/>
  <c r="D175" i="104"/>
  <c r="C175" i="104"/>
  <c r="D174" i="104"/>
  <c r="C174" i="104"/>
  <c r="D173" i="104"/>
  <c r="C173" i="104"/>
  <c r="D172" i="104"/>
  <c r="C172" i="104"/>
  <c r="D171" i="104"/>
  <c r="C171" i="104"/>
  <c r="D170" i="104"/>
  <c r="C170" i="104"/>
  <c r="D169" i="104"/>
  <c r="C169" i="104"/>
  <c r="D168" i="104"/>
  <c r="C168" i="104"/>
  <c r="D167" i="104"/>
  <c r="C167" i="104"/>
  <c r="D166" i="104"/>
  <c r="C166" i="104"/>
  <c r="D165" i="104"/>
  <c r="C165" i="104"/>
  <c r="D164" i="104"/>
  <c r="C164" i="104"/>
  <c r="D160" i="104"/>
  <c r="C160" i="104"/>
  <c r="D159" i="104"/>
  <c r="C159" i="104"/>
  <c r="D158" i="104"/>
  <c r="C158" i="104"/>
  <c r="D157" i="104"/>
  <c r="C157" i="104"/>
  <c r="D156" i="104"/>
  <c r="C156" i="104"/>
  <c r="D155" i="104"/>
  <c r="C155" i="104"/>
  <c r="D153" i="104"/>
  <c r="C153" i="104"/>
  <c r="D152" i="104"/>
  <c r="C152" i="104"/>
  <c r="D151" i="104"/>
  <c r="C151" i="104"/>
  <c r="D150" i="104"/>
  <c r="C150" i="104"/>
  <c r="D149" i="104"/>
  <c r="C149" i="104"/>
  <c r="D148" i="104"/>
  <c r="C148" i="104"/>
  <c r="D147" i="104"/>
  <c r="C147" i="104"/>
  <c r="D146" i="104"/>
  <c r="C146" i="104"/>
  <c r="D145" i="104"/>
  <c r="C145" i="104"/>
  <c r="D143" i="104"/>
  <c r="C143" i="104"/>
  <c r="D142" i="104"/>
  <c r="C142" i="104"/>
  <c r="D141" i="104"/>
  <c r="C141" i="104"/>
  <c r="D140" i="104"/>
  <c r="C140" i="104"/>
  <c r="D138" i="104"/>
  <c r="C138" i="104"/>
  <c r="D137" i="104"/>
  <c r="C137" i="104"/>
  <c r="D136" i="104"/>
  <c r="C136" i="104"/>
  <c r="D135" i="104"/>
  <c r="C135" i="104"/>
  <c r="D133" i="104"/>
  <c r="C133" i="104"/>
  <c r="D132" i="104"/>
  <c r="C132" i="104"/>
  <c r="D131" i="104"/>
  <c r="C131" i="104"/>
  <c r="D130" i="104"/>
  <c r="C130" i="104"/>
  <c r="D129" i="104"/>
  <c r="C129" i="104"/>
  <c r="D127" i="104"/>
  <c r="C127" i="104"/>
  <c r="D126" i="104"/>
  <c r="C126" i="104"/>
  <c r="D125" i="104"/>
  <c r="C125" i="104"/>
  <c r="D124" i="104"/>
  <c r="C124" i="104"/>
  <c r="D123" i="104"/>
  <c r="C123" i="104"/>
  <c r="D118" i="104"/>
  <c r="C118" i="104"/>
  <c r="D117" i="104"/>
  <c r="C117" i="104"/>
  <c r="D116" i="104"/>
  <c r="C116" i="104"/>
  <c r="D115" i="104"/>
  <c r="C115" i="104"/>
  <c r="D114" i="104"/>
  <c r="C114" i="104"/>
  <c r="D110" i="104"/>
  <c r="C110" i="104"/>
  <c r="D109" i="104"/>
  <c r="C109" i="104"/>
  <c r="D108" i="104"/>
  <c r="C108" i="104"/>
  <c r="D107" i="104"/>
  <c r="C107" i="104"/>
  <c r="D106" i="104"/>
  <c r="C106" i="104"/>
  <c r="D105" i="104"/>
  <c r="C105" i="104"/>
  <c r="D101" i="104"/>
  <c r="C101" i="104"/>
  <c r="D100" i="104"/>
  <c r="C100" i="104"/>
  <c r="D99" i="104"/>
  <c r="C99" i="104"/>
  <c r="D98" i="104"/>
  <c r="C98" i="104"/>
  <c r="D97" i="104"/>
  <c r="C97" i="104"/>
  <c r="D96" i="104"/>
  <c r="C96" i="104"/>
  <c r="D92" i="104"/>
  <c r="C92" i="104"/>
  <c r="D91" i="104"/>
  <c r="C91" i="104"/>
  <c r="D90" i="104"/>
  <c r="C90" i="104"/>
  <c r="D89" i="104"/>
  <c r="C89" i="104"/>
  <c r="D88" i="104"/>
  <c r="C88" i="104"/>
  <c r="D87" i="104"/>
  <c r="C87" i="104"/>
  <c r="D86" i="104"/>
  <c r="C86" i="104"/>
  <c r="D85" i="104"/>
  <c r="C85" i="104"/>
  <c r="D84" i="104"/>
  <c r="C84" i="104"/>
  <c r="D83" i="104"/>
  <c r="C83" i="104"/>
  <c r="D82" i="104"/>
  <c r="C82" i="104"/>
  <c r="D78" i="104"/>
  <c r="C78" i="104"/>
  <c r="D77" i="104"/>
  <c r="C77" i="104"/>
  <c r="D76" i="104"/>
  <c r="C76" i="104"/>
  <c r="D75" i="104"/>
  <c r="C75" i="104"/>
  <c r="D74" i="104"/>
  <c r="C74" i="104"/>
  <c r="D73" i="104"/>
  <c r="C73" i="104"/>
  <c r="D72" i="104"/>
  <c r="C72" i="104"/>
  <c r="D71" i="104"/>
  <c r="C71" i="104"/>
  <c r="D70" i="104"/>
  <c r="C70" i="104"/>
  <c r="D69" i="104"/>
  <c r="C69" i="104"/>
  <c r="D68" i="104"/>
  <c r="C68" i="104"/>
  <c r="D67" i="104"/>
  <c r="C67" i="104"/>
  <c r="D66" i="104"/>
  <c r="C66" i="104"/>
  <c r="D65" i="104"/>
  <c r="C65" i="104"/>
  <c r="D64" i="104"/>
  <c r="C64" i="104"/>
  <c r="D60" i="104"/>
  <c r="C60" i="104"/>
  <c r="D59" i="104"/>
  <c r="C59" i="104"/>
  <c r="D58" i="104"/>
  <c r="C58" i="104"/>
  <c r="D57" i="104"/>
  <c r="C57" i="104"/>
  <c r="D56" i="104"/>
  <c r="C56" i="104"/>
  <c r="D55" i="104"/>
  <c r="C55" i="104"/>
  <c r="D54" i="104"/>
  <c r="C54" i="104"/>
  <c r="D53" i="104"/>
  <c r="C53" i="104"/>
  <c r="D52" i="104"/>
  <c r="C52" i="104"/>
  <c r="D51" i="104"/>
  <c r="C51" i="104"/>
  <c r="D50" i="104"/>
  <c r="C50" i="104"/>
  <c r="D49" i="104"/>
  <c r="C49" i="104"/>
  <c r="D48" i="104"/>
  <c r="C48" i="104"/>
  <c r="D47" i="104"/>
  <c r="C47" i="104"/>
  <c r="D46" i="104"/>
  <c r="C46" i="104"/>
  <c r="D45" i="104"/>
  <c r="C45" i="104"/>
  <c r="D44" i="104"/>
  <c r="C44" i="104"/>
  <c r="D43" i="104"/>
  <c r="C43" i="104"/>
  <c r="D42" i="104"/>
  <c r="C42" i="104"/>
  <c r="D41" i="104"/>
  <c r="C41" i="104"/>
  <c r="D40" i="104"/>
  <c r="C40" i="104"/>
  <c r="D39" i="104"/>
  <c r="C39" i="104"/>
  <c r="D38" i="104"/>
  <c r="C38" i="104"/>
  <c r="D37" i="104"/>
  <c r="C37" i="104"/>
  <c r="D36" i="104"/>
  <c r="C36" i="104"/>
  <c r="D35" i="104"/>
  <c r="C35" i="104"/>
  <c r="D34" i="104"/>
  <c r="C34" i="104"/>
  <c r="D33" i="104"/>
  <c r="C33" i="104"/>
  <c r="D32" i="104"/>
  <c r="C32" i="104"/>
  <c r="D31" i="104"/>
  <c r="C31" i="104"/>
  <c r="D30" i="104"/>
  <c r="C30" i="104"/>
  <c r="D29" i="104"/>
  <c r="C29" i="104"/>
  <c r="D28" i="104"/>
  <c r="C28" i="104"/>
  <c r="D27" i="104"/>
  <c r="C27" i="104"/>
  <c r="D26" i="104"/>
  <c r="C26" i="104"/>
  <c r="D25" i="104"/>
  <c r="C25" i="104"/>
  <c r="D20" i="104"/>
  <c r="C20" i="104"/>
  <c r="D19" i="104"/>
  <c r="C19" i="104"/>
  <c r="D18" i="104"/>
  <c r="C18" i="104"/>
  <c r="D17" i="104"/>
  <c r="C17" i="104"/>
  <c r="D16" i="104"/>
  <c r="C16" i="104"/>
  <c r="D15" i="104"/>
  <c r="C15" i="104"/>
  <c r="D14" i="104"/>
  <c r="C14" i="104"/>
  <c r="D13" i="104"/>
  <c r="C13" i="104"/>
  <c r="D12" i="104"/>
  <c r="C12" i="104"/>
  <c r="D11" i="104"/>
  <c r="C11" i="104"/>
  <c r="J124" i="106"/>
  <c r="K200" i="106"/>
  <c r="J200" i="106"/>
  <c r="K137" i="106"/>
  <c r="K136" i="106"/>
  <c r="K135" i="106"/>
  <c r="J137" i="106"/>
  <c r="J136" i="106"/>
  <c r="J135" i="106"/>
  <c r="K127" i="106"/>
  <c r="K124" i="106"/>
  <c r="J127" i="106"/>
  <c r="K114" i="106"/>
  <c r="J114" i="106"/>
  <c r="K105" i="106"/>
  <c r="J105" i="106"/>
  <c r="K96" i="106"/>
  <c r="J96" i="106"/>
  <c r="K82" i="106"/>
  <c r="J82" i="106"/>
  <c r="K51" i="106"/>
  <c r="J51" i="106"/>
  <c r="K27" i="106"/>
  <c r="K25" i="106"/>
  <c r="J27" i="106"/>
  <c r="J25" i="106"/>
  <c r="G243" i="106"/>
  <c r="C233" i="106"/>
  <c r="G242" i="106"/>
  <c r="G241" i="106"/>
  <c r="C238" i="106"/>
  <c r="C237" i="106"/>
  <c r="C236" i="106"/>
  <c r="C235" i="106"/>
  <c r="C232" i="106"/>
  <c r="C231" i="106"/>
  <c r="D228" i="106"/>
  <c r="C227" i="106"/>
  <c r="C226" i="106"/>
  <c r="C225" i="106"/>
  <c r="C224" i="106"/>
  <c r="C223" i="106"/>
  <c r="C222" i="106"/>
  <c r="C221" i="106"/>
  <c r="C220" i="106"/>
  <c r="C219" i="106"/>
  <c r="C211" i="106"/>
  <c r="D205" i="106"/>
  <c r="C205" i="106"/>
  <c r="D204" i="106"/>
  <c r="C204" i="106"/>
  <c r="D203" i="106"/>
  <c r="C203" i="106"/>
  <c r="D202" i="106"/>
  <c r="C202" i="106"/>
  <c r="D201" i="106"/>
  <c r="C201" i="106"/>
  <c r="D200" i="106"/>
  <c r="C200" i="106"/>
  <c r="D196" i="106"/>
  <c r="C196" i="106"/>
  <c r="D195" i="106"/>
  <c r="C195" i="106"/>
  <c r="D194" i="106"/>
  <c r="C194" i="106"/>
  <c r="D193" i="106"/>
  <c r="C193" i="106"/>
  <c r="D192" i="106"/>
  <c r="C192" i="106"/>
  <c r="D191" i="106"/>
  <c r="C191" i="106"/>
  <c r="D190" i="106"/>
  <c r="C190" i="106"/>
  <c r="D189" i="106"/>
  <c r="C189" i="106"/>
  <c r="D188" i="106"/>
  <c r="C188" i="106"/>
  <c r="D187" i="106"/>
  <c r="C187" i="106"/>
  <c r="D186" i="106"/>
  <c r="C186" i="106"/>
  <c r="D185" i="106"/>
  <c r="C185" i="106"/>
  <c r="D184" i="106"/>
  <c r="C184" i="106"/>
  <c r="D183" i="106"/>
  <c r="C183" i="106"/>
  <c r="D182" i="106"/>
  <c r="C182" i="106"/>
  <c r="D181" i="106"/>
  <c r="C181" i="106"/>
  <c r="D180" i="106"/>
  <c r="C180" i="106"/>
  <c r="D179" i="106"/>
  <c r="C179" i="106"/>
  <c r="D178" i="106"/>
  <c r="C178" i="106"/>
  <c r="D177" i="106"/>
  <c r="C177" i="106"/>
  <c r="D176" i="106"/>
  <c r="C176" i="106"/>
  <c r="D175" i="106"/>
  <c r="C175" i="106"/>
  <c r="D174" i="106"/>
  <c r="C174" i="106"/>
  <c r="D173" i="106"/>
  <c r="C173" i="106"/>
  <c r="D172" i="106"/>
  <c r="C172" i="106"/>
  <c r="D171" i="106"/>
  <c r="C171" i="106"/>
  <c r="D170" i="106"/>
  <c r="C170" i="106"/>
  <c r="D169" i="106"/>
  <c r="C169" i="106"/>
  <c r="D168" i="106"/>
  <c r="C168" i="106"/>
  <c r="D167" i="106"/>
  <c r="C167" i="106"/>
  <c r="D166" i="106"/>
  <c r="C166" i="106"/>
  <c r="D165" i="106"/>
  <c r="C165" i="106"/>
  <c r="D164" i="106"/>
  <c r="C164" i="106"/>
  <c r="D160" i="106"/>
  <c r="C160" i="106"/>
  <c r="D159" i="106"/>
  <c r="C159" i="106"/>
  <c r="D158" i="106"/>
  <c r="C158" i="106"/>
  <c r="D157" i="106"/>
  <c r="C157" i="106"/>
  <c r="D156" i="106"/>
  <c r="C156" i="106"/>
  <c r="D155" i="106"/>
  <c r="C155" i="106"/>
  <c r="D153" i="106"/>
  <c r="C153" i="106"/>
  <c r="D152" i="106"/>
  <c r="C152" i="106"/>
  <c r="D151" i="106"/>
  <c r="C151" i="106"/>
  <c r="D150" i="106"/>
  <c r="C150" i="106"/>
  <c r="D149" i="106"/>
  <c r="C149" i="106"/>
  <c r="D148" i="106"/>
  <c r="C148" i="106"/>
  <c r="D147" i="106"/>
  <c r="C147" i="106"/>
  <c r="D146" i="106"/>
  <c r="C146" i="106"/>
  <c r="D145" i="106"/>
  <c r="C145" i="106"/>
  <c r="D143" i="106"/>
  <c r="C143" i="106"/>
  <c r="D142" i="106"/>
  <c r="C142" i="106"/>
  <c r="D141" i="106"/>
  <c r="C141" i="106"/>
  <c r="D140" i="106"/>
  <c r="C140" i="106"/>
  <c r="D138" i="106"/>
  <c r="C138" i="106"/>
  <c r="D137" i="106"/>
  <c r="C137" i="106"/>
  <c r="D136" i="106"/>
  <c r="C136" i="106"/>
  <c r="D135" i="106"/>
  <c r="C135" i="106"/>
  <c r="D133" i="106"/>
  <c r="C133" i="106"/>
  <c r="D132" i="106"/>
  <c r="C132" i="106"/>
  <c r="D131" i="106"/>
  <c r="C131" i="106"/>
  <c r="D130" i="106"/>
  <c r="C130" i="106"/>
  <c r="D129" i="106"/>
  <c r="C129" i="106"/>
  <c r="D127" i="106"/>
  <c r="C127" i="106"/>
  <c r="D126" i="106"/>
  <c r="C126" i="106"/>
  <c r="D125" i="106"/>
  <c r="C125" i="106"/>
  <c r="D124" i="106"/>
  <c r="C124" i="106"/>
  <c r="D123" i="106"/>
  <c r="C123" i="106"/>
  <c r="D118" i="106"/>
  <c r="C118" i="106"/>
  <c r="D117" i="106"/>
  <c r="C117" i="106"/>
  <c r="D116" i="106"/>
  <c r="C116" i="106"/>
  <c r="D115" i="106"/>
  <c r="C115" i="106"/>
  <c r="D114" i="106"/>
  <c r="C114" i="106"/>
  <c r="D110" i="106"/>
  <c r="C110" i="106"/>
  <c r="D109" i="106"/>
  <c r="C109" i="106"/>
  <c r="D108" i="106"/>
  <c r="C108" i="106"/>
  <c r="D107" i="106"/>
  <c r="C107" i="106"/>
  <c r="D106" i="106"/>
  <c r="C106" i="106"/>
  <c r="D105" i="106"/>
  <c r="C105" i="106"/>
  <c r="D101" i="106"/>
  <c r="C101" i="106"/>
  <c r="D100" i="106"/>
  <c r="C100" i="106"/>
  <c r="D99" i="106"/>
  <c r="C99" i="106"/>
  <c r="D98" i="106"/>
  <c r="C98" i="106"/>
  <c r="D97" i="106"/>
  <c r="C97" i="106"/>
  <c r="D96" i="106"/>
  <c r="C96" i="106"/>
  <c r="D92" i="106"/>
  <c r="C92" i="106"/>
  <c r="D91" i="106"/>
  <c r="C91" i="106"/>
  <c r="D90" i="106"/>
  <c r="C90" i="106"/>
  <c r="D89" i="106"/>
  <c r="C89" i="106"/>
  <c r="D88" i="106"/>
  <c r="C88" i="106"/>
  <c r="D87" i="106"/>
  <c r="C87" i="106"/>
  <c r="D86" i="106"/>
  <c r="C86" i="106"/>
  <c r="D85" i="106"/>
  <c r="C85" i="106"/>
  <c r="D84" i="106"/>
  <c r="C84" i="106"/>
  <c r="D83" i="106"/>
  <c r="C83" i="106"/>
  <c r="D82" i="106"/>
  <c r="C82" i="106"/>
  <c r="D78" i="106"/>
  <c r="C78" i="106"/>
  <c r="D77" i="106"/>
  <c r="C77" i="106"/>
  <c r="D76" i="106"/>
  <c r="C76" i="106"/>
  <c r="D75" i="106"/>
  <c r="C75" i="106"/>
  <c r="D74" i="106"/>
  <c r="C74" i="106"/>
  <c r="D73" i="106"/>
  <c r="C73" i="106"/>
  <c r="D72" i="106"/>
  <c r="C72" i="106"/>
  <c r="D71" i="106"/>
  <c r="C71" i="106"/>
  <c r="D70" i="106"/>
  <c r="C70" i="106"/>
  <c r="D69" i="106"/>
  <c r="C69" i="106"/>
  <c r="D68" i="106"/>
  <c r="C68" i="106"/>
  <c r="D67" i="106"/>
  <c r="C67" i="106"/>
  <c r="D66" i="106"/>
  <c r="C66" i="106"/>
  <c r="D65" i="106"/>
  <c r="C65" i="106"/>
  <c r="D64" i="106"/>
  <c r="C64" i="106"/>
  <c r="D60" i="106"/>
  <c r="C60" i="106"/>
  <c r="D59" i="106"/>
  <c r="C59" i="106"/>
  <c r="D58" i="106"/>
  <c r="C58" i="106"/>
  <c r="D57" i="106"/>
  <c r="C57" i="106"/>
  <c r="D56" i="106"/>
  <c r="C56" i="106"/>
  <c r="D55" i="106"/>
  <c r="C55" i="106"/>
  <c r="D54" i="106"/>
  <c r="C54" i="106"/>
  <c r="D53" i="106"/>
  <c r="C53" i="106"/>
  <c r="D52" i="106"/>
  <c r="C52" i="106"/>
  <c r="D51" i="106"/>
  <c r="C51" i="106"/>
  <c r="D50" i="106"/>
  <c r="C50" i="106"/>
  <c r="D49" i="106"/>
  <c r="C49" i="106"/>
  <c r="D48" i="106"/>
  <c r="C48" i="106"/>
  <c r="D47" i="106"/>
  <c r="C47" i="106"/>
  <c r="D46" i="106"/>
  <c r="C46" i="106"/>
  <c r="D45" i="106"/>
  <c r="C45" i="106"/>
  <c r="D44" i="106"/>
  <c r="C44" i="106"/>
  <c r="D43" i="106"/>
  <c r="C43" i="106"/>
  <c r="D42" i="106"/>
  <c r="C42" i="106"/>
  <c r="D41" i="106"/>
  <c r="C41" i="106"/>
  <c r="D40" i="106"/>
  <c r="C40" i="106"/>
  <c r="D39" i="106"/>
  <c r="C39" i="106"/>
  <c r="D38" i="106"/>
  <c r="C38" i="106"/>
  <c r="D37" i="106"/>
  <c r="C37" i="106"/>
  <c r="D36" i="106"/>
  <c r="C36" i="106"/>
  <c r="D35" i="106"/>
  <c r="C35" i="106"/>
  <c r="D34" i="106"/>
  <c r="C34" i="106"/>
  <c r="D33" i="106"/>
  <c r="C33" i="106"/>
  <c r="D32" i="106"/>
  <c r="C32" i="106"/>
  <c r="D31" i="106"/>
  <c r="C31" i="106"/>
  <c r="D30" i="106"/>
  <c r="C30" i="106"/>
  <c r="D29" i="106"/>
  <c r="C29" i="106"/>
  <c r="D28" i="106"/>
  <c r="C28" i="106"/>
  <c r="D27" i="106"/>
  <c r="C27" i="106"/>
  <c r="D26" i="106"/>
  <c r="C26" i="106"/>
  <c r="D25" i="106"/>
  <c r="C25" i="106"/>
  <c r="D20" i="106"/>
  <c r="C20" i="106"/>
  <c r="D19" i="106"/>
  <c r="C19" i="106"/>
  <c r="D18" i="106"/>
  <c r="C18" i="106"/>
  <c r="D17" i="106"/>
  <c r="C17" i="106"/>
  <c r="D16" i="106"/>
  <c r="C16" i="106"/>
  <c r="D15" i="106"/>
  <c r="C15" i="106"/>
  <c r="D14" i="106"/>
  <c r="C14" i="106"/>
  <c r="D13" i="106"/>
  <c r="C13" i="106"/>
  <c r="D12" i="106"/>
  <c r="C12" i="106"/>
  <c r="D11" i="106"/>
  <c r="C11" i="106"/>
  <c r="E196" i="45"/>
  <c r="G196" i="45"/>
  <c r="E192" i="45"/>
  <c r="G192" i="45"/>
  <c r="E188" i="45"/>
  <c r="E184" i="45"/>
  <c r="G184" i="45"/>
  <c r="E176" i="45"/>
  <c r="E164" i="45"/>
  <c r="E157" i="45"/>
  <c r="E152" i="45"/>
  <c r="E138" i="45"/>
  <c r="E133" i="45"/>
  <c r="G133" i="45"/>
  <c r="E129" i="45"/>
  <c r="G129" i="45"/>
  <c r="E109" i="45"/>
  <c r="E105" i="45"/>
  <c r="E98" i="45"/>
  <c r="E91" i="45"/>
  <c r="E89" i="45"/>
  <c r="E87" i="45"/>
  <c r="E76" i="45"/>
  <c r="E72" i="45"/>
  <c r="E68" i="45"/>
  <c r="E64" i="45"/>
  <c r="E53" i="45"/>
  <c r="G53" i="45"/>
  <c r="E41" i="45"/>
  <c r="G41" i="45"/>
  <c r="E37" i="45"/>
  <c r="E33" i="45"/>
  <c r="E29" i="45"/>
  <c r="K200" i="102"/>
  <c r="J200" i="102"/>
  <c r="K172" i="102"/>
  <c r="J172" i="102"/>
  <c r="K168" i="102"/>
  <c r="J168" i="102"/>
  <c r="K166" i="102"/>
  <c r="J166" i="102"/>
  <c r="J138" i="102"/>
  <c r="J137" i="102"/>
  <c r="J136" i="102"/>
  <c r="J135" i="102"/>
  <c r="K138" i="102"/>
  <c r="K137" i="102"/>
  <c r="K136" i="102"/>
  <c r="K135" i="102"/>
  <c r="K127" i="102"/>
  <c r="K125" i="102"/>
  <c r="K124" i="102"/>
  <c r="J127" i="102"/>
  <c r="J125" i="102"/>
  <c r="J124" i="102"/>
  <c r="K114" i="102"/>
  <c r="J114" i="102"/>
  <c r="K105" i="102"/>
  <c r="J105" i="102"/>
  <c r="K96" i="102"/>
  <c r="J96" i="102"/>
  <c r="K82" i="102"/>
  <c r="J82" i="102"/>
  <c r="K27" i="102"/>
  <c r="K25" i="102"/>
  <c r="J27" i="102"/>
  <c r="J25" i="102"/>
  <c r="E220" i="102"/>
  <c r="G220" i="102"/>
  <c r="E219" i="102"/>
  <c r="E203" i="102"/>
  <c r="E202" i="102"/>
  <c r="E195" i="102"/>
  <c r="E188" i="102"/>
  <c r="E185" i="102"/>
  <c r="G185" i="102"/>
  <c r="E181" i="102"/>
  <c r="E173" i="102"/>
  <c r="E171" i="102"/>
  <c r="E169" i="102"/>
  <c r="G169" i="102"/>
  <c r="E157" i="102"/>
  <c r="G157" i="102"/>
  <c r="E156" i="102"/>
  <c r="E153" i="102"/>
  <c r="E148" i="102"/>
  <c r="G148" i="102"/>
  <c r="E138" i="102"/>
  <c r="E136" i="102"/>
  <c r="E118" i="102"/>
  <c r="E107" i="102"/>
  <c r="E98" i="102"/>
  <c r="G98" i="102"/>
  <c r="E84" i="102"/>
  <c r="E74" i="102"/>
  <c r="E73" i="102"/>
  <c r="E64" i="102"/>
  <c r="E60" i="102"/>
  <c r="E51" i="102"/>
  <c r="E42" i="102"/>
  <c r="E41" i="102"/>
  <c r="E38" i="102"/>
  <c r="G38" i="102"/>
  <c r="E37" i="102"/>
  <c r="E34" i="102"/>
  <c r="E33" i="102"/>
  <c r="E30" i="102"/>
  <c r="E16" i="102"/>
  <c r="G244" i="46"/>
  <c r="J168" i="46"/>
  <c r="J200" i="46"/>
  <c r="K200" i="46"/>
  <c r="K172" i="46"/>
  <c r="K168" i="46"/>
  <c r="K166" i="46"/>
  <c r="J172" i="46"/>
  <c r="J166" i="46"/>
  <c r="J149" i="46"/>
  <c r="J148" i="46"/>
  <c r="K137" i="46"/>
  <c r="K136" i="46"/>
  <c r="K135" i="46"/>
  <c r="J137" i="46"/>
  <c r="J136" i="46"/>
  <c r="J135" i="46"/>
  <c r="K125" i="46"/>
  <c r="K124" i="46"/>
  <c r="J125" i="46"/>
  <c r="C125" i="46"/>
  <c r="J124" i="46"/>
  <c r="K114" i="46"/>
  <c r="J114" i="46"/>
  <c r="K96" i="46"/>
  <c r="J96" i="46"/>
  <c r="K82" i="46"/>
  <c r="J82" i="46"/>
  <c r="K27" i="46"/>
  <c r="K25" i="46"/>
  <c r="J27" i="46"/>
  <c r="J25" i="46"/>
  <c r="C233" i="46"/>
  <c r="G243" i="46"/>
  <c r="G242" i="46"/>
  <c r="G241" i="46"/>
  <c r="C238" i="46"/>
  <c r="C237" i="46"/>
  <c r="C236" i="46"/>
  <c r="C235" i="46"/>
  <c r="C232" i="46"/>
  <c r="C231" i="46"/>
  <c r="D228" i="46"/>
  <c r="C227" i="46"/>
  <c r="C226" i="46"/>
  <c r="C225" i="46"/>
  <c r="C224" i="46"/>
  <c r="C223" i="46"/>
  <c r="E223" i="46"/>
  <c r="C222" i="46"/>
  <c r="C221" i="46"/>
  <c r="C220" i="46"/>
  <c r="C219" i="46"/>
  <c r="C211" i="46"/>
  <c r="D205" i="46"/>
  <c r="C205" i="46"/>
  <c r="D204" i="46"/>
  <c r="C204" i="46"/>
  <c r="D203" i="46"/>
  <c r="C203" i="46"/>
  <c r="D202" i="46"/>
  <c r="C202" i="46"/>
  <c r="D201" i="46"/>
  <c r="C201" i="46"/>
  <c r="D200" i="46"/>
  <c r="C200" i="46"/>
  <c r="D196" i="46"/>
  <c r="C196" i="46"/>
  <c r="D195" i="46"/>
  <c r="C195" i="46"/>
  <c r="D194" i="46"/>
  <c r="C194" i="46"/>
  <c r="D193" i="46"/>
  <c r="C193" i="46"/>
  <c r="D192" i="46"/>
  <c r="C192" i="46"/>
  <c r="D191" i="46"/>
  <c r="C191" i="46"/>
  <c r="D190" i="46"/>
  <c r="C190" i="46"/>
  <c r="D189" i="46"/>
  <c r="C189" i="46"/>
  <c r="D188" i="46"/>
  <c r="C188" i="46"/>
  <c r="D187" i="46"/>
  <c r="C187" i="46"/>
  <c r="D186" i="46"/>
  <c r="C186" i="46"/>
  <c r="D185" i="46"/>
  <c r="C185" i="46"/>
  <c r="D184" i="46"/>
  <c r="C184" i="46"/>
  <c r="D183" i="46"/>
  <c r="C183" i="46"/>
  <c r="D182" i="46"/>
  <c r="C182" i="46"/>
  <c r="D181" i="46"/>
  <c r="C181" i="46"/>
  <c r="D180" i="46"/>
  <c r="C180" i="46"/>
  <c r="D179" i="46"/>
  <c r="C179" i="46"/>
  <c r="D178" i="46"/>
  <c r="C178" i="46"/>
  <c r="D177" i="46"/>
  <c r="C177" i="46"/>
  <c r="D176" i="46"/>
  <c r="C176" i="46"/>
  <c r="D175" i="46"/>
  <c r="C175" i="46"/>
  <c r="D174" i="46"/>
  <c r="C174" i="46"/>
  <c r="D173" i="46"/>
  <c r="C173" i="46"/>
  <c r="D172" i="46"/>
  <c r="C172" i="46"/>
  <c r="D171" i="46"/>
  <c r="C171" i="46"/>
  <c r="D170" i="46"/>
  <c r="C170" i="46"/>
  <c r="D169" i="46"/>
  <c r="C169" i="46"/>
  <c r="D168" i="46"/>
  <c r="C168" i="46"/>
  <c r="D167" i="46"/>
  <c r="C167" i="46"/>
  <c r="D166" i="46"/>
  <c r="C166" i="46"/>
  <c r="D165" i="46"/>
  <c r="C165" i="46"/>
  <c r="D164" i="46"/>
  <c r="C164" i="46"/>
  <c r="D160" i="46"/>
  <c r="C160" i="46"/>
  <c r="D159" i="46"/>
  <c r="C159" i="46"/>
  <c r="D158" i="46"/>
  <c r="C158" i="46"/>
  <c r="D157" i="46"/>
  <c r="C157" i="46"/>
  <c r="D156" i="46"/>
  <c r="C156" i="46"/>
  <c r="D155" i="46"/>
  <c r="C155" i="46"/>
  <c r="D153" i="46"/>
  <c r="C153" i="46"/>
  <c r="D152" i="46"/>
  <c r="C152" i="46"/>
  <c r="D151" i="46"/>
  <c r="C151" i="46"/>
  <c r="D150" i="46"/>
  <c r="C150" i="46"/>
  <c r="D149" i="46"/>
  <c r="C149" i="46"/>
  <c r="D148" i="46"/>
  <c r="C148" i="46"/>
  <c r="D147" i="46"/>
  <c r="C147" i="46"/>
  <c r="D146" i="46"/>
  <c r="C146" i="46"/>
  <c r="D145" i="46"/>
  <c r="C145" i="46"/>
  <c r="D143" i="46"/>
  <c r="C143" i="46"/>
  <c r="D142" i="46"/>
  <c r="C142" i="46"/>
  <c r="D141" i="46"/>
  <c r="C141" i="46"/>
  <c r="D140" i="46"/>
  <c r="C140" i="46"/>
  <c r="D138" i="46"/>
  <c r="C138" i="46"/>
  <c r="D137" i="46"/>
  <c r="C137" i="46"/>
  <c r="D136" i="46"/>
  <c r="C136" i="46"/>
  <c r="D135" i="46"/>
  <c r="C135" i="46"/>
  <c r="D133" i="46"/>
  <c r="C133" i="46"/>
  <c r="D132" i="46"/>
  <c r="C132" i="46"/>
  <c r="D131" i="46"/>
  <c r="C131" i="46"/>
  <c r="D130" i="46"/>
  <c r="C130" i="46"/>
  <c r="D129" i="46"/>
  <c r="C129" i="46"/>
  <c r="D127" i="46"/>
  <c r="C127" i="46"/>
  <c r="D126" i="46"/>
  <c r="C126" i="46"/>
  <c r="D125" i="46"/>
  <c r="D124" i="46"/>
  <c r="C124" i="46"/>
  <c r="D123" i="46"/>
  <c r="C123" i="46"/>
  <c r="D118" i="46"/>
  <c r="C118" i="46"/>
  <c r="D117" i="46"/>
  <c r="C117" i="46"/>
  <c r="D116" i="46"/>
  <c r="C116" i="46"/>
  <c r="D115" i="46"/>
  <c r="C115" i="46"/>
  <c r="D114" i="46"/>
  <c r="C114" i="46"/>
  <c r="D110" i="46"/>
  <c r="C110" i="46"/>
  <c r="D109" i="46"/>
  <c r="C109" i="46"/>
  <c r="D108" i="46"/>
  <c r="C108" i="46"/>
  <c r="D107" i="46"/>
  <c r="C107" i="46"/>
  <c r="D106" i="46"/>
  <c r="C106" i="46"/>
  <c r="D105" i="46"/>
  <c r="C105" i="46"/>
  <c r="D101" i="46"/>
  <c r="C101" i="46"/>
  <c r="D100" i="46"/>
  <c r="C100" i="46"/>
  <c r="D99" i="46"/>
  <c r="C99" i="46"/>
  <c r="D98" i="46"/>
  <c r="C98" i="46"/>
  <c r="D97" i="46"/>
  <c r="C97" i="46"/>
  <c r="D96" i="46"/>
  <c r="C96" i="46"/>
  <c r="D92" i="46"/>
  <c r="C92" i="46"/>
  <c r="D91" i="46"/>
  <c r="C91" i="46"/>
  <c r="D90" i="46"/>
  <c r="C90" i="46"/>
  <c r="D89" i="46"/>
  <c r="C89" i="46"/>
  <c r="D88" i="46"/>
  <c r="C88" i="46"/>
  <c r="D87" i="46"/>
  <c r="C87" i="46"/>
  <c r="D86" i="46"/>
  <c r="C86" i="46"/>
  <c r="D85" i="46"/>
  <c r="C85" i="46"/>
  <c r="D84" i="46"/>
  <c r="C84" i="46"/>
  <c r="D83" i="46"/>
  <c r="C83" i="46"/>
  <c r="D82" i="46"/>
  <c r="C82" i="46"/>
  <c r="D78" i="46"/>
  <c r="C78" i="46"/>
  <c r="D77" i="46"/>
  <c r="C77" i="46"/>
  <c r="D76" i="46"/>
  <c r="C76" i="46"/>
  <c r="D75" i="46"/>
  <c r="C75" i="46"/>
  <c r="D74" i="46"/>
  <c r="C74" i="46"/>
  <c r="D73" i="46"/>
  <c r="C73" i="46"/>
  <c r="D72" i="46"/>
  <c r="C72" i="46"/>
  <c r="D71" i="46"/>
  <c r="C71" i="46"/>
  <c r="D70" i="46"/>
  <c r="C70" i="46"/>
  <c r="D69" i="46"/>
  <c r="C69" i="46"/>
  <c r="D68" i="46"/>
  <c r="C68" i="46"/>
  <c r="D67" i="46"/>
  <c r="C67" i="46"/>
  <c r="D66" i="46"/>
  <c r="C66" i="46"/>
  <c r="D65" i="46"/>
  <c r="C65" i="46"/>
  <c r="D64" i="46"/>
  <c r="C64" i="46"/>
  <c r="D60" i="46"/>
  <c r="C60" i="46"/>
  <c r="D59" i="46"/>
  <c r="C59" i="46"/>
  <c r="D58" i="46"/>
  <c r="C58" i="46"/>
  <c r="D57" i="46"/>
  <c r="C57" i="46"/>
  <c r="D56" i="46"/>
  <c r="C56" i="46"/>
  <c r="D55" i="46"/>
  <c r="C55" i="46"/>
  <c r="D54" i="46"/>
  <c r="C54" i="46"/>
  <c r="D53" i="46"/>
  <c r="C53" i="46"/>
  <c r="D52" i="46"/>
  <c r="C52" i="46"/>
  <c r="D51" i="46"/>
  <c r="C51" i="46"/>
  <c r="D50" i="46"/>
  <c r="C50" i="46"/>
  <c r="D49" i="46"/>
  <c r="C49" i="46"/>
  <c r="D48" i="46"/>
  <c r="C48" i="46"/>
  <c r="D47" i="46"/>
  <c r="C47" i="46"/>
  <c r="D46" i="46"/>
  <c r="C46" i="46"/>
  <c r="D45" i="46"/>
  <c r="C45" i="46"/>
  <c r="D44" i="46"/>
  <c r="C44" i="46"/>
  <c r="D43" i="46"/>
  <c r="C43" i="46"/>
  <c r="D42" i="46"/>
  <c r="C42" i="46"/>
  <c r="D41" i="46"/>
  <c r="C41" i="46"/>
  <c r="D40" i="46"/>
  <c r="C40" i="46"/>
  <c r="D39" i="46"/>
  <c r="C39" i="46"/>
  <c r="D38" i="46"/>
  <c r="C38" i="46"/>
  <c r="D37" i="46"/>
  <c r="C37" i="46"/>
  <c r="D36" i="46"/>
  <c r="C36" i="46"/>
  <c r="D35" i="46"/>
  <c r="C35" i="46"/>
  <c r="D34" i="46"/>
  <c r="C34" i="46"/>
  <c r="D33" i="46"/>
  <c r="C33" i="46"/>
  <c r="D32" i="46"/>
  <c r="C32" i="46"/>
  <c r="D31" i="46"/>
  <c r="C31" i="46"/>
  <c r="D30" i="46"/>
  <c r="C30" i="46"/>
  <c r="D29" i="46"/>
  <c r="C29" i="46"/>
  <c r="D28" i="46"/>
  <c r="C28" i="46"/>
  <c r="D27" i="46"/>
  <c r="C27" i="46"/>
  <c r="D26" i="46"/>
  <c r="C26" i="46"/>
  <c r="D25" i="46"/>
  <c r="C25" i="46"/>
  <c r="D20" i="46"/>
  <c r="C20" i="46"/>
  <c r="D19" i="46"/>
  <c r="C19" i="46"/>
  <c r="D18" i="46"/>
  <c r="C18" i="46"/>
  <c r="D17" i="46"/>
  <c r="C17" i="46"/>
  <c r="D16" i="46"/>
  <c r="C16" i="46"/>
  <c r="D15" i="46"/>
  <c r="C15" i="46"/>
  <c r="D14" i="46"/>
  <c r="C14" i="46"/>
  <c r="D13" i="46"/>
  <c r="C13" i="46"/>
  <c r="D12" i="46"/>
  <c r="C12" i="46"/>
  <c r="D11" i="46"/>
  <c r="C11" i="46"/>
  <c r="G244" i="47"/>
  <c r="G243" i="47"/>
  <c r="G242" i="47"/>
  <c r="G241" i="47"/>
  <c r="C238" i="47"/>
  <c r="C237" i="47"/>
  <c r="C236" i="47"/>
  <c r="C235" i="47"/>
  <c r="C233" i="47"/>
  <c r="C232" i="47"/>
  <c r="C231" i="47"/>
  <c r="D228" i="47"/>
  <c r="C227" i="47"/>
  <c r="C226" i="47"/>
  <c r="C225" i="47"/>
  <c r="C224" i="47"/>
  <c r="C223" i="47"/>
  <c r="C222" i="47"/>
  <c r="C221" i="47"/>
  <c r="C220" i="47"/>
  <c r="C219" i="47"/>
  <c r="C211" i="47"/>
  <c r="D205" i="47"/>
  <c r="C205" i="47"/>
  <c r="D204" i="47"/>
  <c r="C204" i="47"/>
  <c r="D203" i="47"/>
  <c r="C203" i="47"/>
  <c r="D202" i="47"/>
  <c r="C202" i="47"/>
  <c r="D201" i="47"/>
  <c r="C201" i="47"/>
  <c r="D200" i="47"/>
  <c r="C200" i="47"/>
  <c r="D196" i="47"/>
  <c r="C196" i="47"/>
  <c r="D195" i="47"/>
  <c r="C195" i="47"/>
  <c r="D194" i="47"/>
  <c r="C194" i="47"/>
  <c r="D193" i="47"/>
  <c r="C193" i="47"/>
  <c r="D192" i="47"/>
  <c r="C192" i="47"/>
  <c r="D191" i="47"/>
  <c r="C191" i="47"/>
  <c r="D190" i="47"/>
  <c r="C190" i="47"/>
  <c r="D189" i="47"/>
  <c r="C189" i="47"/>
  <c r="D188" i="47"/>
  <c r="C188" i="47"/>
  <c r="D187" i="47"/>
  <c r="C187" i="47"/>
  <c r="D186" i="47"/>
  <c r="C186" i="47"/>
  <c r="D185" i="47"/>
  <c r="C185" i="47"/>
  <c r="D184" i="47"/>
  <c r="C184" i="47"/>
  <c r="D183" i="47"/>
  <c r="C183" i="47"/>
  <c r="D182" i="47"/>
  <c r="C182" i="47"/>
  <c r="D181" i="47"/>
  <c r="C181" i="47"/>
  <c r="D180" i="47"/>
  <c r="C180" i="47"/>
  <c r="D179" i="47"/>
  <c r="C179" i="47"/>
  <c r="D178" i="47"/>
  <c r="C178" i="47"/>
  <c r="D177" i="47"/>
  <c r="C177" i="47"/>
  <c r="D176" i="47"/>
  <c r="C176" i="47"/>
  <c r="D175" i="47"/>
  <c r="C175" i="47"/>
  <c r="D174" i="47"/>
  <c r="C174" i="47"/>
  <c r="D173" i="47"/>
  <c r="C173" i="47"/>
  <c r="D172" i="47"/>
  <c r="C172" i="47"/>
  <c r="D171" i="47"/>
  <c r="C171" i="47"/>
  <c r="D170" i="47"/>
  <c r="C170" i="47"/>
  <c r="D169" i="47"/>
  <c r="C169" i="47"/>
  <c r="D168" i="47"/>
  <c r="C168" i="47"/>
  <c r="D167" i="47"/>
  <c r="C167" i="47"/>
  <c r="D166" i="47"/>
  <c r="C166" i="47"/>
  <c r="D165" i="47"/>
  <c r="C165" i="47"/>
  <c r="D164" i="47"/>
  <c r="C164" i="47"/>
  <c r="D160" i="47"/>
  <c r="C160" i="47"/>
  <c r="D159" i="47"/>
  <c r="C159" i="47"/>
  <c r="D158" i="47"/>
  <c r="C158" i="47"/>
  <c r="D157" i="47"/>
  <c r="C157" i="47"/>
  <c r="D156" i="47"/>
  <c r="C156" i="47"/>
  <c r="D155" i="47"/>
  <c r="C155" i="47"/>
  <c r="D153" i="47"/>
  <c r="C153" i="47"/>
  <c r="D152" i="47"/>
  <c r="C152" i="47"/>
  <c r="D151" i="47"/>
  <c r="C151" i="47"/>
  <c r="D150" i="47"/>
  <c r="C150" i="47"/>
  <c r="D149" i="47"/>
  <c r="C149" i="47"/>
  <c r="D148" i="47"/>
  <c r="C148" i="47"/>
  <c r="D147" i="47"/>
  <c r="C147" i="47"/>
  <c r="D146" i="47"/>
  <c r="C146" i="47"/>
  <c r="D145" i="47"/>
  <c r="C145" i="47"/>
  <c r="D143" i="47"/>
  <c r="C143" i="47"/>
  <c r="D142" i="47"/>
  <c r="C142" i="47"/>
  <c r="D141" i="47"/>
  <c r="C141" i="47"/>
  <c r="D140" i="47"/>
  <c r="C140" i="47"/>
  <c r="D138" i="47"/>
  <c r="C138" i="47"/>
  <c r="D137" i="47"/>
  <c r="C137" i="47"/>
  <c r="D136" i="47"/>
  <c r="C136" i="47"/>
  <c r="D135" i="47"/>
  <c r="C135" i="47"/>
  <c r="D133" i="47"/>
  <c r="C133" i="47"/>
  <c r="D132" i="47"/>
  <c r="C132" i="47"/>
  <c r="D131" i="47"/>
  <c r="C131" i="47"/>
  <c r="D130" i="47"/>
  <c r="C130" i="47"/>
  <c r="D129" i="47"/>
  <c r="C129" i="47"/>
  <c r="D127" i="47"/>
  <c r="C127" i="47"/>
  <c r="D126" i="47"/>
  <c r="C126" i="47"/>
  <c r="D125" i="47"/>
  <c r="C125" i="47"/>
  <c r="D124" i="47"/>
  <c r="C124" i="47"/>
  <c r="D123" i="47"/>
  <c r="C123" i="47"/>
  <c r="D118" i="47"/>
  <c r="C118" i="47"/>
  <c r="D117" i="47"/>
  <c r="C117" i="47"/>
  <c r="D116" i="47"/>
  <c r="C116" i="47"/>
  <c r="D115" i="47"/>
  <c r="C115" i="47"/>
  <c r="D114" i="47"/>
  <c r="C114" i="47"/>
  <c r="D110" i="47"/>
  <c r="C110" i="47"/>
  <c r="D109" i="47"/>
  <c r="C109" i="47"/>
  <c r="D108" i="47"/>
  <c r="C108" i="47"/>
  <c r="D107" i="47"/>
  <c r="C107" i="47"/>
  <c r="D106" i="47"/>
  <c r="C106" i="47"/>
  <c r="D105" i="47"/>
  <c r="C105" i="47"/>
  <c r="D101" i="47"/>
  <c r="C101" i="47"/>
  <c r="D100" i="47"/>
  <c r="C100" i="47"/>
  <c r="D99" i="47"/>
  <c r="C99" i="47"/>
  <c r="D98" i="47"/>
  <c r="C98" i="47"/>
  <c r="D97" i="47"/>
  <c r="C97" i="47"/>
  <c r="D96" i="47"/>
  <c r="C96" i="47"/>
  <c r="D92" i="47"/>
  <c r="C92" i="47"/>
  <c r="D91" i="47"/>
  <c r="C91" i="47"/>
  <c r="D90" i="47"/>
  <c r="C90" i="47"/>
  <c r="D89" i="47"/>
  <c r="C89" i="47"/>
  <c r="D88" i="47"/>
  <c r="C88" i="47"/>
  <c r="D87" i="47"/>
  <c r="C87" i="47"/>
  <c r="D86" i="47"/>
  <c r="C86" i="47"/>
  <c r="D85" i="47"/>
  <c r="C85" i="47"/>
  <c r="D84" i="47"/>
  <c r="C84" i="47"/>
  <c r="D83" i="47"/>
  <c r="C83" i="47"/>
  <c r="D82" i="47"/>
  <c r="C82" i="47"/>
  <c r="D78" i="47"/>
  <c r="C78" i="47"/>
  <c r="D77" i="47"/>
  <c r="C77" i="47"/>
  <c r="D76" i="47"/>
  <c r="C76" i="47"/>
  <c r="D75" i="47"/>
  <c r="C75" i="47"/>
  <c r="D74" i="47"/>
  <c r="C74" i="47"/>
  <c r="D73" i="47"/>
  <c r="C73" i="47"/>
  <c r="D72" i="47"/>
  <c r="C72" i="47"/>
  <c r="D71" i="47"/>
  <c r="C71" i="47"/>
  <c r="D70" i="47"/>
  <c r="C70" i="47"/>
  <c r="D69" i="47"/>
  <c r="C69" i="47"/>
  <c r="D68" i="47"/>
  <c r="C68" i="47"/>
  <c r="D67" i="47"/>
  <c r="C67" i="47"/>
  <c r="D66" i="47"/>
  <c r="C66" i="47"/>
  <c r="D65" i="47"/>
  <c r="C65" i="47"/>
  <c r="D64" i="47"/>
  <c r="C64" i="47"/>
  <c r="D60" i="47"/>
  <c r="C60" i="47"/>
  <c r="D59" i="47"/>
  <c r="C59" i="47"/>
  <c r="D58" i="47"/>
  <c r="C58" i="47"/>
  <c r="D57" i="47"/>
  <c r="C57" i="47"/>
  <c r="D56" i="47"/>
  <c r="C56" i="47"/>
  <c r="D55" i="47"/>
  <c r="C55" i="47"/>
  <c r="D54" i="47"/>
  <c r="C54" i="47"/>
  <c r="D53" i="47"/>
  <c r="C53" i="47"/>
  <c r="D52" i="47"/>
  <c r="C52" i="47"/>
  <c r="D51" i="47"/>
  <c r="C51" i="47"/>
  <c r="D50" i="47"/>
  <c r="C50" i="47"/>
  <c r="D49" i="47"/>
  <c r="C49" i="47"/>
  <c r="D48" i="47"/>
  <c r="C48" i="47"/>
  <c r="D47" i="47"/>
  <c r="C47" i="47"/>
  <c r="D46" i="47"/>
  <c r="C46" i="47"/>
  <c r="D45" i="47"/>
  <c r="C45" i="47"/>
  <c r="D44" i="47"/>
  <c r="C44" i="47"/>
  <c r="D43" i="47"/>
  <c r="C43" i="47"/>
  <c r="D42" i="47"/>
  <c r="C42" i="47"/>
  <c r="D41" i="47"/>
  <c r="C41" i="47"/>
  <c r="D40" i="47"/>
  <c r="C40" i="47"/>
  <c r="D39" i="47"/>
  <c r="C39" i="47"/>
  <c r="D38" i="47"/>
  <c r="C38" i="47"/>
  <c r="D37" i="47"/>
  <c r="C37" i="47"/>
  <c r="D36" i="47"/>
  <c r="C36" i="47"/>
  <c r="D35" i="47"/>
  <c r="C35" i="47"/>
  <c r="D34" i="47"/>
  <c r="C34" i="47"/>
  <c r="D33" i="47"/>
  <c r="C33" i="47"/>
  <c r="D32" i="47"/>
  <c r="C32" i="47"/>
  <c r="D31" i="47"/>
  <c r="C31" i="47"/>
  <c r="D30" i="47"/>
  <c r="C30" i="47"/>
  <c r="D29" i="47"/>
  <c r="C29" i="47"/>
  <c r="D28" i="47"/>
  <c r="C28" i="47"/>
  <c r="D27" i="47"/>
  <c r="C27" i="47"/>
  <c r="D26" i="47"/>
  <c r="C26" i="47"/>
  <c r="D25" i="47"/>
  <c r="C25" i="47"/>
  <c r="D20" i="47"/>
  <c r="C20" i="47"/>
  <c r="D19" i="47"/>
  <c r="C19" i="47"/>
  <c r="D18" i="47"/>
  <c r="C18" i="47"/>
  <c r="D17" i="47"/>
  <c r="C17" i="47"/>
  <c r="D16" i="47"/>
  <c r="C16" i="47"/>
  <c r="D15" i="47"/>
  <c r="C15" i="47"/>
  <c r="D14" i="47"/>
  <c r="C14" i="47"/>
  <c r="D13" i="47"/>
  <c r="C13" i="47"/>
  <c r="D12" i="47"/>
  <c r="C12" i="47"/>
  <c r="D11" i="47"/>
  <c r="C11" i="47"/>
  <c r="G244" i="83"/>
  <c r="G243" i="83"/>
  <c r="G242" i="83"/>
  <c r="G241" i="83"/>
  <c r="C238" i="83"/>
  <c r="C237" i="83"/>
  <c r="C236" i="83"/>
  <c r="C235" i="83"/>
  <c r="C233" i="83"/>
  <c r="C232" i="83"/>
  <c r="C231" i="83"/>
  <c r="D228" i="83"/>
  <c r="C227" i="83"/>
  <c r="C226" i="83"/>
  <c r="C225" i="83"/>
  <c r="C224" i="83"/>
  <c r="C223" i="83"/>
  <c r="C222" i="83"/>
  <c r="C221" i="83"/>
  <c r="C220" i="83"/>
  <c r="C219" i="83"/>
  <c r="C211" i="83"/>
  <c r="D205" i="83"/>
  <c r="C205" i="83"/>
  <c r="D204" i="83"/>
  <c r="C204" i="83"/>
  <c r="D203" i="83"/>
  <c r="C203" i="83"/>
  <c r="D202" i="83"/>
  <c r="C202" i="83"/>
  <c r="D201" i="83"/>
  <c r="C201" i="83"/>
  <c r="D200" i="83"/>
  <c r="C200" i="83"/>
  <c r="D196" i="83"/>
  <c r="C196" i="83"/>
  <c r="D195" i="83"/>
  <c r="C195" i="83"/>
  <c r="D194" i="83"/>
  <c r="C194" i="83"/>
  <c r="D193" i="83"/>
  <c r="C193" i="83"/>
  <c r="D192" i="83"/>
  <c r="C192" i="83"/>
  <c r="D191" i="83"/>
  <c r="C191" i="83"/>
  <c r="D190" i="83"/>
  <c r="C190" i="83"/>
  <c r="D189" i="83"/>
  <c r="C189" i="83"/>
  <c r="D188" i="83"/>
  <c r="C188" i="83"/>
  <c r="D187" i="83"/>
  <c r="C187" i="83"/>
  <c r="D186" i="83"/>
  <c r="C186" i="83"/>
  <c r="D185" i="83"/>
  <c r="C185" i="83"/>
  <c r="D184" i="83"/>
  <c r="C184" i="83"/>
  <c r="D183" i="83"/>
  <c r="C183" i="83"/>
  <c r="D182" i="83"/>
  <c r="C182" i="83"/>
  <c r="D181" i="83"/>
  <c r="C181" i="83"/>
  <c r="D180" i="83"/>
  <c r="C180" i="83"/>
  <c r="D179" i="83"/>
  <c r="C179" i="83"/>
  <c r="D178" i="83"/>
  <c r="C178" i="83"/>
  <c r="D177" i="83"/>
  <c r="C177" i="83"/>
  <c r="D176" i="83"/>
  <c r="C176" i="83"/>
  <c r="D175" i="83"/>
  <c r="C175" i="83"/>
  <c r="D174" i="83"/>
  <c r="C174" i="83"/>
  <c r="D173" i="83"/>
  <c r="C173" i="83"/>
  <c r="D172" i="83"/>
  <c r="C172" i="83"/>
  <c r="D171" i="83"/>
  <c r="C171" i="83"/>
  <c r="D170" i="83"/>
  <c r="C170" i="83"/>
  <c r="D169" i="83"/>
  <c r="C169" i="83"/>
  <c r="D168" i="83"/>
  <c r="C168" i="83"/>
  <c r="D167" i="83"/>
  <c r="C167" i="83"/>
  <c r="D166" i="83"/>
  <c r="C166" i="83"/>
  <c r="D165" i="83"/>
  <c r="C165" i="83"/>
  <c r="D164" i="83"/>
  <c r="C164" i="83"/>
  <c r="D160" i="83"/>
  <c r="C160" i="83"/>
  <c r="D159" i="83"/>
  <c r="C159" i="83"/>
  <c r="D158" i="83"/>
  <c r="C158" i="83"/>
  <c r="D157" i="83"/>
  <c r="C157" i="83"/>
  <c r="D156" i="83"/>
  <c r="C156" i="83"/>
  <c r="D155" i="83"/>
  <c r="C155" i="83"/>
  <c r="D153" i="83"/>
  <c r="C153" i="83"/>
  <c r="D152" i="83"/>
  <c r="C152" i="83"/>
  <c r="D151" i="83"/>
  <c r="C151" i="83"/>
  <c r="D150" i="83"/>
  <c r="C150" i="83"/>
  <c r="D149" i="83"/>
  <c r="C149" i="83"/>
  <c r="D148" i="83"/>
  <c r="C148" i="83"/>
  <c r="D147" i="83"/>
  <c r="C147" i="83"/>
  <c r="D146" i="83"/>
  <c r="C146" i="83"/>
  <c r="D145" i="83"/>
  <c r="C145" i="83"/>
  <c r="D143" i="83"/>
  <c r="C143" i="83"/>
  <c r="D142" i="83"/>
  <c r="C142" i="83"/>
  <c r="D141" i="83"/>
  <c r="C141" i="83"/>
  <c r="D140" i="83"/>
  <c r="C140" i="83"/>
  <c r="D138" i="83"/>
  <c r="C138" i="83"/>
  <c r="D137" i="83"/>
  <c r="C137" i="83"/>
  <c r="D136" i="83"/>
  <c r="C136" i="83"/>
  <c r="D135" i="83"/>
  <c r="C135" i="83"/>
  <c r="D133" i="83"/>
  <c r="C133" i="83"/>
  <c r="D132" i="83"/>
  <c r="C132" i="83"/>
  <c r="D131" i="83"/>
  <c r="C131" i="83"/>
  <c r="D130" i="83"/>
  <c r="C130" i="83"/>
  <c r="D129" i="83"/>
  <c r="C129" i="83"/>
  <c r="D127" i="83"/>
  <c r="C127" i="83"/>
  <c r="D126" i="83"/>
  <c r="C126" i="83"/>
  <c r="D125" i="83"/>
  <c r="C125" i="83"/>
  <c r="D124" i="83"/>
  <c r="C124" i="83"/>
  <c r="D123" i="83"/>
  <c r="C123" i="83"/>
  <c r="D118" i="83"/>
  <c r="C118" i="83"/>
  <c r="D117" i="83"/>
  <c r="C117" i="83"/>
  <c r="D116" i="83"/>
  <c r="C116" i="83"/>
  <c r="D115" i="83"/>
  <c r="C115" i="83"/>
  <c r="D114" i="83"/>
  <c r="C114" i="83"/>
  <c r="D110" i="83"/>
  <c r="C110" i="83"/>
  <c r="D109" i="83"/>
  <c r="C109" i="83"/>
  <c r="D108" i="83"/>
  <c r="C108" i="83"/>
  <c r="D107" i="83"/>
  <c r="C107" i="83"/>
  <c r="D106" i="83"/>
  <c r="C106" i="83"/>
  <c r="D105" i="83"/>
  <c r="C105" i="83"/>
  <c r="D101" i="83"/>
  <c r="C101" i="83"/>
  <c r="D100" i="83"/>
  <c r="C100" i="83"/>
  <c r="D99" i="83"/>
  <c r="C99" i="83"/>
  <c r="D98" i="83"/>
  <c r="C98" i="83"/>
  <c r="D97" i="83"/>
  <c r="C97" i="83"/>
  <c r="D96" i="83"/>
  <c r="C96" i="83"/>
  <c r="D92" i="83"/>
  <c r="C92" i="83"/>
  <c r="D91" i="83"/>
  <c r="C91" i="83"/>
  <c r="D90" i="83"/>
  <c r="C90" i="83"/>
  <c r="D89" i="83"/>
  <c r="C89" i="83"/>
  <c r="D88" i="83"/>
  <c r="C88" i="83"/>
  <c r="D87" i="83"/>
  <c r="C87" i="83"/>
  <c r="D86" i="83"/>
  <c r="C86" i="83"/>
  <c r="D85" i="83"/>
  <c r="C85" i="83"/>
  <c r="D84" i="83"/>
  <c r="C84" i="83"/>
  <c r="D83" i="83"/>
  <c r="C83" i="83"/>
  <c r="D82" i="83"/>
  <c r="C82" i="83"/>
  <c r="D78" i="83"/>
  <c r="C78" i="83"/>
  <c r="D77" i="83"/>
  <c r="C77" i="83"/>
  <c r="D76" i="83"/>
  <c r="C76" i="83"/>
  <c r="D75" i="83"/>
  <c r="C75" i="83"/>
  <c r="D74" i="83"/>
  <c r="C74" i="83"/>
  <c r="D73" i="83"/>
  <c r="C73" i="83"/>
  <c r="D72" i="83"/>
  <c r="C72" i="83"/>
  <c r="D71" i="83"/>
  <c r="C71" i="83"/>
  <c r="D70" i="83"/>
  <c r="C70" i="83"/>
  <c r="D69" i="83"/>
  <c r="C69" i="83"/>
  <c r="D68" i="83"/>
  <c r="C68" i="83"/>
  <c r="D67" i="83"/>
  <c r="C67" i="83"/>
  <c r="D66" i="83"/>
  <c r="C66" i="83"/>
  <c r="D65" i="83"/>
  <c r="C65" i="83"/>
  <c r="D64" i="83"/>
  <c r="C64" i="83"/>
  <c r="D60" i="83"/>
  <c r="C60" i="83"/>
  <c r="D59" i="83"/>
  <c r="C59" i="83"/>
  <c r="D58" i="83"/>
  <c r="C58" i="83"/>
  <c r="D57" i="83"/>
  <c r="C57" i="83"/>
  <c r="D56" i="83"/>
  <c r="C56" i="83"/>
  <c r="D55" i="83"/>
  <c r="C55" i="83"/>
  <c r="D54" i="83"/>
  <c r="C54" i="83"/>
  <c r="D53" i="83"/>
  <c r="C53" i="83"/>
  <c r="D52" i="83"/>
  <c r="C52" i="83"/>
  <c r="D51" i="83"/>
  <c r="C51" i="83"/>
  <c r="D50" i="83"/>
  <c r="C50" i="83"/>
  <c r="D49" i="83"/>
  <c r="C49" i="83"/>
  <c r="D48" i="83"/>
  <c r="C48" i="83"/>
  <c r="D47" i="83"/>
  <c r="C47" i="83"/>
  <c r="D46" i="83"/>
  <c r="C46" i="83"/>
  <c r="D45" i="83"/>
  <c r="C45" i="83"/>
  <c r="D44" i="83"/>
  <c r="C44" i="83"/>
  <c r="D43" i="83"/>
  <c r="C43" i="83"/>
  <c r="D42" i="83"/>
  <c r="C42" i="83"/>
  <c r="D41" i="83"/>
  <c r="C41" i="83"/>
  <c r="D40" i="83"/>
  <c r="C40" i="83"/>
  <c r="D39" i="83"/>
  <c r="C39" i="83"/>
  <c r="D38" i="83"/>
  <c r="C38" i="83"/>
  <c r="D37" i="83"/>
  <c r="C37" i="83"/>
  <c r="D36" i="83"/>
  <c r="C36" i="83"/>
  <c r="D35" i="83"/>
  <c r="C35" i="83"/>
  <c r="D34" i="83"/>
  <c r="C34" i="83"/>
  <c r="D33" i="83"/>
  <c r="C33" i="83"/>
  <c r="D32" i="83"/>
  <c r="C32" i="83"/>
  <c r="D31" i="83"/>
  <c r="C31" i="83"/>
  <c r="D30" i="83"/>
  <c r="C30" i="83"/>
  <c r="D29" i="83"/>
  <c r="C29" i="83"/>
  <c r="D28" i="83"/>
  <c r="C28" i="83"/>
  <c r="D27" i="83"/>
  <c r="C27" i="83"/>
  <c r="D26" i="83"/>
  <c r="C26" i="83"/>
  <c r="D25" i="83"/>
  <c r="C25" i="83"/>
  <c r="D20" i="83"/>
  <c r="C20" i="83"/>
  <c r="D19" i="83"/>
  <c r="C19" i="83"/>
  <c r="D18" i="83"/>
  <c r="C18" i="83"/>
  <c r="D17" i="83"/>
  <c r="C17" i="83"/>
  <c r="D16" i="83"/>
  <c r="C16" i="83"/>
  <c r="D15" i="83"/>
  <c r="C15" i="83"/>
  <c r="D14" i="83"/>
  <c r="C14" i="83"/>
  <c r="D13" i="83"/>
  <c r="C13" i="83"/>
  <c r="D12" i="83"/>
  <c r="C12" i="83"/>
  <c r="D11" i="83"/>
  <c r="C11" i="83"/>
  <c r="G244" i="98"/>
  <c r="G243" i="98"/>
  <c r="G242" i="98"/>
  <c r="G241" i="98"/>
  <c r="C238" i="98"/>
  <c r="C237" i="98"/>
  <c r="C236" i="98"/>
  <c r="C235" i="98"/>
  <c r="C233" i="98"/>
  <c r="C232" i="98"/>
  <c r="C231" i="98"/>
  <c r="D228" i="98"/>
  <c r="C227" i="98"/>
  <c r="C226" i="98"/>
  <c r="C225" i="98"/>
  <c r="C224" i="98"/>
  <c r="C223" i="98"/>
  <c r="C222" i="98"/>
  <c r="C221" i="98"/>
  <c r="C220" i="98"/>
  <c r="C219" i="98"/>
  <c r="C211" i="98"/>
  <c r="D205" i="98"/>
  <c r="C205" i="98"/>
  <c r="D204" i="98"/>
  <c r="C204" i="98"/>
  <c r="D203" i="98"/>
  <c r="C203" i="98"/>
  <c r="D202" i="98"/>
  <c r="C202" i="98"/>
  <c r="D201" i="98"/>
  <c r="C201" i="98"/>
  <c r="D200" i="98"/>
  <c r="C200" i="98"/>
  <c r="D196" i="98"/>
  <c r="C196" i="98"/>
  <c r="D195" i="98"/>
  <c r="C195" i="98"/>
  <c r="D194" i="98"/>
  <c r="C194" i="98"/>
  <c r="D193" i="98"/>
  <c r="C193" i="98"/>
  <c r="D192" i="98"/>
  <c r="C192" i="98"/>
  <c r="D191" i="98"/>
  <c r="C191" i="98"/>
  <c r="D190" i="98"/>
  <c r="C190" i="98"/>
  <c r="D189" i="98"/>
  <c r="C189" i="98"/>
  <c r="D188" i="98"/>
  <c r="C188" i="98"/>
  <c r="D187" i="98"/>
  <c r="C187" i="98"/>
  <c r="D186" i="98"/>
  <c r="C186" i="98"/>
  <c r="D185" i="98"/>
  <c r="C185" i="98"/>
  <c r="D184" i="98"/>
  <c r="C184" i="98"/>
  <c r="D183" i="98"/>
  <c r="C183" i="98"/>
  <c r="D182" i="98"/>
  <c r="C182" i="98"/>
  <c r="D181" i="98"/>
  <c r="C181" i="98"/>
  <c r="D180" i="98"/>
  <c r="C180" i="98"/>
  <c r="D179" i="98"/>
  <c r="C179" i="98"/>
  <c r="D178" i="98"/>
  <c r="C178" i="98"/>
  <c r="D177" i="98"/>
  <c r="C177" i="98"/>
  <c r="D176" i="98"/>
  <c r="C176" i="98"/>
  <c r="D175" i="98"/>
  <c r="C175" i="98"/>
  <c r="D174" i="98"/>
  <c r="C174" i="98"/>
  <c r="D173" i="98"/>
  <c r="C173" i="98"/>
  <c r="D172" i="98"/>
  <c r="C172" i="98"/>
  <c r="D171" i="98"/>
  <c r="C171" i="98"/>
  <c r="D170" i="98"/>
  <c r="C170" i="98"/>
  <c r="D169" i="98"/>
  <c r="C169" i="98"/>
  <c r="D168" i="98"/>
  <c r="C168" i="98"/>
  <c r="D167" i="98"/>
  <c r="C167" i="98"/>
  <c r="D166" i="98"/>
  <c r="C166" i="98"/>
  <c r="D165" i="98"/>
  <c r="C165" i="98"/>
  <c r="D164" i="98"/>
  <c r="C164" i="98"/>
  <c r="D160" i="98"/>
  <c r="C160" i="98"/>
  <c r="D159" i="98"/>
  <c r="C159" i="98"/>
  <c r="D158" i="98"/>
  <c r="C158" i="98"/>
  <c r="D157" i="98"/>
  <c r="C157" i="98"/>
  <c r="D156" i="98"/>
  <c r="C156" i="98"/>
  <c r="D155" i="98"/>
  <c r="C155" i="98"/>
  <c r="D153" i="98"/>
  <c r="C153" i="98"/>
  <c r="D152" i="98"/>
  <c r="C152" i="98"/>
  <c r="D151" i="98"/>
  <c r="C151" i="98"/>
  <c r="D150" i="98"/>
  <c r="C150" i="98"/>
  <c r="D149" i="98"/>
  <c r="C149" i="98"/>
  <c r="D148" i="98"/>
  <c r="C148" i="98"/>
  <c r="D147" i="98"/>
  <c r="C147" i="98"/>
  <c r="D146" i="98"/>
  <c r="C146" i="98"/>
  <c r="D145" i="98"/>
  <c r="C145" i="98"/>
  <c r="D143" i="98"/>
  <c r="C143" i="98"/>
  <c r="D142" i="98"/>
  <c r="C142" i="98"/>
  <c r="D141" i="98"/>
  <c r="C141" i="98"/>
  <c r="D140" i="98"/>
  <c r="C140" i="98"/>
  <c r="D138" i="98"/>
  <c r="C138" i="98"/>
  <c r="D137" i="98"/>
  <c r="C137" i="98"/>
  <c r="D136" i="98"/>
  <c r="C136" i="98"/>
  <c r="D135" i="98"/>
  <c r="C135" i="98"/>
  <c r="D133" i="98"/>
  <c r="C133" i="98"/>
  <c r="D132" i="98"/>
  <c r="C132" i="98"/>
  <c r="D131" i="98"/>
  <c r="C131" i="98"/>
  <c r="D130" i="98"/>
  <c r="C130" i="98"/>
  <c r="D129" i="98"/>
  <c r="C129" i="98"/>
  <c r="D127" i="98"/>
  <c r="C127" i="98"/>
  <c r="D126" i="98"/>
  <c r="C126" i="98"/>
  <c r="D125" i="98"/>
  <c r="C125" i="98"/>
  <c r="D124" i="98"/>
  <c r="C124" i="98"/>
  <c r="D123" i="98"/>
  <c r="C123" i="98"/>
  <c r="D118" i="98"/>
  <c r="C118" i="98"/>
  <c r="D117" i="98"/>
  <c r="C117" i="98"/>
  <c r="D116" i="98"/>
  <c r="C116" i="98"/>
  <c r="D115" i="98"/>
  <c r="C115" i="98"/>
  <c r="D114" i="98"/>
  <c r="C114" i="98"/>
  <c r="D110" i="98"/>
  <c r="C110" i="98"/>
  <c r="D109" i="98"/>
  <c r="C109" i="98"/>
  <c r="D108" i="98"/>
  <c r="C108" i="98"/>
  <c r="D107" i="98"/>
  <c r="C107" i="98"/>
  <c r="D106" i="98"/>
  <c r="C106" i="98"/>
  <c r="D105" i="98"/>
  <c r="C105" i="98"/>
  <c r="D101" i="98"/>
  <c r="C101" i="98"/>
  <c r="D100" i="98"/>
  <c r="C100" i="98"/>
  <c r="D99" i="98"/>
  <c r="C99" i="98"/>
  <c r="D98" i="98"/>
  <c r="C98" i="98"/>
  <c r="D97" i="98"/>
  <c r="C97" i="98"/>
  <c r="D96" i="98"/>
  <c r="C96" i="98"/>
  <c r="D92" i="98"/>
  <c r="C92" i="98"/>
  <c r="D91" i="98"/>
  <c r="C91" i="98"/>
  <c r="D90" i="98"/>
  <c r="C90" i="98"/>
  <c r="D89" i="98"/>
  <c r="C89" i="98"/>
  <c r="D88" i="98"/>
  <c r="C88" i="98"/>
  <c r="D87" i="98"/>
  <c r="C87" i="98"/>
  <c r="D86" i="98"/>
  <c r="C86" i="98"/>
  <c r="D85" i="98"/>
  <c r="C85" i="98"/>
  <c r="D84" i="98"/>
  <c r="C84" i="98"/>
  <c r="D83" i="98"/>
  <c r="C83" i="98"/>
  <c r="D82" i="98"/>
  <c r="C82" i="98"/>
  <c r="D78" i="98"/>
  <c r="C78" i="98"/>
  <c r="D77" i="98"/>
  <c r="C77" i="98"/>
  <c r="D76" i="98"/>
  <c r="C76" i="98"/>
  <c r="D75" i="98"/>
  <c r="C75" i="98"/>
  <c r="D74" i="98"/>
  <c r="C74" i="98"/>
  <c r="D73" i="98"/>
  <c r="C73" i="98"/>
  <c r="D72" i="98"/>
  <c r="C72" i="98"/>
  <c r="D71" i="98"/>
  <c r="C71" i="98"/>
  <c r="D70" i="98"/>
  <c r="C70" i="98"/>
  <c r="D69" i="98"/>
  <c r="C69" i="98"/>
  <c r="D68" i="98"/>
  <c r="C68" i="98"/>
  <c r="D67" i="98"/>
  <c r="C67" i="98"/>
  <c r="D66" i="98"/>
  <c r="C66" i="98"/>
  <c r="D65" i="98"/>
  <c r="C65" i="98"/>
  <c r="D64" i="98"/>
  <c r="C64" i="98"/>
  <c r="D60" i="98"/>
  <c r="C60" i="98"/>
  <c r="D59" i="98"/>
  <c r="C59" i="98"/>
  <c r="D58" i="98"/>
  <c r="C58" i="98"/>
  <c r="D57" i="98"/>
  <c r="C57" i="98"/>
  <c r="D56" i="98"/>
  <c r="C56" i="98"/>
  <c r="D55" i="98"/>
  <c r="C55" i="98"/>
  <c r="D54" i="98"/>
  <c r="C54" i="98"/>
  <c r="D53" i="98"/>
  <c r="C53" i="98"/>
  <c r="D52" i="98"/>
  <c r="C52" i="98"/>
  <c r="D51" i="98"/>
  <c r="C51" i="98"/>
  <c r="D50" i="98"/>
  <c r="C50" i="98"/>
  <c r="D49" i="98"/>
  <c r="C49" i="98"/>
  <c r="D48" i="98"/>
  <c r="C48" i="98"/>
  <c r="D47" i="98"/>
  <c r="C47" i="98"/>
  <c r="D46" i="98"/>
  <c r="C46" i="98"/>
  <c r="D45" i="98"/>
  <c r="C45" i="98"/>
  <c r="D44" i="98"/>
  <c r="C44" i="98"/>
  <c r="D43" i="98"/>
  <c r="C43" i="98"/>
  <c r="D42" i="98"/>
  <c r="C42" i="98"/>
  <c r="D41" i="98"/>
  <c r="C41" i="98"/>
  <c r="D40" i="98"/>
  <c r="C40" i="98"/>
  <c r="D39" i="98"/>
  <c r="C39" i="98"/>
  <c r="D38" i="98"/>
  <c r="C38" i="98"/>
  <c r="D37" i="98"/>
  <c r="C37" i="98"/>
  <c r="D36" i="98"/>
  <c r="C36" i="98"/>
  <c r="D35" i="98"/>
  <c r="C35" i="98"/>
  <c r="D34" i="98"/>
  <c r="C34" i="98"/>
  <c r="D33" i="98"/>
  <c r="C33" i="98"/>
  <c r="D32" i="98"/>
  <c r="C32" i="98"/>
  <c r="D31" i="98"/>
  <c r="C31" i="98"/>
  <c r="D30" i="98"/>
  <c r="C30" i="98"/>
  <c r="D29" i="98"/>
  <c r="C29" i="98"/>
  <c r="D28" i="98"/>
  <c r="C28" i="98"/>
  <c r="D27" i="98"/>
  <c r="C27" i="98"/>
  <c r="D26" i="98"/>
  <c r="C26" i="98"/>
  <c r="D25" i="98"/>
  <c r="C25" i="98"/>
  <c r="D20" i="98"/>
  <c r="C20" i="98"/>
  <c r="D19" i="98"/>
  <c r="C19" i="98"/>
  <c r="D18" i="98"/>
  <c r="C18" i="98"/>
  <c r="D17" i="98"/>
  <c r="C17" i="98"/>
  <c r="D16" i="98"/>
  <c r="C16" i="98"/>
  <c r="D15" i="98"/>
  <c r="C15" i="98"/>
  <c r="D14" i="98"/>
  <c r="C14" i="98"/>
  <c r="D13" i="98"/>
  <c r="C13" i="98"/>
  <c r="D12" i="98"/>
  <c r="C12" i="98"/>
  <c r="D11" i="98"/>
  <c r="C11" i="98"/>
  <c r="G244" i="53"/>
  <c r="G243" i="53"/>
  <c r="G242" i="53"/>
  <c r="G241" i="53"/>
  <c r="C238" i="53"/>
  <c r="C237" i="53"/>
  <c r="C236" i="53"/>
  <c r="C235" i="53"/>
  <c r="C233" i="53"/>
  <c r="C232" i="53"/>
  <c r="C231" i="53"/>
  <c r="D228" i="53"/>
  <c r="C227" i="53"/>
  <c r="C226" i="53"/>
  <c r="C225" i="53"/>
  <c r="C224" i="53"/>
  <c r="C223" i="53"/>
  <c r="C222" i="53"/>
  <c r="C221" i="53"/>
  <c r="C220" i="53"/>
  <c r="C219" i="53"/>
  <c r="C211" i="53"/>
  <c r="D205" i="53"/>
  <c r="C205" i="53"/>
  <c r="D204" i="53"/>
  <c r="C204" i="53"/>
  <c r="D203" i="53"/>
  <c r="C203" i="53"/>
  <c r="D202" i="53"/>
  <c r="C202" i="53"/>
  <c r="D201" i="53"/>
  <c r="C201" i="53"/>
  <c r="D200" i="53"/>
  <c r="C200" i="53"/>
  <c r="D196" i="53"/>
  <c r="C196" i="53"/>
  <c r="D195" i="53"/>
  <c r="C195" i="53"/>
  <c r="D194" i="53"/>
  <c r="C194" i="53"/>
  <c r="D193" i="53"/>
  <c r="C193" i="53"/>
  <c r="D192" i="53"/>
  <c r="C192" i="53"/>
  <c r="D191" i="53"/>
  <c r="C191" i="53"/>
  <c r="D190" i="53"/>
  <c r="C190" i="53"/>
  <c r="D189" i="53"/>
  <c r="C189" i="53"/>
  <c r="D188" i="53"/>
  <c r="C188" i="53"/>
  <c r="D187" i="53"/>
  <c r="C187" i="53"/>
  <c r="D186" i="53"/>
  <c r="C186" i="53"/>
  <c r="D185" i="53"/>
  <c r="C185" i="53"/>
  <c r="D184" i="53"/>
  <c r="C184" i="53"/>
  <c r="D183" i="53"/>
  <c r="C183" i="53"/>
  <c r="D182" i="53"/>
  <c r="C182" i="53"/>
  <c r="D181" i="53"/>
  <c r="C181" i="53"/>
  <c r="D180" i="53"/>
  <c r="C180" i="53"/>
  <c r="D179" i="53"/>
  <c r="C179" i="53"/>
  <c r="D178" i="53"/>
  <c r="C178" i="53"/>
  <c r="D177" i="53"/>
  <c r="C177" i="53"/>
  <c r="D176" i="53"/>
  <c r="C176" i="53"/>
  <c r="D175" i="53"/>
  <c r="C175" i="53"/>
  <c r="D174" i="53"/>
  <c r="C174" i="53"/>
  <c r="D173" i="53"/>
  <c r="C173" i="53"/>
  <c r="D172" i="53"/>
  <c r="C172" i="53"/>
  <c r="D171" i="53"/>
  <c r="C171" i="53"/>
  <c r="D170" i="53"/>
  <c r="C170" i="53"/>
  <c r="D169" i="53"/>
  <c r="C169" i="53"/>
  <c r="D168" i="53"/>
  <c r="C168" i="53"/>
  <c r="D167" i="53"/>
  <c r="C167" i="53"/>
  <c r="D166" i="53"/>
  <c r="C166" i="53"/>
  <c r="D165" i="53"/>
  <c r="C165" i="53"/>
  <c r="D164" i="53"/>
  <c r="C164" i="53"/>
  <c r="D160" i="53"/>
  <c r="C160" i="53"/>
  <c r="D159" i="53"/>
  <c r="C159" i="53"/>
  <c r="D158" i="53"/>
  <c r="C158" i="53"/>
  <c r="D157" i="53"/>
  <c r="C157" i="53"/>
  <c r="D156" i="53"/>
  <c r="C156" i="53"/>
  <c r="D155" i="53"/>
  <c r="C155" i="53"/>
  <c r="D153" i="53"/>
  <c r="C153" i="53"/>
  <c r="D152" i="53"/>
  <c r="C152" i="53"/>
  <c r="D151" i="53"/>
  <c r="C151" i="53"/>
  <c r="D150" i="53"/>
  <c r="C150" i="53"/>
  <c r="D149" i="53"/>
  <c r="C149" i="53"/>
  <c r="D148" i="53"/>
  <c r="C148" i="53"/>
  <c r="D147" i="53"/>
  <c r="C147" i="53"/>
  <c r="D146" i="53"/>
  <c r="C146" i="53"/>
  <c r="D145" i="53"/>
  <c r="C145" i="53"/>
  <c r="D143" i="53"/>
  <c r="C143" i="53"/>
  <c r="D142" i="53"/>
  <c r="C142" i="53"/>
  <c r="D141" i="53"/>
  <c r="C141" i="53"/>
  <c r="D140" i="53"/>
  <c r="C140" i="53"/>
  <c r="D138" i="53"/>
  <c r="C138" i="53"/>
  <c r="D137" i="53"/>
  <c r="C137" i="53"/>
  <c r="D136" i="53"/>
  <c r="C136" i="53"/>
  <c r="D135" i="53"/>
  <c r="C135" i="53"/>
  <c r="D133" i="53"/>
  <c r="C133" i="53"/>
  <c r="D132" i="53"/>
  <c r="C132" i="53"/>
  <c r="D131" i="53"/>
  <c r="C131" i="53"/>
  <c r="D130" i="53"/>
  <c r="C130" i="53"/>
  <c r="D129" i="53"/>
  <c r="C129" i="53"/>
  <c r="D127" i="53"/>
  <c r="C127" i="53"/>
  <c r="D126" i="53"/>
  <c r="C126" i="53"/>
  <c r="D125" i="53"/>
  <c r="C125" i="53"/>
  <c r="D124" i="53"/>
  <c r="C124" i="53"/>
  <c r="D123" i="53"/>
  <c r="C123" i="53"/>
  <c r="D118" i="53"/>
  <c r="C118" i="53"/>
  <c r="D117" i="53"/>
  <c r="C117" i="53"/>
  <c r="D116" i="53"/>
  <c r="C116" i="53"/>
  <c r="D115" i="53"/>
  <c r="C115" i="53"/>
  <c r="D114" i="53"/>
  <c r="C114" i="53"/>
  <c r="D110" i="53"/>
  <c r="C110" i="53"/>
  <c r="D109" i="53"/>
  <c r="C109" i="53"/>
  <c r="D108" i="53"/>
  <c r="C108" i="53"/>
  <c r="D107" i="53"/>
  <c r="C107" i="53"/>
  <c r="D106" i="53"/>
  <c r="C106" i="53"/>
  <c r="D105" i="53"/>
  <c r="C105" i="53"/>
  <c r="D101" i="53"/>
  <c r="C101" i="53"/>
  <c r="D100" i="53"/>
  <c r="C100" i="53"/>
  <c r="D99" i="53"/>
  <c r="C99" i="53"/>
  <c r="D98" i="53"/>
  <c r="C98" i="53"/>
  <c r="D97" i="53"/>
  <c r="C97" i="53"/>
  <c r="D96" i="53"/>
  <c r="C96" i="53"/>
  <c r="D92" i="53"/>
  <c r="C92" i="53"/>
  <c r="D91" i="53"/>
  <c r="C91" i="53"/>
  <c r="D90" i="53"/>
  <c r="C90" i="53"/>
  <c r="D89" i="53"/>
  <c r="C89" i="53"/>
  <c r="D88" i="53"/>
  <c r="C88" i="53"/>
  <c r="D87" i="53"/>
  <c r="C87" i="53"/>
  <c r="D86" i="53"/>
  <c r="C86" i="53"/>
  <c r="D85" i="53"/>
  <c r="C85" i="53"/>
  <c r="D84" i="53"/>
  <c r="C84" i="53"/>
  <c r="D83" i="53"/>
  <c r="C83" i="53"/>
  <c r="D82" i="53"/>
  <c r="C82" i="53"/>
  <c r="D78" i="53"/>
  <c r="C78" i="53"/>
  <c r="D77" i="53"/>
  <c r="C77" i="53"/>
  <c r="D76" i="53"/>
  <c r="C76" i="53"/>
  <c r="D75" i="53"/>
  <c r="C75" i="53"/>
  <c r="D74" i="53"/>
  <c r="C74" i="53"/>
  <c r="D73" i="53"/>
  <c r="C73" i="53"/>
  <c r="D72" i="53"/>
  <c r="C72" i="53"/>
  <c r="D71" i="53"/>
  <c r="C71" i="53"/>
  <c r="D70" i="53"/>
  <c r="C70" i="53"/>
  <c r="D69" i="53"/>
  <c r="C69" i="53"/>
  <c r="D68" i="53"/>
  <c r="C68" i="53"/>
  <c r="D67" i="53"/>
  <c r="C67" i="53"/>
  <c r="D66" i="53"/>
  <c r="C66" i="53"/>
  <c r="D65" i="53"/>
  <c r="C65" i="53"/>
  <c r="D64" i="53"/>
  <c r="C64" i="53"/>
  <c r="D60" i="53"/>
  <c r="C60" i="53"/>
  <c r="D59" i="53"/>
  <c r="C59" i="53"/>
  <c r="D58" i="53"/>
  <c r="C58" i="53"/>
  <c r="D57" i="53"/>
  <c r="C57" i="53"/>
  <c r="D56" i="53"/>
  <c r="C56" i="53"/>
  <c r="D55" i="53"/>
  <c r="C55" i="53"/>
  <c r="D54" i="53"/>
  <c r="C54" i="53"/>
  <c r="D53" i="53"/>
  <c r="C53" i="53"/>
  <c r="D52" i="53"/>
  <c r="C52" i="53"/>
  <c r="D51" i="53"/>
  <c r="C51" i="53"/>
  <c r="D50" i="53"/>
  <c r="C50" i="53"/>
  <c r="D49" i="53"/>
  <c r="C49" i="53"/>
  <c r="D48" i="53"/>
  <c r="C48" i="53"/>
  <c r="D47" i="53"/>
  <c r="C47" i="53"/>
  <c r="D46" i="53"/>
  <c r="C46" i="53"/>
  <c r="D45" i="53"/>
  <c r="C45" i="53"/>
  <c r="D44" i="53"/>
  <c r="C44" i="53"/>
  <c r="D43" i="53"/>
  <c r="C43" i="53"/>
  <c r="D42" i="53"/>
  <c r="C42" i="53"/>
  <c r="D41" i="53"/>
  <c r="C41" i="53"/>
  <c r="D40" i="53"/>
  <c r="C40" i="53"/>
  <c r="D39" i="53"/>
  <c r="C39" i="53"/>
  <c r="D38" i="53"/>
  <c r="C38" i="53"/>
  <c r="D37" i="53"/>
  <c r="C37" i="53"/>
  <c r="D36" i="53"/>
  <c r="C36" i="53"/>
  <c r="D35" i="53"/>
  <c r="C35" i="53"/>
  <c r="D34" i="53"/>
  <c r="C34" i="53"/>
  <c r="D33" i="53"/>
  <c r="C33" i="53"/>
  <c r="D32" i="53"/>
  <c r="C32" i="53"/>
  <c r="D31" i="53"/>
  <c r="C31" i="53"/>
  <c r="D30" i="53"/>
  <c r="C30" i="53"/>
  <c r="D29" i="53"/>
  <c r="C29" i="53"/>
  <c r="D28" i="53"/>
  <c r="C28" i="53"/>
  <c r="D27" i="53"/>
  <c r="C27" i="53"/>
  <c r="D26" i="53"/>
  <c r="C26" i="53"/>
  <c r="D25" i="53"/>
  <c r="C25" i="53"/>
  <c r="D20" i="53"/>
  <c r="C20" i="53"/>
  <c r="D19" i="53"/>
  <c r="C19" i="53"/>
  <c r="D18" i="53"/>
  <c r="C18" i="53"/>
  <c r="D17" i="53"/>
  <c r="C17" i="53"/>
  <c r="D16" i="53"/>
  <c r="C16" i="53"/>
  <c r="D15" i="53"/>
  <c r="C15" i="53"/>
  <c r="D14" i="53"/>
  <c r="C14" i="53"/>
  <c r="D13" i="53"/>
  <c r="C13" i="53"/>
  <c r="D12" i="53"/>
  <c r="C12" i="53"/>
  <c r="D11" i="53"/>
  <c r="C11" i="53"/>
  <c r="G244" i="174"/>
  <c r="G243" i="174"/>
  <c r="G242" i="174"/>
  <c r="G241" i="174"/>
  <c r="C238" i="174"/>
  <c r="C237" i="174"/>
  <c r="C236" i="174"/>
  <c r="C235" i="174"/>
  <c r="C233" i="174"/>
  <c r="C232" i="174"/>
  <c r="E232" i="174"/>
  <c r="C231" i="174"/>
  <c r="D228" i="174"/>
  <c r="C227" i="174"/>
  <c r="C226" i="174"/>
  <c r="E226" i="174"/>
  <c r="C225" i="174"/>
  <c r="C224" i="174"/>
  <c r="C223" i="174"/>
  <c r="E223" i="174"/>
  <c r="C222" i="174"/>
  <c r="C221" i="174"/>
  <c r="C220" i="174"/>
  <c r="C219" i="174"/>
  <c r="C211" i="174"/>
  <c r="D205" i="174"/>
  <c r="C205" i="174"/>
  <c r="D204" i="174"/>
  <c r="C204" i="174"/>
  <c r="D203" i="174"/>
  <c r="C203" i="174"/>
  <c r="D202" i="174"/>
  <c r="C202" i="174"/>
  <c r="D201" i="174"/>
  <c r="C201" i="174"/>
  <c r="D200" i="174"/>
  <c r="C200" i="174"/>
  <c r="D196" i="174"/>
  <c r="C196" i="174"/>
  <c r="D195" i="174"/>
  <c r="C195" i="174"/>
  <c r="D194" i="174"/>
  <c r="C194" i="174"/>
  <c r="D193" i="174"/>
  <c r="C193" i="174"/>
  <c r="D192" i="174"/>
  <c r="C192" i="174"/>
  <c r="D191" i="174"/>
  <c r="C191" i="174"/>
  <c r="D190" i="174"/>
  <c r="C190" i="174"/>
  <c r="D189" i="174"/>
  <c r="C189" i="174"/>
  <c r="D188" i="174"/>
  <c r="C188" i="174"/>
  <c r="D187" i="174"/>
  <c r="C187" i="174"/>
  <c r="D186" i="174"/>
  <c r="C186" i="174"/>
  <c r="D185" i="174"/>
  <c r="C185" i="174"/>
  <c r="D184" i="174"/>
  <c r="C184" i="174"/>
  <c r="D183" i="174"/>
  <c r="C183" i="174"/>
  <c r="D182" i="174"/>
  <c r="C182" i="174"/>
  <c r="D181" i="174"/>
  <c r="C181" i="174"/>
  <c r="D180" i="174"/>
  <c r="C180" i="174"/>
  <c r="D179" i="174"/>
  <c r="C179" i="174"/>
  <c r="D178" i="174"/>
  <c r="C178" i="174"/>
  <c r="D177" i="174"/>
  <c r="C177" i="174"/>
  <c r="D176" i="174"/>
  <c r="C176" i="174"/>
  <c r="D175" i="174"/>
  <c r="C175" i="174"/>
  <c r="D174" i="174"/>
  <c r="C174" i="174"/>
  <c r="D173" i="174"/>
  <c r="C173" i="174"/>
  <c r="D172" i="174"/>
  <c r="C172" i="174"/>
  <c r="D171" i="174"/>
  <c r="C171" i="174"/>
  <c r="D170" i="174"/>
  <c r="C170" i="174"/>
  <c r="D169" i="174"/>
  <c r="C169" i="174"/>
  <c r="D168" i="174"/>
  <c r="C168" i="174"/>
  <c r="D167" i="174"/>
  <c r="C167" i="174"/>
  <c r="D166" i="174"/>
  <c r="C166" i="174"/>
  <c r="D165" i="174"/>
  <c r="C165" i="174"/>
  <c r="D164" i="174"/>
  <c r="C164" i="174"/>
  <c r="D160" i="174"/>
  <c r="C160" i="174"/>
  <c r="D159" i="174"/>
  <c r="C159" i="174"/>
  <c r="D158" i="174"/>
  <c r="C158" i="174"/>
  <c r="D157" i="174"/>
  <c r="C157" i="174"/>
  <c r="D156" i="174"/>
  <c r="C156" i="174"/>
  <c r="D155" i="174"/>
  <c r="C155" i="174"/>
  <c r="D153" i="174"/>
  <c r="C153" i="174"/>
  <c r="D152" i="174"/>
  <c r="C152" i="174"/>
  <c r="D151" i="174"/>
  <c r="C151" i="174"/>
  <c r="D150" i="174"/>
  <c r="C150" i="174"/>
  <c r="D149" i="174"/>
  <c r="C149" i="174"/>
  <c r="D148" i="174"/>
  <c r="C148" i="174"/>
  <c r="D147" i="174"/>
  <c r="C147" i="174"/>
  <c r="D146" i="174"/>
  <c r="C146" i="174"/>
  <c r="D145" i="174"/>
  <c r="C145" i="174"/>
  <c r="D143" i="174"/>
  <c r="C143" i="174"/>
  <c r="D142" i="174"/>
  <c r="C142" i="174"/>
  <c r="D141" i="174"/>
  <c r="C141" i="174"/>
  <c r="D140" i="174"/>
  <c r="C140" i="174"/>
  <c r="D138" i="174"/>
  <c r="C138" i="174"/>
  <c r="D137" i="174"/>
  <c r="C137" i="174"/>
  <c r="D136" i="174"/>
  <c r="C136" i="174"/>
  <c r="D135" i="174"/>
  <c r="C135" i="174"/>
  <c r="D133" i="174"/>
  <c r="C133" i="174"/>
  <c r="D132" i="174"/>
  <c r="C132" i="174"/>
  <c r="D131" i="174"/>
  <c r="C131" i="174"/>
  <c r="D130" i="174"/>
  <c r="C130" i="174"/>
  <c r="D129" i="174"/>
  <c r="C129" i="174"/>
  <c r="D127" i="174"/>
  <c r="C127" i="174"/>
  <c r="D126" i="174"/>
  <c r="C126" i="174"/>
  <c r="D125" i="174"/>
  <c r="C125" i="174"/>
  <c r="D124" i="174"/>
  <c r="C124" i="174"/>
  <c r="D123" i="174"/>
  <c r="C123" i="174"/>
  <c r="D118" i="174"/>
  <c r="C118" i="174"/>
  <c r="D117" i="174"/>
  <c r="C117" i="174"/>
  <c r="D116" i="174"/>
  <c r="C116" i="174"/>
  <c r="D115" i="174"/>
  <c r="C115" i="174"/>
  <c r="D114" i="174"/>
  <c r="C114" i="174"/>
  <c r="D110" i="174"/>
  <c r="C110" i="174"/>
  <c r="D109" i="174"/>
  <c r="C109" i="174"/>
  <c r="D108" i="174"/>
  <c r="C108" i="174"/>
  <c r="D107" i="174"/>
  <c r="C107" i="174"/>
  <c r="D106" i="174"/>
  <c r="C106" i="174"/>
  <c r="D105" i="174"/>
  <c r="C105" i="174"/>
  <c r="D101" i="174"/>
  <c r="C101" i="174"/>
  <c r="D100" i="174"/>
  <c r="C100" i="174"/>
  <c r="D99" i="174"/>
  <c r="C99" i="174"/>
  <c r="D98" i="174"/>
  <c r="C98" i="174"/>
  <c r="D97" i="174"/>
  <c r="C97" i="174"/>
  <c r="D96" i="174"/>
  <c r="C96" i="174"/>
  <c r="D92" i="174"/>
  <c r="C92" i="174"/>
  <c r="D91" i="174"/>
  <c r="C91" i="174"/>
  <c r="D90" i="174"/>
  <c r="C90" i="174"/>
  <c r="D89" i="174"/>
  <c r="C89" i="174"/>
  <c r="D88" i="174"/>
  <c r="C88" i="174"/>
  <c r="D87" i="174"/>
  <c r="C87" i="174"/>
  <c r="D86" i="174"/>
  <c r="C86" i="174"/>
  <c r="D85" i="174"/>
  <c r="C85" i="174"/>
  <c r="D84" i="174"/>
  <c r="C84" i="174"/>
  <c r="D83" i="174"/>
  <c r="C83" i="174"/>
  <c r="D82" i="174"/>
  <c r="C82" i="174"/>
  <c r="D78" i="174"/>
  <c r="C78" i="174"/>
  <c r="D77" i="174"/>
  <c r="C77" i="174"/>
  <c r="D76" i="174"/>
  <c r="C76" i="174"/>
  <c r="D75" i="174"/>
  <c r="C75" i="174"/>
  <c r="D74" i="174"/>
  <c r="C74" i="174"/>
  <c r="D73" i="174"/>
  <c r="C73" i="174"/>
  <c r="D72" i="174"/>
  <c r="C72" i="174"/>
  <c r="D71" i="174"/>
  <c r="C71" i="174"/>
  <c r="D70" i="174"/>
  <c r="C70" i="174"/>
  <c r="D69" i="174"/>
  <c r="C69" i="174"/>
  <c r="D68" i="174"/>
  <c r="C68" i="174"/>
  <c r="D67" i="174"/>
  <c r="C67" i="174"/>
  <c r="D66" i="174"/>
  <c r="C66" i="174"/>
  <c r="D65" i="174"/>
  <c r="C65" i="174"/>
  <c r="D64" i="174"/>
  <c r="C64" i="174"/>
  <c r="D60" i="174"/>
  <c r="C60" i="174"/>
  <c r="D59" i="174"/>
  <c r="C59" i="174"/>
  <c r="D58" i="174"/>
  <c r="C58" i="174"/>
  <c r="D57" i="174"/>
  <c r="C57" i="174"/>
  <c r="D56" i="174"/>
  <c r="C56" i="174"/>
  <c r="D55" i="174"/>
  <c r="C55" i="174"/>
  <c r="D54" i="174"/>
  <c r="C54" i="174"/>
  <c r="D53" i="174"/>
  <c r="C53" i="174"/>
  <c r="D52" i="174"/>
  <c r="C52" i="174"/>
  <c r="D51" i="174"/>
  <c r="C51" i="174"/>
  <c r="D50" i="174"/>
  <c r="C50" i="174"/>
  <c r="D49" i="174"/>
  <c r="C49" i="174"/>
  <c r="D48" i="174"/>
  <c r="C48" i="174"/>
  <c r="D47" i="174"/>
  <c r="C47" i="174"/>
  <c r="D46" i="174"/>
  <c r="C46" i="174"/>
  <c r="D45" i="174"/>
  <c r="C45" i="174"/>
  <c r="D44" i="174"/>
  <c r="C44" i="174"/>
  <c r="D43" i="174"/>
  <c r="C43" i="174"/>
  <c r="D42" i="174"/>
  <c r="C42" i="174"/>
  <c r="D41" i="174"/>
  <c r="C41" i="174"/>
  <c r="D40" i="174"/>
  <c r="C40" i="174"/>
  <c r="D39" i="174"/>
  <c r="C39" i="174"/>
  <c r="D38" i="174"/>
  <c r="C38" i="174"/>
  <c r="D37" i="174"/>
  <c r="C37" i="174"/>
  <c r="D36" i="174"/>
  <c r="C36" i="174"/>
  <c r="D35" i="174"/>
  <c r="C35" i="174"/>
  <c r="D34" i="174"/>
  <c r="C34" i="174"/>
  <c r="D33" i="174"/>
  <c r="C33" i="174"/>
  <c r="D32" i="174"/>
  <c r="C32" i="174"/>
  <c r="D31" i="174"/>
  <c r="C31" i="174"/>
  <c r="D30" i="174"/>
  <c r="C30" i="174"/>
  <c r="D29" i="174"/>
  <c r="C29" i="174"/>
  <c r="D28" i="174"/>
  <c r="C28" i="174"/>
  <c r="D27" i="174"/>
  <c r="C27" i="174"/>
  <c r="D26" i="174"/>
  <c r="C26" i="174"/>
  <c r="D25" i="174"/>
  <c r="C25" i="174"/>
  <c r="D20" i="174"/>
  <c r="C20" i="174"/>
  <c r="D19" i="174"/>
  <c r="C19" i="174"/>
  <c r="D18" i="174"/>
  <c r="C18" i="174"/>
  <c r="D17" i="174"/>
  <c r="C17" i="174"/>
  <c r="D16" i="174"/>
  <c r="C16" i="174"/>
  <c r="D15" i="174"/>
  <c r="C15" i="174"/>
  <c r="D14" i="174"/>
  <c r="C14" i="174"/>
  <c r="D13" i="174"/>
  <c r="C13" i="174"/>
  <c r="D12" i="174"/>
  <c r="C12" i="174"/>
  <c r="D11" i="174"/>
  <c r="C11" i="174"/>
  <c r="F228" i="174"/>
  <c r="K208" i="174"/>
  <c r="J208" i="174"/>
  <c r="F206" i="174"/>
  <c r="F197" i="174"/>
  <c r="F161" i="174"/>
  <c r="F119" i="174"/>
  <c r="F111" i="174"/>
  <c r="F102" i="174"/>
  <c r="F93" i="174"/>
  <c r="F79" i="174"/>
  <c r="F61" i="174"/>
  <c r="F21" i="174"/>
  <c r="K17" i="174"/>
  <c r="A1" i="174"/>
  <c r="G244" i="58"/>
  <c r="G243" i="58"/>
  <c r="G242" i="58"/>
  <c r="G241" i="58"/>
  <c r="C238" i="58"/>
  <c r="C237" i="58"/>
  <c r="C236" i="58"/>
  <c r="C235" i="58"/>
  <c r="C233" i="58"/>
  <c r="C232" i="58"/>
  <c r="C231" i="58"/>
  <c r="D228" i="58"/>
  <c r="C227" i="58"/>
  <c r="C226" i="58"/>
  <c r="C225" i="58"/>
  <c r="C224" i="58"/>
  <c r="C223" i="58"/>
  <c r="C222" i="58"/>
  <c r="C221" i="58"/>
  <c r="C220" i="58"/>
  <c r="C219" i="58"/>
  <c r="C211" i="58"/>
  <c r="D205" i="58"/>
  <c r="C205" i="58"/>
  <c r="D204" i="58"/>
  <c r="C204" i="58"/>
  <c r="D203" i="58"/>
  <c r="C203" i="58"/>
  <c r="D202" i="58"/>
  <c r="C202" i="58"/>
  <c r="D201" i="58"/>
  <c r="C201" i="58"/>
  <c r="D200" i="58"/>
  <c r="C200" i="58"/>
  <c r="D196" i="58"/>
  <c r="C196" i="58"/>
  <c r="D195" i="58"/>
  <c r="C195" i="58"/>
  <c r="D194" i="58"/>
  <c r="C194" i="58"/>
  <c r="D193" i="58"/>
  <c r="C193" i="58"/>
  <c r="D192" i="58"/>
  <c r="C192" i="58"/>
  <c r="D191" i="58"/>
  <c r="C191" i="58"/>
  <c r="D190" i="58"/>
  <c r="C190" i="58"/>
  <c r="D189" i="58"/>
  <c r="C189" i="58"/>
  <c r="D188" i="58"/>
  <c r="C188" i="58"/>
  <c r="D187" i="58"/>
  <c r="C187" i="58"/>
  <c r="D186" i="58"/>
  <c r="C186" i="58"/>
  <c r="D185" i="58"/>
  <c r="C185" i="58"/>
  <c r="D184" i="58"/>
  <c r="C184" i="58"/>
  <c r="D183" i="58"/>
  <c r="C183" i="58"/>
  <c r="D182" i="58"/>
  <c r="C182" i="58"/>
  <c r="D181" i="58"/>
  <c r="C181" i="58"/>
  <c r="D180" i="58"/>
  <c r="C180" i="58"/>
  <c r="D179" i="58"/>
  <c r="C179" i="58"/>
  <c r="D178" i="58"/>
  <c r="C178" i="58"/>
  <c r="D177" i="58"/>
  <c r="C177" i="58"/>
  <c r="D176" i="58"/>
  <c r="C176" i="58"/>
  <c r="D175" i="58"/>
  <c r="C175" i="58"/>
  <c r="D174" i="58"/>
  <c r="C174" i="58"/>
  <c r="D173" i="58"/>
  <c r="C173" i="58"/>
  <c r="D172" i="58"/>
  <c r="C172" i="58"/>
  <c r="D171" i="58"/>
  <c r="C171" i="58"/>
  <c r="D170" i="58"/>
  <c r="C170" i="58"/>
  <c r="D169" i="58"/>
  <c r="C169" i="58"/>
  <c r="D168" i="58"/>
  <c r="C168" i="58"/>
  <c r="D167" i="58"/>
  <c r="C167" i="58"/>
  <c r="D166" i="58"/>
  <c r="C166" i="58"/>
  <c r="D165" i="58"/>
  <c r="C165" i="58"/>
  <c r="D164" i="58"/>
  <c r="C164" i="58"/>
  <c r="D160" i="58"/>
  <c r="C160" i="58"/>
  <c r="D159" i="58"/>
  <c r="C159" i="58"/>
  <c r="D158" i="58"/>
  <c r="C158" i="58"/>
  <c r="D157" i="58"/>
  <c r="C157" i="58"/>
  <c r="D156" i="58"/>
  <c r="C156" i="58"/>
  <c r="D155" i="58"/>
  <c r="C155" i="58"/>
  <c r="D153" i="58"/>
  <c r="C153" i="58"/>
  <c r="D152" i="58"/>
  <c r="C152" i="58"/>
  <c r="D151" i="58"/>
  <c r="C151" i="58"/>
  <c r="D150" i="58"/>
  <c r="C150" i="58"/>
  <c r="D149" i="58"/>
  <c r="C149" i="58"/>
  <c r="D148" i="58"/>
  <c r="C148" i="58"/>
  <c r="D147" i="58"/>
  <c r="C147" i="58"/>
  <c r="D146" i="58"/>
  <c r="C146" i="58"/>
  <c r="D145" i="58"/>
  <c r="C145" i="58"/>
  <c r="D143" i="58"/>
  <c r="C143" i="58"/>
  <c r="D142" i="58"/>
  <c r="C142" i="58"/>
  <c r="D141" i="58"/>
  <c r="C141" i="58"/>
  <c r="D140" i="58"/>
  <c r="C140" i="58"/>
  <c r="D138" i="58"/>
  <c r="C138" i="58"/>
  <c r="D137" i="58"/>
  <c r="C137" i="58"/>
  <c r="D136" i="58"/>
  <c r="C136" i="58"/>
  <c r="D135" i="58"/>
  <c r="C135" i="58"/>
  <c r="D133" i="58"/>
  <c r="C133" i="58"/>
  <c r="D132" i="58"/>
  <c r="C132" i="58"/>
  <c r="D131" i="58"/>
  <c r="C131" i="58"/>
  <c r="D130" i="58"/>
  <c r="C130" i="58"/>
  <c r="D129" i="58"/>
  <c r="C129" i="58"/>
  <c r="D127" i="58"/>
  <c r="C127" i="58"/>
  <c r="D126" i="58"/>
  <c r="C126" i="58"/>
  <c r="D125" i="58"/>
  <c r="C125" i="58"/>
  <c r="D124" i="58"/>
  <c r="C124" i="58"/>
  <c r="D123" i="58"/>
  <c r="C123" i="58"/>
  <c r="D118" i="58"/>
  <c r="C118" i="58"/>
  <c r="D117" i="58"/>
  <c r="C117" i="58"/>
  <c r="D116" i="58"/>
  <c r="C116" i="58"/>
  <c r="D115" i="58"/>
  <c r="C115" i="58"/>
  <c r="D114" i="58"/>
  <c r="C114" i="58"/>
  <c r="D110" i="58"/>
  <c r="C110" i="58"/>
  <c r="D109" i="58"/>
  <c r="C109" i="58"/>
  <c r="D108" i="58"/>
  <c r="C108" i="58"/>
  <c r="D107" i="58"/>
  <c r="C107" i="58"/>
  <c r="D106" i="58"/>
  <c r="C106" i="58"/>
  <c r="D105" i="58"/>
  <c r="C105" i="58"/>
  <c r="D101" i="58"/>
  <c r="C101" i="58"/>
  <c r="D100" i="58"/>
  <c r="C100" i="58"/>
  <c r="D99" i="58"/>
  <c r="C99" i="58"/>
  <c r="D98" i="58"/>
  <c r="C98" i="58"/>
  <c r="D97" i="58"/>
  <c r="C97" i="58"/>
  <c r="D96" i="58"/>
  <c r="C96" i="58"/>
  <c r="D92" i="58"/>
  <c r="C92" i="58"/>
  <c r="D91" i="58"/>
  <c r="C91" i="58"/>
  <c r="D90" i="58"/>
  <c r="C90" i="58"/>
  <c r="D89" i="58"/>
  <c r="C89" i="58"/>
  <c r="D88" i="58"/>
  <c r="C88" i="58"/>
  <c r="D87" i="58"/>
  <c r="C87" i="58"/>
  <c r="D86" i="58"/>
  <c r="C86" i="58"/>
  <c r="D85" i="58"/>
  <c r="C85" i="58"/>
  <c r="D84" i="58"/>
  <c r="C84" i="58"/>
  <c r="D83" i="58"/>
  <c r="C83" i="58"/>
  <c r="D82" i="58"/>
  <c r="C82" i="58"/>
  <c r="D78" i="58"/>
  <c r="C78" i="58"/>
  <c r="D77" i="58"/>
  <c r="C77" i="58"/>
  <c r="D76" i="58"/>
  <c r="C76" i="58"/>
  <c r="D75" i="58"/>
  <c r="C75" i="58"/>
  <c r="D74" i="58"/>
  <c r="C74" i="58"/>
  <c r="D73" i="58"/>
  <c r="C73" i="58"/>
  <c r="D72" i="58"/>
  <c r="C72" i="58"/>
  <c r="D71" i="58"/>
  <c r="C71" i="58"/>
  <c r="D70" i="58"/>
  <c r="C70" i="58"/>
  <c r="D69" i="58"/>
  <c r="C69" i="58"/>
  <c r="D68" i="58"/>
  <c r="C68" i="58"/>
  <c r="D67" i="58"/>
  <c r="C67" i="58"/>
  <c r="D66" i="58"/>
  <c r="C66" i="58"/>
  <c r="D65" i="58"/>
  <c r="C65" i="58"/>
  <c r="D64" i="58"/>
  <c r="C64" i="58"/>
  <c r="D60" i="58"/>
  <c r="C60" i="58"/>
  <c r="D59" i="58"/>
  <c r="C59" i="58"/>
  <c r="D58" i="58"/>
  <c r="C58" i="58"/>
  <c r="D57" i="58"/>
  <c r="C57" i="58"/>
  <c r="D56" i="58"/>
  <c r="C56" i="58"/>
  <c r="D55" i="58"/>
  <c r="C55" i="58"/>
  <c r="D54" i="58"/>
  <c r="C54" i="58"/>
  <c r="D53" i="58"/>
  <c r="C53" i="58"/>
  <c r="D52" i="58"/>
  <c r="C52" i="58"/>
  <c r="D51" i="58"/>
  <c r="C51" i="58"/>
  <c r="D50" i="58"/>
  <c r="C50" i="58"/>
  <c r="D49" i="58"/>
  <c r="C49" i="58"/>
  <c r="D48" i="58"/>
  <c r="C48" i="58"/>
  <c r="D47" i="58"/>
  <c r="C47" i="58"/>
  <c r="D46" i="58"/>
  <c r="C46" i="58"/>
  <c r="D45" i="58"/>
  <c r="C45" i="58"/>
  <c r="D44" i="58"/>
  <c r="C44" i="58"/>
  <c r="D43" i="58"/>
  <c r="C43" i="58"/>
  <c r="D42" i="58"/>
  <c r="C42" i="58"/>
  <c r="D41" i="58"/>
  <c r="C41" i="58"/>
  <c r="D40" i="58"/>
  <c r="C40" i="58"/>
  <c r="D39" i="58"/>
  <c r="C39" i="58"/>
  <c r="D38" i="58"/>
  <c r="C38" i="58"/>
  <c r="D37" i="58"/>
  <c r="C37" i="58"/>
  <c r="D36" i="58"/>
  <c r="C36" i="58"/>
  <c r="D35" i="58"/>
  <c r="C35" i="58"/>
  <c r="D34" i="58"/>
  <c r="C34" i="58"/>
  <c r="D33" i="58"/>
  <c r="C33" i="58"/>
  <c r="D32" i="58"/>
  <c r="C32" i="58"/>
  <c r="D31" i="58"/>
  <c r="C31" i="58"/>
  <c r="D30" i="58"/>
  <c r="C30" i="58"/>
  <c r="D29" i="58"/>
  <c r="C29" i="58"/>
  <c r="D28" i="58"/>
  <c r="C28" i="58"/>
  <c r="D27" i="58"/>
  <c r="C27" i="58"/>
  <c r="D26" i="58"/>
  <c r="C26" i="58"/>
  <c r="D25" i="58"/>
  <c r="C25" i="58"/>
  <c r="D20" i="58"/>
  <c r="C20" i="58"/>
  <c r="D19" i="58"/>
  <c r="C19" i="58"/>
  <c r="D18" i="58"/>
  <c r="C18" i="58"/>
  <c r="D17" i="58"/>
  <c r="C17" i="58"/>
  <c r="D16" i="58"/>
  <c r="C16" i="58"/>
  <c r="D15" i="58"/>
  <c r="C15" i="58"/>
  <c r="D14" i="58"/>
  <c r="C14" i="58"/>
  <c r="D13" i="58"/>
  <c r="C13" i="58"/>
  <c r="D12" i="58"/>
  <c r="C12" i="58"/>
  <c r="D11" i="58"/>
  <c r="C11" i="58"/>
  <c r="E203" i="62"/>
  <c r="E184" i="62"/>
  <c r="G184" i="62"/>
  <c r="E176" i="62"/>
  <c r="E168" i="62"/>
  <c r="E164" i="62"/>
  <c r="E145" i="62"/>
  <c r="E110" i="62"/>
  <c r="E82" i="62"/>
  <c r="G244" i="63"/>
  <c r="G243" i="63"/>
  <c r="G242" i="63"/>
  <c r="G241" i="63"/>
  <c r="C238" i="63"/>
  <c r="C237" i="63"/>
  <c r="C236" i="63"/>
  <c r="C235" i="63"/>
  <c r="C233" i="63"/>
  <c r="E233" i="63"/>
  <c r="C232" i="63"/>
  <c r="C231" i="63"/>
  <c r="D228" i="63"/>
  <c r="C227" i="63"/>
  <c r="C226" i="63"/>
  <c r="C225" i="63"/>
  <c r="C224" i="63"/>
  <c r="C223" i="63"/>
  <c r="C222" i="63"/>
  <c r="C221" i="63"/>
  <c r="C220" i="63"/>
  <c r="C219" i="63"/>
  <c r="C211" i="63"/>
  <c r="D205" i="63"/>
  <c r="C205" i="63"/>
  <c r="D204" i="63"/>
  <c r="C204" i="63"/>
  <c r="D203" i="63"/>
  <c r="C203" i="63"/>
  <c r="D202" i="63"/>
  <c r="C202" i="63"/>
  <c r="D201" i="63"/>
  <c r="C201" i="63"/>
  <c r="D200" i="63"/>
  <c r="C200" i="63"/>
  <c r="D196" i="63"/>
  <c r="C196" i="63"/>
  <c r="D195" i="63"/>
  <c r="C195" i="63"/>
  <c r="D194" i="63"/>
  <c r="C194" i="63"/>
  <c r="D193" i="63"/>
  <c r="C193" i="63"/>
  <c r="D192" i="63"/>
  <c r="C192" i="63"/>
  <c r="D191" i="63"/>
  <c r="C191" i="63"/>
  <c r="D190" i="63"/>
  <c r="C190" i="63"/>
  <c r="D189" i="63"/>
  <c r="C189" i="63"/>
  <c r="D188" i="63"/>
  <c r="C188" i="63"/>
  <c r="D187" i="63"/>
  <c r="C187" i="63"/>
  <c r="D186" i="63"/>
  <c r="C186" i="63"/>
  <c r="D185" i="63"/>
  <c r="C185" i="63"/>
  <c r="D184" i="63"/>
  <c r="C184" i="63"/>
  <c r="D183" i="63"/>
  <c r="C183" i="63"/>
  <c r="D182" i="63"/>
  <c r="C182" i="63"/>
  <c r="D181" i="63"/>
  <c r="C181" i="63"/>
  <c r="D180" i="63"/>
  <c r="C180" i="63"/>
  <c r="D179" i="63"/>
  <c r="C179" i="63"/>
  <c r="D178" i="63"/>
  <c r="C178" i="63"/>
  <c r="D177" i="63"/>
  <c r="C177" i="63"/>
  <c r="D176" i="63"/>
  <c r="C176" i="63"/>
  <c r="D175" i="63"/>
  <c r="C175" i="63"/>
  <c r="D174" i="63"/>
  <c r="C174" i="63"/>
  <c r="D173" i="63"/>
  <c r="C173" i="63"/>
  <c r="D172" i="63"/>
  <c r="C172" i="63"/>
  <c r="D171" i="63"/>
  <c r="C171" i="63"/>
  <c r="D170" i="63"/>
  <c r="C170" i="63"/>
  <c r="D169" i="63"/>
  <c r="C169" i="63"/>
  <c r="D168" i="63"/>
  <c r="C168" i="63"/>
  <c r="D167" i="63"/>
  <c r="C167" i="63"/>
  <c r="D166" i="63"/>
  <c r="C166" i="63"/>
  <c r="D165" i="63"/>
  <c r="C165" i="63"/>
  <c r="D164" i="63"/>
  <c r="C164" i="63"/>
  <c r="D160" i="63"/>
  <c r="C160" i="63"/>
  <c r="D159" i="63"/>
  <c r="C159" i="63"/>
  <c r="D158" i="63"/>
  <c r="C158" i="63"/>
  <c r="D157" i="63"/>
  <c r="C157" i="63"/>
  <c r="D156" i="63"/>
  <c r="C156" i="63"/>
  <c r="D155" i="63"/>
  <c r="C155" i="63"/>
  <c r="D153" i="63"/>
  <c r="C153" i="63"/>
  <c r="D152" i="63"/>
  <c r="C152" i="63"/>
  <c r="D151" i="63"/>
  <c r="C151" i="63"/>
  <c r="D150" i="63"/>
  <c r="C150" i="63"/>
  <c r="D149" i="63"/>
  <c r="C149" i="63"/>
  <c r="D148" i="63"/>
  <c r="C148" i="63"/>
  <c r="D147" i="63"/>
  <c r="C147" i="63"/>
  <c r="D146" i="63"/>
  <c r="C146" i="63"/>
  <c r="D145" i="63"/>
  <c r="C145" i="63"/>
  <c r="D143" i="63"/>
  <c r="C143" i="63"/>
  <c r="D142" i="63"/>
  <c r="C142" i="63"/>
  <c r="D141" i="63"/>
  <c r="C141" i="63"/>
  <c r="D140" i="63"/>
  <c r="C140" i="63"/>
  <c r="D138" i="63"/>
  <c r="C138" i="63"/>
  <c r="D137" i="63"/>
  <c r="C137" i="63"/>
  <c r="D136" i="63"/>
  <c r="C136" i="63"/>
  <c r="D135" i="63"/>
  <c r="C135" i="63"/>
  <c r="D133" i="63"/>
  <c r="C133" i="63"/>
  <c r="D132" i="63"/>
  <c r="C132" i="63"/>
  <c r="D131" i="63"/>
  <c r="C131" i="63"/>
  <c r="D130" i="63"/>
  <c r="C130" i="63"/>
  <c r="D129" i="63"/>
  <c r="C129" i="63"/>
  <c r="D127" i="63"/>
  <c r="C127" i="63"/>
  <c r="D126" i="63"/>
  <c r="C126" i="63"/>
  <c r="D125" i="63"/>
  <c r="C125" i="63"/>
  <c r="D124" i="63"/>
  <c r="C124" i="63"/>
  <c r="D123" i="63"/>
  <c r="C123" i="63"/>
  <c r="D118" i="63"/>
  <c r="C118" i="63"/>
  <c r="D117" i="63"/>
  <c r="C117" i="63"/>
  <c r="D116" i="63"/>
  <c r="C116" i="63"/>
  <c r="D115" i="63"/>
  <c r="C115" i="63"/>
  <c r="D114" i="63"/>
  <c r="C114" i="63"/>
  <c r="D110" i="63"/>
  <c r="C110" i="63"/>
  <c r="D109" i="63"/>
  <c r="C109" i="63"/>
  <c r="D108" i="63"/>
  <c r="C108" i="63"/>
  <c r="D107" i="63"/>
  <c r="C107" i="63"/>
  <c r="D106" i="63"/>
  <c r="C106" i="63"/>
  <c r="D105" i="63"/>
  <c r="C105" i="63"/>
  <c r="D101" i="63"/>
  <c r="C101" i="63"/>
  <c r="D100" i="63"/>
  <c r="C100" i="63"/>
  <c r="D99" i="63"/>
  <c r="C99" i="63"/>
  <c r="D98" i="63"/>
  <c r="C98" i="63"/>
  <c r="D97" i="63"/>
  <c r="C97" i="63"/>
  <c r="D96" i="63"/>
  <c r="C96" i="63"/>
  <c r="D92" i="63"/>
  <c r="C92" i="63"/>
  <c r="D91" i="63"/>
  <c r="C91" i="63"/>
  <c r="D90" i="63"/>
  <c r="C90" i="63"/>
  <c r="D89" i="63"/>
  <c r="C89" i="63"/>
  <c r="D88" i="63"/>
  <c r="C88" i="63"/>
  <c r="D87" i="63"/>
  <c r="C87" i="63"/>
  <c r="D86" i="63"/>
  <c r="C86" i="63"/>
  <c r="D85" i="63"/>
  <c r="C85" i="63"/>
  <c r="D84" i="63"/>
  <c r="C84" i="63"/>
  <c r="D83" i="63"/>
  <c r="C83" i="63"/>
  <c r="D82" i="63"/>
  <c r="C82" i="63"/>
  <c r="D78" i="63"/>
  <c r="C78" i="63"/>
  <c r="D77" i="63"/>
  <c r="C77" i="63"/>
  <c r="D76" i="63"/>
  <c r="C76" i="63"/>
  <c r="D75" i="63"/>
  <c r="C75" i="63"/>
  <c r="D74" i="63"/>
  <c r="C74" i="63"/>
  <c r="D73" i="63"/>
  <c r="C73" i="63"/>
  <c r="D72" i="63"/>
  <c r="C72" i="63"/>
  <c r="D71" i="63"/>
  <c r="C71" i="63"/>
  <c r="D70" i="63"/>
  <c r="C70" i="63"/>
  <c r="D69" i="63"/>
  <c r="C69" i="63"/>
  <c r="D68" i="63"/>
  <c r="C68" i="63"/>
  <c r="D67" i="63"/>
  <c r="C67" i="63"/>
  <c r="D66" i="63"/>
  <c r="C66" i="63"/>
  <c r="D65" i="63"/>
  <c r="C65" i="63"/>
  <c r="D64" i="63"/>
  <c r="C64" i="63"/>
  <c r="D60" i="63"/>
  <c r="C60" i="63"/>
  <c r="D59" i="63"/>
  <c r="C59" i="63"/>
  <c r="D58" i="63"/>
  <c r="C58" i="63"/>
  <c r="D57" i="63"/>
  <c r="C57" i="63"/>
  <c r="D56" i="63"/>
  <c r="C56" i="63"/>
  <c r="D55" i="63"/>
  <c r="C55" i="63"/>
  <c r="D54" i="63"/>
  <c r="C54" i="63"/>
  <c r="D53" i="63"/>
  <c r="C53" i="63"/>
  <c r="D52" i="63"/>
  <c r="C52" i="63"/>
  <c r="D51" i="63"/>
  <c r="C51" i="63"/>
  <c r="D50" i="63"/>
  <c r="C50" i="63"/>
  <c r="D49" i="63"/>
  <c r="C49" i="63"/>
  <c r="D48" i="63"/>
  <c r="C48" i="63"/>
  <c r="D47" i="63"/>
  <c r="C47" i="63"/>
  <c r="D46" i="63"/>
  <c r="C46" i="63"/>
  <c r="D45" i="63"/>
  <c r="C45" i="63"/>
  <c r="D44" i="63"/>
  <c r="C44" i="63"/>
  <c r="D43" i="63"/>
  <c r="C43" i="63"/>
  <c r="D42" i="63"/>
  <c r="C42" i="63"/>
  <c r="D41" i="63"/>
  <c r="C41" i="63"/>
  <c r="D40" i="63"/>
  <c r="C40" i="63"/>
  <c r="D39" i="63"/>
  <c r="C39" i="63"/>
  <c r="D38" i="63"/>
  <c r="C38" i="63"/>
  <c r="D37" i="63"/>
  <c r="C37" i="63"/>
  <c r="D36" i="63"/>
  <c r="C36" i="63"/>
  <c r="D35" i="63"/>
  <c r="C35" i="63"/>
  <c r="D34" i="63"/>
  <c r="C34" i="63"/>
  <c r="D33" i="63"/>
  <c r="C33" i="63"/>
  <c r="D32" i="63"/>
  <c r="C32" i="63"/>
  <c r="D31" i="63"/>
  <c r="C31" i="63"/>
  <c r="D30" i="63"/>
  <c r="C30" i="63"/>
  <c r="D29" i="63"/>
  <c r="C29" i="63"/>
  <c r="D28" i="63"/>
  <c r="C28" i="63"/>
  <c r="D27" i="63"/>
  <c r="C27" i="63"/>
  <c r="D26" i="63"/>
  <c r="C26" i="63"/>
  <c r="D25" i="63"/>
  <c r="C25" i="63"/>
  <c r="D20" i="63"/>
  <c r="C20" i="63"/>
  <c r="D19" i="63"/>
  <c r="C19" i="63"/>
  <c r="D18" i="63"/>
  <c r="C18" i="63"/>
  <c r="D17" i="63"/>
  <c r="C17" i="63"/>
  <c r="D16" i="63"/>
  <c r="C16" i="63"/>
  <c r="D15" i="63"/>
  <c r="C15" i="63"/>
  <c r="D14" i="63"/>
  <c r="C14" i="63"/>
  <c r="D13" i="63"/>
  <c r="C13" i="63"/>
  <c r="D12" i="63"/>
  <c r="C12" i="63"/>
  <c r="D11" i="63"/>
  <c r="C11" i="63"/>
  <c r="K138" i="66"/>
  <c r="K200" i="66"/>
  <c r="J200" i="66"/>
  <c r="K172" i="66"/>
  <c r="K168" i="66"/>
  <c r="K166" i="66"/>
  <c r="J172" i="66"/>
  <c r="J168" i="66"/>
  <c r="J166" i="66"/>
  <c r="J149" i="66"/>
  <c r="J148" i="66"/>
  <c r="K137" i="66"/>
  <c r="K136" i="66"/>
  <c r="K135" i="66"/>
  <c r="J138" i="66"/>
  <c r="J137" i="66"/>
  <c r="J136" i="66"/>
  <c r="J135" i="66"/>
  <c r="J124" i="66"/>
  <c r="K124" i="66"/>
  <c r="J114" i="66"/>
  <c r="K114" i="66"/>
  <c r="J105" i="66"/>
  <c r="K105" i="66"/>
  <c r="J96" i="66"/>
  <c r="K96" i="66"/>
  <c r="K82" i="66"/>
  <c r="J82" i="66"/>
  <c r="K27" i="66"/>
  <c r="K25" i="66"/>
  <c r="J27" i="66"/>
  <c r="J25" i="66"/>
  <c r="G244" i="66"/>
  <c r="C233" i="66"/>
  <c r="E233" i="66"/>
  <c r="G243" i="66"/>
  <c r="G242" i="66"/>
  <c r="G241" i="66"/>
  <c r="C238" i="66"/>
  <c r="C237" i="66"/>
  <c r="C236" i="66"/>
  <c r="C235" i="66"/>
  <c r="C232" i="66"/>
  <c r="C231" i="66"/>
  <c r="D228" i="66"/>
  <c r="C227" i="66"/>
  <c r="C226" i="66"/>
  <c r="C225" i="66"/>
  <c r="C224" i="66"/>
  <c r="C223" i="66"/>
  <c r="C222" i="66"/>
  <c r="C221" i="66"/>
  <c r="C220" i="66"/>
  <c r="C219" i="66"/>
  <c r="C211" i="66"/>
  <c r="D205" i="66"/>
  <c r="C205" i="66"/>
  <c r="D204" i="66"/>
  <c r="C204" i="66"/>
  <c r="D203" i="66"/>
  <c r="C203" i="66"/>
  <c r="D202" i="66"/>
  <c r="C202" i="66"/>
  <c r="D201" i="66"/>
  <c r="C201" i="66"/>
  <c r="D200" i="66"/>
  <c r="C200" i="66"/>
  <c r="D196" i="66"/>
  <c r="C196" i="66"/>
  <c r="D195" i="66"/>
  <c r="C195" i="66"/>
  <c r="D194" i="66"/>
  <c r="C194" i="66"/>
  <c r="D193" i="66"/>
  <c r="C193" i="66"/>
  <c r="D192" i="66"/>
  <c r="C192" i="66"/>
  <c r="D191" i="66"/>
  <c r="C191" i="66"/>
  <c r="D190" i="66"/>
  <c r="C190" i="66"/>
  <c r="D189" i="66"/>
  <c r="C189" i="66"/>
  <c r="D188" i="66"/>
  <c r="C188" i="66"/>
  <c r="D187" i="66"/>
  <c r="C187" i="66"/>
  <c r="D186" i="66"/>
  <c r="C186" i="66"/>
  <c r="D185" i="66"/>
  <c r="C185" i="66"/>
  <c r="D184" i="66"/>
  <c r="C184" i="66"/>
  <c r="D183" i="66"/>
  <c r="C183" i="66"/>
  <c r="D182" i="66"/>
  <c r="C182" i="66"/>
  <c r="D181" i="66"/>
  <c r="C181" i="66"/>
  <c r="D180" i="66"/>
  <c r="C180" i="66"/>
  <c r="D179" i="66"/>
  <c r="C179" i="66"/>
  <c r="D178" i="66"/>
  <c r="C178" i="66"/>
  <c r="D177" i="66"/>
  <c r="C177" i="66"/>
  <c r="D176" i="66"/>
  <c r="C176" i="66"/>
  <c r="D175" i="66"/>
  <c r="C175" i="66"/>
  <c r="D174" i="66"/>
  <c r="C174" i="66"/>
  <c r="D173" i="66"/>
  <c r="C173" i="66"/>
  <c r="D172" i="66"/>
  <c r="C172" i="66"/>
  <c r="D171" i="66"/>
  <c r="C171" i="66"/>
  <c r="D170" i="66"/>
  <c r="C170" i="66"/>
  <c r="D169" i="66"/>
  <c r="C169" i="66"/>
  <c r="D168" i="66"/>
  <c r="C168" i="66"/>
  <c r="D167" i="66"/>
  <c r="C167" i="66"/>
  <c r="D166" i="66"/>
  <c r="C166" i="66"/>
  <c r="D165" i="66"/>
  <c r="C165" i="66"/>
  <c r="D164" i="66"/>
  <c r="C164" i="66"/>
  <c r="D160" i="66"/>
  <c r="C160" i="66"/>
  <c r="D159" i="66"/>
  <c r="C159" i="66"/>
  <c r="D158" i="66"/>
  <c r="C158" i="66"/>
  <c r="D157" i="66"/>
  <c r="C157" i="66"/>
  <c r="D156" i="66"/>
  <c r="C156" i="66"/>
  <c r="D155" i="66"/>
  <c r="C155" i="66"/>
  <c r="D153" i="66"/>
  <c r="C153" i="66"/>
  <c r="D152" i="66"/>
  <c r="C152" i="66"/>
  <c r="D151" i="66"/>
  <c r="C151" i="66"/>
  <c r="D150" i="66"/>
  <c r="C150" i="66"/>
  <c r="D149" i="66"/>
  <c r="C149" i="66"/>
  <c r="D148" i="66"/>
  <c r="C148" i="66"/>
  <c r="D147" i="66"/>
  <c r="C147" i="66"/>
  <c r="D146" i="66"/>
  <c r="C146" i="66"/>
  <c r="D145" i="66"/>
  <c r="C145" i="66"/>
  <c r="D143" i="66"/>
  <c r="C143" i="66"/>
  <c r="D142" i="66"/>
  <c r="C142" i="66"/>
  <c r="D141" i="66"/>
  <c r="C141" i="66"/>
  <c r="D140" i="66"/>
  <c r="C140" i="66"/>
  <c r="D138" i="66"/>
  <c r="C138" i="66"/>
  <c r="D137" i="66"/>
  <c r="C137" i="66"/>
  <c r="D136" i="66"/>
  <c r="C136" i="66"/>
  <c r="D135" i="66"/>
  <c r="C135" i="66"/>
  <c r="D133" i="66"/>
  <c r="C133" i="66"/>
  <c r="D132" i="66"/>
  <c r="C132" i="66"/>
  <c r="D131" i="66"/>
  <c r="C131" i="66"/>
  <c r="D130" i="66"/>
  <c r="C130" i="66"/>
  <c r="D129" i="66"/>
  <c r="C129" i="66"/>
  <c r="D127" i="66"/>
  <c r="C127" i="66"/>
  <c r="D126" i="66"/>
  <c r="C126" i="66"/>
  <c r="D125" i="66"/>
  <c r="C125" i="66"/>
  <c r="D124" i="66"/>
  <c r="C124" i="66"/>
  <c r="D123" i="66"/>
  <c r="C123" i="66"/>
  <c r="D118" i="66"/>
  <c r="C118" i="66"/>
  <c r="D117" i="66"/>
  <c r="C117" i="66"/>
  <c r="D116" i="66"/>
  <c r="C116" i="66"/>
  <c r="D115" i="66"/>
  <c r="C115" i="66"/>
  <c r="D114" i="66"/>
  <c r="C114" i="66"/>
  <c r="D110" i="66"/>
  <c r="C110" i="66"/>
  <c r="D109" i="66"/>
  <c r="C109" i="66"/>
  <c r="D108" i="66"/>
  <c r="C108" i="66"/>
  <c r="D107" i="66"/>
  <c r="C107" i="66"/>
  <c r="D106" i="66"/>
  <c r="C106" i="66"/>
  <c r="D105" i="66"/>
  <c r="C105" i="66"/>
  <c r="D101" i="66"/>
  <c r="C101" i="66"/>
  <c r="D100" i="66"/>
  <c r="C100" i="66"/>
  <c r="D99" i="66"/>
  <c r="C99" i="66"/>
  <c r="D98" i="66"/>
  <c r="C98" i="66"/>
  <c r="D97" i="66"/>
  <c r="C97" i="66"/>
  <c r="D96" i="66"/>
  <c r="C96" i="66"/>
  <c r="D92" i="66"/>
  <c r="C92" i="66"/>
  <c r="D91" i="66"/>
  <c r="C91" i="66"/>
  <c r="D90" i="66"/>
  <c r="C90" i="66"/>
  <c r="D89" i="66"/>
  <c r="C89" i="66"/>
  <c r="D88" i="66"/>
  <c r="C88" i="66"/>
  <c r="D87" i="66"/>
  <c r="C87" i="66"/>
  <c r="D86" i="66"/>
  <c r="C86" i="66"/>
  <c r="D85" i="66"/>
  <c r="C85" i="66"/>
  <c r="D84" i="66"/>
  <c r="C84" i="66"/>
  <c r="D83" i="66"/>
  <c r="C83" i="66"/>
  <c r="D82" i="66"/>
  <c r="C82" i="66"/>
  <c r="D78" i="66"/>
  <c r="C78" i="66"/>
  <c r="D77" i="66"/>
  <c r="C77" i="66"/>
  <c r="D76" i="66"/>
  <c r="C76" i="66"/>
  <c r="D75" i="66"/>
  <c r="C75" i="66"/>
  <c r="D74" i="66"/>
  <c r="C74" i="66"/>
  <c r="D73" i="66"/>
  <c r="C73" i="66"/>
  <c r="D72" i="66"/>
  <c r="C72" i="66"/>
  <c r="D71" i="66"/>
  <c r="C71" i="66"/>
  <c r="D70" i="66"/>
  <c r="C70" i="66"/>
  <c r="D69" i="66"/>
  <c r="C69" i="66"/>
  <c r="D68" i="66"/>
  <c r="C68" i="66"/>
  <c r="D67" i="66"/>
  <c r="C67" i="66"/>
  <c r="D66" i="66"/>
  <c r="C66" i="66"/>
  <c r="D65" i="66"/>
  <c r="C65" i="66"/>
  <c r="D64" i="66"/>
  <c r="C64" i="66"/>
  <c r="D60" i="66"/>
  <c r="C60" i="66"/>
  <c r="D59" i="66"/>
  <c r="C59" i="66"/>
  <c r="D58" i="66"/>
  <c r="C58" i="66"/>
  <c r="D57" i="66"/>
  <c r="C57" i="66"/>
  <c r="D56" i="66"/>
  <c r="C56" i="66"/>
  <c r="D55" i="66"/>
  <c r="C55" i="66"/>
  <c r="D54" i="66"/>
  <c r="C54" i="66"/>
  <c r="D53" i="66"/>
  <c r="C53" i="66"/>
  <c r="D52" i="66"/>
  <c r="C52" i="66"/>
  <c r="D51" i="66"/>
  <c r="C51" i="66"/>
  <c r="D50" i="66"/>
  <c r="C50" i="66"/>
  <c r="D49" i="66"/>
  <c r="C49" i="66"/>
  <c r="D48" i="66"/>
  <c r="C48" i="66"/>
  <c r="D47" i="66"/>
  <c r="C47" i="66"/>
  <c r="D46" i="66"/>
  <c r="C46" i="66"/>
  <c r="D45" i="66"/>
  <c r="C45" i="66"/>
  <c r="D44" i="66"/>
  <c r="C44" i="66"/>
  <c r="D43" i="66"/>
  <c r="C43" i="66"/>
  <c r="D42" i="66"/>
  <c r="C42" i="66"/>
  <c r="D41" i="66"/>
  <c r="C41" i="66"/>
  <c r="D40" i="66"/>
  <c r="C40" i="66"/>
  <c r="D39" i="66"/>
  <c r="C39" i="66"/>
  <c r="D38" i="66"/>
  <c r="C38" i="66"/>
  <c r="D37" i="66"/>
  <c r="C37" i="66"/>
  <c r="D36" i="66"/>
  <c r="C36" i="66"/>
  <c r="D35" i="66"/>
  <c r="C35" i="66"/>
  <c r="D34" i="66"/>
  <c r="C34" i="66"/>
  <c r="D33" i="66"/>
  <c r="C33" i="66"/>
  <c r="D32" i="66"/>
  <c r="C32" i="66"/>
  <c r="D31" i="66"/>
  <c r="C31" i="66"/>
  <c r="D30" i="66"/>
  <c r="C30" i="66"/>
  <c r="D29" i="66"/>
  <c r="C29" i="66"/>
  <c r="D28" i="66"/>
  <c r="C28" i="66"/>
  <c r="D27" i="66"/>
  <c r="C27" i="66"/>
  <c r="D26" i="66"/>
  <c r="C26" i="66"/>
  <c r="D25" i="66"/>
  <c r="C25" i="66"/>
  <c r="D20" i="66"/>
  <c r="C20" i="66"/>
  <c r="D19" i="66"/>
  <c r="C19" i="66"/>
  <c r="D18" i="66"/>
  <c r="C18" i="66"/>
  <c r="D17" i="66"/>
  <c r="C17" i="66"/>
  <c r="D16" i="66"/>
  <c r="C16" i="66"/>
  <c r="D15" i="66"/>
  <c r="C15" i="66"/>
  <c r="D14" i="66"/>
  <c r="C14" i="66"/>
  <c r="D13" i="66"/>
  <c r="C13" i="66"/>
  <c r="D12" i="66"/>
  <c r="C12" i="66"/>
  <c r="D11" i="66"/>
  <c r="C11" i="66"/>
  <c r="G244" i="68"/>
  <c r="G243" i="68"/>
  <c r="G242" i="68"/>
  <c r="G241" i="68"/>
  <c r="C238" i="68"/>
  <c r="C237" i="68"/>
  <c r="C236" i="68"/>
  <c r="C235" i="68"/>
  <c r="C233" i="68"/>
  <c r="C232" i="68"/>
  <c r="C231" i="68"/>
  <c r="D228" i="68"/>
  <c r="C227" i="68"/>
  <c r="C226" i="68"/>
  <c r="C225" i="68"/>
  <c r="C224" i="68"/>
  <c r="C223" i="68"/>
  <c r="C222" i="68"/>
  <c r="C221" i="68"/>
  <c r="C220" i="68"/>
  <c r="C219" i="68"/>
  <c r="C211" i="68"/>
  <c r="D205" i="68"/>
  <c r="C205" i="68"/>
  <c r="D204" i="68"/>
  <c r="C204" i="68"/>
  <c r="D203" i="68"/>
  <c r="C203" i="68"/>
  <c r="D202" i="68"/>
  <c r="C202" i="68"/>
  <c r="D201" i="68"/>
  <c r="C201" i="68"/>
  <c r="D200" i="68"/>
  <c r="C200" i="68"/>
  <c r="D196" i="68"/>
  <c r="C196" i="68"/>
  <c r="D195" i="68"/>
  <c r="C195" i="68"/>
  <c r="D194" i="68"/>
  <c r="C194" i="68"/>
  <c r="D193" i="68"/>
  <c r="C193" i="68"/>
  <c r="D192" i="68"/>
  <c r="C192" i="68"/>
  <c r="D191" i="68"/>
  <c r="C191" i="68"/>
  <c r="D190" i="68"/>
  <c r="C190" i="68"/>
  <c r="D189" i="68"/>
  <c r="C189" i="68"/>
  <c r="D188" i="68"/>
  <c r="C188" i="68"/>
  <c r="D187" i="68"/>
  <c r="C187" i="68"/>
  <c r="D186" i="68"/>
  <c r="C186" i="68"/>
  <c r="D185" i="68"/>
  <c r="C185" i="68"/>
  <c r="D184" i="68"/>
  <c r="C184" i="68"/>
  <c r="D183" i="68"/>
  <c r="C183" i="68"/>
  <c r="D182" i="68"/>
  <c r="C182" i="68"/>
  <c r="D181" i="68"/>
  <c r="C181" i="68"/>
  <c r="D180" i="68"/>
  <c r="C180" i="68"/>
  <c r="D179" i="68"/>
  <c r="C179" i="68"/>
  <c r="D178" i="68"/>
  <c r="C178" i="68"/>
  <c r="D177" i="68"/>
  <c r="C177" i="68"/>
  <c r="D176" i="68"/>
  <c r="C176" i="68"/>
  <c r="D175" i="68"/>
  <c r="C175" i="68"/>
  <c r="D174" i="68"/>
  <c r="C174" i="68"/>
  <c r="D173" i="68"/>
  <c r="C173" i="68"/>
  <c r="D172" i="68"/>
  <c r="C172" i="68"/>
  <c r="D171" i="68"/>
  <c r="C171" i="68"/>
  <c r="D170" i="68"/>
  <c r="C170" i="68"/>
  <c r="D169" i="68"/>
  <c r="C169" i="68"/>
  <c r="D168" i="68"/>
  <c r="C168" i="68"/>
  <c r="D167" i="68"/>
  <c r="C167" i="68"/>
  <c r="D166" i="68"/>
  <c r="C166" i="68"/>
  <c r="D165" i="68"/>
  <c r="C165" i="68"/>
  <c r="D164" i="68"/>
  <c r="C164" i="68"/>
  <c r="D160" i="68"/>
  <c r="C160" i="68"/>
  <c r="D159" i="68"/>
  <c r="C159" i="68"/>
  <c r="D158" i="68"/>
  <c r="C158" i="68"/>
  <c r="D157" i="68"/>
  <c r="C157" i="68"/>
  <c r="D156" i="68"/>
  <c r="C156" i="68"/>
  <c r="D155" i="68"/>
  <c r="C155" i="68"/>
  <c r="D153" i="68"/>
  <c r="C153" i="68"/>
  <c r="D152" i="68"/>
  <c r="C152" i="68"/>
  <c r="D151" i="68"/>
  <c r="C151" i="68"/>
  <c r="D150" i="68"/>
  <c r="C150" i="68"/>
  <c r="D149" i="68"/>
  <c r="C149" i="68"/>
  <c r="D148" i="68"/>
  <c r="C148" i="68"/>
  <c r="D147" i="68"/>
  <c r="C147" i="68"/>
  <c r="D146" i="68"/>
  <c r="C146" i="68"/>
  <c r="D145" i="68"/>
  <c r="C145" i="68"/>
  <c r="D143" i="68"/>
  <c r="C143" i="68"/>
  <c r="D142" i="68"/>
  <c r="C142" i="68"/>
  <c r="D141" i="68"/>
  <c r="C141" i="68"/>
  <c r="D140" i="68"/>
  <c r="C140" i="68"/>
  <c r="D138" i="68"/>
  <c r="C138" i="68"/>
  <c r="D137" i="68"/>
  <c r="C137" i="68"/>
  <c r="D136" i="68"/>
  <c r="C136" i="68"/>
  <c r="D135" i="68"/>
  <c r="C135" i="68"/>
  <c r="D133" i="68"/>
  <c r="C133" i="68"/>
  <c r="D132" i="68"/>
  <c r="C132" i="68"/>
  <c r="D131" i="68"/>
  <c r="C131" i="68"/>
  <c r="D130" i="68"/>
  <c r="C130" i="68"/>
  <c r="D129" i="68"/>
  <c r="C129" i="68"/>
  <c r="D127" i="68"/>
  <c r="C127" i="68"/>
  <c r="D126" i="68"/>
  <c r="C126" i="68"/>
  <c r="D125" i="68"/>
  <c r="C125" i="68"/>
  <c r="D124" i="68"/>
  <c r="C124" i="68"/>
  <c r="D123" i="68"/>
  <c r="C123" i="68"/>
  <c r="D118" i="68"/>
  <c r="C118" i="68"/>
  <c r="D117" i="68"/>
  <c r="C117" i="68"/>
  <c r="D116" i="68"/>
  <c r="C116" i="68"/>
  <c r="D115" i="68"/>
  <c r="C115" i="68"/>
  <c r="D114" i="68"/>
  <c r="C114" i="68"/>
  <c r="D110" i="68"/>
  <c r="C110" i="68"/>
  <c r="D109" i="68"/>
  <c r="C109" i="68"/>
  <c r="D108" i="68"/>
  <c r="C108" i="68"/>
  <c r="D107" i="68"/>
  <c r="C107" i="68"/>
  <c r="D106" i="68"/>
  <c r="C106" i="68"/>
  <c r="D105" i="68"/>
  <c r="C105" i="68"/>
  <c r="D101" i="68"/>
  <c r="C101" i="68"/>
  <c r="D100" i="68"/>
  <c r="C100" i="68"/>
  <c r="D99" i="68"/>
  <c r="C99" i="68"/>
  <c r="D98" i="68"/>
  <c r="C98" i="68"/>
  <c r="D97" i="68"/>
  <c r="C97" i="68"/>
  <c r="D96" i="68"/>
  <c r="C96" i="68"/>
  <c r="D92" i="68"/>
  <c r="C92" i="68"/>
  <c r="D91" i="68"/>
  <c r="C91" i="68"/>
  <c r="D90" i="68"/>
  <c r="C90" i="68"/>
  <c r="D89" i="68"/>
  <c r="C89" i="68"/>
  <c r="D88" i="68"/>
  <c r="C88" i="68"/>
  <c r="D87" i="68"/>
  <c r="C87" i="68"/>
  <c r="D86" i="68"/>
  <c r="C86" i="68"/>
  <c r="D85" i="68"/>
  <c r="C85" i="68"/>
  <c r="D84" i="68"/>
  <c r="C84" i="68"/>
  <c r="D83" i="68"/>
  <c r="C83" i="68"/>
  <c r="D82" i="68"/>
  <c r="C82" i="68"/>
  <c r="D78" i="68"/>
  <c r="C78" i="68"/>
  <c r="D77" i="68"/>
  <c r="C77" i="68"/>
  <c r="D76" i="68"/>
  <c r="C76" i="68"/>
  <c r="D75" i="68"/>
  <c r="C75" i="68"/>
  <c r="D74" i="68"/>
  <c r="C74" i="68"/>
  <c r="D73" i="68"/>
  <c r="C73" i="68"/>
  <c r="D72" i="68"/>
  <c r="C72" i="68"/>
  <c r="D71" i="68"/>
  <c r="C71" i="68"/>
  <c r="D70" i="68"/>
  <c r="C70" i="68"/>
  <c r="D69" i="68"/>
  <c r="C69" i="68"/>
  <c r="D68" i="68"/>
  <c r="C68" i="68"/>
  <c r="D67" i="68"/>
  <c r="C67" i="68"/>
  <c r="D66" i="68"/>
  <c r="C66" i="68"/>
  <c r="D65" i="68"/>
  <c r="C65" i="68"/>
  <c r="D64" i="68"/>
  <c r="C64" i="68"/>
  <c r="D60" i="68"/>
  <c r="C60" i="68"/>
  <c r="D59" i="68"/>
  <c r="C59" i="68"/>
  <c r="D58" i="68"/>
  <c r="C58" i="68"/>
  <c r="D57" i="68"/>
  <c r="C57" i="68"/>
  <c r="D56" i="68"/>
  <c r="C56" i="68"/>
  <c r="D55" i="68"/>
  <c r="C55" i="68"/>
  <c r="D54" i="68"/>
  <c r="C54" i="68"/>
  <c r="D53" i="68"/>
  <c r="C53" i="68"/>
  <c r="D52" i="68"/>
  <c r="C52" i="68"/>
  <c r="D51" i="68"/>
  <c r="C51" i="68"/>
  <c r="D50" i="68"/>
  <c r="C50" i="68"/>
  <c r="D49" i="68"/>
  <c r="C49" i="68"/>
  <c r="D48" i="68"/>
  <c r="C48" i="68"/>
  <c r="D47" i="68"/>
  <c r="C47" i="68"/>
  <c r="D46" i="68"/>
  <c r="C46" i="68"/>
  <c r="D45" i="68"/>
  <c r="C45" i="68"/>
  <c r="D44" i="68"/>
  <c r="C44" i="68"/>
  <c r="D43" i="68"/>
  <c r="C43" i="68"/>
  <c r="D42" i="68"/>
  <c r="C42" i="68"/>
  <c r="D41" i="68"/>
  <c r="C41" i="68"/>
  <c r="D40" i="68"/>
  <c r="C40" i="68"/>
  <c r="D39" i="68"/>
  <c r="C39" i="68"/>
  <c r="D38" i="68"/>
  <c r="C38" i="68"/>
  <c r="D37" i="68"/>
  <c r="C37" i="68"/>
  <c r="D36" i="68"/>
  <c r="C36" i="68"/>
  <c r="D35" i="68"/>
  <c r="C35" i="68"/>
  <c r="D34" i="68"/>
  <c r="C34" i="68"/>
  <c r="D33" i="68"/>
  <c r="C33" i="68"/>
  <c r="D32" i="68"/>
  <c r="C32" i="68"/>
  <c r="D31" i="68"/>
  <c r="C31" i="68"/>
  <c r="D30" i="68"/>
  <c r="C30" i="68"/>
  <c r="D29" i="68"/>
  <c r="C29" i="68"/>
  <c r="D28" i="68"/>
  <c r="C28" i="68"/>
  <c r="D27" i="68"/>
  <c r="C27" i="68"/>
  <c r="D26" i="68"/>
  <c r="C26" i="68"/>
  <c r="D25" i="68"/>
  <c r="C25" i="68"/>
  <c r="D20" i="68"/>
  <c r="C20" i="68"/>
  <c r="D19" i="68"/>
  <c r="C19" i="68"/>
  <c r="D18" i="68"/>
  <c r="C18" i="68"/>
  <c r="D17" i="68"/>
  <c r="C17" i="68"/>
  <c r="D16" i="68"/>
  <c r="C16" i="68"/>
  <c r="D15" i="68"/>
  <c r="C15" i="68"/>
  <c r="D14" i="68"/>
  <c r="C14" i="68"/>
  <c r="D13" i="68"/>
  <c r="C13" i="68"/>
  <c r="D12" i="68"/>
  <c r="C12" i="68"/>
  <c r="D11" i="68"/>
  <c r="C11" i="68"/>
  <c r="G244" i="150"/>
  <c r="G243" i="150"/>
  <c r="G242" i="150"/>
  <c r="G241" i="150"/>
  <c r="D20" i="150"/>
  <c r="C20" i="150"/>
  <c r="D19" i="150"/>
  <c r="C19" i="150"/>
  <c r="D18" i="150"/>
  <c r="C18" i="150"/>
  <c r="D17" i="150"/>
  <c r="C17" i="150"/>
  <c r="D16" i="150"/>
  <c r="C16" i="150"/>
  <c r="D15" i="150"/>
  <c r="C15" i="150"/>
  <c r="D14" i="150"/>
  <c r="C14" i="150"/>
  <c r="D13" i="150"/>
  <c r="C13" i="150"/>
  <c r="D12" i="150"/>
  <c r="C12" i="150"/>
  <c r="D11" i="150"/>
  <c r="C11" i="150"/>
  <c r="K200" i="19"/>
  <c r="J200" i="19"/>
  <c r="K172" i="19"/>
  <c r="K168" i="19"/>
  <c r="K166" i="19"/>
  <c r="J172" i="19"/>
  <c r="J168" i="19"/>
  <c r="J166" i="19"/>
  <c r="J148" i="19"/>
  <c r="K138" i="19"/>
  <c r="K137" i="19"/>
  <c r="K136" i="19"/>
  <c r="K135" i="19"/>
  <c r="J138" i="19"/>
  <c r="J137" i="19"/>
  <c r="J136" i="19"/>
  <c r="J135" i="19"/>
  <c r="K127" i="19"/>
  <c r="K124" i="19"/>
  <c r="J127" i="19"/>
  <c r="J124" i="19"/>
  <c r="J114" i="19"/>
  <c r="K114" i="19"/>
  <c r="K105" i="19"/>
  <c r="J105" i="19"/>
  <c r="J96" i="19"/>
  <c r="K96" i="19"/>
  <c r="K82" i="19"/>
  <c r="J82" i="19"/>
  <c r="K27" i="19"/>
  <c r="K25" i="19"/>
  <c r="J27" i="19"/>
  <c r="J25" i="19"/>
  <c r="K200" i="15"/>
  <c r="J200" i="15"/>
  <c r="K172" i="15"/>
  <c r="K168" i="15"/>
  <c r="K166" i="15"/>
  <c r="J172" i="15"/>
  <c r="J168" i="15"/>
  <c r="J166" i="15"/>
  <c r="K138" i="15"/>
  <c r="K137" i="15"/>
  <c r="K136" i="15"/>
  <c r="K135" i="15"/>
  <c r="J138" i="15"/>
  <c r="J137" i="15"/>
  <c r="J136" i="15"/>
  <c r="J135" i="15"/>
  <c r="K125" i="15"/>
  <c r="K124" i="15"/>
  <c r="K127" i="15"/>
  <c r="J127" i="15"/>
  <c r="J125" i="15"/>
  <c r="J124" i="15"/>
  <c r="K114" i="15"/>
  <c r="J114" i="15"/>
  <c r="K105" i="15"/>
  <c r="J105" i="15"/>
  <c r="J96" i="15"/>
  <c r="K96" i="15"/>
  <c r="J82" i="15"/>
  <c r="K82" i="15"/>
  <c r="K25" i="15"/>
  <c r="K27" i="15"/>
  <c r="J27" i="15"/>
  <c r="J25" i="15"/>
  <c r="G244" i="15"/>
  <c r="C233" i="15"/>
  <c r="G243" i="15"/>
  <c r="G242" i="15"/>
  <c r="G241" i="15"/>
  <c r="C238" i="15"/>
  <c r="C237" i="15"/>
  <c r="C236" i="15"/>
  <c r="C235" i="15"/>
  <c r="C232" i="15"/>
  <c r="C231" i="15"/>
  <c r="D228" i="15"/>
  <c r="C227" i="15"/>
  <c r="C226" i="15"/>
  <c r="C225" i="15"/>
  <c r="C224" i="15"/>
  <c r="C223" i="15"/>
  <c r="C222" i="15"/>
  <c r="C221" i="15"/>
  <c r="C220" i="15"/>
  <c r="E220" i="15"/>
  <c r="G220" i="15"/>
  <c r="C219" i="15"/>
  <c r="C211" i="15"/>
  <c r="D205" i="15"/>
  <c r="C205" i="15"/>
  <c r="D204" i="15"/>
  <c r="C204" i="15"/>
  <c r="D203" i="15"/>
  <c r="C203" i="15"/>
  <c r="D202" i="15"/>
  <c r="C202" i="15"/>
  <c r="D201" i="15"/>
  <c r="C201" i="15"/>
  <c r="D200" i="15"/>
  <c r="C200" i="15"/>
  <c r="D196" i="15"/>
  <c r="C196" i="15"/>
  <c r="D195" i="15"/>
  <c r="C195" i="15"/>
  <c r="D194" i="15"/>
  <c r="C194" i="15"/>
  <c r="D193" i="15"/>
  <c r="C193" i="15"/>
  <c r="D192" i="15"/>
  <c r="C192" i="15"/>
  <c r="D191" i="15"/>
  <c r="C191" i="15"/>
  <c r="D190" i="15"/>
  <c r="C190" i="15"/>
  <c r="D189" i="15"/>
  <c r="C189" i="15"/>
  <c r="D188" i="15"/>
  <c r="C188" i="15"/>
  <c r="D187" i="15"/>
  <c r="C187" i="15"/>
  <c r="D186" i="15"/>
  <c r="C186" i="15"/>
  <c r="D185" i="15"/>
  <c r="C185" i="15"/>
  <c r="D184" i="15"/>
  <c r="C184" i="15"/>
  <c r="D183" i="15"/>
  <c r="C183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6" i="15"/>
  <c r="C176" i="15"/>
  <c r="D175" i="15"/>
  <c r="C175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8" i="15"/>
  <c r="C168" i="15"/>
  <c r="D167" i="15"/>
  <c r="C167" i="15"/>
  <c r="D166" i="15"/>
  <c r="C166" i="15"/>
  <c r="D165" i="15"/>
  <c r="C165" i="15"/>
  <c r="D164" i="15"/>
  <c r="C164" i="15"/>
  <c r="D160" i="15"/>
  <c r="C160" i="15"/>
  <c r="D159" i="15"/>
  <c r="C159" i="15"/>
  <c r="D158" i="15"/>
  <c r="C158" i="15"/>
  <c r="D157" i="15"/>
  <c r="C157" i="15"/>
  <c r="D156" i="15"/>
  <c r="C156" i="15"/>
  <c r="D155" i="15"/>
  <c r="C155" i="15"/>
  <c r="D153" i="15"/>
  <c r="C153" i="15"/>
  <c r="D152" i="15"/>
  <c r="C152" i="15"/>
  <c r="D151" i="15"/>
  <c r="C151" i="15"/>
  <c r="D150" i="15"/>
  <c r="C150" i="15"/>
  <c r="D149" i="15"/>
  <c r="C149" i="15"/>
  <c r="D148" i="15"/>
  <c r="C148" i="15"/>
  <c r="D147" i="15"/>
  <c r="C147" i="15"/>
  <c r="D146" i="15"/>
  <c r="C146" i="15"/>
  <c r="D145" i="15"/>
  <c r="C145" i="15"/>
  <c r="D143" i="15"/>
  <c r="C143" i="15"/>
  <c r="D142" i="15"/>
  <c r="C142" i="15"/>
  <c r="D141" i="15"/>
  <c r="C141" i="15"/>
  <c r="D140" i="15"/>
  <c r="C140" i="15"/>
  <c r="D138" i="15"/>
  <c r="C138" i="15"/>
  <c r="D137" i="15"/>
  <c r="C137" i="15"/>
  <c r="D136" i="15"/>
  <c r="C136" i="15"/>
  <c r="D135" i="15"/>
  <c r="C135" i="15"/>
  <c r="D133" i="15"/>
  <c r="C133" i="15"/>
  <c r="D132" i="15"/>
  <c r="C132" i="15"/>
  <c r="D131" i="15"/>
  <c r="C131" i="15"/>
  <c r="D130" i="15"/>
  <c r="C130" i="15"/>
  <c r="D129" i="15"/>
  <c r="C129" i="15"/>
  <c r="D127" i="15"/>
  <c r="C127" i="15"/>
  <c r="D126" i="15"/>
  <c r="C126" i="15"/>
  <c r="D125" i="15"/>
  <c r="C125" i="15"/>
  <c r="D124" i="15"/>
  <c r="C124" i="15"/>
  <c r="D123" i="15"/>
  <c r="C123" i="15"/>
  <c r="D118" i="15"/>
  <c r="C118" i="15"/>
  <c r="D117" i="15"/>
  <c r="C117" i="15"/>
  <c r="D116" i="15"/>
  <c r="C116" i="15"/>
  <c r="D115" i="15"/>
  <c r="C115" i="15"/>
  <c r="D114" i="15"/>
  <c r="C114" i="15"/>
  <c r="D110" i="15"/>
  <c r="C110" i="15"/>
  <c r="D109" i="15"/>
  <c r="C109" i="15"/>
  <c r="D108" i="15"/>
  <c r="C108" i="15"/>
  <c r="D107" i="15"/>
  <c r="C107" i="15"/>
  <c r="D106" i="15"/>
  <c r="C106" i="15"/>
  <c r="D105" i="15"/>
  <c r="C105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71" i="15"/>
  <c r="C71" i="15"/>
  <c r="D70" i="15"/>
  <c r="C70" i="15"/>
  <c r="D69" i="15"/>
  <c r="C69" i="15"/>
  <c r="D68" i="15"/>
  <c r="C68" i="15"/>
  <c r="D67" i="15"/>
  <c r="C67" i="15"/>
  <c r="D66" i="15"/>
  <c r="C66" i="15"/>
  <c r="D65" i="15"/>
  <c r="C65" i="15"/>
  <c r="D64" i="15"/>
  <c r="C64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F21" i="19"/>
  <c r="F61" i="19"/>
  <c r="F79" i="19"/>
  <c r="F93" i="19"/>
  <c r="F102" i="19"/>
  <c r="F111" i="19"/>
  <c r="F119" i="19"/>
  <c r="F119" i="103"/>
  <c r="F119" i="118"/>
  <c r="F119" i="60"/>
  <c r="F119" i="54"/>
  <c r="F119" i="94"/>
  <c r="F119" i="145"/>
  <c r="F119" i="164"/>
  <c r="F119" i="15"/>
  <c r="F119" i="150"/>
  <c r="F119" i="68"/>
  <c r="F119" i="66"/>
  <c r="F119" i="63"/>
  <c r="F119" i="62"/>
  <c r="F119" i="58"/>
  <c r="F119" i="136"/>
  <c r="F119" i="53"/>
  <c r="F119" i="98"/>
  <c r="F119" i="49"/>
  <c r="F119" i="83"/>
  <c r="F119" i="47"/>
  <c r="F119" i="46"/>
  <c r="F119" i="102"/>
  <c r="F119" i="45"/>
  <c r="F119" i="106"/>
  <c r="F119" i="104"/>
  <c r="F119" i="43"/>
  <c r="F119" i="57"/>
  <c r="F119" i="84"/>
  <c r="F119" i="71"/>
  <c r="F119" i="167"/>
  <c r="F119" i="39"/>
  <c r="F119" i="135"/>
  <c r="F119" i="38"/>
  <c r="F119" i="133"/>
  <c r="F119" i="152"/>
  <c r="F119" i="120"/>
  <c r="F119" i="37"/>
  <c r="F119" i="90"/>
  <c r="F119" i="24"/>
  <c r="F119" i="141"/>
  <c r="F119" i="33"/>
  <c r="F119" i="32"/>
  <c r="F119" i="79"/>
  <c r="F119" i="31"/>
  <c r="F119" i="64"/>
  <c r="F119" i="113"/>
  <c r="F119" i="72"/>
  <c r="F119" i="28"/>
  <c r="F119" i="65"/>
  <c r="F119" i="119"/>
  <c r="F119" i="25"/>
  <c r="F119" i="155"/>
  <c r="F119" i="156"/>
  <c r="F119" i="20"/>
  <c r="F119" i="42"/>
  <c r="F119" i="157"/>
  <c r="F119" i="159"/>
  <c r="F119" i="158"/>
  <c r="F119" i="16"/>
  <c r="F119" i="27"/>
  <c r="F119" i="111"/>
  <c r="F119" i="165"/>
  <c r="F119" i="55"/>
  <c r="F119" i="21"/>
  <c r="F119" i="14"/>
  <c r="F119" i="85"/>
  <c r="F119" i="149"/>
  <c r="F119" i="172"/>
  <c r="F119" i="143"/>
  <c r="F119" i="10"/>
  <c r="F119" i="87"/>
  <c r="F119" i="86"/>
  <c r="F119" i="89"/>
  <c r="F119" i="69"/>
  <c r="F119" i="142"/>
  <c r="F119" i="92"/>
  <c r="F119" i="1"/>
  <c r="F119" i="50"/>
  <c r="F119" i="95"/>
  <c r="F122" i="97"/>
  <c r="F161" i="19"/>
  <c r="F197" i="19"/>
  <c r="F206" i="19"/>
  <c r="E231" i="19"/>
  <c r="E226" i="19"/>
  <c r="G226" i="19"/>
  <c r="E225" i="19"/>
  <c r="E200" i="19"/>
  <c r="G244" i="164"/>
  <c r="G243" i="164"/>
  <c r="G242" i="164"/>
  <c r="G241" i="164"/>
  <c r="C238" i="164"/>
  <c r="C237" i="164"/>
  <c r="C236" i="164"/>
  <c r="C235" i="164"/>
  <c r="C233" i="164"/>
  <c r="C232" i="164"/>
  <c r="C231" i="164"/>
  <c r="D228" i="164"/>
  <c r="C227" i="164"/>
  <c r="C226" i="164"/>
  <c r="C225" i="164"/>
  <c r="C224" i="164"/>
  <c r="C223" i="164"/>
  <c r="C222" i="164"/>
  <c r="C221" i="164"/>
  <c r="C220" i="164"/>
  <c r="C219" i="164"/>
  <c r="C211" i="164"/>
  <c r="D205" i="164"/>
  <c r="C205" i="164"/>
  <c r="D204" i="164"/>
  <c r="C204" i="164"/>
  <c r="D203" i="164"/>
  <c r="C203" i="164"/>
  <c r="D202" i="164"/>
  <c r="C202" i="164"/>
  <c r="D201" i="164"/>
  <c r="C201" i="164"/>
  <c r="D200" i="164"/>
  <c r="C200" i="164"/>
  <c r="D196" i="164"/>
  <c r="C196" i="164"/>
  <c r="D195" i="164"/>
  <c r="C195" i="164"/>
  <c r="D194" i="164"/>
  <c r="C194" i="164"/>
  <c r="D193" i="164"/>
  <c r="C193" i="164"/>
  <c r="D192" i="164"/>
  <c r="C192" i="164"/>
  <c r="D191" i="164"/>
  <c r="C191" i="164"/>
  <c r="D190" i="164"/>
  <c r="C190" i="164"/>
  <c r="D189" i="164"/>
  <c r="C189" i="164"/>
  <c r="D188" i="164"/>
  <c r="C188" i="164"/>
  <c r="D187" i="164"/>
  <c r="C187" i="164"/>
  <c r="D186" i="164"/>
  <c r="C186" i="164"/>
  <c r="D185" i="164"/>
  <c r="C185" i="164"/>
  <c r="D184" i="164"/>
  <c r="C184" i="164"/>
  <c r="D183" i="164"/>
  <c r="C183" i="164"/>
  <c r="D182" i="164"/>
  <c r="C182" i="164"/>
  <c r="D181" i="164"/>
  <c r="C181" i="164"/>
  <c r="D180" i="164"/>
  <c r="C180" i="164"/>
  <c r="D179" i="164"/>
  <c r="C179" i="164"/>
  <c r="D178" i="164"/>
  <c r="C178" i="164"/>
  <c r="D177" i="164"/>
  <c r="C177" i="164"/>
  <c r="D176" i="164"/>
  <c r="C176" i="164"/>
  <c r="D175" i="164"/>
  <c r="C175" i="164"/>
  <c r="D174" i="164"/>
  <c r="C174" i="164"/>
  <c r="D173" i="164"/>
  <c r="C173" i="164"/>
  <c r="D172" i="164"/>
  <c r="C172" i="164"/>
  <c r="D171" i="164"/>
  <c r="C171" i="164"/>
  <c r="D170" i="164"/>
  <c r="C170" i="164"/>
  <c r="D169" i="164"/>
  <c r="C169" i="164"/>
  <c r="D168" i="164"/>
  <c r="C168" i="164"/>
  <c r="D167" i="164"/>
  <c r="C167" i="164"/>
  <c r="D166" i="164"/>
  <c r="C166" i="164"/>
  <c r="D165" i="164"/>
  <c r="C165" i="164"/>
  <c r="D164" i="164"/>
  <c r="C164" i="164"/>
  <c r="D160" i="164"/>
  <c r="C160" i="164"/>
  <c r="D159" i="164"/>
  <c r="C159" i="164"/>
  <c r="D158" i="164"/>
  <c r="C158" i="164"/>
  <c r="D157" i="164"/>
  <c r="C157" i="164"/>
  <c r="D156" i="164"/>
  <c r="C156" i="164"/>
  <c r="D155" i="164"/>
  <c r="C155" i="164"/>
  <c r="D153" i="164"/>
  <c r="C153" i="164"/>
  <c r="D152" i="164"/>
  <c r="C152" i="164"/>
  <c r="D151" i="164"/>
  <c r="C151" i="164"/>
  <c r="D150" i="164"/>
  <c r="C150" i="164"/>
  <c r="D149" i="164"/>
  <c r="C149" i="164"/>
  <c r="D148" i="164"/>
  <c r="C148" i="164"/>
  <c r="D147" i="164"/>
  <c r="C147" i="164"/>
  <c r="D146" i="164"/>
  <c r="C146" i="164"/>
  <c r="D145" i="164"/>
  <c r="C145" i="164"/>
  <c r="D143" i="164"/>
  <c r="C143" i="164"/>
  <c r="D142" i="164"/>
  <c r="C142" i="164"/>
  <c r="D141" i="164"/>
  <c r="C141" i="164"/>
  <c r="D140" i="164"/>
  <c r="C140" i="164"/>
  <c r="D138" i="164"/>
  <c r="C138" i="164"/>
  <c r="D137" i="164"/>
  <c r="C137" i="164"/>
  <c r="D136" i="164"/>
  <c r="C136" i="164"/>
  <c r="D135" i="164"/>
  <c r="C135" i="164"/>
  <c r="D133" i="164"/>
  <c r="C133" i="164"/>
  <c r="D132" i="164"/>
  <c r="C132" i="164"/>
  <c r="D131" i="164"/>
  <c r="C131" i="164"/>
  <c r="D130" i="164"/>
  <c r="C130" i="164"/>
  <c r="D129" i="164"/>
  <c r="C129" i="164"/>
  <c r="D127" i="164"/>
  <c r="C127" i="164"/>
  <c r="D126" i="164"/>
  <c r="C126" i="164"/>
  <c r="D125" i="164"/>
  <c r="C125" i="164"/>
  <c r="D124" i="164"/>
  <c r="C124" i="164"/>
  <c r="D123" i="164"/>
  <c r="C123" i="164"/>
  <c r="D118" i="164"/>
  <c r="C118" i="164"/>
  <c r="D117" i="164"/>
  <c r="C117" i="164"/>
  <c r="D116" i="164"/>
  <c r="C116" i="164"/>
  <c r="D115" i="164"/>
  <c r="C115" i="164"/>
  <c r="D114" i="164"/>
  <c r="C114" i="164"/>
  <c r="D110" i="164"/>
  <c r="C110" i="164"/>
  <c r="D109" i="164"/>
  <c r="C109" i="164"/>
  <c r="D108" i="164"/>
  <c r="C108" i="164"/>
  <c r="D107" i="164"/>
  <c r="C107" i="164"/>
  <c r="D106" i="164"/>
  <c r="C106" i="164"/>
  <c r="D105" i="164"/>
  <c r="C105" i="164"/>
  <c r="D101" i="164"/>
  <c r="C101" i="164"/>
  <c r="D100" i="164"/>
  <c r="C100" i="164"/>
  <c r="D99" i="164"/>
  <c r="C99" i="164"/>
  <c r="D98" i="164"/>
  <c r="C98" i="164"/>
  <c r="D97" i="164"/>
  <c r="C97" i="164"/>
  <c r="D96" i="164"/>
  <c r="C96" i="164"/>
  <c r="D92" i="164"/>
  <c r="C92" i="164"/>
  <c r="D91" i="164"/>
  <c r="C91" i="164"/>
  <c r="D90" i="164"/>
  <c r="C90" i="164"/>
  <c r="D89" i="164"/>
  <c r="C89" i="164"/>
  <c r="D88" i="164"/>
  <c r="C88" i="164"/>
  <c r="D87" i="164"/>
  <c r="C87" i="164"/>
  <c r="D86" i="164"/>
  <c r="C86" i="164"/>
  <c r="D85" i="164"/>
  <c r="C85" i="164"/>
  <c r="D84" i="164"/>
  <c r="C84" i="164"/>
  <c r="D83" i="164"/>
  <c r="C83" i="164"/>
  <c r="D82" i="164"/>
  <c r="C82" i="164"/>
  <c r="D78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/>
  <c r="C72" i="164"/>
  <c r="D71" i="164"/>
  <c r="C71" i="164"/>
  <c r="D70" i="164"/>
  <c r="C70" i="164"/>
  <c r="D69" i="164"/>
  <c r="C69" i="164"/>
  <c r="D68" i="164"/>
  <c r="C68" i="164"/>
  <c r="D67" i="164"/>
  <c r="C67" i="164"/>
  <c r="D66" i="164"/>
  <c r="C66" i="164"/>
  <c r="D65" i="164"/>
  <c r="C65" i="164"/>
  <c r="D64" i="164"/>
  <c r="C64" i="164"/>
  <c r="D60" i="164"/>
  <c r="C60" i="164"/>
  <c r="D59" i="164"/>
  <c r="C59" i="164"/>
  <c r="D58" i="164"/>
  <c r="C58" i="164"/>
  <c r="D57" i="164"/>
  <c r="C57" i="164"/>
  <c r="D56" i="164"/>
  <c r="C56" i="164"/>
  <c r="D55" i="164"/>
  <c r="C55" i="164"/>
  <c r="D54" i="164"/>
  <c r="C54" i="164"/>
  <c r="D53" i="164"/>
  <c r="C53" i="164"/>
  <c r="D52" i="164"/>
  <c r="C52" i="164"/>
  <c r="D51" i="164"/>
  <c r="C51" i="164"/>
  <c r="D50" i="164"/>
  <c r="C50" i="164"/>
  <c r="D49" i="164"/>
  <c r="C49" i="164"/>
  <c r="D48" i="164"/>
  <c r="C48" i="164"/>
  <c r="D47" i="164"/>
  <c r="C47" i="164"/>
  <c r="D46" i="164"/>
  <c r="C46" i="164"/>
  <c r="D45" i="164"/>
  <c r="C45" i="164"/>
  <c r="D44" i="164"/>
  <c r="C44" i="164"/>
  <c r="D43" i="164"/>
  <c r="C43" i="164"/>
  <c r="D42" i="164"/>
  <c r="C42" i="164"/>
  <c r="D41" i="164"/>
  <c r="C41" i="164"/>
  <c r="D40" i="164"/>
  <c r="C40" i="164"/>
  <c r="D39" i="164"/>
  <c r="C39" i="164"/>
  <c r="D38" i="164"/>
  <c r="C38" i="164"/>
  <c r="D37" i="164"/>
  <c r="C37" i="164"/>
  <c r="D36" i="164"/>
  <c r="C36" i="164"/>
  <c r="D35" i="164"/>
  <c r="C35" i="164"/>
  <c r="D34" i="164"/>
  <c r="C34" i="164"/>
  <c r="D33" i="164"/>
  <c r="C33" i="164"/>
  <c r="D32" i="164"/>
  <c r="C32" i="164"/>
  <c r="D31" i="164"/>
  <c r="C31" i="164"/>
  <c r="D30" i="164"/>
  <c r="C30" i="164"/>
  <c r="D29" i="164"/>
  <c r="C29" i="164"/>
  <c r="D28" i="164"/>
  <c r="C28" i="164"/>
  <c r="D27" i="164"/>
  <c r="C27" i="164"/>
  <c r="D26" i="164"/>
  <c r="C26" i="164"/>
  <c r="D25" i="164"/>
  <c r="C25" i="164"/>
  <c r="D20" i="164"/>
  <c r="C20" i="164"/>
  <c r="D19" i="164"/>
  <c r="C19" i="164"/>
  <c r="D18" i="164"/>
  <c r="C18" i="164"/>
  <c r="D17" i="164"/>
  <c r="C17" i="164"/>
  <c r="D16" i="164"/>
  <c r="C16" i="164"/>
  <c r="D15" i="164"/>
  <c r="C15" i="164"/>
  <c r="D14" i="164"/>
  <c r="C14" i="164"/>
  <c r="D13" i="164"/>
  <c r="C13" i="164"/>
  <c r="D12" i="164"/>
  <c r="C12" i="164"/>
  <c r="D11" i="164"/>
  <c r="C11" i="164"/>
  <c r="G244" i="145"/>
  <c r="G243" i="145"/>
  <c r="G242" i="145"/>
  <c r="G241" i="145"/>
  <c r="C238" i="145"/>
  <c r="C237" i="145"/>
  <c r="C236" i="145"/>
  <c r="C235" i="145"/>
  <c r="C233" i="145"/>
  <c r="E233" i="145"/>
  <c r="C232" i="145"/>
  <c r="E232" i="145"/>
  <c r="C231" i="145"/>
  <c r="D228" i="145"/>
  <c r="C227" i="145"/>
  <c r="C226" i="145"/>
  <c r="C225" i="145"/>
  <c r="C224" i="145"/>
  <c r="C223" i="145"/>
  <c r="E223" i="145"/>
  <c r="C222" i="145"/>
  <c r="E222" i="145"/>
  <c r="C221" i="145"/>
  <c r="E221" i="145"/>
  <c r="C220" i="145"/>
  <c r="C219" i="145"/>
  <c r="E219" i="145"/>
  <c r="C211" i="145"/>
  <c r="D205" i="145"/>
  <c r="C205" i="145"/>
  <c r="D204" i="145"/>
  <c r="C204" i="145"/>
  <c r="D203" i="145"/>
  <c r="C203" i="145"/>
  <c r="D202" i="145"/>
  <c r="C202" i="145"/>
  <c r="D201" i="145"/>
  <c r="C201" i="145"/>
  <c r="D200" i="145"/>
  <c r="C200" i="145"/>
  <c r="D196" i="145"/>
  <c r="C196" i="145"/>
  <c r="D195" i="145"/>
  <c r="C195" i="145"/>
  <c r="D194" i="145"/>
  <c r="C194" i="145"/>
  <c r="D193" i="145"/>
  <c r="C193" i="145"/>
  <c r="D192" i="145"/>
  <c r="C192" i="145"/>
  <c r="D191" i="145"/>
  <c r="C191" i="145"/>
  <c r="D190" i="145"/>
  <c r="C190" i="145"/>
  <c r="D189" i="145"/>
  <c r="C189" i="145"/>
  <c r="D188" i="145"/>
  <c r="C188" i="145"/>
  <c r="D187" i="145"/>
  <c r="C187" i="145"/>
  <c r="D186" i="145"/>
  <c r="C186" i="145"/>
  <c r="D185" i="145"/>
  <c r="C185" i="145"/>
  <c r="D184" i="145"/>
  <c r="C184" i="145"/>
  <c r="D183" i="145"/>
  <c r="C183" i="145"/>
  <c r="D182" i="145"/>
  <c r="C182" i="145"/>
  <c r="D181" i="145"/>
  <c r="C181" i="145"/>
  <c r="D180" i="145"/>
  <c r="C180" i="145"/>
  <c r="D179" i="145"/>
  <c r="C179" i="145"/>
  <c r="D178" i="145"/>
  <c r="C178" i="145"/>
  <c r="D177" i="145"/>
  <c r="C177" i="145"/>
  <c r="D176" i="145"/>
  <c r="C176" i="145"/>
  <c r="D175" i="145"/>
  <c r="C175" i="145"/>
  <c r="D174" i="145"/>
  <c r="C174" i="145"/>
  <c r="D173" i="145"/>
  <c r="C173" i="145"/>
  <c r="D172" i="145"/>
  <c r="C172" i="145"/>
  <c r="D171" i="145"/>
  <c r="C171" i="145"/>
  <c r="D170" i="145"/>
  <c r="C170" i="145"/>
  <c r="D169" i="145"/>
  <c r="C169" i="145"/>
  <c r="D168" i="145"/>
  <c r="C168" i="145"/>
  <c r="D167" i="145"/>
  <c r="C167" i="145"/>
  <c r="D166" i="145"/>
  <c r="C166" i="145"/>
  <c r="D165" i="145"/>
  <c r="C165" i="145"/>
  <c r="D164" i="145"/>
  <c r="C164" i="145"/>
  <c r="D160" i="145"/>
  <c r="C160" i="145"/>
  <c r="D159" i="145"/>
  <c r="C159" i="145"/>
  <c r="D158" i="145"/>
  <c r="C158" i="145"/>
  <c r="D157" i="145"/>
  <c r="C157" i="145"/>
  <c r="D156" i="145"/>
  <c r="C156" i="145"/>
  <c r="D155" i="145"/>
  <c r="C155" i="145"/>
  <c r="D153" i="145"/>
  <c r="C153" i="145"/>
  <c r="D152" i="145"/>
  <c r="C152" i="145"/>
  <c r="D151" i="145"/>
  <c r="C151" i="145"/>
  <c r="D150" i="145"/>
  <c r="C150" i="145"/>
  <c r="D149" i="145"/>
  <c r="C149" i="145"/>
  <c r="D148" i="145"/>
  <c r="C148" i="145"/>
  <c r="D147" i="145"/>
  <c r="C147" i="145"/>
  <c r="D146" i="145"/>
  <c r="C146" i="145"/>
  <c r="D145" i="145"/>
  <c r="C145" i="145"/>
  <c r="D143" i="145"/>
  <c r="C143" i="145"/>
  <c r="D142" i="145"/>
  <c r="C142" i="145"/>
  <c r="D141" i="145"/>
  <c r="C141" i="145"/>
  <c r="D140" i="145"/>
  <c r="C140" i="145"/>
  <c r="D138" i="145"/>
  <c r="C138" i="145"/>
  <c r="D137" i="145"/>
  <c r="C137" i="145"/>
  <c r="D136" i="145"/>
  <c r="C136" i="145"/>
  <c r="D135" i="145"/>
  <c r="C135" i="145"/>
  <c r="D133" i="145"/>
  <c r="C133" i="145"/>
  <c r="D132" i="145"/>
  <c r="C132" i="145"/>
  <c r="D131" i="145"/>
  <c r="C131" i="145"/>
  <c r="D130" i="145"/>
  <c r="C130" i="145"/>
  <c r="D129" i="145"/>
  <c r="C129" i="145"/>
  <c r="D127" i="145"/>
  <c r="C127" i="145"/>
  <c r="D126" i="145"/>
  <c r="C126" i="145"/>
  <c r="D125" i="145"/>
  <c r="C125" i="145"/>
  <c r="D124" i="145"/>
  <c r="C124" i="145"/>
  <c r="D123" i="145"/>
  <c r="C123" i="145"/>
  <c r="D118" i="145"/>
  <c r="C118" i="145"/>
  <c r="D117" i="145"/>
  <c r="C117" i="145"/>
  <c r="D116" i="145"/>
  <c r="C116" i="145"/>
  <c r="D115" i="145"/>
  <c r="C115" i="145"/>
  <c r="D114" i="145"/>
  <c r="C114" i="145"/>
  <c r="D110" i="145"/>
  <c r="C110" i="145"/>
  <c r="D109" i="145"/>
  <c r="C109" i="145"/>
  <c r="D108" i="145"/>
  <c r="C108" i="145"/>
  <c r="D107" i="145"/>
  <c r="C107" i="145"/>
  <c r="D106" i="145"/>
  <c r="C106" i="145"/>
  <c r="D105" i="145"/>
  <c r="C105" i="145"/>
  <c r="D101" i="145"/>
  <c r="C101" i="145"/>
  <c r="D100" i="145"/>
  <c r="C100" i="145"/>
  <c r="D99" i="145"/>
  <c r="C99" i="145"/>
  <c r="D98" i="145"/>
  <c r="C98" i="145"/>
  <c r="D97" i="145"/>
  <c r="C97" i="145"/>
  <c r="D96" i="145"/>
  <c r="C96" i="145"/>
  <c r="D92" i="145"/>
  <c r="C92" i="145"/>
  <c r="D91" i="145"/>
  <c r="C91" i="145"/>
  <c r="D90" i="145"/>
  <c r="C90" i="145"/>
  <c r="D89" i="145"/>
  <c r="C89" i="145"/>
  <c r="D88" i="145"/>
  <c r="C88" i="145"/>
  <c r="D87" i="145"/>
  <c r="C87" i="145"/>
  <c r="D86" i="145"/>
  <c r="C86" i="145"/>
  <c r="D85" i="145"/>
  <c r="C85" i="145"/>
  <c r="D84" i="145"/>
  <c r="C84" i="145"/>
  <c r="D83" i="145"/>
  <c r="C83" i="145"/>
  <c r="D82" i="145"/>
  <c r="C82" i="145"/>
  <c r="D78" i="145"/>
  <c r="C78" i="145"/>
  <c r="D77" i="145"/>
  <c r="C77" i="145"/>
  <c r="D76" i="145"/>
  <c r="C76" i="145"/>
  <c r="D75" i="145"/>
  <c r="C75" i="145"/>
  <c r="D74" i="145"/>
  <c r="C74" i="145"/>
  <c r="D73" i="145"/>
  <c r="C73" i="145"/>
  <c r="D72" i="145"/>
  <c r="C72" i="145"/>
  <c r="D71" i="145"/>
  <c r="C71" i="145"/>
  <c r="D70" i="145"/>
  <c r="C70" i="145"/>
  <c r="D69" i="145"/>
  <c r="C69" i="145"/>
  <c r="D68" i="145"/>
  <c r="C68" i="145"/>
  <c r="D67" i="145"/>
  <c r="C67" i="145"/>
  <c r="D66" i="145"/>
  <c r="C66" i="145"/>
  <c r="D65" i="145"/>
  <c r="C65" i="145"/>
  <c r="D64" i="145"/>
  <c r="C64" i="145"/>
  <c r="D60" i="145"/>
  <c r="C60" i="145"/>
  <c r="D59" i="145"/>
  <c r="C59" i="145"/>
  <c r="D58" i="145"/>
  <c r="C58" i="145"/>
  <c r="D57" i="145"/>
  <c r="C57" i="145"/>
  <c r="D56" i="145"/>
  <c r="C56" i="145"/>
  <c r="D55" i="145"/>
  <c r="C55" i="145"/>
  <c r="D54" i="145"/>
  <c r="C54" i="145"/>
  <c r="D53" i="145"/>
  <c r="C53" i="145"/>
  <c r="D52" i="145"/>
  <c r="C52" i="145"/>
  <c r="D51" i="145"/>
  <c r="C51" i="145"/>
  <c r="D50" i="145"/>
  <c r="C50" i="145"/>
  <c r="D49" i="145"/>
  <c r="C49" i="145"/>
  <c r="D48" i="145"/>
  <c r="C48" i="145"/>
  <c r="D47" i="145"/>
  <c r="C47" i="145"/>
  <c r="D46" i="145"/>
  <c r="C46" i="145"/>
  <c r="D45" i="145"/>
  <c r="C45" i="145"/>
  <c r="D44" i="145"/>
  <c r="C44" i="145"/>
  <c r="D43" i="145"/>
  <c r="C43" i="145"/>
  <c r="D42" i="145"/>
  <c r="C42" i="145"/>
  <c r="D41" i="145"/>
  <c r="C41" i="145"/>
  <c r="D40" i="145"/>
  <c r="C40" i="145"/>
  <c r="D39" i="145"/>
  <c r="C39" i="145"/>
  <c r="D38" i="145"/>
  <c r="C38" i="145"/>
  <c r="D37" i="145"/>
  <c r="C37" i="145"/>
  <c r="D36" i="145"/>
  <c r="C36" i="145"/>
  <c r="D35" i="145"/>
  <c r="C35" i="145"/>
  <c r="D34" i="145"/>
  <c r="C34" i="145"/>
  <c r="D33" i="145"/>
  <c r="C33" i="145"/>
  <c r="D32" i="145"/>
  <c r="C32" i="145"/>
  <c r="D31" i="145"/>
  <c r="C31" i="145"/>
  <c r="D30" i="145"/>
  <c r="C30" i="145"/>
  <c r="D29" i="145"/>
  <c r="C29" i="145"/>
  <c r="D28" i="145"/>
  <c r="C28" i="145"/>
  <c r="D27" i="145"/>
  <c r="C27" i="145"/>
  <c r="D26" i="145"/>
  <c r="C26" i="145"/>
  <c r="D25" i="145"/>
  <c r="C25" i="145"/>
  <c r="D20" i="145"/>
  <c r="C20" i="145"/>
  <c r="D19" i="145"/>
  <c r="C19" i="145"/>
  <c r="D18" i="145"/>
  <c r="C18" i="145"/>
  <c r="D17" i="145"/>
  <c r="C17" i="145"/>
  <c r="D16" i="145"/>
  <c r="C16" i="145"/>
  <c r="D15" i="145"/>
  <c r="C15" i="145"/>
  <c r="D14" i="145"/>
  <c r="C14" i="145"/>
  <c r="D13" i="145"/>
  <c r="C13" i="145"/>
  <c r="D12" i="145"/>
  <c r="C12" i="145"/>
  <c r="D11" i="145"/>
  <c r="C11" i="145"/>
  <c r="G244" i="94"/>
  <c r="G243" i="94"/>
  <c r="G242" i="94"/>
  <c r="G241" i="94"/>
  <c r="C238" i="94"/>
  <c r="C237" i="94"/>
  <c r="C236" i="94"/>
  <c r="C235" i="94"/>
  <c r="C233" i="94"/>
  <c r="C232" i="94"/>
  <c r="C231" i="94"/>
  <c r="D228" i="94"/>
  <c r="C227" i="94"/>
  <c r="C226" i="94"/>
  <c r="C225" i="94"/>
  <c r="C224" i="94"/>
  <c r="C223" i="94"/>
  <c r="C222" i="94"/>
  <c r="C221" i="94"/>
  <c r="C220" i="94"/>
  <c r="C219" i="94"/>
  <c r="C211" i="94"/>
  <c r="D205" i="94"/>
  <c r="C205" i="94"/>
  <c r="D204" i="94"/>
  <c r="C204" i="94"/>
  <c r="D203" i="94"/>
  <c r="C203" i="94"/>
  <c r="D202" i="94"/>
  <c r="C202" i="94"/>
  <c r="D201" i="94"/>
  <c r="C201" i="94"/>
  <c r="D200" i="94"/>
  <c r="C200" i="94"/>
  <c r="D196" i="94"/>
  <c r="C196" i="94"/>
  <c r="D195" i="94"/>
  <c r="C195" i="94"/>
  <c r="D194" i="94"/>
  <c r="C194" i="94"/>
  <c r="D193" i="94"/>
  <c r="C193" i="94"/>
  <c r="D192" i="94"/>
  <c r="C192" i="94"/>
  <c r="D191" i="94"/>
  <c r="C191" i="94"/>
  <c r="D190" i="94"/>
  <c r="C190" i="94"/>
  <c r="D189" i="94"/>
  <c r="C189" i="94"/>
  <c r="D188" i="94"/>
  <c r="C188" i="94"/>
  <c r="D187" i="94"/>
  <c r="C187" i="94"/>
  <c r="D186" i="94"/>
  <c r="C186" i="94"/>
  <c r="D185" i="94"/>
  <c r="C185" i="94"/>
  <c r="D184" i="94"/>
  <c r="C184" i="94"/>
  <c r="D183" i="94"/>
  <c r="C183" i="94"/>
  <c r="D182" i="94"/>
  <c r="C182" i="94"/>
  <c r="D181" i="94"/>
  <c r="C181" i="94"/>
  <c r="D180" i="94"/>
  <c r="C180" i="94"/>
  <c r="D179" i="94"/>
  <c r="C179" i="94"/>
  <c r="D178" i="94"/>
  <c r="C178" i="94"/>
  <c r="D177" i="94"/>
  <c r="C177" i="94"/>
  <c r="D176" i="94"/>
  <c r="C176" i="94"/>
  <c r="D175" i="94"/>
  <c r="C175" i="94"/>
  <c r="D174" i="94"/>
  <c r="C174" i="94"/>
  <c r="D173" i="94"/>
  <c r="C173" i="94"/>
  <c r="D172" i="94"/>
  <c r="C172" i="94"/>
  <c r="D171" i="94"/>
  <c r="C171" i="94"/>
  <c r="D170" i="94"/>
  <c r="C170" i="94"/>
  <c r="D169" i="94"/>
  <c r="C169" i="94"/>
  <c r="D168" i="94"/>
  <c r="C168" i="94"/>
  <c r="D167" i="94"/>
  <c r="C167" i="94"/>
  <c r="D166" i="94"/>
  <c r="C166" i="94"/>
  <c r="D165" i="94"/>
  <c r="C165" i="94"/>
  <c r="D164" i="94"/>
  <c r="C164" i="94"/>
  <c r="D160" i="94"/>
  <c r="C160" i="94"/>
  <c r="D159" i="94"/>
  <c r="C159" i="94"/>
  <c r="D158" i="94"/>
  <c r="C158" i="94"/>
  <c r="D157" i="94"/>
  <c r="C157" i="94"/>
  <c r="D156" i="94"/>
  <c r="C156" i="94"/>
  <c r="D155" i="94"/>
  <c r="C155" i="94"/>
  <c r="D153" i="94"/>
  <c r="C153" i="94"/>
  <c r="D152" i="94"/>
  <c r="C152" i="94"/>
  <c r="D151" i="94"/>
  <c r="C151" i="94"/>
  <c r="D150" i="94"/>
  <c r="C150" i="94"/>
  <c r="D149" i="94"/>
  <c r="C149" i="94"/>
  <c r="D148" i="94"/>
  <c r="C148" i="94"/>
  <c r="D147" i="94"/>
  <c r="C147" i="94"/>
  <c r="D146" i="94"/>
  <c r="C146" i="94"/>
  <c r="D145" i="94"/>
  <c r="C145" i="94"/>
  <c r="D143" i="94"/>
  <c r="C143" i="94"/>
  <c r="D142" i="94"/>
  <c r="C142" i="94"/>
  <c r="D141" i="94"/>
  <c r="C141" i="94"/>
  <c r="D140" i="94"/>
  <c r="C140" i="94"/>
  <c r="D138" i="94"/>
  <c r="C138" i="94"/>
  <c r="D137" i="94"/>
  <c r="C137" i="94"/>
  <c r="D136" i="94"/>
  <c r="C136" i="94"/>
  <c r="D135" i="94"/>
  <c r="C135" i="94"/>
  <c r="D133" i="94"/>
  <c r="C133" i="94"/>
  <c r="D132" i="94"/>
  <c r="C132" i="94"/>
  <c r="D131" i="94"/>
  <c r="C131" i="94"/>
  <c r="D130" i="94"/>
  <c r="C130" i="94"/>
  <c r="D129" i="94"/>
  <c r="C129" i="94"/>
  <c r="D127" i="94"/>
  <c r="C127" i="94"/>
  <c r="D126" i="94"/>
  <c r="C126" i="94"/>
  <c r="D125" i="94"/>
  <c r="C125" i="94"/>
  <c r="D124" i="94"/>
  <c r="C124" i="94"/>
  <c r="D123" i="94"/>
  <c r="C123" i="94"/>
  <c r="D118" i="94"/>
  <c r="C118" i="94"/>
  <c r="D117" i="94"/>
  <c r="C117" i="94"/>
  <c r="D116" i="94"/>
  <c r="C116" i="94"/>
  <c r="D115" i="94"/>
  <c r="C115" i="94"/>
  <c r="D114" i="94"/>
  <c r="C114" i="94"/>
  <c r="D110" i="94"/>
  <c r="C110" i="94"/>
  <c r="D109" i="94"/>
  <c r="C109" i="94"/>
  <c r="D108" i="94"/>
  <c r="C108" i="94"/>
  <c r="D107" i="94"/>
  <c r="C107" i="94"/>
  <c r="D106" i="94"/>
  <c r="C106" i="94"/>
  <c r="D105" i="94"/>
  <c r="C105" i="94"/>
  <c r="D101" i="94"/>
  <c r="C101" i="94"/>
  <c r="D100" i="94"/>
  <c r="C100" i="94"/>
  <c r="D99" i="94"/>
  <c r="C99" i="94"/>
  <c r="D98" i="94"/>
  <c r="C98" i="94"/>
  <c r="D97" i="94"/>
  <c r="C97" i="94"/>
  <c r="D96" i="94"/>
  <c r="C96" i="94"/>
  <c r="D92" i="94"/>
  <c r="C92" i="94"/>
  <c r="D91" i="94"/>
  <c r="C91" i="94"/>
  <c r="D90" i="94"/>
  <c r="C90" i="94"/>
  <c r="D89" i="94"/>
  <c r="C89" i="94"/>
  <c r="D88" i="94"/>
  <c r="C88" i="94"/>
  <c r="D87" i="94"/>
  <c r="C87" i="94"/>
  <c r="D86" i="94"/>
  <c r="C86" i="94"/>
  <c r="D85" i="94"/>
  <c r="C85" i="94"/>
  <c r="D84" i="94"/>
  <c r="C84" i="94"/>
  <c r="D83" i="94"/>
  <c r="C83" i="94"/>
  <c r="D82" i="94"/>
  <c r="C82" i="94"/>
  <c r="D78" i="94"/>
  <c r="C78" i="94"/>
  <c r="D77" i="94"/>
  <c r="C77" i="94"/>
  <c r="D76" i="94"/>
  <c r="C76" i="94"/>
  <c r="D75" i="94"/>
  <c r="C75" i="94"/>
  <c r="D74" i="94"/>
  <c r="C74" i="94"/>
  <c r="D73" i="94"/>
  <c r="C73" i="94"/>
  <c r="D72" i="94"/>
  <c r="C72" i="94"/>
  <c r="D71" i="94"/>
  <c r="C71" i="94"/>
  <c r="D70" i="94"/>
  <c r="C70" i="94"/>
  <c r="D69" i="94"/>
  <c r="C69" i="94"/>
  <c r="D68" i="94"/>
  <c r="C68" i="94"/>
  <c r="D67" i="94"/>
  <c r="C67" i="94"/>
  <c r="D66" i="94"/>
  <c r="C66" i="94"/>
  <c r="D65" i="94"/>
  <c r="C65" i="94"/>
  <c r="D64" i="94"/>
  <c r="C64" i="94"/>
  <c r="D60" i="94"/>
  <c r="C60" i="94"/>
  <c r="D59" i="94"/>
  <c r="C59" i="94"/>
  <c r="D58" i="94"/>
  <c r="C58" i="94"/>
  <c r="D57" i="94"/>
  <c r="C57" i="94"/>
  <c r="D56" i="94"/>
  <c r="C56" i="94"/>
  <c r="D55" i="94"/>
  <c r="C55" i="94"/>
  <c r="D54" i="94"/>
  <c r="C54" i="94"/>
  <c r="D53" i="94"/>
  <c r="C53" i="94"/>
  <c r="D52" i="94"/>
  <c r="C52" i="94"/>
  <c r="D51" i="94"/>
  <c r="C51" i="94"/>
  <c r="D50" i="94"/>
  <c r="C50" i="94"/>
  <c r="D49" i="94"/>
  <c r="C49" i="94"/>
  <c r="D48" i="94"/>
  <c r="C48" i="94"/>
  <c r="D47" i="94"/>
  <c r="C47" i="94"/>
  <c r="D46" i="94"/>
  <c r="C46" i="94"/>
  <c r="D45" i="94"/>
  <c r="C45" i="94"/>
  <c r="D44" i="94"/>
  <c r="C44" i="94"/>
  <c r="D43" i="94"/>
  <c r="C43" i="94"/>
  <c r="D42" i="94"/>
  <c r="C42" i="94"/>
  <c r="D41" i="94"/>
  <c r="C41" i="94"/>
  <c r="D40" i="94"/>
  <c r="C40" i="94"/>
  <c r="D39" i="94"/>
  <c r="C39" i="94"/>
  <c r="D38" i="94"/>
  <c r="C38" i="94"/>
  <c r="D37" i="94"/>
  <c r="C37" i="94"/>
  <c r="D36" i="94"/>
  <c r="C36" i="94"/>
  <c r="D35" i="94"/>
  <c r="C35" i="94"/>
  <c r="D34" i="94"/>
  <c r="C34" i="94"/>
  <c r="D33" i="94"/>
  <c r="C33" i="94"/>
  <c r="D32" i="94"/>
  <c r="C32" i="94"/>
  <c r="D31" i="94"/>
  <c r="C31" i="94"/>
  <c r="D30" i="94"/>
  <c r="C30" i="94"/>
  <c r="D29" i="94"/>
  <c r="C29" i="94"/>
  <c r="D28" i="94"/>
  <c r="C28" i="94"/>
  <c r="D27" i="94"/>
  <c r="C27" i="94"/>
  <c r="D26" i="94"/>
  <c r="C26" i="94"/>
  <c r="D25" i="94"/>
  <c r="C25" i="94"/>
  <c r="D20" i="94"/>
  <c r="C20" i="94"/>
  <c r="D19" i="94"/>
  <c r="C19" i="94"/>
  <c r="D18" i="94"/>
  <c r="C18" i="94"/>
  <c r="D17" i="94"/>
  <c r="C17" i="94"/>
  <c r="D16" i="94"/>
  <c r="C16" i="94"/>
  <c r="D15" i="94"/>
  <c r="C15" i="94"/>
  <c r="D14" i="94"/>
  <c r="C14" i="94"/>
  <c r="D13" i="94"/>
  <c r="C13" i="94"/>
  <c r="D12" i="94"/>
  <c r="C12" i="94"/>
  <c r="D11" i="94"/>
  <c r="C11" i="94"/>
  <c r="G244" i="54"/>
  <c r="G243" i="54"/>
  <c r="G242" i="54"/>
  <c r="G241" i="54"/>
  <c r="C238" i="54"/>
  <c r="C237" i="54"/>
  <c r="C236" i="54"/>
  <c r="C235" i="54"/>
  <c r="C233" i="54"/>
  <c r="C232" i="54"/>
  <c r="E232" i="54"/>
  <c r="C231" i="54"/>
  <c r="D228" i="54"/>
  <c r="C227" i="54"/>
  <c r="C226" i="54"/>
  <c r="C225" i="54"/>
  <c r="C224" i="54"/>
  <c r="C223" i="54"/>
  <c r="C222" i="54"/>
  <c r="C221" i="54"/>
  <c r="C220" i="54"/>
  <c r="C219" i="54"/>
  <c r="C211" i="54"/>
  <c r="D205" i="54"/>
  <c r="C205" i="54"/>
  <c r="D204" i="54"/>
  <c r="C204" i="54"/>
  <c r="D203" i="54"/>
  <c r="C203" i="54"/>
  <c r="D202" i="54"/>
  <c r="C202" i="54"/>
  <c r="D201" i="54"/>
  <c r="C201" i="54"/>
  <c r="D200" i="54"/>
  <c r="C200" i="54"/>
  <c r="D196" i="54"/>
  <c r="C196" i="54"/>
  <c r="D195" i="54"/>
  <c r="C195" i="54"/>
  <c r="D194" i="54"/>
  <c r="C194" i="54"/>
  <c r="D193" i="54"/>
  <c r="C193" i="54"/>
  <c r="D192" i="54"/>
  <c r="C192" i="54"/>
  <c r="D191" i="54"/>
  <c r="C191" i="54"/>
  <c r="D190" i="54"/>
  <c r="C190" i="54"/>
  <c r="D189" i="54"/>
  <c r="C189" i="54"/>
  <c r="D188" i="54"/>
  <c r="C188" i="54"/>
  <c r="D187" i="54"/>
  <c r="C187" i="54"/>
  <c r="D186" i="54"/>
  <c r="C186" i="54"/>
  <c r="D185" i="54"/>
  <c r="C185" i="54"/>
  <c r="D184" i="54"/>
  <c r="C184" i="54"/>
  <c r="D183" i="54"/>
  <c r="C183" i="54"/>
  <c r="D182" i="54"/>
  <c r="C182" i="54"/>
  <c r="D181" i="54"/>
  <c r="C181" i="54"/>
  <c r="D180" i="54"/>
  <c r="C180" i="54"/>
  <c r="D179" i="54"/>
  <c r="C179" i="54"/>
  <c r="D178" i="54"/>
  <c r="C178" i="54"/>
  <c r="D177" i="54"/>
  <c r="C177" i="54"/>
  <c r="D176" i="54"/>
  <c r="C176" i="54"/>
  <c r="D175" i="54"/>
  <c r="C175" i="54"/>
  <c r="D174" i="54"/>
  <c r="C174" i="54"/>
  <c r="D173" i="54"/>
  <c r="C173" i="54"/>
  <c r="D172" i="54"/>
  <c r="C172" i="54"/>
  <c r="D171" i="54"/>
  <c r="C171" i="54"/>
  <c r="D170" i="54"/>
  <c r="C170" i="54"/>
  <c r="D169" i="54"/>
  <c r="C169" i="54"/>
  <c r="D168" i="54"/>
  <c r="C168" i="54"/>
  <c r="D167" i="54"/>
  <c r="C167" i="54"/>
  <c r="D166" i="54"/>
  <c r="C166" i="54"/>
  <c r="D165" i="54"/>
  <c r="C165" i="54"/>
  <c r="D164" i="54"/>
  <c r="C164" i="54"/>
  <c r="D160" i="54"/>
  <c r="C160" i="54"/>
  <c r="D159" i="54"/>
  <c r="C159" i="54"/>
  <c r="D158" i="54"/>
  <c r="C158" i="54"/>
  <c r="D157" i="54"/>
  <c r="C157" i="54"/>
  <c r="D156" i="54"/>
  <c r="C156" i="54"/>
  <c r="D155" i="54"/>
  <c r="C155" i="54"/>
  <c r="D153" i="54"/>
  <c r="C153" i="54"/>
  <c r="D152" i="54"/>
  <c r="C152" i="54"/>
  <c r="D151" i="54"/>
  <c r="C151" i="54"/>
  <c r="D150" i="54"/>
  <c r="C150" i="54"/>
  <c r="D149" i="54"/>
  <c r="C149" i="54"/>
  <c r="D148" i="54"/>
  <c r="C148" i="54"/>
  <c r="D147" i="54"/>
  <c r="C147" i="54"/>
  <c r="D146" i="54"/>
  <c r="C146" i="54"/>
  <c r="D145" i="54"/>
  <c r="C145" i="54"/>
  <c r="D143" i="54"/>
  <c r="C143" i="54"/>
  <c r="D142" i="54"/>
  <c r="C142" i="54"/>
  <c r="D141" i="54"/>
  <c r="C141" i="54"/>
  <c r="D140" i="54"/>
  <c r="C140" i="54"/>
  <c r="D138" i="54"/>
  <c r="C138" i="54"/>
  <c r="D137" i="54"/>
  <c r="C137" i="54"/>
  <c r="D136" i="54"/>
  <c r="C136" i="54"/>
  <c r="D135" i="54"/>
  <c r="C135" i="54"/>
  <c r="D133" i="54"/>
  <c r="C133" i="54"/>
  <c r="D132" i="54"/>
  <c r="C132" i="54"/>
  <c r="D131" i="54"/>
  <c r="C131" i="54"/>
  <c r="D130" i="54"/>
  <c r="C130" i="54"/>
  <c r="D129" i="54"/>
  <c r="C129" i="54"/>
  <c r="D127" i="54"/>
  <c r="C127" i="54"/>
  <c r="D126" i="54"/>
  <c r="C126" i="54"/>
  <c r="D125" i="54"/>
  <c r="C125" i="54"/>
  <c r="D124" i="54"/>
  <c r="C124" i="54"/>
  <c r="D123" i="54"/>
  <c r="C123" i="54"/>
  <c r="D118" i="54"/>
  <c r="C118" i="54"/>
  <c r="D117" i="54"/>
  <c r="C117" i="54"/>
  <c r="D116" i="54"/>
  <c r="C116" i="54"/>
  <c r="D115" i="54"/>
  <c r="C115" i="54"/>
  <c r="D114" i="54"/>
  <c r="C114" i="54"/>
  <c r="D110" i="54"/>
  <c r="C110" i="54"/>
  <c r="D109" i="54"/>
  <c r="C109" i="54"/>
  <c r="D108" i="54"/>
  <c r="C108" i="54"/>
  <c r="D107" i="54"/>
  <c r="C107" i="54"/>
  <c r="D106" i="54"/>
  <c r="C106" i="54"/>
  <c r="D105" i="54"/>
  <c r="C105" i="54"/>
  <c r="D101" i="54"/>
  <c r="C101" i="54"/>
  <c r="D100" i="54"/>
  <c r="C100" i="54"/>
  <c r="D99" i="54"/>
  <c r="C99" i="54"/>
  <c r="D98" i="54"/>
  <c r="C98" i="54"/>
  <c r="D97" i="54"/>
  <c r="C97" i="54"/>
  <c r="D96" i="54"/>
  <c r="C96" i="54"/>
  <c r="D92" i="54"/>
  <c r="C92" i="54"/>
  <c r="D91" i="54"/>
  <c r="C91" i="54"/>
  <c r="D90" i="54"/>
  <c r="C90" i="54"/>
  <c r="D89" i="54"/>
  <c r="C89" i="54"/>
  <c r="D88" i="54"/>
  <c r="C88" i="54"/>
  <c r="D87" i="54"/>
  <c r="C87" i="54"/>
  <c r="D86" i="54"/>
  <c r="C86" i="54"/>
  <c r="D85" i="54"/>
  <c r="C85" i="54"/>
  <c r="D84" i="54"/>
  <c r="C84" i="54"/>
  <c r="D83" i="54"/>
  <c r="C83" i="54"/>
  <c r="D82" i="54"/>
  <c r="C82" i="54"/>
  <c r="D78" i="54"/>
  <c r="C78" i="54"/>
  <c r="D77" i="54"/>
  <c r="C77" i="54"/>
  <c r="D76" i="54"/>
  <c r="C76" i="54"/>
  <c r="D75" i="54"/>
  <c r="C75" i="54"/>
  <c r="D74" i="54"/>
  <c r="C74" i="54"/>
  <c r="D73" i="54"/>
  <c r="C73" i="54"/>
  <c r="D72" i="54"/>
  <c r="C72" i="54"/>
  <c r="D71" i="54"/>
  <c r="C71" i="54"/>
  <c r="D70" i="54"/>
  <c r="C70" i="54"/>
  <c r="D69" i="54"/>
  <c r="C69" i="54"/>
  <c r="D68" i="54"/>
  <c r="C68" i="54"/>
  <c r="D67" i="54"/>
  <c r="C67" i="54"/>
  <c r="D66" i="54"/>
  <c r="C66" i="54"/>
  <c r="D65" i="54"/>
  <c r="C65" i="54"/>
  <c r="D64" i="54"/>
  <c r="C64" i="54"/>
  <c r="D60" i="54"/>
  <c r="C60" i="54"/>
  <c r="D59" i="54"/>
  <c r="C59" i="54"/>
  <c r="D58" i="54"/>
  <c r="C58" i="54"/>
  <c r="D57" i="54"/>
  <c r="C57" i="54"/>
  <c r="D56" i="54"/>
  <c r="C56" i="54"/>
  <c r="D55" i="54"/>
  <c r="C55" i="54"/>
  <c r="D54" i="54"/>
  <c r="C54" i="54"/>
  <c r="D53" i="54"/>
  <c r="C53" i="54"/>
  <c r="D52" i="54"/>
  <c r="C52" i="54"/>
  <c r="D51" i="54"/>
  <c r="C51" i="54"/>
  <c r="D50" i="54"/>
  <c r="C50" i="54"/>
  <c r="D49" i="54"/>
  <c r="C49" i="54"/>
  <c r="D48" i="54"/>
  <c r="C48" i="54"/>
  <c r="D47" i="54"/>
  <c r="C47" i="54"/>
  <c r="D46" i="54"/>
  <c r="C46" i="54"/>
  <c r="D45" i="54"/>
  <c r="C45" i="54"/>
  <c r="D44" i="54"/>
  <c r="C44" i="54"/>
  <c r="D43" i="54"/>
  <c r="C43" i="54"/>
  <c r="D42" i="54"/>
  <c r="C42" i="54"/>
  <c r="D41" i="54"/>
  <c r="C41" i="54"/>
  <c r="D40" i="54"/>
  <c r="C40" i="54"/>
  <c r="D39" i="54"/>
  <c r="C39" i="54"/>
  <c r="D38" i="54"/>
  <c r="C38" i="54"/>
  <c r="D37" i="54"/>
  <c r="C37" i="54"/>
  <c r="D36" i="54"/>
  <c r="C36" i="54"/>
  <c r="D35" i="54"/>
  <c r="C35" i="54"/>
  <c r="D34" i="54"/>
  <c r="C34" i="54"/>
  <c r="D33" i="54"/>
  <c r="C33" i="54"/>
  <c r="D32" i="54"/>
  <c r="C32" i="54"/>
  <c r="D31" i="54"/>
  <c r="C31" i="54"/>
  <c r="D30" i="54"/>
  <c r="C30" i="54"/>
  <c r="D29" i="54"/>
  <c r="C29" i="54"/>
  <c r="D28" i="54"/>
  <c r="C28" i="54"/>
  <c r="D27" i="54"/>
  <c r="C27" i="54"/>
  <c r="D26" i="54"/>
  <c r="C26" i="54"/>
  <c r="D25" i="54"/>
  <c r="C25" i="54"/>
  <c r="D20" i="54"/>
  <c r="C20" i="54"/>
  <c r="D19" i="54"/>
  <c r="C19" i="54"/>
  <c r="D18" i="54"/>
  <c r="C18" i="54"/>
  <c r="D17" i="54"/>
  <c r="C17" i="54"/>
  <c r="D16" i="54"/>
  <c r="C16" i="54"/>
  <c r="D15" i="54"/>
  <c r="C15" i="54"/>
  <c r="D14" i="54"/>
  <c r="C14" i="54"/>
  <c r="D13" i="54"/>
  <c r="C13" i="54"/>
  <c r="D12" i="54"/>
  <c r="C12" i="54"/>
  <c r="D11" i="54"/>
  <c r="C11" i="54"/>
  <c r="G244" i="60"/>
  <c r="G243" i="60"/>
  <c r="G242" i="60"/>
  <c r="G241" i="60"/>
  <c r="C238" i="60"/>
  <c r="C237" i="60"/>
  <c r="C236" i="60"/>
  <c r="C235" i="60"/>
  <c r="C233" i="60"/>
  <c r="C232" i="60"/>
  <c r="C231" i="60"/>
  <c r="D228" i="60"/>
  <c r="C227" i="60"/>
  <c r="C226" i="60"/>
  <c r="C225" i="60"/>
  <c r="C224" i="60"/>
  <c r="C223" i="60"/>
  <c r="C222" i="60"/>
  <c r="E222" i="60"/>
  <c r="C221" i="60"/>
  <c r="C220" i="60"/>
  <c r="C219" i="60"/>
  <c r="C211" i="60"/>
  <c r="D205" i="60"/>
  <c r="C205" i="60"/>
  <c r="D204" i="60"/>
  <c r="C204" i="60"/>
  <c r="D203" i="60"/>
  <c r="C203" i="60"/>
  <c r="D202" i="60"/>
  <c r="C202" i="60"/>
  <c r="D201" i="60"/>
  <c r="C201" i="60"/>
  <c r="D200" i="60"/>
  <c r="C200" i="60"/>
  <c r="D196" i="60"/>
  <c r="C196" i="60"/>
  <c r="D195" i="60"/>
  <c r="C195" i="60"/>
  <c r="D194" i="60"/>
  <c r="C194" i="60"/>
  <c r="D193" i="60"/>
  <c r="C193" i="60"/>
  <c r="D192" i="60"/>
  <c r="C192" i="60"/>
  <c r="D191" i="60"/>
  <c r="C191" i="60"/>
  <c r="D190" i="60"/>
  <c r="C190" i="60"/>
  <c r="D189" i="60"/>
  <c r="C189" i="60"/>
  <c r="D188" i="60"/>
  <c r="C188" i="60"/>
  <c r="D187" i="60"/>
  <c r="C187" i="60"/>
  <c r="D186" i="60"/>
  <c r="C186" i="60"/>
  <c r="D185" i="60"/>
  <c r="C185" i="60"/>
  <c r="D184" i="60"/>
  <c r="C184" i="60"/>
  <c r="D183" i="60"/>
  <c r="C183" i="60"/>
  <c r="D182" i="60"/>
  <c r="C182" i="60"/>
  <c r="D181" i="60"/>
  <c r="C181" i="60"/>
  <c r="D180" i="60"/>
  <c r="C180" i="60"/>
  <c r="D179" i="60"/>
  <c r="C179" i="60"/>
  <c r="D178" i="60"/>
  <c r="C178" i="60"/>
  <c r="D177" i="60"/>
  <c r="C177" i="60"/>
  <c r="D176" i="60"/>
  <c r="C176" i="60"/>
  <c r="D175" i="60"/>
  <c r="C175" i="60"/>
  <c r="D174" i="60"/>
  <c r="C174" i="60"/>
  <c r="D173" i="60"/>
  <c r="C173" i="60"/>
  <c r="D172" i="60"/>
  <c r="C172" i="60"/>
  <c r="D171" i="60"/>
  <c r="C171" i="60"/>
  <c r="D170" i="60"/>
  <c r="C170" i="60"/>
  <c r="D169" i="60"/>
  <c r="C169" i="60"/>
  <c r="D168" i="60"/>
  <c r="C168" i="60"/>
  <c r="D167" i="60"/>
  <c r="C167" i="60"/>
  <c r="D166" i="60"/>
  <c r="C166" i="60"/>
  <c r="D165" i="60"/>
  <c r="C165" i="60"/>
  <c r="D164" i="60"/>
  <c r="C164" i="60"/>
  <c r="D160" i="60"/>
  <c r="C160" i="60"/>
  <c r="D159" i="60"/>
  <c r="C159" i="60"/>
  <c r="D158" i="60"/>
  <c r="C158" i="60"/>
  <c r="D157" i="60"/>
  <c r="C157" i="60"/>
  <c r="D156" i="60"/>
  <c r="C156" i="60"/>
  <c r="D155" i="60"/>
  <c r="C155" i="60"/>
  <c r="D153" i="60"/>
  <c r="C153" i="60"/>
  <c r="D152" i="60"/>
  <c r="C152" i="60"/>
  <c r="D151" i="60"/>
  <c r="C151" i="60"/>
  <c r="D150" i="60"/>
  <c r="C150" i="60"/>
  <c r="D149" i="60"/>
  <c r="C149" i="60"/>
  <c r="D148" i="60"/>
  <c r="C148" i="60"/>
  <c r="D147" i="60"/>
  <c r="C147" i="60"/>
  <c r="D146" i="60"/>
  <c r="C146" i="60"/>
  <c r="D145" i="60"/>
  <c r="C145" i="60"/>
  <c r="D143" i="60"/>
  <c r="C143" i="60"/>
  <c r="D142" i="60"/>
  <c r="C142" i="60"/>
  <c r="D141" i="60"/>
  <c r="C141" i="60"/>
  <c r="D140" i="60"/>
  <c r="C140" i="60"/>
  <c r="D138" i="60"/>
  <c r="C138" i="60"/>
  <c r="D137" i="60"/>
  <c r="C137" i="60"/>
  <c r="D136" i="60"/>
  <c r="C136" i="60"/>
  <c r="D135" i="60"/>
  <c r="C135" i="60"/>
  <c r="D133" i="60"/>
  <c r="C133" i="60"/>
  <c r="D132" i="60"/>
  <c r="C132" i="60"/>
  <c r="D131" i="60"/>
  <c r="C131" i="60"/>
  <c r="D130" i="60"/>
  <c r="C130" i="60"/>
  <c r="D129" i="60"/>
  <c r="C129" i="60"/>
  <c r="D127" i="60"/>
  <c r="C127" i="60"/>
  <c r="D126" i="60"/>
  <c r="C126" i="60"/>
  <c r="D125" i="60"/>
  <c r="C125" i="60"/>
  <c r="D124" i="60"/>
  <c r="C124" i="60"/>
  <c r="D123" i="60"/>
  <c r="C123" i="60"/>
  <c r="D118" i="60"/>
  <c r="C118" i="60"/>
  <c r="D117" i="60"/>
  <c r="C117" i="60"/>
  <c r="D116" i="60"/>
  <c r="C116" i="60"/>
  <c r="D115" i="60"/>
  <c r="C115" i="60"/>
  <c r="D114" i="60"/>
  <c r="C114" i="60"/>
  <c r="D110" i="60"/>
  <c r="C110" i="60"/>
  <c r="D109" i="60"/>
  <c r="C109" i="60"/>
  <c r="D108" i="60"/>
  <c r="C108" i="60"/>
  <c r="D107" i="60"/>
  <c r="C107" i="60"/>
  <c r="D106" i="60"/>
  <c r="C106" i="60"/>
  <c r="D105" i="60"/>
  <c r="C105" i="60"/>
  <c r="D101" i="60"/>
  <c r="C101" i="60"/>
  <c r="D100" i="60"/>
  <c r="C100" i="60"/>
  <c r="D99" i="60"/>
  <c r="C99" i="60"/>
  <c r="D98" i="60"/>
  <c r="C98" i="60"/>
  <c r="D97" i="60"/>
  <c r="C97" i="60"/>
  <c r="D96" i="60"/>
  <c r="C96" i="60"/>
  <c r="D92" i="60"/>
  <c r="C92" i="60"/>
  <c r="D91" i="60"/>
  <c r="C91" i="60"/>
  <c r="D90" i="60"/>
  <c r="C90" i="60"/>
  <c r="D89" i="60"/>
  <c r="C89" i="60"/>
  <c r="D88" i="60"/>
  <c r="C88" i="60"/>
  <c r="D87" i="60"/>
  <c r="C87" i="60"/>
  <c r="D86" i="60"/>
  <c r="C86" i="60"/>
  <c r="D85" i="60"/>
  <c r="C85" i="60"/>
  <c r="D84" i="60"/>
  <c r="C84" i="60"/>
  <c r="D83" i="60"/>
  <c r="C83" i="60"/>
  <c r="D82" i="60"/>
  <c r="C82" i="60"/>
  <c r="D78" i="60"/>
  <c r="C78" i="60"/>
  <c r="D77" i="60"/>
  <c r="C77" i="60"/>
  <c r="D76" i="60"/>
  <c r="C76" i="60"/>
  <c r="D75" i="60"/>
  <c r="C75" i="60"/>
  <c r="D74" i="60"/>
  <c r="C74" i="60"/>
  <c r="D73" i="60"/>
  <c r="C73" i="60"/>
  <c r="D72" i="60"/>
  <c r="C72" i="60"/>
  <c r="D71" i="60"/>
  <c r="C71" i="60"/>
  <c r="D70" i="60"/>
  <c r="C70" i="60"/>
  <c r="D69" i="60"/>
  <c r="C69" i="60"/>
  <c r="D68" i="60"/>
  <c r="C68" i="60"/>
  <c r="D67" i="60"/>
  <c r="C67" i="60"/>
  <c r="D66" i="60"/>
  <c r="C66" i="60"/>
  <c r="D65" i="60"/>
  <c r="C65" i="60"/>
  <c r="D64" i="60"/>
  <c r="C64" i="60"/>
  <c r="D60" i="60"/>
  <c r="C60" i="60"/>
  <c r="D59" i="60"/>
  <c r="C59" i="60"/>
  <c r="D58" i="60"/>
  <c r="C58" i="60"/>
  <c r="D57" i="60"/>
  <c r="C57" i="60"/>
  <c r="D56" i="60"/>
  <c r="C56" i="60"/>
  <c r="D55" i="60"/>
  <c r="C55" i="60"/>
  <c r="D54" i="60"/>
  <c r="C54" i="60"/>
  <c r="D53" i="60"/>
  <c r="C53" i="60"/>
  <c r="D52" i="60"/>
  <c r="C52" i="60"/>
  <c r="D51" i="60"/>
  <c r="C51" i="60"/>
  <c r="D50" i="60"/>
  <c r="C50" i="60"/>
  <c r="D49" i="60"/>
  <c r="C49" i="60"/>
  <c r="D48" i="60"/>
  <c r="C48" i="60"/>
  <c r="D47" i="60"/>
  <c r="C47" i="60"/>
  <c r="D46" i="60"/>
  <c r="C46" i="60"/>
  <c r="D45" i="60"/>
  <c r="C45" i="60"/>
  <c r="D44" i="60"/>
  <c r="C44" i="60"/>
  <c r="D43" i="60"/>
  <c r="C43" i="60"/>
  <c r="D42" i="60"/>
  <c r="C42" i="60"/>
  <c r="D41" i="60"/>
  <c r="C41" i="60"/>
  <c r="D40" i="60"/>
  <c r="C40" i="60"/>
  <c r="D39" i="60"/>
  <c r="C39" i="60"/>
  <c r="D38" i="60"/>
  <c r="C38" i="60"/>
  <c r="D37" i="60"/>
  <c r="C37" i="60"/>
  <c r="D36" i="60"/>
  <c r="C36" i="60"/>
  <c r="D35" i="60"/>
  <c r="C35" i="60"/>
  <c r="D34" i="60"/>
  <c r="C34" i="60"/>
  <c r="D33" i="60"/>
  <c r="C33" i="60"/>
  <c r="D32" i="60"/>
  <c r="C32" i="60"/>
  <c r="D31" i="60"/>
  <c r="C31" i="60"/>
  <c r="D30" i="60"/>
  <c r="C30" i="60"/>
  <c r="D29" i="60"/>
  <c r="C29" i="60"/>
  <c r="D28" i="60"/>
  <c r="C28" i="60"/>
  <c r="D27" i="60"/>
  <c r="C27" i="60"/>
  <c r="D26" i="60"/>
  <c r="C26" i="60"/>
  <c r="D25" i="60"/>
  <c r="C25" i="60"/>
  <c r="D20" i="60"/>
  <c r="C20" i="60"/>
  <c r="D19" i="60"/>
  <c r="C19" i="60"/>
  <c r="D18" i="60"/>
  <c r="C18" i="60"/>
  <c r="D17" i="60"/>
  <c r="C17" i="60"/>
  <c r="D16" i="60"/>
  <c r="C16" i="60"/>
  <c r="D15" i="60"/>
  <c r="C15" i="60"/>
  <c r="D14" i="60"/>
  <c r="C14" i="60"/>
  <c r="D13" i="60"/>
  <c r="C13" i="60"/>
  <c r="D12" i="60"/>
  <c r="C12" i="60"/>
  <c r="D11" i="60"/>
  <c r="C11" i="60"/>
  <c r="G244" i="118"/>
  <c r="G243" i="118"/>
  <c r="G242" i="118"/>
  <c r="G241" i="118"/>
  <c r="C238" i="118"/>
  <c r="C237" i="118"/>
  <c r="C236" i="118"/>
  <c r="C235" i="118"/>
  <c r="C233" i="118"/>
  <c r="C232" i="118"/>
  <c r="C231" i="118"/>
  <c r="D228" i="118"/>
  <c r="C227" i="118"/>
  <c r="C226" i="118"/>
  <c r="C225" i="118"/>
  <c r="C224" i="118"/>
  <c r="C223" i="118"/>
  <c r="C222" i="118"/>
  <c r="C221" i="118"/>
  <c r="C220" i="118"/>
  <c r="C219" i="118"/>
  <c r="C211" i="118"/>
  <c r="D205" i="118"/>
  <c r="C205" i="118"/>
  <c r="D204" i="118"/>
  <c r="C204" i="118"/>
  <c r="D203" i="118"/>
  <c r="C203" i="118"/>
  <c r="D202" i="118"/>
  <c r="C202" i="118"/>
  <c r="D201" i="118"/>
  <c r="C201" i="118"/>
  <c r="D200" i="118"/>
  <c r="C200" i="118"/>
  <c r="D196" i="118"/>
  <c r="C196" i="118"/>
  <c r="D195" i="118"/>
  <c r="C195" i="118"/>
  <c r="D194" i="118"/>
  <c r="C194" i="118"/>
  <c r="D193" i="118"/>
  <c r="C193" i="118"/>
  <c r="D192" i="118"/>
  <c r="C192" i="118"/>
  <c r="D191" i="118"/>
  <c r="C191" i="118"/>
  <c r="D190" i="118"/>
  <c r="C190" i="118"/>
  <c r="D189" i="118"/>
  <c r="C189" i="118"/>
  <c r="D188" i="118"/>
  <c r="C188" i="118"/>
  <c r="D187" i="118"/>
  <c r="C187" i="118"/>
  <c r="D186" i="118"/>
  <c r="C186" i="118"/>
  <c r="D185" i="118"/>
  <c r="C185" i="118"/>
  <c r="D184" i="118"/>
  <c r="C184" i="118"/>
  <c r="D183" i="118"/>
  <c r="C183" i="118"/>
  <c r="D182" i="118"/>
  <c r="C182" i="118"/>
  <c r="D181" i="118"/>
  <c r="C181" i="118"/>
  <c r="D180" i="118"/>
  <c r="C180" i="118"/>
  <c r="D179" i="118"/>
  <c r="C179" i="118"/>
  <c r="D178" i="118"/>
  <c r="C178" i="118"/>
  <c r="D177" i="118"/>
  <c r="C177" i="118"/>
  <c r="D176" i="118"/>
  <c r="C176" i="118"/>
  <c r="D175" i="118"/>
  <c r="C175" i="118"/>
  <c r="D174" i="118"/>
  <c r="C174" i="118"/>
  <c r="D173" i="118"/>
  <c r="C173" i="118"/>
  <c r="D172" i="118"/>
  <c r="C172" i="118"/>
  <c r="D171" i="118"/>
  <c r="C171" i="118"/>
  <c r="D170" i="118"/>
  <c r="C170" i="118"/>
  <c r="D169" i="118"/>
  <c r="C169" i="118"/>
  <c r="D168" i="118"/>
  <c r="C168" i="118"/>
  <c r="D167" i="118"/>
  <c r="C167" i="118"/>
  <c r="D166" i="118"/>
  <c r="C166" i="118"/>
  <c r="D165" i="118"/>
  <c r="C165" i="118"/>
  <c r="D164" i="118"/>
  <c r="C164" i="118"/>
  <c r="D160" i="118"/>
  <c r="C160" i="118"/>
  <c r="D159" i="118"/>
  <c r="C159" i="118"/>
  <c r="D158" i="118"/>
  <c r="C158" i="118"/>
  <c r="D157" i="118"/>
  <c r="C157" i="118"/>
  <c r="D156" i="118"/>
  <c r="C156" i="118"/>
  <c r="D155" i="118"/>
  <c r="C155" i="118"/>
  <c r="D153" i="118"/>
  <c r="C153" i="118"/>
  <c r="D152" i="118"/>
  <c r="C152" i="118"/>
  <c r="D151" i="118"/>
  <c r="C151" i="118"/>
  <c r="D150" i="118"/>
  <c r="C150" i="118"/>
  <c r="D149" i="118"/>
  <c r="C149" i="118"/>
  <c r="D148" i="118"/>
  <c r="C148" i="118"/>
  <c r="D147" i="118"/>
  <c r="C147" i="118"/>
  <c r="D146" i="118"/>
  <c r="C146" i="118"/>
  <c r="D145" i="118"/>
  <c r="C145" i="118"/>
  <c r="D143" i="118"/>
  <c r="C143" i="118"/>
  <c r="D142" i="118"/>
  <c r="C142" i="118"/>
  <c r="D141" i="118"/>
  <c r="C141" i="118"/>
  <c r="D140" i="118"/>
  <c r="C140" i="118"/>
  <c r="D138" i="118"/>
  <c r="C138" i="118"/>
  <c r="D137" i="118"/>
  <c r="C137" i="118"/>
  <c r="D136" i="118"/>
  <c r="C136" i="118"/>
  <c r="D135" i="118"/>
  <c r="C135" i="118"/>
  <c r="D133" i="118"/>
  <c r="C133" i="118"/>
  <c r="D132" i="118"/>
  <c r="C132" i="118"/>
  <c r="D131" i="118"/>
  <c r="C131" i="118"/>
  <c r="D130" i="118"/>
  <c r="C130" i="118"/>
  <c r="D129" i="118"/>
  <c r="C129" i="118"/>
  <c r="D127" i="118"/>
  <c r="C127" i="118"/>
  <c r="D126" i="118"/>
  <c r="C126" i="118"/>
  <c r="D125" i="118"/>
  <c r="C125" i="118"/>
  <c r="D124" i="118"/>
  <c r="C124" i="118"/>
  <c r="D123" i="118"/>
  <c r="C123" i="118"/>
  <c r="D118" i="118"/>
  <c r="C118" i="118"/>
  <c r="D117" i="118"/>
  <c r="C117" i="118"/>
  <c r="D116" i="118"/>
  <c r="C116" i="118"/>
  <c r="D115" i="118"/>
  <c r="C115" i="118"/>
  <c r="D114" i="118"/>
  <c r="C114" i="118"/>
  <c r="D110" i="118"/>
  <c r="C110" i="118"/>
  <c r="D109" i="118"/>
  <c r="C109" i="118"/>
  <c r="D108" i="118"/>
  <c r="C108" i="118"/>
  <c r="D107" i="118"/>
  <c r="C107" i="118"/>
  <c r="D106" i="118"/>
  <c r="C106" i="118"/>
  <c r="D105" i="118"/>
  <c r="C105" i="118"/>
  <c r="D101" i="118"/>
  <c r="C101" i="118"/>
  <c r="D100" i="118"/>
  <c r="C100" i="118"/>
  <c r="D99" i="118"/>
  <c r="C99" i="118"/>
  <c r="D98" i="118"/>
  <c r="C98" i="118"/>
  <c r="D97" i="118"/>
  <c r="C97" i="118"/>
  <c r="D96" i="118"/>
  <c r="C96" i="118"/>
  <c r="D92" i="118"/>
  <c r="C92" i="118"/>
  <c r="D91" i="118"/>
  <c r="C91" i="118"/>
  <c r="D90" i="118"/>
  <c r="C90" i="118"/>
  <c r="D89" i="118"/>
  <c r="C89" i="118"/>
  <c r="D88" i="118"/>
  <c r="C88" i="118"/>
  <c r="D87" i="118"/>
  <c r="C87" i="118"/>
  <c r="D86" i="118"/>
  <c r="C86" i="118"/>
  <c r="D85" i="118"/>
  <c r="C85" i="118"/>
  <c r="D84" i="118"/>
  <c r="C84" i="118"/>
  <c r="D83" i="118"/>
  <c r="C83" i="118"/>
  <c r="D82" i="118"/>
  <c r="C82" i="118"/>
  <c r="D78" i="118"/>
  <c r="C78" i="118"/>
  <c r="D77" i="118"/>
  <c r="C77" i="118"/>
  <c r="D76" i="118"/>
  <c r="C76" i="118"/>
  <c r="D75" i="118"/>
  <c r="C75" i="118"/>
  <c r="D74" i="118"/>
  <c r="C74" i="118"/>
  <c r="D73" i="118"/>
  <c r="C73" i="118"/>
  <c r="D72" i="118"/>
  <c r="C72" i="118"/>
  <c r="D71" i="118"/>
  <c r="C71" i="118"/>
  <c r="D70" i="118"/>
  <c r="C70" i="118"/>
  <c r="D69" i="118"/>
  <c r="C69" i="118"/>
  <c r="D68" i="118"/>
  <c r="C68" i="118"/>
  <c r="D67" i="118"/>
  <c r="C67" i="118"/>
  <c r="D66" i="118"/>
  <c r="C66" i="118"/>
  <c r="D65" i="118"/>
  <c r="C65" i="118"/>
  <c r="D64" i="118"/>
  <c r="C64" i="118"/>
  <c r="D60" i="118"/>
  <c r="C60" i="118"/>
  <c r="D59" i="118"/>
  <c r="C59" i="118"/>
  <c r="D58" i="118"/>
  <c r="C58" i="118"/>
  <c r="D57" i="118"/>
  <c r="C57" i="118"/>
  <c r="D56" i="118"/>
  <c r="C56" i="118"/>
  <c r="D55" i="118"/>
  <c r="C55" i="118"/>
  <c r="D54" i="118"/>
  <c r="C54" i="118"/>
  <c r="D53" i="118"/>
  <c r="C53" i="118"/>
  <c r="D52" i="118"/>
  <c r="C52" i="118"/>
  <c r="D51" i="118"/>
  <c r="C51" i="118"/>
  <c r="D50" i="118"/>
  <c r="C50" i="118"/>
  <c r="D49" i="118"/>
  <c r="C49" i="118"/>
  <c r="D48" i="118"/>
  <c r="C48" i="118"/>
  <c r="D47" i="118"/>
  <c r="C47" i="118"/>
  <c r="D46" i="118"/>
  <c r="C46" i="118"/>
  <c r="D45" i="118"/>
  <c r="C45" i="118"/>
  <c r="D44" i="118"/>
  <c r="C44" i="118"/>
  <c r="D43" i="118"/>
  <c r="C43" i="118"/>
  <c r="D42" i="118"/>
  <c r="C42" i="118"/>
  <c r="D41" i="118"/>
  <c r="C41" i="118"/>
  <c r="D40" i="118"/>
  <c r="C40" i="118"/>
  <c r="D39" i="118"/>
  <c r="C39" i="118"/>
  <c r="D38" i="118"/>
  <c r="C38" i="118"/>
  <c r="D37" i="118"/>
  <c r="C37" i="118"/>
  <c r="D36" i="118"/>
  <c r="C36" i="118"/>
  <c r="D35" i="118"/>
  <c r="C35" i="118"/>
  <c r="D34" i="118"/>
  <c r="C34" i="118"/>
  <c r="D33" i="118"/>
  <c r="C33" i="118"/>
  <c r="D32" i="118"/>
  <c r="C32" i="118"/>
  <c r="D31" i="118"/>
  <c r="C31" i="118"/>
  <c r="D30" i="118"/>
  <c r="C30" i="118"/>
  <c r="D29" i="118"/>
  <c r="C29" i="118"/>
  <c r="D28" i="118"/>
  <c r="C28" i="118"/>
  <c r="D27" i="118"/>
  <c r="C27" i="118"/>
  <c r="D26" i="118"/>
  <c r="C26" i="118"/>
  <c r="D25" i="118"/>
  <c r="C25" i="118"/>
  <c r="D20" i="118"/>
  <c r="C20" i="118"/>
  <c r="D19" i="118"/>
  <c r="C19" i="118"/>
  <c r="D18" i="118"/>
  <c r="C18" i="118"/>
  <c r="D17" i="118"/>
  <c r="C17" i="118"/>
  <c r="D16" i="118"/>
  <c r="C16" i="118"/>
  <c r="D15" i="118"/>
  <c r="C15" i="118"/>
  <c r="D14" i="118"/>
  <c r="C14" i="118"/>
  <c r="D13" i="118"/>
  <c r="C13" i="118"/>
  <c r="D12" i="118"/>
  <c r="C12" i="118"/>
  <c r="D11" i="118"/>
  <c r="C11" i="118"/>
  <c r="E224" i="103"/>
  <c r="E223" i="103"/>
  <c r="F102" i="87"/>
  <c r="F61" i="87"/>
  <c r="F93" i="87"/>
  <c r="F111" i="87"/>
  <c r="F161" i="135"/>
  <c r="F206" i="135"/>
  <c r="F228" i="31"/>
  <c r="F161" i="21"/>
  <c r="E233" i="172"/>
  <c r="G233" i="172"/>
  <c r="F228" i="172"/>
  <c r="K208" i="172"/>
  <c r="J208" i="172"/>
  <c r="K17" i="172"/>
  <c r="F206" i="172"/>
  <c r="F197" i="172"/>
  <c r="F161" i="172"/>
  <c r="F111" i="172"/>
  <c r="F102" i="172"/>
  <c r="F61" i="172"/>
  <c r="F79" i="172"/>
  <c r="F93" i="172"/>
  <c r="F208" i="172"/>
  <c r="F21" i="172"/>
  <c r="A1" i="172"/>
  <c r="K18" i="172"/>
  <c r="F197" i="45"/>
  <c r="F161" i="45"/>
  <c r="F111" i="45"/>
  <c r="F102" i="45"/>
  <c r="F93" i="45"/>
  <c r="F79" i="45"/>
  <c r="F61" i="45"/>
  <c r="F197" i="102"/>
  <c r="F161" i="102"/>
  <c r="F111" i="102"/>
  <c r="F102" i="102"/>
  <c r="F93" i="102"/>
  <c r="F79" i="102"/>
  <c r="F61" i="102"/>
  <c r="F206" i="83"/>
  <c r="F197" i="83"/>
  <c r="F161" i="83"/>
  <c r="F111" i="83"/>
  <c r="F61" i="83"/>
  <c r="F79" i="83"/>
  <c r="F93" i="83"/>
  <c r="F102" i="83"/>
  <c r="F208" i="83"/>
  <c r="F21" i="83"/>
  <c r="F197" i="66"/>
  <c r="F161" i="66"/>
  <c r="F111" i="66"/>
  <c r="F102" i="66"/>
  <c r="F93" i="66"/>
  <c r="F79" i="66"/>
  <c r="F61" i="66"/>
  <c r="F206" i="84"/>
  <c r="F197" i="84"/>
  <c r="F111" i="84"/>
  <c r="F102" i="84"/>
  <c r="F93" i="84"/>
  <c r="F79" i="84"/>
  <c r="F61" i="84"/>
  <c r="F197" i="10"/>
  <c r="F111" i="10"/>
  <c r="F61" i="103"/>
  <c r="AC208" i="152"/>
  <c r="AB208" i="152"/>
  <c r="AA208" i="152"/>
  <c r="Z208" i="152"/>
  <c r="A1" i="97"/>
  <c r="AA208" i="158"/>
  <c r="Z208" i="158"/>
  <c r="AB208" i="158"/>
  <c r="AC208" i="158"/>
  <c r="F228" i="43"/>
  <c r="E219" i="136"/>
  <c r="E219" i="57"/>
  <c r="E219" i="135"/>
  <c r="E219" i="33"/>
  <c r="E219" i="159"/>
  <c r="E219" i="111"/>
  <c r="E219" i="21"/>
  <c r="E219" i="85"/>
  <c r="F161" i="103"/>
  <c r="F161" i="10"/>
  <c r="F161" i="118"/>
  <c r="F161" i="60"/>
  <c r="F161" i="133"/>
  <c r="F161" i="54"/>
  <c r="F161" i="155"/>
  <c r="F161" i="156"/>
  <c r="F161" i="157"/>
  <c r="F161" i="158"/>
  <c r="F161" i="94"/>
  <c r="F161" i="145"/>
  <c r="F161" i="164"/>
  <c r="F161" i="15"/>
  <c r="F161" i="150"/>
  <c r="F161" i="68"/>
  <c r="F161" i="63"/>
  <c r="F161" i="62"/>
  <c r="F161" i="58"/>
  <c r="F161" i="136"/>
  <c r="F161" i="53"/>
  <c r="F161" i="98"/>
  <c r="F161" i="49"/>
  <c r="F161" i="47"/>
  <c r="F161" i="46"/>
  <c r="F161" i="104"/>
  <c r="F161" i="106"/>
  <c r="F161" i="57"/>
  <c r="F161" i="42"/>
  <c r="F161" i="167"/>
  <c r="F161" i="39"/>
  <c r="F161" i="38"/>
  <c r="F161" i="152"/>
  <c r="F161" i="120"/>
  <c r="F161" i="37"/>
  <c r="F161" i="90"/>
  <c r="F161" i="24"/>
  <c r="F161" i="141"/>
  <c r="F161" i="33"/>
  <c r="F161" i="32"/>
  <c r="F161" i="79"/>
  <c r="F161" i="31"/>
  <c r="F161" i="64"/>
  <c r="F161" i="72"/>
  <c r="F161" i="28"/>
  <c r="F161" i="65"/>
  <c r="F161" i="119"/>
  <c r="F161" i="25"/>
  <c r="F161" i="20"/>
  <c r="F161" i="159"/>
  <c r="F161" i="16"/>
  <c r="F161" i="27"/>
  <c r="F161" i="111"/>
  <c r="F161" i="165"/>
  <c r="F161" i="55"/>
  <c r="F161" i="14"/>
  <c r="F161" i="85"/>
  <c r="F161" i="149"/>
  <c r="F161" i="143"/>
  <c r="F161" i="69"/>
  <c r="F161" i="86"/>
  <c r="F161" i="89"/>
  <c r="F161" i="142"/>
  <c r="F161" i="92"/>
  <c r="F161" i="113"/>
  <c r="F161" i="1"/>
  <c r="F161" i="50"/>
  <c r="F161" i="95"/>
  <c r="F161" i="43"/>
  <c r="F206" i="103"/>
  <c r="F206" i="10"/>
  <c r="F206" i="118"/>
  <c r="F206" i="60"/>
  <c r="F206" i="133"/>
  <c r="F206" i="54"/>
  <c r="F206" i="155"/>
  <c r="F206" i="156"/>
  <c r="F206" i="157"/>
  <c r="F206" i="158"/>
  <c r="F206" i="94"/>
  <c r="F206" i="145"/>
  <c r="F206" i="164"/>
  <c r="F206" i="15"/>
  <c r="F206" i="150"/>
  <c r="F206" i="68"/>
  <c r="F206" i="66"/>
  <c r="F206" i="63"/>
  <c r="F206" i="62"/>
  <c r="F206" i="58"/>
  <c r="F206" i="136"/>
  <c r="F206" i="53"/>
  <c r="F206" i="98"/>
  <c r="F61" i="98"/>
  <c r="F79" i="98"/>
  <c r="F93" i="98"/>
  <c r="F102" i="98"/>
  <c r="F111" i="98"/>
  <c r="F197" i="98"/>
  <c r="F208" i="98"/>
  <c r="F206" i="49"/>
  <c r="F206" i="47"/>
  <c r="F206" i="46"/>
  <c r="F206" i="102"/>
  <c r="F206" i="45"/>
  <c r="F206" i="104"/>
  <c r="F206" i="106"/>
  <c r="F206" i="57"/>
  <c r="F206" i="42"/>
  <c r="F206" i="71"/>
  <c r="F206" i="167"/>
  <c r="F206" i="38"/>
  <c r="F206" i="152"/>
  <c r="F206" i="120"/>
  <c r="F206" i="37"/>
  <c r="F206" i="90"/>
  <c r="F206" i="24"/>
  <c r="F206" i="141"/>
  <c r="F206" i="33"/>
  <c r="F206" i="32"/>
  <c r="F206" i="79"/>
  <c r="F206" i="31"/>
  <c r="F206" i="64"/>
  <c r="F206" i="72"/>
  <c r="F206" i="28"/>
  <c r="F206" i="65"/>
  <c r="F206" i="119"/>
  <c r="F206" i="25"/>
  <c r="F206" i="20"/>
  <c r="F206" i="159"/>
  <c r="F206" i="16"/>
  <c r="F61" i="16"/>
  <c r="F79" i="16"/>
  <c r="F93" i="16"/>
  <c r="F102" i="16"/>
  <c r="F111" i="16"/>
  <c r="F197" i="16"/>
  <c r="F208" i="16"/>
  <c r="F206" i="27"/>
  <c r="F206" i="111"/>
  <c r="F206" i="165"/>
  <c r="F206" i="55"/>
  <c r="F206" i="21"/>
  <c r="F206" i="14"/>
  <c r="F206" i="85"/>
  <c r="F206" i="149"/>
  <c r="F206" i="143"/>
  <c r="F206" i="87"/>
  <c r="F206" i="69"/>
  <c r="F206" i="86"/>
  <c r="F206" i="89"/>
  <c r="F206" i="142"/>
  <c r="F206" i="92"/>
  <c r="F206" i="113"/>
  <c r="F61" i="113"/>
  <c r="F79" i="113"/>
  <c r="F93" i="113"/>
  <c r="F102" i="113"/>
  <c r="F111" i="113"/>
  <c r="F197" i="113"/>
  <c r="F208" i="113"/>
  <c r="F206" i="1"/>
  <c r="F206" i="50"/>
  <c r="F206" i="95"/>
  <c r="F206" i="43"/>
  <c r="E205" i="136"/>
  <c r="E204" i="136"/>
  <c r="E203" i="136"/>
  <c r="E202" i="136"/>
  <c r="E201" i="136"/>
  <c r="E200" i="136"/>
  <c r="E203" i="45"/>
  <c r="E205" i="57"/>
  <c r="E204" i="57"/>
  <c r="E203" i="57"/>
  <c r="E202" i="57"/>
  <c r="E201" i="57"/>
  <c r="E200" i="57"/>
  <c r="E205" i="167"/>
  <c r="E205" i="135"/>
  <c r="E204" i="135"/>
  <c r="G204" i="135"/>
  <c r="E203" i="135"/>
  <c r="E202" i="135"/>
  <c r="E201" i="135"/>
  <c r="E200" i="135"/>
  <c r="E205" i="33"/>
  <c r="E204" i="33"/>
  <c r="E203" i="33"/>
  <c r="E202" i="33"/>
  <c r="E201" i="33"/>
  <c r="E200" i="33"/>
  <c r="E205" i="159"/>
  <c r="E204" i="159"/>
  <c r="E203" i="159"/>
  <c r="E202" i="159"/>
  <c r="E201" i="159"/>
  <c r="E200" i="159"/>
  <c r="E205" i="111"/>
  <c r="E204" i="111"/>
  <c r="E203" i="111"/>
  <c r="E202" i="111"/>
  <c r="G202" i="111"/>
  <c r="E201" i="111"/>
  <c r="E200" i="111"/>
  <c r="E205" i="21"/>
  <c r="E204" i="21"/>
  <c r="E203" i="21"/>
  <c r="E202" i="21"/>
  <c r="E201" i="21"/>
  <c r="E200" i="21"/>
  <c r="F197" i="103"/>
  <c r="F197" i="118"/>
  <c r="F197" i="60"/>
  <c r="F197" i="133"/>
  <c r="F197" i="54"/>
  <c r="F197" i="155"/>
  <c r="F197" i="156"/>
  <c r="F197" i="157"/>
  <c r="F197" i="158"/>
  <c r="F197" i="94"/>
  <c r="F197" i="145"/>
  <c r="F197" i="164"/>
  <c r="F197" i="15"/>
  <c r="F197" i="150"/>
  <c r="F197" i="68"/>
  <c r="F197" i="63"/>
  <c r="F197" i="62"/>
  <c r="F197" i="58"/>
  <c r="F197" i="136"/>
  <c r="F197" i="53"/>
  <c r="F197" i="49"/>
  <c r="F197" i="47"/>
  <c r="F197" i="46"/>
  <c r="F197" i="104"/>
  <c r="F197" i="106"/>
  <c r="F197" i="57"/>
  <c r="F197" i="42"/>
  <c r="F197" i="71"/>
  <c r="F197" i="167"/>
  <c r="F197" i="39"/>
  <c r="F197" i="135"/>
  <c r="F197" i="38"/>
  <c r="F197" i="152"/>
  <c r="F197" i="120"/>
  <c r="F197" i="37"/>
  <c r="F197" i="90"/>
  <c r="F197" i="24"/>
  <c r="F197" i="141"/>
  <c r="F197" i="33"/>
  <c r="F197" i="32"/>
  <c r="F197" i="79"/>
  <c r="F197" i="31"/>
  <c r="F197" i="64"/>
  <c r="F197" i="72"/>
  <c r="F197" i="28"/>
  <c r="F197" i="65"/>
  <c r="F197" i="119"/>
  <c r="F197" i="25"/>
  <c r="F197" i="20"/>
  <c r="F197" i="159"/>
  <c r="F197" i="27"/>
  <c r="F197" i="111"/>
  <c r="F197" i="165"/>
  <c r="F197" i="55"/>
  <c r="F197" i="21"/>
  <c r="F197" i="14"/>
  <c r="F197" i="85"/>
  <c r="F197" i="149"/>
  <c r="F197" i="143"/>
  <c r="F197" i="87"/>
  <c r="F197" i="69"/>
  <c r="F197" i="86"/>
  <c r="F197" i="89"/>
  <c r="F197" i="142"/>
  <c r="F197" i="92"/>
  <c r="F197" i="1"/>
  <c r="F197" i="50"/>
  <c r="F197" i="95"/>
  <c r="F197" i="43"/>
  <c r="E196" i="136"/>
  <c r="E195" i="136"/>
  <c r="E194" i="136"/>
  <c r="E193" i="136"/>
  <c r="E192" i="136"/>
  <c r="E191" i="136"/>
  <c r="E190" i="136"/>
  <c r="E189" i="136"/>
  <c r="E188" i="136"/>
  <c r="E187" i="136"/>
  <c r="E186" i="136"/>
  <c r="E185" i="136"/>
  <c r="E184" i="136"/>
  <c r="E183" i="136"/>
  <c r="E182" i="136"/>
  <c r="E181" i="136"/>
  <c r="E180" i="136"/>
  <c r="E179" i="136"/>
  <c r="E178" i="136"/>
  <c r="E177" i="136"/>
  <c r="E176" i="136"/>
  <c r="E175" i="136"/>
  <c r="E174" i="136"/>
  <c r="E173" i="136"/>
  <c r="E172" i="136"/>
  <c r="E171" i="136"/>
  <c r="E170" i="136"/>
  <c r="E169" i="136"/>
  <c r="E168" i="136"/>
  <c r="E167" i="136"/>
  <c r="E166" i="136"/>
  <c r="E165" i="136"/>
  <c r="E164" i="136"/>
  <c r="E197" i="136"/>
  <c r="E180" i="45"/>
  <c r="G180" i="45"/>
  <c r="E172" i="45"/>
  <c r="G172" i="45"/>
  <c r="E168" i="45"/>
  <c r="E196" i="57"/>
  <c r="E195" i="57"/>
  <c r="E194" i="57"/>
  <c r="E193" i="57"/>
  <c r="E192" i="57"/>
  <c r="E191" i="57"/>
  <c r="E190" i="57"/>
  <c r="E189" i="57"/>
  <c r="E188" i="57"/>
  <c r="E187" i="57"/>
  <c r="E186" i="57"/>
  <c r="E185" i="57"/>
  <c r="E184" i="57"/>
  <c r="E183" i="57"/>
  <c r="E182" i="57"/>
  <c r="E181" i="57"/>
  <c r="E180" i="57"/>
  <c r="E179" i="57"/>
  <c r="E178" i="57"/>
  <c r="E177" i="57"/>
  <c r="E176" i="57"/>
  <c r="E175" i="57"/>
  <c r="E174" i="57"/>
  <c r="E173" i="57"/>
  <c r="E172" i="57"/>
  <c r="E171" i="57"/>
  <c r="E170" i="57"/>
  <c r="E169" i="57"/>
  <c r="E168" i="57"/>
  <c r="E167" i="57"/>
  <c r="E166" i="57"/>
  <c r="E165" i="57"/>
  <c r="E164" i="57"/>
  <c r="E190" i="167"/>
  <c r="E177" i="167"/>
  <c r="G177" i="167"/>
  <c r="E174" i="167"/>
  <c r="E169" i="167"/>
  <c r="E196" i="135"/>
  <c r="E195" i="135"/>
  <c r="E194" i="135"/>
  <c r="E193" i="135"/>
  <c r="G193" i="135"/>
  <c r="E192" i="135"/>
  <c r="E191" i="135"/>
  <c r="G191" i="135"/>
  <c r="E190" i="135"/>
  <c r="G190" i="135"/>
  <c r="E189" i="135"/>
  <c r="E188" i="135"/>
  <c r="E187" i="135"/>
  <c r="E186" i="135"/>
  <c r="G186" i="135"/>
  <c r="E185" i="135"/>
  <c r="E184" i="135"/>
  <c r="E183" i="135"/>
  <c r="E182" i="135"/>
  <c r="E181" i="135"/>
  <c r="E180" i="135"/>
  <c r="E179" i="135"/>
  <c r="E178" i="135"/>
  <c r="E177" i="135"/>
  <c r="G177" i="135"/>
  <c r="E176" i="135"/>
  <c r="E175" i="135"/>
  <c r="E174" i="135"/>
  <c r="E173" i="135"/>
  <c r="E172" i="135"/>
  <c r="E171" i="135"/>
  <c r="E170" i="135"/>
  <c r="E169" i="135"/>
  <c r="G169" i="135"/>
  <c r="E168" i="135"/>
  <c r="E167" i="135"/>
  <c r="E166" i="135"/>
  <c r="E165" i="135"/>
  <c r="E164" i="135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77" i="33"/>
  <c r="E176" i="33"/>
  <c r="E175" i="33"/>
  <c r="E174" i="33"/>
  <c r="E173" i="33"/>
  <c r="E172" i="33"/>
  <c r="E171" i="33"/>
  <c r="E170" i="33"/>
  <c r="E169" i="33"/>
  <c r="E168" i="33"/>
  <c r="E167" i="33"/>
  <c r="E166" i="33"/>
  <c r="E165" i="33"/>
  <c r="E164" i="33"/>
  <c r="E194" i="20"/>
  <c r="E182" i="20"/>
  <c r="E165" i="20"/>
  <c r="E196" i="159"/>
  <c r="E195" i="159"/>
  <c r="E194" i="159"/>
  <c r="E193" i="159"/>
  <c r="E192" i="159"/>
  <c r="E191" i="159"/>
  <c r="E190" i="159"/>
  <c r="E189" i="159"/>
  <c r="E188" i="159"/>
  <c r="E187" i="159"/>
  <c r="E186" i="159"/>
  <c r="E185" i="159"/>
  <c r="E184" i="159"/>
  <c r="G184" i="159"/>
  <c r="E183" i="159"/>
  <c r="E182" i="159"/>
  <c r="E181" i="159"/>
  <c r="E180" i="159"/>
  <c r="E179" i="159"/>
  <c r="E178" i="159"/>
  <c r="E177" i="159"/>
  <c r="E176" i="159"/>
  <c r="E175" i="159"/>
  <c r="E174" i="159"/>
  <c r="E173" i="159"/>
  <c r="E172" i="159"/>
  <c r="E171" i="159"/>
  <c r="E170" i="159"/>
  <c r="E169" i="159"/>
  <c r="E168" i="159"/>
  <c r="E167" i="159"/>
  <c r="E166" i="159"/>
  <c r="E165" i="159"/>
  <c r="E164" i="159"/>
  <c r="E196" i="111"/>
  <c r="E195" i="111"/>
  <c r="E194" i="111"/>
  <c r="E193" i="111"/>
  <c r="E192" i="111"/>
  <c r="E191" i="111"/>
  <c r="E190" i="111"/>
  <c r="G190" i="111"/>
  <c r="E189" i="111"/>
  <c r="E188" i="111"/>
  <c r="E187" i="111"/>
  <c r="E186" i="111"/>
  <c r="E185" i="111"/>
  <c r="E184" i="111"/>
  <c r="E183" i="111"/>
  <c r="E182" i="111"/>
  <c r="G182" i="111"/>
  <c r="E181" i="111"/>
  <c r="E180" i="111"/>
  <c r="E179" i="111"/>
  <c r="E178" i="111"/>
  <c r="E177" i="111"/>
  <c r="E176" i="111"/>
  <c r="E175" i="111"/>
  <c r="E174" i="111"/>
  <c r="G174" i="111"/>
  <c r="E173" i="111"/>
  <c r="E172" i="111"/>
  <c r="E171" i="111"/>
  <c r="E170" i="111"/>
  <c r="E169" i="111"/>
  <c r="E168" i="111"/>
  <c r="E167" i="111"/>
  <c r="E166" i="111"/>
  <c r="G166" i="111"/>
  <c r="E165" i="111"/>
  <c r="E164" i="11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97" i="21"/>
  <c r="E188" i="85"/>
  <c r="E160" i="136"/>
  <c r="E159" i="136"/>
  <c r="E158" i="136"/>
  <c r="E157" i="136"/>
  <c r="E156" i="136"/>
  <c r="E155" i="136"/>
  <c r="E159" i="102"/>
  <c r="G159" i="102"/>
  <c r="E160" i="57"/>
  <c r="E159" i="57"/>
  <c r="E158" i="57"/>
  <c r="E157" i="57"/>
  <c r="E156" i="57"/>
  <c r="E155" i="57"/>
  <c r="E159" i="167"/>
  <c r="G159" i="167"/>
  <c r="E158" i="167"/>
  <c r="E160" i="135"/>
  <c r="E159" i="135"/>
  <c r="E158" i="135"/>
  <c r="E157" i="135"/>
  <c r="E156" i="135"/>
  <c r="E155" i="135"/>
  <c r="E160" i="33"/>
  <c r="E159" i="33"/>
  <c r="E158" i="33"/>
  <c r="E157" i="33"/>
  <c r="E156" i="33"/>
  <c r="E155" i="33"/>
  <c r="E160" i="159"/>
  <c r="E159" i="159"/>
  <c r="E158" i="159"/>
  <c r="E157" i="159"/>
  <c r="E156" i="159"/>
  <c r="E155" i="159"/>
  <c r="E160" i="111"/>
  <c r="G160" i="111"/>
  <c r="E159" i="111"/>
  <c r="E158" i="111"/>
  <c r="E157" i="111"/>
  <c r="E156" i="111"/>
  <c r="E155" i="111"/>
  <c r="G155" i="111"/>
  <c r="E160" i="21"/>
  <c r="E159" i="21"/>
  <c r="E158" i="21"/>
  <c r="E157" i="21"/>
  <c r="E156" i="21"/>
  <c r="E155" i="21"/>
  <c r="E153" i="136"/>
  <c r="E152" i="136"/>
  <c r="E151" i="136"/>
  <c r="E150" i="136"/>
  <c r="E149" i="136"/>
  <c r="E148" i="136"/>
  <c r="E147" i="136"/>
  <c r="E146" i="136"/>
  <c r="E145" i="136"/>
  <c r="E146" i="102"/>
  <c r="E148" i="45"/>
  <c r="E153" i="57"/>
  <c r="E152" i="57"/>
  <c r="E151" i="57"/>
  <c r="E150" i="57"/>
  <c r="E149" i="57"/>
  <c r="E148" i="57"/>
  <c r="E147" i="57"/>
  <c r="E146" i="57"/>
  <c r="E145" i="57"/>
  <c r="E153" i="167"/>
  <c r="G153" i="167"/>
  <c r="E150" i="167"/>
  <c r="E149" i="167"/>
  <c r="E146" i="167"/>
  <c r="E145" i="167"/>
  <c r="E153" i="135"/>
  <c r="E152" i="135"/>
  <c r="E151" i="135"/>
  <c r="E150" i="135"/>
  <c r="E149" i="135"/>
  <c r="E148" i="135"/>
  <c r="E147" i="135"/>
  <c r="E146" i="135"/>
  <c r="E145" i="135"/>
  <c r="E153" i="33"/>
  <c r="E152" i="33"/>
  <c r="E151" i="33"/>
  <c r="E150" i="33"/>
  <c r="E149" i="33"/>
  <c r="E148" i="33"/>
  <c r="E147" i="33"/>
  <c r="E146" i="33"/>
  <c r="E145" i="33"/>
  <c r="E153" i="79"/>
  <c r="G153" i="79"/>
  <c r="E150" i="72"/>
  <c r="G150" i="72"/>
  <c r="E153" i="159"/>
  <c r="E152" i="159"/>
  <c r="E151" i="159"/>
  <c r="E150" i="159"/>
  <c r="E149" i="159"/>
  <c r="E148" i="159"/>
  <c r="E147" i="159"/>
  <c r="E146" i="159"/>
  <c r="E145" i="159"/>
  <c r="E153" i="111"/>
  <c r="E152" i="111"/>
  <c r="E151" i="111"/>
  <c r="E150" i="111"/>
  <c r="E149" i="111"/>
  <c r="E148" i="111"/>
  <c r="E147" i="111"/>
  <c r="G147" i="111"/>
  <c r="E146" i="111"/>
  <c r="E145" i="111"/>
  <c r="E153" i="21"/>
  <c r="E152" i="21"/>
  <c r="E151" i="21"/>
  <c r="E150" i="21"/>
  <c r="E149" i="21"/>
  <c r="E148" i="21"/>
  <c r="E147" i="21"/>
  <c r="E146" i="21"/>
  <c r="E145" i="21"/>
  <c r="E151" i="85"/>
  <c r="E143" i="136"/>
  <c r="E142" i="136"/>
  <c r="E141" i="136"/>
  <c r="E140" i="136"/>
  <c r="E143" i="45"/>
  <c r="G143" i="45"/>
  <c r="E143" i="57"/>
  <c r="E142" i="57"/>
  <c r="E141" i="57"/>
  <c r="E140" i="57"/>
  <c r="E141" i="167"/>
  <c r="E140" i="167"/>
  <c r="G140" i="167"/>
  <c r="E143" i="135"/>
  <c r="E142" i="135"/>
  <c r="G142" i="135"/>
  <c r="E141" i="135"/>
  <c r="E140" i="135"/>
  <c r="E143" i="33"/>
  <c r="E142" i="33"/>
  <c r="E141" i="33"/>
  <c r="E140" i="33"/>
  <c r="E140" i="20"/>
  <c r="E143" i="159"/>
  <c r="E142" i="159"/>
  <c r="E141" i="159"/>
  <c r="E140" i="159"/>
  <c r="E143" i="111"/>
  <c r="G143" i="111"/>
  <c r="E142" i="111"/>
  <c r="G142" i="111"/>
  <c r="E141" i="111"/>
  <c r="E140" i="111"/>
  <c r="E143" i="21"/>
  <c r="E142" i="21"/>
  <c r="E141" i="21"/>
  <c r="E140" i="21"/>
  <c r="E142" i="85"/>
  <c r="E138" i="136"/>
  <c r="E137" i="136"/>
  <c r="E136" i="136"/>
  <c r="E123" i="136"/>
  <c r="E124" i="136"/>
  <c r="E125" i="136"/>
  <c r="E126" i="136"/>
  <c r="E127" i="136"/>
  <c r="E129" i="136"/>
  <c r="E130" i="136"/>
  <c r="E131" i="136"/>
  <c r="E132" i="136"/>
  <c r="E133" i="136"/>
  <c r="E135" i="136"/>
  <c r="E161" i="136"/>
  <c r="E138" i="57"/>
  <c r="E137" i="57"/>
  <c r="E136" i="57"/>
  <c r="E135" i="57"/>
  <c r="E136" i="167"/>
  <c r="E138" i="135"/>
  <c r="E137" i="135"/>
  <c r="G137" i="135"/>
  <c r="E136" i="135"/>
  <c r="E135" i="135"/>
  <c r="E138" i="33"/>
  <c r="E137" i="33"/>
  <c r="E136" i="33"/>
  <c r="E135" i="33"/>
  <c r="E138" i="159"/>
  <c r="E137" i="159"/>
  <c r="E136" i="159"/>
  <c r="G136" i="159"/>
  <c r="E135" i="159"/>
  <c r="E138" i="111"/>
  <c r="E137" i="111"/>
  <c r="E136" i="111"/>
  <c r="G136" i="111"/>
  <c r="E135" i="111"/>
  <c r="G135" i="111"/>
  <c r="E138" i="21"/>
  <c r="E137" i="21"/>
  <c r="E136" i="21"/>
  <c r="E135" i="21"/>
  <c r="E133" i="57"/>
  <c r="E132" i="57"/>
  <c r="E131" i="57"/>
  <c r="E130" i="57"/>
  <c r="E129" i="57"/>
  <c r="E130" i="167"/>
  <c r="E133" i="135"/>
  <c r="E132" i="135"/>
  <c r="E131" i="135"/>
  <c r="E130" i="135"/>
  <c r="G130" i="135"/>
  <c r="E129" i="135"/>
  <c r="E133" i="33"/>
  <c r="E132" i="33"/>
  <c r="E131" i="33"/>
  <c r="E130" i="33"/>
  <c r="E129" i="33"/>
  <c r="E130" i="20"/>
  <c r="G130" i="20"/>
  <c r="E133" i="159"/>
  <c r="E132" i="159"/>
  <c r="G132" i="159"/>
  <c r="E131" i="159"/>
  <c r="E130" i="159"/>
  <c r="E129" i="159"/>
  <c r="E133" i="111"/>
  <c r="E132" i="111"/>
  <c r="E131" i="111"/>
  <c r="G131" i="111"/>
  <c r="E130" i="111"/>
  <c r="E129" i="111"/>
  <c r="E133" i="21"/>
  <c r="E132" i="21"/>
  <c r="E131" i="21"/>
  <c r="E130" i="21"/>
  <c r="E129" i="21"/>
  <c r="E124" i="45"/>
  <c r="E127" i="57"/>
  <c r="E126" i="57"/>
  <c r="E125" i="57"/>
  <c r="E124" i="57"/>
  <c r="E123" i="57"/>
  <c r="E127" i="135"/>
  <c r="G127" i="135"/>
  <c r="E126" i="135"/>
  <c r="G126" i="135"/>
  <c r="E125" i="135"/>
  <c r="E124" i="135"/>
  <c r="E123" i="135"/>
  <c r="E127" i="33"/>
  <c r="E126" i="33"/>
  <c r="E125" i="33"/>
  <c r="E124" i="33"/>
  <c r="E123" i="33"/>
  <c r="E126" i="20"/>
  <c r="E127" i="159"/>
  <c r="E126" i="159"/>
  <c r="E125" i="159"/>
  <c r="E124" i="159"/>
  <c r="E123" i="159"/>
  <c r="E127" i="111"/>
  <c r="E126" i="111"/>
  <c r="G126" i="111"/>
  <c r="E125" i="111"/>
  <c r="G125" i="111"/>
  <c r="E124" i="111"/>
  <c r="E123" i="111"/>
  <c r="G123" i="111"/>
  <c r="E127" i="21"/>
  <c r="E126" i="21"/>
  <c r="E125" i="21"/>
  <c r="E124" i="21"/>
  <c r="E123" i="21"/>
  <c r="E125" i="149"/>
  <c r="E118" i="136"/>
  <c r="E114" i="136"/>
  <c r="E115" i="136"/>
  <c r="E116" i="136"/>
  <c r="E117" i="136"/>
  <c r="E119" i="136"/>
  <c r="E116" i="45"/>
  <c r="E118" i="57"/>
  <c r="E117" i="57"/>
  <c r="E116" i="57"/>
  <c r="E115" i="57"/>
  <c r="E114" i="57"/>
  <c r="E119" i="57"/>
  <c r="E118" i="167"/>
  <c r="E114" i="167"/>
  <c r="E118" i="135"/>
  <c r="G118" i="135"/>
  <c r="E117" i="135"/>
  <c r="E116" i="135"/>
  <c r="E115" i="135"/>
  <c r="E114" i="135"/>
  <c r="E118" i="33"/>
  <c r="E117" i="33"/>
  <c r="E116" i="33"/>
  <c r="E114" i="33"/>
  <c r="E115" i="33"/>
  <c r="E119" i="33"/>
  <c r="E117" i="20"/>
  <c r="E118" i="159"/>
  <c r="E117" i="159"/>
  <c r="E116" i="159"/>
  <c r="E115" i="159"/>
  <c r="E114" i="159"/>
  <c r="E118" i="111"/>
  <c r="E117" i="111"/>
  <c r="E116" i="111"/>
  <c r="E115" i="111"/>
  <c r="E114" i="111"/>
  <c r="G114" i="111"/>
  <c r="E118" i="21"/>
  <c r="E117" i="21"/>
  <c r="E116" i="21"/>
  <c r="E115" i="21"/>
  <c r="E114" i="21"/>
  <c r="E110" i="136"/>
  <c r="E109" i="136"/>
  <c r="E108" i="136"/>
  <c r="E107" i="136"/>
  <c r="E106" i="136"/>
  <c r="E105" i="136"/>
  <c r="E111" i="136"/>
  <c r="E108" i="102"/>
  <c r="E110" i="57"/>
  <c r="E109" i="57"/>
  <c r="E108" i="57"/>
  <c r="E107" i="57"/>
  <c r="E106" i="57"/>
  <c r="E105" i="57"/>
  <c r="E107" i="167"/>
  <c r="G107" i="167"/>
  <c r="E110" i="135"/>
  <c r="E109" i="135"/>
  <c r="G109" i="135"/>
  <c r="E108" i="135"/>
  <c r="E107" i="135"/>
  <c r="E106" i="135"/>
  <c r="E105" i="135"/>
  <c r="E111" i="135"/>
  <c r="E110" i="33"/>
  <c r="E109" i="33"/>
  <c r="E108" i="33"/>
  <c r="E107" i="33"/>
  <c r="E106" i="33"/>
  <c r="E105" i="33"/>
  <c r="E107" i="72"/>
  <c r="E110" i="159"/>
  <c r="E109" i="159"/>
  <c r="E108" i="159"/>
  <c r="E107" i="159"/>
  <c r="E106" i="159"/>
  <c r="E105" i="159"/>
  <c r="E110" i="111"/>
  <c r="E109" i="111"/>
  <c r="G109" i="111"/>
  <c r="E108" i="111"/>
  <c r="E107" i="111"/>
  <c r="E106" i="111"/>
  <c r="E105" i="111"/>
  <c r="E110" i="21"/>
  <c r="E109" i="21"/>
  <c r="E108" i="21"/>
  <c r="E107" i="21"/>
  <c r="E106" i="21"/>
  <c r="E105" i="21"/>
  <c r="E111" i="21"/>
  <c r="F61" i="135"/>
  <c r="F79" i="135"/>
  <c r="F93" i="135"/>
  <c r="F102" i="135"/>
  <c r="F111" i="135"/>
  <c r="F208" i="135"/>
  <c r="F111" i="103"/>
  <c r="F111" i="118"/>
  <c r="F111" i="60"/>
  <c r="F111" i="133"/>
  <c r="F111" i="54"/>
  <c r="F111" i="155"/>
  <c r="F111" i="156"/>
  <c r="F111" i="157"/>
  <c r="F111" i="158"/>
  <c r="F111" i="94"/>
  <c r="F111" i="145"/>
  <c r="F111" i="164"/>
  <c r="F111" i="15"/>
  <c r="F111" i="150"/>
  <c r="F111" i="68"/>
  <c r="F111" i="63"/>
  <c r="F111" i="62"/>
  <c r="F111" i="58"/>
  <c r="F111" i="136"/>
  <c r="F111" i="53"/>
  <c r="F111" i="49"/>
  <c r="F111" i="47"/>
  <c r="F111" i="46"/>
  <c r="F111" i="104"/>
  <c r="F111" i="106"/>
  <c r="F111" i="57"/>
  <c r="F111" i="42"/>
  <c r="F111" i="71"/>
  <c r="F111" i="167"/>
  <c r="F111" i="39"/>
  <c r="F111" i="38"/>
  <c r="F111" i="152"/>
  <c r="F111" i="120"/>
  <c r="F111" i="37"/>
  <c r="F111" i="90"/>
  <c r="F111" i="24"/>
  <c r="F111" i="141"/>
  <c r="F111" i="33"/>
  <c r="F111" i="32"/>
  <c r="F111" i="79"/>
  <c r="F111" i="31"/>
  <c r="F111" i="64"/>
  <c r="F111" i="72"/>
  <c r="F111" i="28"/>
  <c r="F111" i="65"/>
  <c r="F111" i="119"/>
  <c r="F111" i="25"/>
  <c r="F111" i="20"/>
  <c r="F111" i="159"/>
  <c r="F111" i="27"/>
  <c r="F111" i="111"/>
  <c r="F111" i="165"/>
  <c r="F111" i="55"/>
  <c r="F111" i="21"/>
  <c r="F111" i="14"/>
  <c r="F111" i="85"/>
  <c r="F111" i="149"/>
  <c r="F111" i="143"/>
  <c r="F111" i="69"/>
  <c r="F111" i="86"/>
  <c r="F111" i="89"/>
  <c r="F111" i="142"/>
  <c r="F111" i="92"/>
  <c r="F111" i="1"/>
  <c r="F111" i="50"/>
  <c r="F111" i="95"/>
  <c r="F111" i="43"/>
  <c r="F102" i="103"/>
  <c r="F102" i="10"/>
  <c r="F102" i="118"/>
  <c r="F102" i="60"/>
  <c r="F102" i="133"/>
  <c r="F102" i="54"/>
  <c r="F102" i="155"/>
  <c r="F102" i="156"/>
  <c r="F102" i="157"/>
  <c r="F102" i="158"/>
  <c r="F102" i="94"/>
  <c r="F102" i="145"/>
  <c r="F102" i="164"/>
  <c r="F102" i="15"/>
  <c r="F102" i="150"/>
  <c r="F102" i="68"/>
  <c r="F102" i="63"/>
  <c r="F102" i="62"/>
  <c r="F102" i="58"/>
  <c r="F102" i="136"/>
  <c r="F102" i="53"/>
  <c r="F102" i="49"/>
  <c r="F102" i="47"/>
  <c r="F102" i="46"/>
  <c r="F102" i="104"/>
  <c r="F102" i="106"/>
  <c r="F102" i="57"/>
  <c r="F102" i="42"/>
  <c r="F102" i="71"/>
  <c r="F102" i="167"/>
  <c r="F102" i="39"/>
  <c r="F102" i="38"/>
  <c r="F102" i="152"/>
  <c r="F102" i="120"/>
  <c r="F102" i="37"/>
  <c r="F102" i="90"/>
  <c r="F102" i="24"/>
  <c r="F102" i="141"/>
  <c r="F102" i="33"/>
  <c r="F102" i="32"/>
  <c r="F102" i="79"/>
  <c r="F102" i="31"/>
  <c r="F102" i="64"/>
  <c r="F102" i="72"/>
  <c r="F102" i="28"/>
  <c r="F102" i="65"/>
  <c r="F102" i="119"/>
  <c r="F102" i="25"/>
  <c r="F102" i="20"/>
  <c r="F102" i="159"/>
  <c r="F102" i="27"/>
  <c r="F102" i="111"/>
  <c r="F102" i="165"/>
  <c r="F102" i="55"/>
  <c r="F102" i="21"/>
  <c r="F102" i="14"/>
  <c r="F102" i="85"/>
  <c r="F102" i="149"/>
  <c r="F102" i="143"/>
  <c r="F102" i="69"/>
  <c r="F102" i="86"/>
  <c r="F102" i="89"/>
  <c r="F102" i="142"/>
  <c r="F102" i="92"/>
  <c r="F102" i="1"/>
  <c r="F102" i="50"/>
  <c r="F102" i="95"/>
  <c r="F102" i="43"/>
  <c r="E101" i="136"/>
  <c r="E100" i="136"/>
  <c r="E99" i="136"/>
  <c r="E98" i="136"/>
  <c r="E97" i="136"/>
  <c r="E96" i="136"/>
  <c r="E96" i="102"/>
  <c r="E101" i="57"/>
  <c r="E100" i="57"/>
  <c r="E99" i="57"/>
  <c r="E98" i="57"/>
  <c r="E97" i="57"/>
  <c r="E96" i="57"/>
  <c r="E100" i="167"/>
  <c r="E99" i="167"/>
  <c r="G99" i="167"/>
  <c r="E101" i="135"/>
  <c r="E100" i="135"/>
  <c r="E99" i="135"/>
  <c r="G99" i="135"/>
  <c r="E98" i="135"/>
  <c r="E97" i="135"/>
  <c r="E96" i="135"/>
  <c r="E101" i="33"/>
  <c r="E100" i="33"/>
  <c r="E99" i="33"/>
  <c r="E98" i="33"/>
  <c r="E97" i="33"/>
  <c r="E96" i="33"/>
  <c r="E100" i="20"/>
  <c r="E101" i="159"/>
  <c r="E100" i="159"/>
  <c r="E99" i="159"/>
  <c r="E98" i="159"/>
  <c r="E97" i="159"/>
  <c r="E96" i="159"/>
  <c r="E101" i="111"/>
  <c r="E100" i="111"/>
  <c r="E99" i="111"/>
  <c r="E98" i="111"/>
  <c r="E97" i="111"/>
  <c r="G97" i="111"/>
  <c r="E96" i="111"/>
  <c r="E101" i="21"/>
  <c r="E100" i="21"/>
  <c r="E99" i="21"/>
  <c r="E98" i="21"/>
  <c r="E97" i="21"/>
  <c r="E96" i="21"/>
  <c r="F93" i="103"/>
  <c r="F93" i="10"/>
  <c r="F93" i="118"/>
  <c r="F93" i="60"/>
  <c r="F93" i="133"/>
  <c r="F93" i="54"/>
  <c r="F93" i="155"/>
  <c r="F93" i="156"/>
  <c r="F93" i="157"/>
  <c r="F93" i="158"/>
  <c r="F93" i="94"/>
  <c r="F93" i="145"/>
  <c r="F93" i="164"/>
  <c r="F93" i="15"/>
  <c r="F93" i="150"/>
  <c r="F93" i="68"/>
  <c r="F93" i="63"/>
  <c r="F93" i="62"/>
  <c r="F93" i="58"/>
  <c r="F93" i="136"/>
  <c r="F93" i="53"/>
  <c r="F93" i="49"/>
  <c r="F93" i="47"/>
  <c r="F93" i="46"/>
  <c r="F93" i="104"/>
  <c r="F93" i="106"/>
  <c r="F93" i="57"/>
  <c r="F93" i="42"/>
  <c r="F93" i="71"/>
  <c r="F93" i="167"/>
  <c r="F93" i="39"/>
  <c r="F93" i="38"/>
  <c r="F93" i="152"/>
  <c r="F93" i="120"/>
  <c r="F93" i="37"/>
  <c r="F93" i="90"/>
  <c r="F93" i="24"/>
  <c r="F93" i="141"/>
  <c r="F93" i="33"/>
  <c r="F93" i="32"/>
  <c r="F93" i="79"/>
  <c r="F93" i="31"/>
  <c r="F93" i="64"/>
  <c r="F93" i="72"/>
  <c r="F93" i="28"/>
  <c r="F93" i="65"/>
  <c r="F93" i="119"/>
  <c r="F93" i="25"/>
  <c r="F93" i="20"/>
  <c r="F93" i="159"/>
  <c r="F93" i="27"/>
  <c r="F93" i="111"/>
  <c r="F93" i="165"/>
  <c r="F93" i="55"/>
  <c r="F93" i="21"/>
  <c r="F93" i="14"/>
  <c r="F93" i="85"/>
  <c r="F93" i="149"/>
  <c r="F93" i="143"/>
  <c r="F93" i="69"/>
  <c r="F93" i="86"/>
  <c r="F93" i="89"/>
  <c r="F93" i="142"/>
  <c r="F93" i="92"/>
  <c r="F93" i="1"/>
  <c r="F93" i="50"/>
  <c r="F93" i="95"/>
  <c r="F93" i="43"/>
  <c r="E92" i="136"/>
  <c r="E91" i="136"/>
  <c r="E90" i="136"/>
  <c r="E89" i="136"/>
  <c r="E88" i="136"/>
  <c r="E87" i="136"/>
  <c r="E86" i="136"/>
  <c r="E85" i="136"/>
  <c r="E84" i="136"/>
  <c r="E83" i="136"/>
  <c r="E82" i="136"/>
  <c r="E89" i="102"/>
  <c r="G89" i="102"/>
  <c r="E92" i="57"/>
  <c r="E91" i="57"/>
  <c r="E90" i="57"/>
  <c r="E89" i="57"/>
  <c r="E88" i="57"/>
  <c r="E87" i="57"/>
  <c r="E86" i="57"/>
  <c r="E85" i="57"/>
  <c r="E84" i="57"/>
  <c r="E82" i="57"/>
  <c r="E83" i="57"/>
  <c r="E93" i="57"/>
  <c r="E92" i="167"/>
  <c r="G92" i="167"/>
  <c r="E88" i="167"/>
  <c r="E85" i="167"/>
  <c r="E84" i="167"/>
  <c r="G84" i="167"/>
  <c r="E92" i="135"/>
  <c r="G92" i="135"/>
  <c r="E91" i="135"/>
  <c r="E90" i="135"/>
  <c r="G90" i="135"/>
  <c r="E89" i="135"/>
  <c r="E88" i="135"/>
  <c r="E87" i="135"/>
  <c r="E86" i="135"/>
  <c r="E85" i="135"/>
  <c r="E84" i="135"/>
  <c r="G84" i="135"/>
  <c r="E83" i="135"/>
  <c r="E82" i="135"/>
  <c r="G82" i="135"/>
  <c r="E82" i="37"/>
  <c r="E92" i="33"/>
  <c r="E91" i="33"/>
  <c r="E90" i="33"/>
  <c r="E89" i="33"/>
  <c r="E88" i="33"/>
  <c r="E87" i="33"/>
  <c r="E86" i="33"/>
  <c r="E82" i="33"/>
  <c r="E83" i="33"/>
  <c r="E84" i="33"/>
  <c r="E85" i="33"/>
  <c r="E93" i="33"/>
  <c r="E92" i="79"/>
  <c r="E92" i="159"/>
  <c r="E91" i="159"/>
  <c r="E90" i="159"/>
  <c r="E89" i="159"/>
  <c r="E88" i="159"/>
  <c r="E87" i="159"/>
  <c r="E86" i="159"/>
  <c r="E85" i="159"/>
  <c r="E84" i="159"/>
  <c r="E83" i="159"/>
  <c r="E82" i="159"/>
  <c r="E92" i="111"/>
  <c r="E91" i="111"/>
  <c r="E90" i="111"/>
  <c r="E89" i="111"/>
  <c r="G89" i="111"/>
  <c r="E88" i="111"/>
  <c r="E87" i="111"/>
  <c r="E86" i="111"/>
  <c r="E85" i="111"/>
  <c r="E84" i="111"/>
  <c r="G84" i="111"/>
  <c r="E83" i="111"/>
  <c r="G83" i="111"/>
  <c r="E82" i="111"/>
  <c r="G82" i="111"/>
  <c r="E92" i="21"/>
  <c r="E91" i="21"/>
  <c r="E90" i="21"/>
  <c r="E89" i="21"/>
  <c r="E88" i="21"/>
  <c r="E87" i="21"/>
  <c r="E86" i="21"/>
  <c r="E85" i="21"/>
  <c r="E82" i="21"/>
  <c r="E83" i="21"/>
  <c r="E84" i="21"/>
  <c r="E93" i="21"/>
  <c r="E87" i="85"/>
  <c r="G87" i="85"/>
  <c r="F79" i="103"/>
  <c r="F79" i="10"/>
  <c r="F79" i="118"/>
  <c r="F79" i="60"/>
  <c r="F79" i="133"/>
  <c r="F79" i="54"/>
  <c r="F79" i="155"/>
  <c r="F79" i="156"/>
  <c r="F61" i="156"/>
  <c r="F208" i="156"/>
  <c r="F79" i="157"/>
  <c r="F79" i="158"/>
  <c r="F79" i="94"/>
  <c r="F79" i="145"/>
  <c r="F61" i="145"/>
  <c r="F208" i="145"/>
  <c r="F79" i="164"/>
  <c r="F79" i="15"/>
  <c r="F79" i="150"/>
  <c r="F79" i="68"/>
  <c r="F61" i="68"/>
  <c r="F208" i="68"/>
  <c r="F79" i="63"/>
  <c r="F79" i="62"/>
  <c r="F79" i="58"/>
  <c r="F79" i="136"/>
  <c r="F61" i="136"/>
  <c r="F208" i="136"/>
  <c r="F79" i="53"/>
  <c r="F79" i="49"/>
  <c r="F79" i="47"/>
  <c r="F61" i="47"/>
  <c r="F208" i="47"/>
  <c r="F79" i="46"/>
  <c r="F79" i="104"/>
  <c r="F79" i="106"/>
  <c r="F79" i="57"/>
  <c r="F79" i="42"/>
  <c r="F79" i="71"/>
  <c r="F79" i="167"/>
  <c r="F79" i="39"/>
  <c r="F79" i="38"/>
  <c r="F79" i="152"/>
  <c r="F79" i="120"/>
  <c r="F79" i="37"/>
  <c r="F79" i="90"/>
  <c r="F79" i="24"/>
  <c r="F79" i="141"/>
  <c r="F61" i="141"/>
  <c r="F208" i="141"/>
  <c r="F79" i="33"/>
  <c r="F79" i="32"/>
  <c r="F79" i="79"/>
  <c r="F79" i="31"/>
  <c r="F61" i="31"/>
  <c r="F208" i="31"/>
  <c r="F79" i="64"/>
  <c r="F79" i="72"/>
  <c r="F79" i="28"/>
  <c r="F79" i="65"/>
  <c r="F61" i="65"/>
  <c r="F208" i="65"/>
  <c r="F79" i="119"/>
  <c r="F79" i="25"/>
  <c r="F79" i="20"/>
  <c r="F79" i="159"/>
  <c r="F61" i="159"/>
  <c r="F208" i="159"/>
  <c r="F79" i="27"/>
  <c r="F79" i="111"/>
  <c r="F61" i="111"/>
  <c r="F208" i="111"/>
  <c r="F79" i="165"/>
  <c r="F61" i="165"/>
  <c r="F208" i="165"/>
  <c r="F79" i="55"/>
  <c r="F79" i="21"/>
  <c r="F79" i="14"/>
  <c r="F79" i="85"/>
  <c r="F79" i="149"/>
  <c r="F79" i="143"/>
  <c r="F79" i="87"/>
  <c r="F79" i="69"/>
  <c r="F79" i="86"/>
  <c r="F79" i="89"/>
  <c r="F79" i="142"/>
  <c r="F79" i="92"/>
  <c r="F79" i="1"/>
  <c r="F79" i="50"/>
  <c r="F79" i="95"/>
  <c r="F79" i="43"/>
  <c r="E78" i="136"/>
  <c r="E77" i="136"/>
  <c r="E76" i="136"/>
  <c r="E75" i="136"/>
  <c r="E74" i="136"/>
  <c r="E73" i="136"/>
  <c r="E72" i="136"/>
  <c r="E71" i="136"/>
  <c r="E70" i="136"/>
  <c r="E69" i="136"/>
  <c r="E68" i="136"/>
  <c r="E67" i="136"/>
  <c r="E66" i="136"/>
  <c r="E65" i="136"/>
  <c r="E64" i="136"/>
  <c r="E66" i="102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77" i="167"/>
  <c r="G77" i="167"/>
  <c r="E74" i="167"/>
  <c r="G74" i="167"/>
  <c r="E69" i="167"/>
  <c r="E66" i="167"/>
  <c r="E78" i="135"/>
  <c r="E77" i="135"/>
  <c r="E76" i="135"/>
  <c r="G76" i="135"/>
  <c r="E75" i="135"/>
  <c r="E74" i="135"/>
  <c r="G74" i="135"/>
  <c r="E73" i="135"/>
  <c r="E72" i="135"/>
  <c r="E71" i="135"/>
  <c r="E70" i="135"/>
  <c r="E69" i="135"/>
  <c r="E68" i="135"/>
  <c r="G68" i="135"/>
  <c r="E67" i="135"/>
  <c r="E66" i="135"/>
  <c r="G66" i="135"/>
  <c r="E65" i="135"/>
  <c r="E64" i="135"/>
  <c r="E78" i="33"/>
  <c r="E77" i="33"/>
  <c r="E76" i="33"/>
  <c r="E75" i="33"/>
  <c r="E74" i="33"/>
  <c r="E73" i="33"/>
  <c r="E72" i="33"/>
  <c r="E71" i="33"/>
  <c r="E70" i="33"/>
  <c r="E69" i="33"/>
  <c r="E68" i="33"/>
  <c r="E64" i="33"/>
  <c r="E65" i="33"/>
  <c r="E66" i="33"/>
  <c r="E67" i="33"/>
  <c r="E79" i="33"/>
  <c r="E77" i="79"/>
  <c r="E78" i="72"/>
  <c r="E78" i="159"/>
  <c r="E77" i="159"/>
  <c r="E76" i="159"/>
  <c r="E75" i="159"/>
  <c r="E74" i="159"/>
  <c r="E73" i="159"/>
  <c r="E72" i="159"/>
  <c r="G72" i="159"/>
  <c r="E71" i="159"/>
  <c r="E70" i="159"/>
  <c r="E69" i="159"/>
  <c r="E68" i="159"/>
  <c r="E67" i="159"/>
  <c r="E66" i="159"/>
  <c r="E65" i="159"/>
  <c r="E64" i="159"/>
  <c r="G64" i="159"/>
  <c r="E78" i="111"/>
  <c r="E77" i="111"/>
  <c r="G77" i="111"/>
  <c r="E76" i="111"/>
  <c r="E75" i="111"/>
  <c r="E74" i="111"/>
  <c r="E73" i="111"/>
  <c r="E72" i="111"/>
  <c r="G72" i="111"/>
  <c r="E71" i="111"/>
  <c r="G71" i="111"/>
  <c r="E70" i="111"/>
  <c r="E69" i="111"/>
  <c r="G69" i="111"/>
  <c r="E68" i="111"/>
  <c r="E67" i="111"/>
  <c r="E66" i="111"/>
  <c r="E65" i="111"/>
  <c r="E64" i="111"/>
  <c r="G64" i="11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71" i="85"/>
  <c r="E67" i="85"/>
  <c r="E77" i="149"/>
  <c r="F61" i="10"/>
  <c r="F61" i="118"/>
  <c r="F208" i="118"/>
  <c r="F61" i="60"/>
  <c r="F61" i="133"/>
  <c r="F61" i="54"/>
  <c r="F61" i="155"/>
  <c r="F61" i="157"/>
  <c r="F61" i="158"/>
  <c r="F61" i="94"/>
  <c r="F208" i="94"/>
  <c r="F61" i="164"/>
  <c r="F61" i="15"/>
  <c r="F61" i="150"/>
  <c r="F61" i="63"/>
  <c r="F61" i="62"/>
  <c r="F61" i="58"/>
  <c r="F208" i="58"/>
  <c r="F61" i="53"/>
  <c r="F61" i="49"/>
  <c r="F61" i="46"/>
  <c r="F208" i="46"/>
  <c r="F61" i="104"/>
  <c r="F61" i="106"/>
  <c r="F61" i="57"/>
  <c r="F61" i="42"/>
  <c r="F61" i="71"/>
  <c r="F61" i="167"/>
  <c r="F61" i="39"/>
  <c r="F61" i="38"/>
  <c r="F61" i="152"/>
  <c r="F208" i="152"/>
  <c r="F61" i="120"/>
  <c r="F61" i="37"/>
  <c r="F61" i="90"/>
  <c r="F61" i="24"/>
  <c r="F61" i="33"/>
  <c r="F208" i="33"/>
  <c r="F61" i="32"/>
  <c r="F61" i="79"/>
  <c r="F61" i="64"/>
  <c r="F61" i="72"/>
  <c r="F61" i="28"/>
  <c r="F61" i="119"/>
  <c r="F208" i="119"/>
  <c r="F61" i="25"/>
  <c r="F61" i="20"/>
  <c r="F61" i="27"/>
  <c r="F61" i="55"/>
  <c r="F61" i="21"/>
  <c r="F61" i="14"/>
  <c r="F61" i="85"/>
  <c r="F61" i="149"/>
  <c r="F61" i="143"/>
  <c r="F61" i="69"/>
  <c r="F61" i="86"/>
  <c r="F61" i="89"/>
  <c r="F208" i="89"/>
  <c r="F61" i="142"/>
  <c r="F61" i="92"/>
  <c r="F61" i="1"/>
  <c r="F208" i="1"/>
  <c r="F61" i="50"/>
  <c r="F61" i="95"/>
  <c r="F61" i="43"/>
  <c r="E60" i="136"/>
  <c r="E59" i="136"/>
  <c r="E58" i="136"/>
  <c r="E57" i="136"/>
  <c r="E56" i="136"/>
  <c r="E55" i="136"/>
  <c r="E54" i="136"/>
  <c r="E53" i="136"/>
  <c r="E52" i="136"/>
  <c r="E51" i="136"/>
  <c r="E50" i="136"/>
  <c r="E49" i="136"/>
  <c r="E48" i="136"/>
  <c r="E47" i="136"/>
  <c r="E46" i="136"/>
  <c r="E45" i="136"/>
  <c r="E44" i="136"/>
  <c r="E43" i="136"/>
  <c r="E42" i="136"/>
  <c r="E41" i="136"/>
  <c r="E40" i="136"/>
  <c r="E39" i="136"/>
  <c r="E38" i="136"/>
  <c r="E37" i="136"/>
  <c r="E36" i="136"/>
  <c r="E35" i="136"/>
  <c r="E34" i="136"/>
  <c r="E33" i="136"/>
  <c r="E32" i="136"/>
  <c r="E31" i="136"/>
  <c r="E30" i="136"/>
  <c r="E29" i="136"/>
  <c r="E28" i="136"/>
  <c r="E27" i="136"/>
  <c r="E26" i="136"/>
  <c r="E25" i="136"/>
  <c r="E55" i="102"/>
  <c r="G55" i="102"/>
  <c r="E52" i="102"/>
  <c r="E48" i="102"/>
  <c r="E44" i="102"/>
  <c r="G44" i="102"/>
  <c r="E40" i="102"/>
  <c r="E36" i="102"/>
  <c r="E32" i="102"/>
  <c r="E57" i="45"/>
  <c r="E49" i="45"/>
  <c r="E45" i="45"/>
  <c r="E25" i="45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58" i="167"/>
  <c r="G58" i="167"/>
  <c r="E55" i="167"/>
  <c r="E54" i="167"/>
  <c r="G54" i="167"/>
  <c r="E50" i="167"/>
  <c r="G50" i="167"/>
  <c r="E47" i="167"/>
  <c r="E46" i="167"/>
  <c r="G46" i="167"/>
  <c r="E42" i="167"/>
  <c r="E39" i="167"/>
  <c r="G39" i="167"/>
  <c r="E38" i="167"/>
  <c r="E34" i="167"/>
  <c r="E31" i="167"/>
  <c r="E30" i="167"/>
  <c r="G30" i="167"/>
  <c r="E26" i="167"/>
  <c r="E60" i="135"/>
  <c r="E59" i="135"/>
  <c r="E58" i="135"/>
  <c r="E57" i="135"/>
  <c r="E56" i="135"/>
  <c r="E55" i="135"/>
  <c r="E54" i="135"/>
  <c r="E53" i="135"/>
  <c r="E52" i="135"/>
  <c r="E51" i="135"/>
  <c r="E50" i="135"/>
  <c r="G50" i="135"/>
  <c r="E49" i="135"/>
  <c r="E48" i="135"/>
  <c r="E47" i="135"/>
  <c r="E46" i="135"/>
  <c r="E45" i="135"/>
  <c r="E44" i="135"/>
  <c r="E43" i="135"/>
  <c r="E42" i="135"/>
  <c r="E41" i="135"/>
  <c r="G41" i="135"/>
  <c r="E40" i="135"/>
  <c r="E39" i="135"/>
  <c r="E38" i="135"/>
  <c r="G38" i="135"/>
  <c r="E37" i="135"/>
  <c r="E36" i="135"/>
  <c r="E35" i="135"/>
  <c r="E34" i="135"/>
  <c r="E33" i="135"/>
  <c r="E32" i="135"/>
  <c r="E31" i="135"/>
  <c r="E30" i="135"/>
  <c r="G30" i="135"/>
  <c r="E29" i="135"/>
  <c r="E28" i="135"/>
  <c r="E27" i="135"/>
  <c r="E26" i="135"/>
  <c r="E25" i="135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43" i="72"/>
  <c r="E31" i="72"/>
  <c r="E39" i="20"/>
  <c r="E60" i="159"/>
  <c r="E59" i="159"/>
  <c r="E58" i="159"/>
  <c r="E57" i="159"/>
  <c r="E56" i="159"/>
  <c r="E55" i="159"/>
  <c r="E54" i="159"/>
  <c r="E53" i="159"/>
  <c r="E52" i="159"/>
  <c r="E51" i="159"/>
  <c r="E50" i="159"/>
  <c r="E49" i="159"/>
  <c r="E48" i="159"/>
  <c r="E47" i="159"/>
  <c r="E46" i="159"/>
  <c r="E45" i="159"/>
  <c r="E44" i="159"/>
  <c r="E43" i="159"/>
  <c r="E42" i="159"/>
  <c r="E41" i="159"/>
  <c r="E40" i="159"/>
  <c r="E39" i="159"/>
  <c r="E38" i="159"/>
  <c r="E37" i="159"/>
  <c r="E36" i="159"/>
  <c r="E35" i="159"/>
  <c r="E34" i="159"/>
  <c r="E33" i="159"/>
  <c r="G33" i="159"/>
  <c r="E32" i="159"/>
  <c r="E31" i="159"/>
  <c r="E30" i="159"/>
  <c r="G30" i="159"/>
  <c r="E29" i="159"/>
  <c r="E28" i="159"/>
  <c r="E27" i="159"/>
  <c r="E26" i="159"/>
  <c r="E25" i="159"/>
  <c r="E60" i="111"/>
  <c r="G60" i="111"/>
  <c r="E59" i="111"/>
  <c r="G59" i="111"/>
  <c r="E58" i="111"/>
  <c r="E57" i="111"/>
  <c r="E56" i="111"/>
  <c r="E55" i="111"/>
  <c r="E54" i="111"/>
  <c r="E53" i="111"/>
  <c r="E52" i="111"/>
  <c r="G52" i="111"/>
  <c r="E51" i="111"/>
  <c r="E50" i="111"/>
  <c r="E49" i="111"/>
  <c r="G49" i="111"/>
  <c r="E48" i="111"/>
  <c r="E47" i="111"/>
  <c r="E46" i="111"/>
  <c r="E45" i="111"/>
  <c r="E44" i="111"/>
  <c r="G44" i="111"/>
  <c r="E43" i="111"/>
  <c r="E42" i="111"/>
  <c r="G42" i="111"/>
  <c r="E41" i="111"/>
  <c r="E40" i="111"/>
  <c r="E39" i="111"/>
  <c r="E38" i="111"/>
  <c r="E37" i="111"/>
  <c r="E36" i="111"/>
  <c r="G36" i="111"/>
  <c r="E35" i="111"/>
  <c r="E34" i="111"/>
  <c r="E33" i="111"/>
  <c r="G33" i="111"/>
  <c r="E32" i="111"/>
  <c r="E31" i="111"/>
  <c r="E30" i="111"/>
  <c r="E29" i="111"/>
  <c r="E28" i="111"/>
  <c r="G28" i="111"/>
  <c r="E27" i="111"/>
  <c r="E26" i="111"/>
  <c r="G26" i="111"/>
  <c r="E25" i="11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60" i="85"/>
  <c r="E56" i="85"/>
  <c r="G56" i="85"/>
  <c r="E52" i="85"/>
  <c r="E49" i="85"/>
  <c r="E48" i="85"/>
  <c r="E45" i="85"/>
  <c r="G45" i="85"/>
  <c r="E41" i="85"/>
  <c r="E33" i="85"/>
  <c r="G33" i="85"/>
  <c r="E32" i="85"/>
  <c r="E25" i="149"/>
  <c r="F208" i="43"/>
  <c r="F208" i="60"/>
  <c r="F208" i="15"/>
  <c r="F208" i="142"/>
  <c r="F208" i="49"/>
  <c r="F208" i="90"/>
  <c r="F208" i="27"/>
  <c r="F208" i="54"/>
  <c r="F208" i="50"/>
  <c r="F208" i="63"/>
  <c r="F208" i="143"/>
  <c r="F208" i="24"/>
  <c r="F208" i="86"/>
  <c r="F208" i="14"/>
  <c r="F208" i="32"/>
  <c r="F208" i="120"/>
  <c r="F208" i="103"/>
  <c r="E102" i="136"/>
  <c r="E93" i="136"/>
  <c r="F208" i="157"/>
  <c r="E206" i="33"/>
  <c r="E111" i="57"/>
  <c r="E111" i="33"/>
  <c r="E79" i="159"/>
  <c r="E119" i="159"/>
  <c r="E102" i="21"/>
  <c r="E161" i="21"/>
  <c r="E233" i="167"/>
  <c r="G233" i="167"/>
  <c r="E232" i="167"/>
  <c r="F228" i="167"/>
  <c r="E226" i="167"/>
  <c r="E225" i="167"/>
  <c r="E224" i="167"/>
  <c r="E223" i="167"/>
  <c r="E222" i="167"/>
  <c r="K208" i="167"/>
  <c r="J208" i="167"/>
  <c r="F21" i="167"/>
  <c r="E19" i="167"/>
  <c r="E18" i="167"/>
  <c r="E14" i="167"/>
  <c r="A1" i="167"/>
  <c r="K18" i="167"/>
  <c r="E11" i="167"/>
  <c r="E15" i="167"/>
  <c r="G15" i="167"/>
  <c r="E233" i="165"/>
  <c r="F228" i="165"/>
  <c r="K208" i="165"/>
  <c r="J208" i="165"/>
  <c r="K17" i="165"/>
  <c r="F21" i="165"/>
  <c r="A1" i="165"/>
  <c r="G233" i="165"/>
  <c r="K18" i="165"/>
  <c r="E233" i="164"/>
  <c r="F228" i="164"/>
  <c r="K208" i="164"/>
  <c r="J208" i="164"/>
  <c r="F21" i="164"/>
  <c r="A1" i="164"/>
  <c r="K17" i="164"/>
  <c r="E233" i="159"/>
  <c r="G233" i="159"/>
  <c r="F228" i="159"/>
  <c r="E227" i="159"/>
  <c r="E225" i="159"/>
  <c r="E224" i="159"/>
  <c r="K208" i="159"/>
  <c r="J208" i="159"/>
  <c r="G107" i="159"/>
  <c r="G101" i="159"/>
  <c r="G50" i="159"/>
  <c r="G37" i="159"/>
  <c r="G31" i="159"/>
  <c r="F21" i="159"/>
  <c r="E18" i="159"/>
  <c r="E16" i="159"/>
  <c r="E12" i="159"/>
  <c r="G12" i="159"/>
  <c r="A1" i="159"/>
  <c r="F228" i="158"/>
  <c r="K208" i="158"/>
  <c r="J208" i="158"/>
  <c r="K17" i="158"/>
  <c r="F21" i="158"/>
  <c r="A1" i="158"/>
  <c r="E233" i="157"/>
  <c r="F228" i="157"/>
  <c r="K208" i="157"/>
  <c r="J208" i="157"/>
  <c r="F21" i="157"/>
  <c r="A1" i="157"/>
  <c r="F228" i="156"/>
  <c r="K208" i="156"/>
  <c r="J208" i="156"/>
  <c r="F21" i="156"/>
  <c r="A1" i="156"/>
  <c r="F228" i="155"/>
  <c r="K208" i="155"/>
  <c r="K18" i="155"/>
  <c r="J208" i="155"/>
  <c r="F21" i="155"/>
  <c r="A1" i="155"/>
  <c r="K18" i="158"/>
  <c r="K17" i="156"/>
  <c r="K17" i="157"/>
  <c r="F215" i="157"/>
  <c r="K18" i="156"/>
  <c r="K18" i="159"/>
  <c r="G233" i="157"/>
  <c r="G224" i="159"/>
  <c r="G166" i="159"/>
  <c r="G170" i="159"/>
  <c r="E222" i="159"/>
  <c r="G227" i="159"/>
  <c r="G117" i="159"/>
  <c r="G75" i="159"/>
  <c r="E13" i="159"/>
  <c r="G186" i="159"/>
  <c r="G189" i="159"/>
  <c r="E223" i="159"/>
  <c r="E19" i="159"/>
  <c r="G187" i="159"/>
  <c r="G190" i="159"/>
  <c r="G203" i="159"/>
  <c r="G16" i="159"/>
  <c r="M16" i="159"/>
  <c r="G42" i="159"/>
  <c r="G88" i="159"/>
  <c r="G118" i="159"/>
  <c r="G181" i="159"/>
  <c r="G185" i="159"/>
  <c r="G171" i="159"/>
  <c r="E221" i="159"/>
  <c r="E14" i="159"/>
  <c r="E17" i="159"/>
  <c r="G17" i="159"/>
  <c r="E20" i="159"/>
  <c r="E232" i="159"/>
  <c r="G18" i="159"/>
  <c r="G34" i="159"/>
  <c r="G78" i="159"/>
  <c r="G124" i="159"/>
  <c r="G145" i="159"/>
  <c r="G173" i="159"/>
  <c r="G200" i="159"/>
  <c r="G204" i="159"/>
  <c r="E15" i="159"/>
  <c r="G15" i="159"/>
  <c r="E220" i="159"/>
  <c r="E231" i="159"/>
  <c r="E11" i="159"/>
  <c r="E226" i="159"/>
  <c r="G126" i="159"/>
  <c r="G100" i="159"/>
  <c r="G183" i="159"/>
  <c r="G29" i="159"/>
  <c r="G40" i="159"/>
  <c r="G26" i="159"/>
  <c r="G201" i="159"/>
  <c r="G76" i="159"/>
  <c r="G97" i="159"/>
  <c r="G177" i="159"/>
  <c r="G70" i="159"/>
  <c r="G156" i="159"/>
  <c r="G90" i="159"/>
  <c r="G48" i="159"/>
  <c r="G179" i="159"/>
  <c r="G205" i="159"/>
  <c r="G147" i="159"/>
  <c r="G196" i="159"/>
  <c r="G39" i="159"/>
  <c r="G91" i="159"/>
  <c r="G28" i="159"/>
  <c r="G53" i="159"/>
  <c r="G89" i="159"/>
  <c r="G19" i="159"/>
  <c r="G143" i="159"/>
  <c r="G153" i="159"/>
  <c r="G155" i="159"/>
  <c r="G178" i="159"/>
  <c r="G180" i="159"/>
  <c r="G47" i="159"/>
  <c r="G221" i="159"/>
  <c r="G174" i="159"/>
  <c r="G108" i="159"/>
  <c r="G175" i="159"/>
  <c r="G127" i="159"/>
  <c r="G232" i="159"/>
  <c r="G129" i="159"/>
  <c r="G44" i="159"/>
  <c r="G141" i="159"/>
  <c r="G182" i="159"/>
  <c r="G125" i="159"/>
  <c r="G188" i="159"/>
  <c r="G65" i="159"/>
  <c r="G74" i="159"/>
  <c r="G193" i="159"/>
  <c r="G87" i="159"/>
  <c r="G176" i="159"/>
  <c r="G32" i="159"/>
  <c r="G149" i="159"/>
  <c r="G20" i="159"/>
  <c r="G135" i="159"/>
  <c r="G92" i="159"/>
  <c r="G223" i="159"/>
  <c r="G138" i="159"/>
  <c r="G83" i="159"/>
  <c r="G150" i="159"/>
  <c r="G36" i="159"/>
  <c r="G160" i="159"/>
  <c r="G130" i="159"/>
  <c r="G194" i="159"/>
  <c r="G96" i="159"/>
  <c r="G45" i="159"/>
  <c r="G140" i="159"/>
  <c r="G46" i="159"/>
  <c r="G98" i="159"/>
  <c r="G157" i="159"/>
  <c r="G109" i="159"/>
  <c r="G84" i="159"/>
  <c r="G56" i="159"/>
  <c r="G38" i="159"/>
  <c r="G66" i="159"/>
  <c r="G222" i="159"/>
  <c r="G165" i="159"/>
  <c r="G133" i="159"/>
  <c r="G71" i="159"/>
  <c r="G167" i="159"/>
  <c r="G195" i="159"/>
  <c r="G54" i="159"/>
  <c r="G158" i="159"/>
  <c r="G86" i="159"/>
  <c r="G85" i="159"/>
  <c r="G57" i="159"/>
  <c r="G68" i="159"/>
  <c r="G60" i="159"/>
  <c r="G169" i="159"/>
  <c r="G99" i="159"/>
  <c r="G49" i="159"/>
  <c r="G202" i="159"/>
  <c r="G142" i="159"/>
  <c r="G116" i="159"/>
  <c r="G77" i="159"/>
  <c r="G219" i="159"/>
  <c r="G58" i="159"/>
  <c r="G191" i="159"/>
  <c r="G69" i="159"/>
  <c r="G137" i="159"/>
  <c r="G115" i="159"/>
  <c r="G151" i="159"/>
  <c r="G172" i="159"/>
  <c r="G67" i="159"/>
  <c r="G152" i="159"/>
  <c r="G148" i="159"/>
  <c r="G131" i="159"/>
  <c r="G110" i="159"/>
  <c r="G52" i="159"/>
  <c r="G146" i="159"/>
  <c r="G55" i="159"/>
  <c r="G73" i="159"/>
  <c r="G13" i="159"/>
  <c r="G11" i="159"/>
  <c r="E228" i="159"/>
  <c r="G164" i="159"/>
  <c r="G123" i="159"/>
  <c r="G114" i="159"/>
  <c r="G105" i="159"/>
  <c r="G119" i="159"/>
  <c r="J208" i="152"/>
  <c r="K208" i="152"/>
  <c r="E233" i="152"/>
  <c r="G233" i="152"/>
  <c r="F228" i="152"/>
  <c r="F21" i="152"/>
  <c r="A1" i="152"/>
  <c r="K18" i="152"/>
  <c r="E233" i="150"/>
  <c r="F228" i="150"/>
  <c r="K208" i="150"/>
  <c r="K18" i="150"/>
  <c r="J208" i="150"/>
  <c r="F21" i="150"/>
  <c r="A1" i="150"/>
  <c r="K17" i="150"/>
  <c r="E232" i="149"/>
  <c r="F228" i="149"/>
  <c r="K208" i="149"/>
  <c r="J208" i="149"/>
  <c r="F21" i="149"/>
  <c r="A1" i="149"/>
  <c r="K17" i="149"/>
  <c r="K18" i="149"/>
  <c r="E221" i="149"/>
  <c r="G221" i="149"/>
  <c r="E14" i="149"/>
  <c r="E18" i="149"/>
  <c r="E222" i="149"/>
  <c r="F21" i="84"/>
  <c r="K208" i="10"/>
  <c r="K208" i="118"/>
  <c r="K208" i="60"/>
  <c r="K208" i="133"/>
  <c r="K208" i="54"/>
  <c r="K208" i="145"/>
  <c r="K208" i="94"/>
  <c r="K208" i="68"/>
  <c r="K208" i="63"/>
  <c r="K208" i="62"/>
  <c r="K208" i="58"/>
  <c r="K208" i="136"/>
  <c r="K208" i="53"/>
  <c r="K208" i="98"/>
  <c r="K208" i="49"/>
  <c r="K18" i="49"/>
  <c r="K208" i="83"/>
  <c r="K208" i="47"/>
  <c r="K208" i="46"/>
  <c r="K208" i="102"/>
  <c r="K208" i="45"/>
  <c r="K208" i="104"/>
  <c r="K208" i="106"/>
  <c r="K208" i="43"/>
  <c r="K208" i="42"/>
  <c r="K208" i="84"/>
  <c r="K208" i="39"/>
  <c r="K208" i="135"/>
  <c r="K208" i="38"/>
  <c r="K208" i="120"/>
  <c r="K208" i="37"/>
  <c r="K208" i="90"/>
  <c r="K208" i="24"/>
  <c r="K208" i="141"/>
  <c r="K208" i="32"/>
  <c r="K208" i="79"/>
  <c r="K208" i="31"/>
  <c r="K208" i="64"/>
  <c r="K208" i="28"/>
  <c r="K208" i="27"/>
  <c r="K208" i="119"/>
  <c r="K208" i="25"/>
  <c r="K208" i="20"/>
  <c r="K208" i="16"/>
  <c r="K208" i="111"/>
  <c r="K208" i="55"/>
  <c r="K208" i="21"/>
  <c r="K208" i="14"/>
  <c r="K208" i="85"/>
  <c r="K208" i="143"/>
  <c r="K208" i="87"/>
  <c r="K208" i="69"/>
  <c r="K208" i="86"/>
  <c r="K208" i="89"/>
  <c r="K208" i="142"/>
  <c r="K208" i="92"/>
  <c r="K208" i="1"/>
  <c r="K208" i="50"/>
  <c r="K208" i="95"/>
  <c r="K208" i="103"/>
  <c r="J208" i="10"/>
  <c r="J208" i="118"/>
  <c r="J208" i="60"/>
  <c r="J208" i="133"/>
  <c r="J208" i="54"/>
  <c r="J208" i="145"/>
  <c r="J208" i="94"/>
  <c r="J208" i="68"/>
  <c r="J208" i="63"/>
  <c r="J208" i="62"/>
  <c r="J208" i="58"/>
  <c r="J208" i="136"/>
  <c r="J208" i="53"/>
  <c r="J208" i="98"/>
  <c r="J208" i="49"/>
  <c r="J208" i="83"/>
  <c r="J208" i="47"/>
  <c r="J208" i="46"/>
  <c r="J208" i="102"/>
  <c r="J208" i="45"/>
  <c r="J208" i="104"/>
  <c r="J208" i="106"/>
  <c r="J208" i="43"/>
  <c r="J208" i="42"/>
  <c r="J208" i="84"/>
  <c r="J208" i="39"/>
  <c r="J208" i="135"/>
  <c r="J208" i="38"/>
  <c r="J208" i="120"/>
  <c r="J208" i="37"/>
  <c r="J208" i="90"/>
  <c r="J208" i="24"/>
  <c r="J208" i="141"/>
  <c r="J208" i="33"/>
  <c r="J208" i="32"/>
  <c r="J208" i="79"/>
  <c r="J208" i="31"/>
  <c r="J208" i="64"/>
  <c r="J208" i="28"/>
  <c r="J208" i="27"/>
  <c r="J208" i="119"/>
  <c r="J208" i="25"/>
  <c r="J208" i="20"/>
  <c r="J208" i="16"/>
  <c r="K17" i="16"/>
  <c r="J208" i="111"/>
  <c r="J208" i="55"/>
  <c r="K17" i="55"/>
  <c r="J208" i="21"/>
  <c r="J208" i="14"/>
  <c r="J208" i="85"/>
  <c r="J208" i="143"/>
  <c r="J208" i="87"/>
  <c r="J208" i="69"/>
  <c r="J208" i="86"/>
  <c r="K17" i="86"/>
  <c r="J208" i="89"/>
  <c r="J208" i="142"/>
  <c r="J208" i="92"/>
  <c r="J208" i="1"/>
  <c r="J208" i="50"/>
  <c r="J208" i="95"/>
  <c r="J208" i="103"/>
  <c r="E14" i="111"/>
  <c r="E18" i="111"/>
  <c r="E15" i="111"/>
  <c r="E12" i="111"/>
  <c r="E16" i="111"/>
  <c r="E20" i="111"/>
  <c r="E13" i="111"/>
  <c r="E17" i="111"/>
  <c r="E19" i="111"/>
  <c r="G19" i="111"/>
  <c r="E227" i="111"/>
  <c r="G227" i="111"/>
  <c r="M19" i="111"/>
  <c r="E11" i="111"/>
  <c r="A1" i="10"/>
  <c r="A1" i="118"/>
  <c r="A1" i="60"/>
  <c r="A1" i="133"/>
  <c r="A1" i="54"/>
  <c r="A1" i="145"/>
  <c r="A1" i="94"/>
  <c r="A1" i="15"/>
  <c r="A1" i="68"/>
  <c r="A1" i="66"/>
  <c r="A1" i="63"/>
  <c r="A1" i="62"/>
  <c r="A1" i="58"/>
  <c r="A1" i="136"/>
  <c r="A1" i="53"/>
  <c r="A1" i="98"/>
  <c r="A1" i="49"/>
  <c r="A1" i="83"/>
  <c r="A1" i="47"/>
  <c r="A1" i="46"/>
  <c r="A1" i="102"/>
  <c r="A1" i="45"/>
  <c r="A1" i="104"/>
  <c r="A1" i="106"/>
  <c r="A1" i="43"/>
  <c r="A1" i="42"/>
  <c r="A1" i="84"/>
  <c r="A1" i="71"/>
  <c r="A1" i="39"/>
  <c r="A1" i="135"/>
  <c r="A1" i="38"/>
  <c r="A1" i="120"/>
  <c r="A1" i="37"/>
  <c r="A1" i="90"/>
  <c r="A1" i="24"/>
  <c r="A1" i="141"/>
  <c r="A1" i="33"/>
  <c r="A1" i="32"/>
  <c r="A1" i="79"/>
  <c r="A1" i="31"/>
  <c r="A1" i="64"/>
  <c r="A1" i="72"/>
  <c r="A1" i="28"/>
  <c r="A1" i="27"/>
  <c r="A1" i="65"/>
  <c r="A1" i="119"/>
  <c r="A1" i="25"/>
  <c r="A1" i="20"/>
  <c r="A1" i="16"/>
  <c r="A1" i="111"/>
  <c r="A1" i="55"/>
  <c r="A1" i="21"/>
  <c r="A1" i="14"/>
  <c r="A1" i="85"/>
  <c r="A1" i="143"/>
  <c r="A1" i="87"/>
  <c r="A1" i="57"/>
  <c r="A1" i="69"/>
  <c r="A1" i="86"/>
  <c r="A1" i="89"/>
  <c r="A1" i="142"/>
  <c r="A1" i="92"/>
  <c r="A1" i="113"/>
  <c r="A1" i="1"/>
  <c r="A1" i="50"/>
  <c r="A1" i="95"/>
  <c r="A1" i="19"/>
  <c r="F21" i="62"/>
  <c r="F228" i="118"/>
  <c r="F21" i="118"/>
  <c r="F228" i="103"/>
  <c r="F21" i="103"/>
  <c r="F215" i="103"/>
  <c r="E233" i="103"/>
  <c r="G233" i="103"/>
  <c r="F228" i="83"/>
  <c r="F228" i="68"/>
  <c r="F21" i="68"/>
  <c r="F215" i="68"/>
  <c r="G205" i="111"/>
  <c r="G204" i="111"/>
  <c r="G203" i="111"/>
  <c r="G201" i="111"/>
  <c r="G196" i="111"/>
  <c r="G195" i="111"/>
  <c r="G191" i="111"/>
  <c r="G189" i="111"/>
  <c r="G188" i="111"/>
  <c r="G187" i="111"/>
  <c r="G183" i="111"/>
  <c r="G181" i="111"/>
  <c r="G180" i="111"/>
  <c r="G179" i="111"/>
  <c r="G178" i="111"/>
  <c r="G175" i="111"/>
  <c r="G173" i="111"/>
  <c r="G172" i="111"/>
  <c r="G171" i="111"/>
  <c r="G170" i="111"/>
  <c r="G169" i="111"/>
  <c r="G167" i="111"/>
  <c r="G165" i="111"/>
  <c r="G159" i="111"/>
  <c r="G158" i="111"/>
  <c r="G156" i="111"/>
  <c r="G153" i="111"/>
  <c r="G152" i="111"/>
  <c r="G151" i="111"/>
  <c r="G150" i="111"/>
  <c r="G146" i="111"/>
  <c r="G145" i="111"/>
  <c r="G138" i="111"/>
  <c r="G137" i="111"/>
  <c r="G130" i="111"/>
  <c r="G129" i="111"/>
  <c r="G127" i="111"/>
  <c r="G118" i="111"/>
  <c r="G117" i="111"/>
  <c r="G116" i="111"/>
  <c r="G115" i="111"/>
  <c r="G110" i="111"/>
  <c r="G107" i="111"/>
  <c r="G106" i="111"/>
  <c r="G101" i="111"/>
  <c r="G100" i="111"/>
  <c r="G99" i="111"/>
  <c r="G98" i="111"/>
  <c r="G92" i="111"/>
  <c r="G87" i="111"/>
  <c r="G86" i="111"/>
  <c r="G85" i="111"/>
  <c r="G75" i="111"/>
  <c r="G74" i="111"/>
  <c r="G73" i="111"/>
  <c r="G67" i="111"/>
  <c r="G66" i="111"/>
  <c r="G65" i="111"/>
  <c r="G56" i="111"/>
  <c r="G54" i="111"/>
  <c r="G53" i="111"/>
  <c r="G48" i="111"/>
  <c r="G46" i="111"/>
  <c r="G45" i="111"/>
  <c r="G40" i="111"/>
  <c r="G38" i="111"/>
  <c r="G37" i="111"/>
  <c r="G32" i="111"/>
  <c r="G30" i="111"/>
  <c r="G29" i="111"/>
  <c r="F21" i="111"/>
  <c r="G20" i="111"/>
  <c r="G16" i="111"/>
  <c r="G14" i="111"/>
  <c r="G13" i="111"/>
  <c r="G105" i="111"/>
  <c r="G200" i="111"/>
  <c r="K18" i="145"/>
  <c r="F228" i="145"/>
  <c r="F21" i="145"/>
  <c r="K17" i="111"/>
  <c r="E233" i="83"/>
  <c r="G233" i="83"/>
  <c r="K18" i="111"/>
  <c r="F228" i="143"/>
  <c r="F21" i="143"/>
  <c r="K18" i="143"/>
  <c r="K17" i="143"/>
  <c r="F215" i="143"/>
  <c r="E233" i="143"/>
  <c r="E19" i="72"/>
  <c r="E20" i="21"/>
  <c r="E19" i="21"/>
  <c r="E18" i="21"/>
  <c r="E17" i="21"/>
  <c r="E16" i="21"/>
  <c r="E15" i="21"/>
  <c r="E14" i="21"/>
  <c r="E13" i="21"/>
  <c r="E12" i="21"/>
  <c r="E18" i="62"/>
  <c r="E20" i="57"/>
  <c r="E19" i="57"/>
  <c r="E18" i="57"/>
  <c r="E17" i="57"/>
  <c r="G17" i="57"/>
  <c r="E16" i="57"/>
  <c r="E15" i="57"/>
  <c r="E14" i="57"/>
  <c r="E13" i="57"/>
  <c r="G13" i="57"/>
  <c r="E12" i="57"/>
  <c r="E20" i="136"/>
  <c r="E19" i="136"/>
  <c r="E18" i="136"/>
  <c r="E17" i="136"/>
  <c r="E16" i="136"/>
  <c r="E15" i="136"/>
  <c r="E14" i="136"/>
  <c r="E13" i="136"/>
  <c r="E12" i="136"/>
  <c r="E12" i="102"/>
  <c r="E19" i="45"/>
  <c r="E17" i="45"/>
  <c r="E13" i="45"/>
  <c r="E20" i="135"/>
  <c r="E19" i="135"/>
  <c r="E18" i="135"/>
  <c r="E17" i="135"/>
  <c r="E16" i="135"/>
  <c r="E15" i="135"/>
  <c r="G15" i="135"/>
  <c r="E14" i="135"/>
  <c r="G14" i="135"/>
  <c r="E13" i="135"/>
  <c r="E12" i="135"/>
  <c r="E16" i="37"/>
  <c r="E20" i="33"/>
  <c r="E19" i="33"/>
  <c r="E18" i="33"/>
  <c r="E17" i="33"/>
  <c r="E16" i="33"/>
  <c r="E15" i="33"/>
  <c r="E14" i="33"/>
  <c r="E13" i="33"/>
  <c r="E12" i="33"/>
  <c r="E11" i="21"/>
  <c r="E11" i="57"/>
  <c r="E11" i="136"/>
  <c r="E11" i="45"/>
  <c r="G11" i="45"/>
  <c r="E11" i="135"/>
  <c r="G11" i="135"/>
  <c r="E11" i="33"/>
  <c r="F43" i="97"/>
  <c r="F228" i="95"/>
  <c r="F21" i="95"/>
  <c r="F228" i="50"/>
  <c r="F21" i="50"/>
  <c r="F228" i="1"/>
  <c r="K18" i="1"/>
  <c r="K17" i="1"/>
  <c r="F21" i="1"/>
  <c r="F228" i="25"/>
  <c r="K18" i="25"/>
  <c r="F21" i="25"/>
  <c r="F228" i="28"/>
  <c r="F21" i="28"/>
  <c r="F228" i="142"/>
  <c r="F21" i="142"/>
  <c r="F228" i="141"/>
  <c r="K18" i="141"/>
  <c r="K17" i="141"/>
  <c r="F21" i="141"/>
  <c r="F228" i="24"/>
  <c r="K18" i="24"/>
  <c r="K17" i="24"/>
  <c r="F21" i="24"/>
  <c r="F228" i="62"/>
  <c r="E227" i="62"/>
  <c r="E221" i="62"/>
  <c r="F228" i="98"/>
  <c r="F21" i="98"/>
  <c r="F215" i="98"/>
  <c r="F228" i="53"/>
  <c r="F21" i="53"/>
  <c r="F228" i="86"/>
  <c r="K18" i="86"/>
  <c r="F21" i="86"/>
  <c r="K18" i="118"/>
  <c r="K17" i="118"/>
  <c r="F228" i="94"/>
  <c r="F21" i="94"/>
  <c r="F228" i="54"/>
  <c r="K18" i="54"/>
  <c r="K17" i="54"/>
  <c r="F21" i="54"/>
  <c r="F228" i="60"/>
  <c r="K18" i="60"/>
  <c r="K17" i="60"/>
  <c r="F21" i="60"/>
  <c r="F228" i="38"/>
  <c r="F21" i="38"/>
  <c r="F228" i="49"/>
  <c r="K17" i="49"/>
  <c r="F21" i="49"/>
  <c r="F228" i="69"/>
  <c r="F21" i="69"/>
  <c r="F228" i="84"/>
  <c r="K18" i="84"/>
  <c r="K17" i="84"/>
  <c r="F228" i="104"/>
  <c r="K18" i="104"/>
  <c r="F21" i="104"/>
  <c r="F228" i="106"/>
  <c r="F21" i="106"/>
  <c r="F228" i="42"/>
  <c r="K18" i="42"/>
  <c r="F21" i="42"/>
  <c r="F228" i="87"/>
  <c r="K18" i="87"/>
  <c r="K17" i="87"/>
  <c r="F21" i="87"/>
  <c r="E232" i="20"/>
  <c r="F228" i="20"/>
  <c r="K17" i="20"/>
  <c r="F21" i="20"/>
  <c r="F228" i="90"/>
  <c r="F21" i="90"/>
  <c r="F228" i="113"/>
  <c r="E226" i="113"/>
  <c r="E222" i="113"/>
  <c r="F21" i="113"/>
  <c r="F228" i="92"/>
  <c r="K18" i="92"/>
  <c r="K17" i="92"/>
  <c r="F21" i="92"/>
  <c r="F228" i="89"/>
  <c r="K18" i="89"/>
  <c r="K17" i="89"/>
  <c r="F21" i="89"/>
  <c r="E232" i="57"/>
  <c r="E231" i="57"/>
  <c r="F228" i="57"/>
  <c r="E227" i="57"/>
  <c r="E226" i="57"/>
  <c r="E225" i="57"/>
  <c r="E224" i="57"/>
  <c r="E223" i="57"/>
  <c r="E222" i="57"/>
  <c r="E221" i="57"/>
  <c r="E220" i="57"/>
  <c r="G205" i="57"/>
  <c r="G204" i="57"/>
  <c r="G203" i="57"/>
  <c r="G202" i="57"/>
  <c r="G201" i="57"/>
  <c r="G200" i="57"/>
  <c r="G206" i="57"/>
  <c r="G183" i="57"/>
  <c r="G167" i="57"/>
  <c r="G101" i="57"/>
  <c r="G100" i="57"/>
  <c r="G99" i="57"/>
  <c r="G98" i="57"/>
  <c r="G97" i="57"/>
  <c r="G41" i="57"/>
  <c r="G40" i="57"/>
  <c r="G39" i="57"/>
  <c r="G37" i="57"/>
  <c r="G36" i="57"/>
  <c r="G35" i="57"/>
  <c r="G34" i="57"/>
  <c r="G33" i="57"/>
  <c r="G32" i="57"/>
  <c r="G31" i="57"/>
  <c r="G29" i="57"/>
  <c r="G28" i="57"/>
  <c r="G27" i="57"/>
  <c r="G26" i="57"/>
  <c r="F21" i="57"/>
  <c r="G19" i="57"/>
  <c r="G15" i="57"/>
  <c r="G14" i="57"/>
  <c r="F21" i="14"/>
  <c r="K17" i="14"/>
  <c r="K18" i="14"/>
  <c r="F228" i="14"/>
  <c r="F228" i="55"/>
  <c r="K18" i="55"/>
  <c r="F21" i="55"/>
  <c r="E232" i="111"/>
  <c r="E231" i="111"/>
  <c r="E233" i="111"/>
  <c r="E235" i="111"/>
  <c r="G231" i="111"/>
  <c r="F228" i="111"/>
  <c r="E226" i="111"/>
  <c r="G226" i="111"/>
  <c r="E224" i="111"/>
  <c r="E222" i="111"/>
  <c r="E220" i="111"/>
  <c r="F228" i="16"/>
  <c r="F21" i="16"/>
  <c r="F228" i="79"/>
  <c r="K18" i="79"/>
  <c r="K17" i="79"/>
  <c r="F21" i="79"/>
  <c r="F228" i="32"/>
  <c r="K18" i="32"/>
  <c r="K17" i="32"/>
  <c r="F21" i="32"/>
  <c r="F228" i="33"/>
  <c r="E227" i="33"/>
  <c r="E226" i="33"/>
  <c r="E224" i="33"/>
  <c r="E222" i="33"/>
  <c r="E220" i="33"/>
  <c r="G205" i="33"/>
  <c r="G204" i="33"/>
  <c r="G196" i="33"/>
  <c r="G195" i="33"/>
  <c r="G194" i="33"/>
  <c r="G193" i="33"/>
  <c r="G192" i="33"/>
  <c r="G191" i="33"/>
  <c r="G190" i="33"/>
  <c r="G189" i="33"/>
  <c r="G188" i="33"/>
  <c r="G187" i="33"/>
  <c r="G186" i="33"/>
  <c r="G185" i="33"/>
  <c r="G184" i="33"/>
  <c r="G160" i="33"/>
  <c r="G159" i="33"/>
  <c r="G158" i="33"/>
  <c r="G157" i="33"/>
  <c r="G156" i="33"/>
  <c r="G155" i="33"/>
  <c r="G153" i="33"/>
  <c r="G152" i="33"/>
  <c r="G151" i="33"/>
  <c r="G150" i="33"/>
  <c r="G149" i="33"/>
  <c r="G148" i="33"/>
  <c r="G147" i="33"/>
  <c r="G118" i="33"/>
  <c r="G117" i="33"/>
  <c r="G116" i="33"/>
  <c r="G115" i="33"/>
  <c r="G114" i="33"/>
  <c r="G110" i="33"/>
  <c r="G109" i="33"/>
  <c r="G108" i="33"/>
  <c r="G107" i="33"/>
  <c r="G106" i="33"/>
  <c r="G101" i="33"/>
  <c r="G100" i="33"/>
  <c r="G99" i="33"/>
  <c r="G98" i="33"/>
  <c r="G92" i="33"/>
  <c r="G91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0" i="33"/>
  <c r="G58" i="33"/>
  <c r="G57" i="33"/>
  <c r="G56" i="33"/>
  <c r="G55" i="33"/>
  <c r="G54" i="33"/>
  <c r="G53" i="33"/>
  <c r="G52" i="33"/>
  <c r="G50" i="33"/>
  <c r="G49" i="33"/>
  <c r="F21" i="33"/>
  <c r="G20" i="33"/>
  <c r="G18" i="33"/>
  <c r="G17" i="33"/>
  <c r="G16" i="33"/>
  <c r="G15" i="33"/>
  <c r="G14" i="33"/>
  <c r="G13" i="33"/>
  <c r="G12" i="33"/>
  <c r="G11" i="33"/>
  <c r="F228" i="119"/>
  <c r="K18" i="119"/>
  <c r="F21" i="119"/>
  <c r="F215" i="119"/>
  <c r="F228" i="39"/>
  <c r="K17" i="39"/>
  <c r="F21" i="39"/>
  <c r="K18" i="43"/>
  <c r="K17" i="43"/>
  <c r="F21" i="43"/>
  <c r="F228" i="46"/>
  <c r="K18" i="46"/>
  <c r="K17" i="46"/>
  <c r="F21" i="46"/>
  <c r="F228" i="47"/>
  <c r="K18" i="47"/>
  <c r="K17" i="47"/>
  <c r="F21" i="47"/>
  <c r="E232" i="136"/>
  <c r="E231" i="136"/>
  <c r="F228" i="136"/>
  <c r="E227" i="136"/>
  <c r="E226" i="136"/>
  <c r="E224" i="136"/>
  <c r="E222" i="136"/>
  <c r="E220" i="136"/>
  <c r="K18" i="136"/>
  <c r="G205" i="136"/>
  <c r="G196" i="136"/>
  <c r="G195" i="136"/>
  <c r="G194" i="136"/>
  <c r="G193" i="136"/>
  <c r="G192" i="136"/>
  <c r="G191" i="136"/>
  <c r="G190" i="136"/>
  <c r="G189" i="136"/>
  <c r="G188" i="136"/>
  <c r="G187" i="136"/>
  <c r="G186" i="136"/>
  <c r="G185" i="136"/>
  <c r="G184" i="136"/>
  <c r="G183" i="136"/>
  <c r="G160" i="136"/>
  <c r="G159" i="136"/>
  <c r="G158" i="136"/>
  <c r="G157" i="136"/>
  <c r="G156" i="136"/>
  <c r="G155" i="136"/>
  <c r="G153" i="136"/>
  <c r="G152" i="136"/>
  <c r="G151" i="136"/>
  <c r="G150" i="136"/>
  <c r="G146" i="136"/>
  <c r="G118" i="136"/>
  <c r="G117" i="136"/>
  <c r="G116" i="136"/>
  <c r="G115" i="136"/>
  <c r="G110" i="136"/>
  <c r="G109" i="136"/>
  <c r="G108" i="136"/>
  <c r="G107" i="136"/>
  <c r="G106" i="136"/>
  <c r="G105" i="136"/>
  <c r="G101" i="136"/>
  <c r="G100" i="136"/>
  <c r="G99" i="136"/>
  <c r="G92" i="136"/>
  <c r="G91" i="136"/>
  <c r="G90" i="136"/>
  <c r="G89" i="136"/>
  <c r="G88" i="136"/>
  <c r="G87" i="136"/>
  <c r="G86" i="136"/>
  <c r="G85" i="136"/>
  <c r="G84" i="136"/>
  <c r="G78" i="136"/>
  <c r="G77" i="136"/>
  <c r="G76" i="136"/>
  <c r="G75" i="136"/>
  <c r="G60" i="136"/>
  <c r="G59" i="136"/>
  <c r="G58" i="136"/>
  <c r="G57" i="136"/>
  <c r="G56" i="136"/>
  <c r="G55" i="136"/>
  <c r="G54" i="136"/>
  <c r="G53" i="136"/>
  <c r="G52" i="136"/>
  <c r="G51" i="136"/>
  <c r="G50" i="136"/>
  <c r="G49" i="136"/>
  <c r="G48" i="136"/>
  <c r="G47" i="136"/>
  <c r="G46" i="136"/>
  <c r="G45" i="136"/>
  <c r="G44" i="136"/>
  <c r="G43" i="136"/>
  <c r="G42" i="136"/>
  <c r="G41" i="136"/>
  <c r="G40" i="136"/>
  <c r="F21" i="136"/>
  <c r="G20" i="136"/>
  <c r="G19" i="136"/>
  <c r="G18" i="136"/>
  <c r="G16" i="136"/>
  <c r="G15" i="136"/>
  <c r="G14" i="136"/>
  <c r="G13" i="136"/>
  <c r="E232" i="27"/>
  <c r="F228" i="27"/>
  <c r="E224" i="27"/>
  <c r="G224" i="27"/>
  <c r="K18" i="27"/>
  <c r="K17" i="27"/>
  <c r="F21" i="27"/>
  <c r="F228" i="64"/>
  <c r="K18" i="64"/>
  <c r="F21" i="64"/>
  <c r="K18" i="31"/>
  <c r="K17" i="31"/>
  <c r="F21" i="31"/>
  <c r="E232" i="135"/>
  <c r="F228" i="135"/>
  <c r="E226" i="135"/>
  <c r="G226" i="135"/>
  <c r="E225" i="135"/>
  <c r="K18" i="135"/>
  <c r="G205" i="135"/>
  <c r="G196" i="135"/>
  <c r="G195" i="135"/>
  <c r="G194" i="135"/>
  <c r="G192" i="135"/>
  <c r="G189" i="135"/>
  <c r="G188" i="135"/>
  <c r="G187" i="135"/>
  <c r="G185" i="135"/>
  <c r="G184" i="135"/>
  <c r="G183" i="135"/>
  <c r="G160" i="135"/>
  <c r="G159" i="135"/>
  <c r="G157" i="135"/>
  <c r="G156" i="135"/>
  <c r="G153" i="135"/>
  <c r="G152" i="135"/>
  <c r="G151" i="135"/>
  <c r="G150" i="135"/>
  <c r="G149" i="135"/>
  <c r="G148" i="135"/>
  <c r="G145" i="135"/>
  <c r="G143" i="135"/>
  <c r="G141" i="135"/>
  <c r="G140" i="135"/>
  <c r="G138" i="135"/>
  <c r="G135" i="135"/>
  <c r="G133" i="135"/>
  <c r="G132" i="135"/>
  <c r="G131" i="135"/>
  <c r="G129" i="135"/>
  <c r="G125" i="135"/>
  <c r="G124" i="135"/>
  <c r="G110" i="135"/>
  <c r="G108" i="135"/>
  <c r="G107" i="135"/>
  <c r="G101" i="135"/>
  <c r="G100" i="135"/>
  <c r="G91" i="135"/>
  <c r="G88" i="135"/>
  <c r="G87" i="135"/>
  <c r="G86" i="135"/>
  <c r="G60" i="135"/>
  <c r="G59" i="135"/>
  <c r="G58" i="135"/>
  <c r="G53" i="135"/>
  <c r="G52" i="135"/>
  <c r="G51" i="135"/>
  <c r="G49" i="135"/>
  <c r="G47" i="135"/>
  <c r="G46" i="135"/>
  <c r="G45" i="135"/>
  <c r="G44" i="135"/>
  <c r="G43" i="135"/>
  <c r="F21" i="135"/>
  <c r="F228" i="63"/>
  <c r="K18" i="63"/>
  <c r="K17" i="63"/>
  <c r="F21" i="63"/>
  <c r="F228" i="72"/>
  <c r="E222" i="72"/>
  <c r="F21" i="72"/>
  <c r="F228" i="120"/>
  <c r="K18" i="120"/>
  <c r="K17" i="120"/>
  <c r="F21" i="120"/>
  <c r="E232" i="37"/>
  <c r="F228" i="37"/>
  <c r="E226" i="37"/>
  <c r="E224" i="37"/>
  <c r="K18" i="37"/>
  <c r="F21" i="37"/>
  <c r="E232" i="21"/>
  <c r="E231" i="21"/>
  <c r="F228" i="21"/>
  <c r="E227" i="21"/>
  <c r="E225" i="21"/>
  <c r="E223" i="21"/>
  <c r="E222" i="21"/>
  <c r="E220" i="21"/>
  <c r="G205" i="21"/>
  <c r="G201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0" i="21"/>
  <c r="G159" i="21"/>
  <c r="G158" i="21"/>
  <c r="G157" i="21"/>
  <c r="G156" i="21"/>
  <c r="G155" i="21"/>
  <c r="G153" i="21"/>
  <c r="G152" i="21"/>
  <c r="G151" i="21"/>
  <c r="G150" i="21"/>
  <c r="G118" i="21"/>
  <c r="G117" i="21"/>
  <c r="G116" i="21"/>
  <c r="G110" i="21"/>
  <c r="G109" i="21"/>
  <c r="G108" i="21"/>
  <c r="G107" i="21"/>
  <c r="G106" i="21"/>
  <c r="G105" i="21"/>
  <c r="G92" i="21"/>
  <c r="G91" i="21"/>
  <c r="G90" i="21"/>
  <c r="G89" i="21"/>
  <c r="G88" i="21"/>
  <c r="G87" i="21"/>
  <c r="G86" i="21"/>
  <c r="G77" i="21"/>
  <c r="G76" i="21"/>
  <c r="G75" i="21"/>
  <c r="G74" i="21"/>
  <c r="G65" i="21"/>
  <c r="G60" i="21"/>
  <c r="G58" i="21"/>
  <c r="G57" i="21"/>
  <c r="G56" i="21"/>
  <c r="G41" i="21"/>
  <c r="G29" i="21"/>
  <c r="G28" i="21"/>
  <c r="G26" i="21"/>
  <c r="F21" i="21"/>
  <c r="G20" i="21"/>
  <c r="G19" i="21"/>
  <c r="G18" i="21"/>
  <c r="G16" i="21"/>
  <c r="G15" i="21"/>
  <c r="G14" i="21"/>
  <c r="G13" i="21"/>
  <c r="G12" i="21"/>
  <c r="G11" i="21"/>
  <c r="E233" i="21"/>
  <c r="F228" i="65"/>
  <c r="F21" i="65"/>
  <c r="F215" i="65"/>
  <c r="F228" i="15"/>
  <c r="F21" i="15"/>
  <c r="F228" i="45"/>
  <c r="K18" i="45"/>
  <c r="G188" i="45"/>
  <c r="G164" i="45"/>
  <c r="G116" i="45"/>
  <c r="G89" i="45"/>
  <c r="F21" i="45"/>
  <c r="G17" i="45"/>
  <c r="F228" i="133"/>
  <c r="K18" i="133"/>
  <c r="F21" i="133"/>
  <c r="F228" i="58"/>
  <c r="F21" i="58"/>
  <c r="F228" i="10"/>
  <c r="K18" i="10"/>
  <c r="K17" i="10"/>
  <c r="F21" i="10"/>
  <c r="K18" i="103"/>
  <c r="K17" i="103"/>
  <c r="F228" i="66"/>
  <c r="F21" i="66"/>
  <c r="F228" i="19"/>
  <c r="E223" i="19"/>
  <c r="F228" i="85"/>
  <c r="E226" i="85"/>
  <c r="E224" i="85"/>
  <c r="K18" i="85"/>
  <c r="K17" i="85"/>
  <c r="F21" i="85"/>
  <c r="E233" i="85"/>
  <c r="G233" i="85"/>
  <c r="F228" i="71"/>
  <c r="F21" i="71"/>
  <c r="F228" i="102"/>
  <c r="E227" i="102"/>
  <c r="G227" i="102"/>
  <c r="E226" i="102"/>
  <c r="E224" i="102"/>
  <c r="E222" i="102"/>
  <c r="K18" i="102"/>
  <c r="F21" i="102"/>
  <c r="F158" i="97"/>
  <c r="F160" i="97"/>
  <c r="F161" i="97"/>
  <c r="F162" i="97"/>
  <c r="F163" i="97"/>
  <c r="D234" i="97"/>
  <c r="D222" i="97"/>
  <c r="D223" i="97"/>
  <c r="D224" i="97"/>
  <c r="D225" i="97"/>
  <c r="D226" i="97"/>
  <c r="D227" i="97"/>
  <c r="D228" i="97"/>
  <c r="D229" i="97"/>
  <c r="D230" i="97"/>
  <c r="G236" i="97"/>
  <c r="E236" i="97"/>
  <c r="M29" i="97"/>
  <c r="M54" i="97"/>
  <c r="M117" i="97"/>
  <c r="M126" i="97"/>
  <c r="M128" i="97"/>
  <c r="M129" i="97"/>
  <c r="M130" i="97"/>
  <c r="M141" i="97"/>
  <c r="M148" i="97"/>
  <c r="M149" i="97"/>
  <c r="M150" i="97"/>
  <c r="M151" i="97"/>
  <c r="M152" i="97"/>
  <c r="M167" i="97"/>
  <c r="M173" i="97"/>
  <c r="M175" i="97"/>
  <c r="M177" i="97"/>
  <c r="M203" i="97"/>
  <c r="F235" i="97"/>
  <c r="D235" i="97"/>
  <c r="F207" i="97"/>
  <c r="F205" i="97"/>
  <c r="F203" i="97"/>
  <c r="F199" i="97"/>
  <c r="F197" i="97"/>
  <c r="F195" i="97"/>
  <c r="F193" i="97"/>
  <c r="F191" i="97"/>
  <c r="F189" i="97"/>
  <c r="F187" i="97"/>
  <c r="F185" i="97"/>
  <c r="F183" i="97"/>
  <c r="F181" i="97"/>
  <c r="F179" i="97"/>
  <c r="F177" i="97"/>
  <c r="F175" i="97"/>
  <c r="F173" i="97"/>
  <c r="F171" i="97"/>
  <c r="F169" i="97"/>
  <c r="F167" i="97"/>
  <c r="F155" i="97"/>
  <c r="F153" i="97"/>
  <c r="F151" i="97"/>
  <c r="F234" i="97"/>
  <c r="F208" i="97"/>
  <c r="F206" i="97"/>
  <c r="F204" i="97"/>
  <c r="F198" i="97"/>
  <c r="F196" i="97"/>
  <c r="F194" i="97"/>
  <c r="F192" i="97"/>
  <c r="F190" i="97"/>
  <c r="F188" i="97"/>
  <c r="F186" i="97"/>
  <c r="F184" i="97"/>
  <c r="F182" i="97"/>
  <c r="F180" i="97"/>
  <c r="F178" i="97"/>
  <c r="F176" i="97"/>
  <c r="F174" i="97"/>
  <c r="F172" i="97"/>
  <c r="F170" i="97"/>
  <c r="F168" i="97"/>
  <c r="F159" i="97"/>
  <c r="F156" i="97"/>
  <c r="F154" i="97"/>
  <c r="F152" i="97"/>
  <c r="F149" i="97"/>
  <c r="F146" i="97"/>
  <c r="F144" i="97"/>
  <c r="F141" i="97"/>
  <c r="F139" i="97"/>
  <c r="F136" i="97"/>
  <c r="F134" i="97"/>
  <c r="F132" i="97"/>
  <c r="F129" i="97"/>
  <c r="F127" i="97"/>
  <c r="F120" i="97"/>
  <c r="F118" i="97"/>
  <c r="F112" i="97"/>
  <c r="F110" i="97"/>
  <c r="F108" i="97"/>
  <c r="F104" i="97"/>
  <c r="F102" i="97"/>
  <c r="F100" i="97"/>
  <c r="F94" i="97"/>
  <c r="F92" i="97"/>
  <c r="F90" i="97"/>
  <c r="F88" i="97"/>
  <c r="F86" i="97"/>
  <c r="F80" i="97"/>
  <c r="F78" i="97"/>
  <c r="F76" i="97"/>
  <c r="F74" i="97"/>
  <c r="F72" i="97"/>
  <c r="F150" i="97"/>
  <c r="F148" i="97"/>
  <c r="F145" i="97"/>
  <c r="F143" i="97"/>
  <c r="F138" i="97"/>
  <c r="F135" i="97"/>
  <c r="F133" i="97"/>
  <c r="F130" i="97"/>
  <c r="F128" i="97"/>
  <c r="F126" i="97"/>
  <c r="F121" i="97"/>
  <c r="F119" i="97"/>
  <c r="F117" i="97"/>
  <c r="F113" i="97"/>
  <c r="F111" i="97"/>
  <c r="F109" i="97"/>
  <c r="F103" i="97"/>
  <c r="F101" i="97"/>
  <c r="F99" i="97"/>
  <c r="F95" i="97"/>
  <c r="F93" i="97"/>
  <c r="F91" i="97"/>
  <c r="F89" i="97"/>
  <c r="F87" i="97"/>
  <c r="F85" i="97"/>
  <c r="F81" i="97"/>
  <c r="F79" i="97"/>
  <c r="F77" i="97"/>
  <c r="F73" i="97"/>
  <c r="F71" i="97"/>
  <c r="F68" i="97"/>
  <c r="F62" i="97"/>
  <c r="F58" i="97"/>
  <c r="F56" i="97"/>
  <c r="F54" i="97"/>
  <c r="F52" i="97"/>
  <c r="F48" i="97"/>
  <c r="F46" i="97"/>
  <c r="F44" i="97"/>
  <c r="F42" i="97"/>
  <c r="F40" i="97"/>
  <c r="F36" i="97"/>
  <c r="F34" i="97"/>
  <c r="F32" i="97"/>
  <c r="F30" i="97"/>
  <c r="F28" i="97"/>
  <c r="F22" i="97"/>
  <c r="F20" i="97"/>
  <c r="F18" i="97"/>
  <c r="F16" i="97"/>
  <c r="F14" i="97"/>
  <c r="F69" i="97"/>
  <c r="F67" i="97"/>
  <c r="F61" i="97"/>
  <c r="F59" i="97"/>
  <c r="F57" i="97"/>
  <c r="F55" i="97"/>
  <c r="F53" i="97"/>
  <c r="F51" i="97"/>
  <c r="F49" i="97"/>
  <c r="F47" i="97"/>
  <c r="F45" i="97"/>
  <c r="F41" i="97"/>
  <c r="F39" i="97"/>
  <c r="F37" i="97"/>
  <c r="F35" i="97"/>
  <c r="F33" i="97"/>
  <c r="F31" i="97"/>
  <c r="F29" i="97"/>
  <c r="F23" i="97"/>
  <c r="F21" i="97"/>
  <c r="F19" i="97"/>
  <c r="F17" i="97"/>
  <c r="F15" i="97"/>
  <c r="L175" i="97"/>
  <c r="L173" i="97"/>
  <c r="L29" i="97"/>
  <c r="L169" i="97"/>
  <c r="L126" i="97"/>
  <c r="L138" i="97"/>
  <c r="L177" i="97"/>
  <c r="O177" i="97"/>
  <c r="L99" i="97"/>
  <c r="L148" i="97"/>
  <c r="L129" i="97"/>
  <c r="L149" i="97"/>
  <c r="L141" i="97"/>
  <c r="L167" i="97"/>
  <c r="L151" i="97"/>
  <c r="L150" i="97"/>
  <c r="L152" i="97"/>
  <c r="L54" i="97"/>
  <c r="L108" i="97"/>
  <c r="M30" i="97"/>
  <c r="G200" i="21"/>
  <c r="G82" i="21"/>
  <c r="G123" i="21"/>
  <c r="E21" i="21"/>
  <c r="G25" i="21"/>
  <c r="G64" i="21"/>
  <c r="G114" i="21"/>
  <c r="G164" i="21"/>
  <c r="G123" i="135"/>
  <c r="G25" i="135"/>
  <c r="G64" i="135"/>
  <c r="G114" i="135"/>
  <c r="G164" i="135"/>
  <c r="G105" i="57"/>
  <c r="G96" i="57"/>
  <c r="G114" i="57"/>
  <c r="G116" i="57"/>
  <c r="G117" i="57"/>
  <c r="G118" i="57"/>
  <c r="E233" i="57"/>
  <c r="G160" i="57"/>
  <c r="G11" i="57"/>
  <c r="G65" i="57"/>
  <c r="G82" i="57"/>
  <c r="G164" i="57"/>
  <c r="G105" i="33"/>
  <c r="G64" i="33"/>
  <c r="G96" i="33"/>
  <c r="G82" i="33"/>
  <c r="G123" i="33"/>
  <c r="G200" i="33"/>
  <c r="G82" i="136"/>
  <c r="G83" i="136"/>
  <c r="G93" i="136"/>
  <c r="G123" i="136"/>
  <c r="G114" i="136"/>
  <c r="G164" i="136"/>
  <c r="G115" i="57"/>
  <c r="G25" i="57"/>
  <c r="G200" i="135"/>
  <c r="F215" i="15"/>
  <c r="G232" i="21"/>
  <c r="G231" i="21"/>
  <c r="F215" i="54"/>
  <c r="F215" i="31"/>
  <c r="F215" i="49"/>
  <c r="F215" i="86"/>
  <c r="F215" i="24"/>
  <c r="F215" i="142"/>
  <c r="F215" i="63"/>
  <c r="F215" i="27"/>
  <c r="F215" i="43"/>
  <c r="F215" i="33"/>
  <c r="F215" i="14"/>
  <c r="F215" i="47"/>
  <c r="F215" i="135"/>
  <c r="F215" i="90"/>
  <c r="F215" i="94"/>
  <c r="F215" i="1"/>
  <c r="F215" i="50"/>
  <c r="F224" i="97"/>
  <c r="F222" i="97"/>
  <c r="E233" i="104"/>
  <c r="K14" i="111"/>
  <c r="E233" i="53"/>
  <c r="E233" i="49"/>
  <c r="E233" i="58"/>
  <c r="E233" i="38"/>
  <c r="E233" i="45"/>
  <c r="G233" i="45"/>
  <c r="E233" i="46"/>
  <c r="K17" i="83"/>
  <c r="F60" i="97"/>
  <c r="E233" i="113"/>
  <c r="G219" i="21"/>
  <c r="E233" i="64"/>
  <c r="E235" i="57"/>
  <c r="E233" i="92"/>
  <c r="E233" i="62"/>
  <c r="G231" i="136"/>
  <c r="E233" i="42"/>
  <c r="K17" i="68"/>
  <c r="E233" i="135"/>
  <c r="E231" i="135"/>
  <c r="E235" i="135"/>
  <c r="G225" i="135"/>
  <c r="F75" i="97"/>
  <c r="E233" i="27"/>
  <c r="E233" i="136"/>
  <c r="E233" i="33"/>
  <c r="E233" i="50"/>
  <c r="G119" i="136"/>
  <c r="K18" i="83"/>
  <c r="F63" i="97"/>
  <c r="G220" i="21"/>
  <c r="F50" i="97"/>
  <c r="F105" i="97"/>
  <c r="G119" i="33"/>
  <c r="F70" i="97"/>
  <c r="G223" i="21"/>
  <c r="G232" i="136"/>
  <c r="F38" i="97"/>
  <c r="K18" i="68"/>
  <c r="G233" i="57"/>
  <c r="E233" i="47"/>
  <c r="E233" i="106"/>
  <c r="G233" i="106"/>
  <c r="G226" i="136"/>
  <c r="G227" i="136"/>
  <c r="G226" i="33"/>
  <c r="E233" i="31"/>
  <c r="G233" i="21"/>
  <c r="G219" i="57"/>
  <c r="G221" i="57"/>
  <c r="G222" i="57"/>
  <c r="G223" i="57"/>
  <c r="G224" i="57"/>
  <c r="G225" i="57"/>
  <c r="G226" i="57"/>
  <c r="G227" i="57"/>
  <c r="E233" i="94"/>
  <c r="E233" i="25"/>
  <c r="E233" i="1"/>
  <c r="E233" i="95"/>
  <c r="E233" i="54"/>
  <c r="E233" i="71"/>
  <c r="E233" i="120"/>
  <c r="G233" i="120"/>
  <c r="E233" i="89"/>
  <c r="E233" i="87"/>
  <c r="G233" i="87"/>
  <c r="E233" i="60"/>
  <c r="K17" i="102"/>
  <c r="K17" i="58"/>
  <c r="K18" i="58"/>
  <c r="E233" i="133"/>
  <c r="K17" i="133"/>
  <c r="G152" i="45"/>
  <c r="E220" i="45"/>
  <c r="E221" i="45"/>
  <c r="E224" i="45"/>
  <c r="E225" i="45"/>
  <c r="E232" i="45"/>
  <c r="G30" i="21"/>
  <c r="G31" i="21"/>
  <c r="G32" i="21"/>
  <c r="G33" i="21"/>
  <c r="G34" i="21"/>
  <c r="G36" i="21"/>
  <c r="G38" i="21"/>
  <c r="G39" i="21"/>
  <c r="G40" i="21"/>
  <c r="G42" i="21"/>
  <c r="G44" i="21"/>
  <c r="G46" i="21"/>
  <c r="G47" i="21"/>
  <c r="G48" i="21"/>
  <c r="G49" i="21"/>
  <c r="G50" i="21"/>
  <c r="G52" i="21"/>
  <c r="G54" i="21"/>
  <c r="G55" i="21"/>
  <c r="G202" i="21"/>
  <c r="G203" i="21"/>
  <c r="G204" i="21"/>
  <c r="E221" i="21"/>
  <c r="G222" i="21"/>
  <c r="E224" i="21"/>
  <c r="G225" i="21"/>
  <c r="E226" i="21"/>
  <c r="G227" i="21"/>
  <c r="M19" i="21"/>
  <c r="K17" i="21"/>
  <c r="K18" i="21"/>
  <c r="K17" i="37"/>
  <c r="G65" i="135"/>
  <c r="G67" i="135"/>
  <c r="G69" i="135"/>
  <c r="G70" i="135"/>
  <c r="G71" i="135"/>
  <c r="G72" i="135"/>
  <c r="G73" i="135"/>
  <c r="G75" i="135"/>
  <c r="G83" i="135"/>
  <c r="G85" i="135"/>
  <c r="G115" i="135"/>
  <c r="G116" i="135"/>
  <c r="G117" i="135"/>
  <c r="G165" i="135"/>
  <c r="G167" i="135"/>
  <c r="G168" i="135"/>
  <c r="G170" i="135"/>
  <c r="G171" i="135"/>
  <c r="G172" i="135"/>
  <c r="G173" i="135"/>
  <c r="G175" i="135"/>
  <c r="G176" i="135"/>
  <c r="G178" i="135"/>
  <c r="G179" i="135"/>
  <c r="G180" i="135"/>
  <c r="G181" i="135"/>
  <c r="G201" i="135"/>
  <c r="G202" i="135"/>
  <c r="G203" i="135"/>
  <c r="E220" i="135"/>
  <c r="E221" i="135"/>
  <c r="E222" i="135"/>
  <c r="E223" i="135"/>
  <c r="E224" i="135"/>
  <c r="E227" i="135"/>
  <c r="E228" i="135"/>
  <c r="G221" i="135"/>
  <c r="G227" i="135"/>
  <c r="K17" i="64"/>
  <c r="E222" i="27"/>
  <c r="G222" i="27"/>
  <c r="G25" i="136"/>
  <c r="G26" i="136"/>
  <c r="G27" i="136"/>
  <c r="G28" i="136"/>
  <c r="G29" i="136"/>
  <c r="G30" i="136"/>
  <c r="G31" i="136"/>
  <c r="G32" i="136"/>
  <c r="G33" i="136"/>
  <c r="G34" i="136"/>
  <c r="G35" i="136"/>
  <c r="G36" i="136"/>
  <c r="G37" i="136"/>
  <c r="G38" i="136"/>
  <c r="G39" i="136"/>
  <c r="G124" i="136"/>
  <c r="G125" i="136"/>
  <c r="G126" i="136"/>
  <c r="G127" i="136"/>
  <c r="G129" i="136"/>
  <c r="G130" i="136"/>
  <c r="G131" i="136"/>
  <c r="G132" i="136"/>
  <c r="G133" i="136"/>
  <c r="G135" i="136"/>
  <c r="G136" i="136"/>
  <c r="G137" i="136"/>
  <c r="G138" i="136"/>
  <c r="G140" i="136"/>
  <c r="G141" i="136"/>
  <c r="G142" i="136"/>
  <c r="G143" i="136"/>
  <c r="G145" i="136"/>
  <c r="G147" i="136"/>
  <c r="G148" i="136"/>
  <c r="G149" i="136"/>
  <c r="G200" i="136"/>
  <c r="G201" i="136"/>
  <c r="G202" i="136"/>
  <c r="G203" i="136"/>
  <c r="G204" i="136"/>
  <c r="E221" i="136"/>
  <c r="E223" i="136"/>
  <c r="G224" i="136"/>
  <c r="E225" i="136"/>
  <c r="E233" i="43"/>
  <c r="G25" i="33"/>
  <c r="G26" i="33"/>
  <c r="G28" i="33"/>
  <c r="G29" i="33"/>
  <c r="G30" i="33"/>
  <c r="G31" i="33"/>
  <c r="G32" i="33"/>
  <c r="G33" i="33"/>
  <c r="G34" i="33"/>
  <c r="G36" i="33"/>
  <c r="G37" i="33"/>
  <c r="G38" i="33"/>
  <c r="G39" i="33"/>
  <c r="G40" i="33"/>
  <c r="G41" i="33"/>
  <c r="G42" i="33"/>
  <c r="G44" i="33"/>
  <c r="G45" i="33"/>
  <c r="G46" i="33"/>
  <c r="G47" i="33"/>
  <c r="G48" i="33"/>
  <c r="G65" i="33"/>
  <c r="G66" i="33"/>
  <c r="G97" i="33"/>
  <c r="G124" i="33"/>
  <c r="G125" i="33"/>
  <c r="G126" i="33"/>
  <c r="G127" i="33"/>
  <c r="G129" i="33"/>
  <c r="G130" i="33"/>
  <c r="G131" i="33"/>
  <c r="G132" i="33"/>
  <c r="G133" i="33"/>
  <c r="G135" i="33"/>
  <c r="G136" i="33"/>
  <c r="G137" i="33"/>
  <c r="G138" i="33"/>
  <c r="G140" i="33"/>
  <c r="G141" i="33"/>
  <c r="G142" i="33"/>
  <c r="G143" i="33"/>
  <c r="G145" i="33"/>
  <c r="G146" i="33"/>
  <c r="G201" i="33"/>
  <c r="G202" i="33"/>
  <c r="G203" i="33"/>
  <c r="G220" i="33"/>
  <c r="E221" i="33"/>
  <c r="G221" i="33"/>
  <c r="M13" i="33"/>
  <c r="G222" i="33"/>
  <c r="E223" i="33"/>
  <c r="G224" i="33"/>
  <c r="E225" i="33"/>
  <c r="E223" i="79"/>
  <c r="E224" i="79"/>
  <c r="G18" i="57"/>
  <c r="G42" i="57"/>
  <c r="G43" i="57"/>
  <c r="G44" i="57"/>
  <c r="G45" i="57"/>
  <c r="G47" i="57"/>
  <c r="G48" i="57"/>
  <c r="G49" i="57"/>
  <c r="G50" i="57"/>
  <c r="G51" i="57"/>
  <c r="G52" i="57"/>
  <c r="G53" i="57"/>
  <c r="G55" i="57"/>
  <c r="G56" i="57"/>
  <c r="G57" i="57"/>
  <c r="G58" i="57"/>
  <c r="G59" i="57"/>
  <c r="G60" i="57"/>
  <c r="G64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83" i="57"/>
  <c r="G84" i="57"/>
  <c r="G85" i="57"/>
  <c r="G86" i="57"/>
  <c r="G87" i="57"/>
  <c r="G88" i="57"/>
  <c r="G89" i="57"/>
  <c r="G90" i="57"/>
  <c r="G91" i="57"/>
  <c r="G92" i="57"/>
  <c r="G106" i="57"/>
  <c r="G107" i="57"/>
  <c r="G108" i="57"/>
  <c r="G109" i="57"/>
  <c r="G110" i="57"/>
  <c r="G123" i="57"/>
  <c r="G124" i="57"/>
  <c r="G125" i="57"/>
  <c r="G126" i="57"/>
  <c r="G127" i="57"/>
  <c r="G129" i="57"/>
  <c r="G130" i="57"/>
  <c r="G131" i="57"/>
  <c r="G132" i="57"/>
  <c r="G133" i="57"/>
  <c r="G135" i="57"/>
  <c r="G136" i="57"/>
  <c r="G137" i="57"/>
  <c r="G138" i="57"/>
  <c r="G140" i="57"/>
  <c r="G141" i="57"/>
  <c r="G142" i="57"/>
  <c r="G143" i="57"/>
  <c r="G145" i="57"/>
  <c r="G146" i="57"/>
  <c r="G147" i="57"/>
  <c r="G148" i="57"/>
  <c r="G149" i="57"/>
  <c r="G150" i="57"/>
  <c r="G151" i="57"/>
  <c r="G152" i="57"/>
  <c r="G153" i="57"/>
  <c r="G155" i="57"/>
  <c r="G156" i="57"/>
  <c r="G157" i="57"/>
  <c r="G158" i="57"/>
  <c r="G159" i="57"/>
  <c r="G165" i="57"/>
  <c r="G166" i="57"/>
  <c r="G168" i="57"/>
  <c r="G169" i="57"/>
  <c r="G170" i="57"/>
  <c r="G171" i="57"/>
  <c r="G172" i="57"/>
  <c r="G173" i="57"/>
  <c r="G174" i="57"/>
  <c r="G175" i="57"/>
  <c r="G176" i="57"/>
  <c r="G177" i="57"/>
  <c r="G178" i="57"/>
  <c r="G179" i="57"/>
  <c r="G180" i="57"/>
  <c r="G181" i="57"/>
  <c r="G182" i="57"/>
  <c r="G184" i="57"/>
  <c r="G185" i="57"/>
  <c r="G186" i="57"/>
  <c r="G187" i="57"/>
  <c r="G188" i="57"/>
  <c r="G189" i="57"/>
  <c r="G190" i="57"/>
  <c r="G191" i="57"/>
  <c r="G192" i="57"/>
  <c r="G193" i="57"/>
  <c r="G194" i="57"/>
  <c r="G195" i="57"/>
  <c r="G196" i="57"/>
  <c r="E221" i="20"/>
  <c r="E222" i="20"/>
  <c r="E223" i="20"/>
  <c r="E224" i="20"/>
  <c r="E225" i="20"/>
  <c r="G225" i="20"/>
  <c r="K17" i="104"/>
  <c r="K17" i="69"/>
  <c r="K18" i="69"/>
  <c r="K17" i="38"/>
  <c r="K18" i="38"/>
  <c r="K17" i="94"/>
  <c r="K18" i="94"/>
  <c r="E233" i="86"/>
  <c r="K17" i="53"/>
  <c r="K18" i="53"/>
  <c r="K17" i="98"/>
  <c r="K18" i="98"/>
  <c r="K17" i="62"/>
  <c r="K18" i="62"/>
  <c r="K17" i="142"/>
  <c r="K18" i="142"/>
  <c r="K17" i="28"/>
  <c r="K18" i="28"/>
  <c r="K17" i="50"/>
  <c r="K18" i="50"/>
  <c r="K17" i="95"/>
  <c r="K18" i="95"/>
  <c r="E233" i="90"/>
  <c r="G111" i="33"/>
  <c r="E223" i="102"/>
  <c r="E221" i="85"/>
  <c r="G221" i="85"/>
  <c r="E225" i="85"/>
  <c r="G225" i="85"/>
  <c r="E227" i="85"/>
  <c r="G37" i="45"/>
  <c r="G45" i="45"/>
  <c r="G68" i="45"/>
  <c r="G98" i="45"/>
  <c r="G168" i="45"/>
  <c r="G176" i="45"/>
  <c r="G66" i="21"/>
  <c r="G67" i="21"/>
  <c r="G68" i="21"/>
  <c r="G69" i="21"/>
  <c r="G70" i="21"/>
  <c r="G71" i="21"/>
  <c r="G72" i="21"/>
  <c r="G73" i="21"/>
  <c r="G78" i="21"/>
  <c r="G83" i="21"/>
  <c r="G84" i="21"/>
  <c r="G85" i="21"/>
  <c r="G96" i="21"/>
  <c r="G97" i="21"/>
  <c r="G98" i="21"/>
  <c r="G99" i="21"/>
  <c r="G100" i="21"/>
  <c r="G101" i="21"/>
  <c r="G115" i="21"/>
  <c r="G124" i="21"/>
  <c r="G125" i="21"/>
  <c r="G126" i="21"/>
  <c r="G127" i="21"/>
  <c r="G129" i="21"/>
  <c r="G130" i="21"/>
  <c r="G131" i="21"/>
  <c r="G132" i="21"/>
  <c r="G133" i="21"/>
  <c r="G135" i="21"/>
  <c r="G136" i="21"/>
  <c r="G137" i="21"/>
  <c r="G138" i="21"/>
  <c r="G140" i="21"/>
  <c r="G141" i="21"/>
  <c r="G142" i="21"/>
  <c r="G143" i="21"/>
  <c r="G145" i="21"/>
  <c r="G146" i="21"/>
  <c r="G147" i="21"/>
  <c r="G148" i="21"/>
  <c r="G149" i="21"/>
  <c r="E220" i="37"/>
  <c r="E227" i="37"/>
  <c r="G227" i="37"/>
  <c r="E224" i="72"/>
  <c r="E226" i="72"/>
  <c r="E231" i="72"/>
  <c r="G12" i="135"/>
  <c r="G13" i="135"/>
  <c r="G16" i="135"/>
  <c r="G17" i="135"/>
  <c r="G19" i="135"/>
  <c r="G20" i="135"/>
  <c r="G26" i="135"/>
  <c r="G27" i="135"/>
  <c r="G28" i="135"/>
  <c r="G29" i="135"/>
  <c r="G31" i="135"/>
  <c r="G34" i="135"/>
  <c r="G35" i="135"/>
  <c r="G36" i="135"/>
  <c r="G37" i="135"/>
  <c r="G39" i="135"/>
  <c r="G78" i="135"/>
  <c r="G98" i="135"/>
  <c r="G105" i="135"/>
  <c r="G106" i="135"/>
  <c r="G11" i="136"/>
  <c r="G12" i="136"/>
  <c r="G64" i="136"/>
  <c r="G65" i="136"/>
  <c r="G66" i="136"/>
  <c r="G67" i="136"/>
  <c r="G68" i="136"/>
  <c r="G69" i="136"/>
  <c r="G70" i="136"/>
  <c r="G71" i="136"/>
  <c r="G72" i="136"/>
  <c r="G73" i="136"/>
  <c r="G74" i="136"/>
  <c r="G96" i="136"/>
  <c r="G97" i="136"/>
  <c r="G98" i="136"/>
  <c r="G165" i="136"/>
  <c r="G166" i="136"/>
  <c r="G167" i="136"/>
  <c r="G168" i="136"/>
  <c r="G169" i="136"/>
  <c r="G170" i="136"/>
  <c r="G171" i="136"/>
  <c r="G172" i="136"/>
  <c r="G173" i="136"/>
  <c r="G174" i="136"/>
  <c r="G175" i="136"/>
  <c r="G176" i="136"/>
  <c r="G177" i="136"/>
  <c r="G178" i="136"/>
  <c r="G179" i="136"/>
  <c r="G180" i="136"/>
  <c r="G181" i="136"/>
  <c r="G182" i="136"/>
  <c r="K17" i="136"/>
  <c r="K17" i="119"/>
  <c r="G83" i="33"/>
  <c r="G84" i="33"/>
  <c r="G85" i="33"/>
  <c r="G86" i="33"/>
  <c r="G87" i="33"/>
  <c r="G88" i="33"/>
  <c r="G89" i="33"/>
  <c r="G90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K17" i="33"/>
  <c r="E231" i="33"/>
  <c r="G231" i="33"/>
  <c r="K14" i="33"/>
  <c r="E232" i="33"/>
  <c r="G220" i="111"/>
  <c r="E221" i="111"/>
  <c r="G221" i="111"/>
  <c r="M13" i="111"/>
  <c r="G222" i="111"/>
  <c r="E223" i="111"/>
  <c r="G224" i="111"/>
  <c r="E225" i="111"/>
  <c r="G225" i="111"/>
  <c r="G231" i="57"/>
  <c r="G232" i="57"/>
  <c r="K17" i="90"/>
  <c r="K18" i="90"/>
  <c r="K17" i="106"/>
  <c r="K18" i="106"/>
  <c r="M11" i="57"/>
  <c r="F225" i="97"/>
  <c r="F230" i="97"/>
  <c r="F228" i="97"/>
  <c r="F229" i="97"/>
  <c r="F227" i="97"/>
  <c r="F226" i="97"/>
  <c r="F223" i="97"/>
  <c r="G233" i="58"/>
  <c r="G233" i="136"/>
  <c r="G235" i="136"/>
  <c r="E237" i="57"/>
  <c r="M15" i="57"/>
  <c r="E235" i="136"/>
  <c r="K14" i="136"/>
  <c r="M12" i="33"/>
  <c r="M14" i="33"/>
  <c r="G233" i="42"/>
  <c r="G233" i="33"/>
  <c r="M14" i="21"/>
  <c r="G233" i="111"/>
  <c r="M17" i="57"/>
  <c r="M15" i="21"/>
  <c r="M19" i="57"/>
  <c r="M14" i="57"/>
  <c r="M13" i="57"/>
  <c r="M19" i="136"/>
  <c r="M12" i="21"/>
  <c r="M18" i="136"/>
  <c r="G233" i="47"/>
  <c r="E235" i="33"/>
  <c r="G119" i="21"/>
  <c r="G235" i="57"/>
  <c r="K15" i="57"/>
  <c r="K14" i="57"/>
  <c r="G219" i="111"/>
  <c r="G232" i="33"/>
  <c r="M17" i="135"/>
  <c r="O167" i="97"/>
  <c r="G233" i="86"/>
  <c r="G197" i="57"/>
  <c r="G79" i="57"/>
  <c r="M18" i="57"/>
  <c r="G79" i="33"/>
  <c r="G225" i="136"/>
  <c r="G223" i="136"/>
  <c r="M15" i="136"/>
  <c r="G221" i="136"/>
  <c r="G219" i="136"/>
  <c r="G223" i="135"/>
  <c r="G206" i="21"/>
  <c r="G224" i="45"/>
  <c r="G220" i="45"/>
  <c r="G225" i="33"/>
  <c r="M17" i="33"/>
  <c r="G223" i="33"/>
  <c r="G219" i="33"/>
  <c r="G231" i="135"/>
  <c r="G224" i="135"/>
  <c r="G222" i="135"/>
  <c r="G226" i="21"/>
  <c r="G224" i="21"/>
  <c r="M16" i="21"/>
  <c r="G221" i="21"/>
  <c r="M13" i="21"/>
  <c r="G233" i="133"/>
  <c r="G233" i="60"/>
  <c r="G233" i="54"/>
  <c r="G233" i="1"/>
  <c r="G233" i="25"/>
  <c r="E237" i="33"/>
  <c r="G228" i="21"/>
  <c r="H226" i="21"/>
  <c r="M18" i="21"/>
  <c r="K14" i="135"/>
  <c r="K15" i="136"/>
  <c r="M13" i="136"/>
  <c r="G235" i="33"/>
  <c r="K15" i="33"/>
  <c r="M11" i="136"/>
  <c r="H219" i="21"/>
  <c r="H228" i="21"/>
  <c r="M205" i="21"/>
  <c r="M60" i="21"/>
  <c r="M152" i="21"/>
  <c r="M165" i="21"/>
  <c r="M110" i="21"/>
  <c r="M183" i="21"/>
  <c r="M91" i="21"/>
  <c r="M174" i="21"/>
  <c r="M116" i="21"/>
  <c r="M184" i="21"/>
  <c r="M156" i="21"/>
  <c r="M100" i="21"/>
  <c r="M36" i="21"/>
  <c r="M140" i="21"/>
  <c r="M85" i="21"/>
  <c r="M84" i="21"/>
  <c r="M48" i="21"/>
  <c r="M31" i="21"/>
  <c r="G237" i="33"/>
  <c r="C238" i="39"/>
  <c r="E135" i="85"/>
  <c r="G135" i="85"/>
  <c r="E151" i="72"/>
  <c r="E225" i="27"/>
  <c r="E221" i="72"/>
  <c r="E16" i="62"/>
  <c r="E65" i="37"/>
  <c r="G65" i="37"/>
  <c r="E99" i="37"/>
  <c r="E12" i="79"/>
  <c r="E40" i="79"/>
  <c r="E44" i="79"/>
  <c r="E116" i="72"/>
  <c r="E12" i="27"/>
  <c r="E101" i="27"/>
  <c r="E27" i="85"/>
  <c r="E35" i="85"/>
  <c r="E118" i="85"/>
  <c r="E126" i="85"/>
  <c r="E150" i="85"/>
  <c r="G150" i="85"/>
  <c r="E166" i="85"/>
  <c r="E219" i="62"/>
  <c r="E44" i="37"/>
  <c r="E142" i="37"/>
  <c r="E42" i="79"/>
  <c r="E69" i="79"/>
  <c r="E73" i="79"/>
  <c r="G73" i="79"/>
  <c r="E84" i="79"/>
  <c r="E88" i="79"/>
  <c r="E130" i="79"/>
  <c r="E145" i="79"/>
  <c r="E149" i="79"/>
  <c r="E165" i="79"/>
  <c r="E181" i="79"/>
  <c r="G181" i="79"/>
  <c r="E185" i="79"/>
  <c r="G185" i="79"/>
  <c r="E35" i="72"/>
  <c r="E51" i="72"/>
  <c r="E66" i="72"/>
  <c r="E70" i="72"/>
  <c r="E96" i="72"/>
  <c r="E141" i="72"/>
  <c r="E155" i="72"/>
  <c r="E174" i="72"/>
  <c r="E182" i="72"/>
  <c r="E186" i="72"/>
  <c r="E106" i="20"/>
  <c r="E110" i="20"/>
  <c r="E125" i="20"/>
  <c r="E135" i="20"/>
  <c r="E145" i="20"/>
  <c r="E149" i="20"/>
  <c r="E181" i="20"/>
  <c r="E185" i="20"/>
  <c r="F215" i="32"/>
  <c r="F215" i="46"/>
  <c r="E53" i="102"/>
  <c r="E76" i="102"/>
  <c r="E91" i="102"/>
  <c r="E124" i="102"/>
  <c r="G124" i="102"/>
  <c r="E196" i="102"/>
  <c r="G196" i="102"/>
  <c r="E164" i="37"/>
  <c r="E184" i="37"/>
  <c r="E19" i="79"/>
  <c r="E55" i="79"/>
  <c r="E126" i="79"/>
  <c r="E141" i="79"/>
  <c r="E182" i="79"/>
  <c r="E205" i="79"/>
  <c r="E16" i="72"/>
  <c r="E32" i="72"/>
  <c r="E44" i="72"/>
  <c r="E67" i="72"/>
  <c r="G67" i="72"/>
  <c r="E137" i="72"/>
  <c r="G137" i="72"/>
  <c r="E147" i="72"/>
  <c r="G147" i="72"/>
  <c r="E160" i="72"/>
  <c r="E171" i="72"/>
  <c r="E183" i="72"/>
  <c r="G183" i="72"/>
  <c r="E16" i="20"/>
  <c r="E40" i="20"/>
  <c r="E67" i="20"/>
  <c r="E71" i="20"/>
  <c r="E82" i="20"/>
  <c r="E142" i="20"/>
  <c r="G142" i="20"/>
  <c r="E167" i="20"/>
  <c r="E179" i="20"/>
  <c r="G179" i="20"/>
  <c r="E187" i="20"/>
  <c r="E202" i="20"/>
  <c r="G202" i="20"/>
  <c r="E14" i="85"/>
  <c r="E117" i="85"/>
  <c r="E96" i="149"/>
  <c r="E224" i="149"/>
  <c r="G224" i="149"/>
  <c r="E232" i="19"/>
  <c r="G232" i="19"/>
  <c r="E46" i="37"/>
  <c r="E145" i="37"/>
  <c r="E16" i="79"/>
  <c r="G16" i="79"/>
  <c r="E28" i="79"/>
  <c r="G28" i="79"/>
  <c r="E36" i="79"/>
  <c r="E48" i="79"/>
  <c r="E226" i="79"/>
  <c r="E25" i="72"/>
  <c r="E124" i="72"/>
  <c r="E52" i="27"/>
  <c r="E100" i="85"/>
  <c r="E221" i="38"/>
  <c r="G221" i="38"/>
  <c r="E222" i="19"/>
  <c r="E13" i="102"/>
  <c r="E29" i="102"/>
  <c r="E57" i="102"/>
  <c r="E176" i="102"/>
  <c r="E33" i="37"/>
  <c r="G33" i="37"/>
  <c r="E116" i="37"/>
  <c r="E15" i="79"/>
  <c r="E66" i="79"/>
  <c r="E78" i="79"/>
  <c r="E96" i="79"/>
  <c r="E186" i="79"/>
  <c r="E20" i="72"/>
  <c r="G20" i="72"/>
  <c r="E71" i="72"/>
  <c r="E82" i="72"/>
  <c r="E156" i="72"/>
  <c r="E20" i="20"/>
  <c r="E75" i="20"/>
  <c r="G75" i="20"/>
  <c r="E90" i="20"/>
  <c r="E147" i="20"/>
  <c r="E160" i="20"/>
  <c r="E175" i="20"/>
  <c r="E101" i="79"/>
  <c r="E115" i="79"/>
  <c r="E29" i="72"/>
  <c r="E13" i="20"/>
  <c r="E25" i="20"/>
  <c r="E49" i="20"/>
  <c r="G49" i="20"/>
  <c r="E57" i="20"/>
  <c r="E20" i="27"/>
  <c r="E56" i="27"/>
  <c r="E15" i="85"/>
  <c r="E31" i="85"/>
  <c r="E55" i="85"/>
  <c r="G55" i="85"/>
  <c r="E78" i="85"/>
  <c r="G78" i="85"/>
  <c r="E49" i="102"/>
  <c r="E116" i="102"/>
  <c r="G116" i="102"/>
  <c r="E45" i="37"/>
  <c r="E196" i="37"/>
  <c r="G196" i="37"/>
  <c r="E47" i="79"/>
  <c r="E59" i="79"/>
  <c r="E136" i="79"/>
  <c r="E166" i="79"/>
  <c r="E178" i="79"/>
  <c r="E225" i="79"/>
  <c r="E40" i="72"/>
  <c r="E75" i="72"/>
  <c r="G75" i="72"/>
  <c r="E179" i="72"/>
  <c r="E32" i="20"/>
  <c r="E56" i="20"/>
  <c r="E156" i="20"/>
  <c r="E171" i="20"/>
  <c r="E183" i="20"/>
  <c r="E195" i="20"/>
  <c r="E38" i="85"/>
  <c r="E130" i="85"/>
  <c r="E169" i="85"/>
  <c r="G169" i="85"/>
  <c r="E225" i="62"/>
  <c r="G225" i="62"/>
  <c r="E50" i="37"/>
  <c r="E20" i="79"/>
  <c r="G20" i="79"/>
  <c r="E52" i="79"/>
  <c r="E71" i="79"/>
  <c r="E108" i="79"/>
  <c r="E17" i="20"/>
  <c r="G17" i="20"/>
  <c r="E16" i="27"/>
  <c r="E48" i="27"/>
  <c r="E142" i="27"/>
  <c r="E231" i="38"/>
  <c r="E42" i="37"/>
  <c r="G42" i="37"/>
  <c r="E58" i="37"/>
  <c r="E73" i="37"/>
  <c r="E88" i="37"/>
  <c r="E92" i="37"/>
  <c r="G92" i="37"/>
  <c r="E177" i="37"/>
  <c r="E185" i="37"/>
  <c r="E189" i="37"/>
  <c r="E32" i="79"/>
  <c r="E67" i="79"/>
  <c r="E175" i="79"/>
  <c r="E183" i="79"/>
  <c r="E195" i="79"/>
  <c r="E76" i="72"/>
  <c r="E98" i="72"/>
  <c r="G98" i="72"/>
  <c r="E105" i="72"/>
  <c r="G105" i="72"/>
  <c r="E133" i="72"/>
  <c r="E143" i="72"/>
  <c r="E176" i="72"/>
  <c r="G176" i="72"/>
  <c r="E192" i="72"/>
  <c r="E86" i="27"/>
  <c r="E108" i="27"/>
  <c r="G108" i="27"/>
  <c r="E151" i="27"/>
  <c r="E167" i="27"/>
  <c r="E96" i="85"/>
  <c r="E131" i="85"/>
  <c r="E136" i="85"/>
  <c r="E174" i="85"/>
  <c r="E20" i="149"/>
  <c r="G20" i="149"/>
  <c r="E40" i="149"/>
  <c r="E48" i="149"/>
  <c r="G48" i="149"/>
  <c r="E60" i="149"/>
  <c r="E71" i="149"/>
  <c r="E108" i="149"/>
  <c r="E147" i="149"/>
  <c r="G147" i="149"/>
  <c r="E46" i="38"/>
  <c r="E96" i="62"/>
  <c r="E100" i="62"/>
  <c r="G100" i="62"/>
  <c r="E179" i="62"/>
  <c r="E187" i="62"/>
  <c r="E55" i="37"/>
  <c r="E174" i="37"/>
  <c r="E178" i="37"/>
  <c r="E149" i="72"/>
  <c r="E132" i="102"/>
  <c r="E167" i="102"/>
  <c r="E183" i="102"/>
  <c r="E191" i="102"/>
  <c r="G191" i="102"/>
  <c r="E68" i="27"/>
  <c r="G68" i="27"/>
  <c r="E76" i="27"/>
  <c r="E87" i="27"/>
  <c r="G87" i="27"/>
  <c r="E91" i="27"/>
  <c r="E75" i="85"/>
  <c r="G75" i="85"/>
  <c r="E82" i="85"/>
  <c r="G82" i="85"/>
  <c r="E86" i="85"/>
  <c r="G86" i="85"/>
  <c r="E101" i="85"/>
  <c r="G101" i="85"/>
  <c r="E108" i="85"/>
  <c r="E132" i="85"/>
  <c r="G132" i="85"/>
  <c r="E147" i="85"/>
  <c r="G147" i="85"/>
  <c r="E156" i="85"/>
  <c r="E171" i="85"/>
  <c r="G171" i="85"/>
  <c r="E175" i="85"/>
  <c r="E179" i="85"/>
  <c r="E191" i="85"/>
  <c r="G191" i="85"/>
  <c r="E195" i="85"/>
  <c r="E137" i="149"/>
  <c r="E142" i="149"/>
  <c r="G142" i="149"/>
  <c r="E160" i="149"/>
  <c r="E167" i="149"/>
  <c r="E187" i="149"/>
  <c r="G187" i="149"/>
  <c r="E191" i="149"/>
  <c r="E65" i="167"/>
  <c r="E73" i="167"/>
  <c r="E106" i="167"/>
  <c r="E110" i="167"/>
  <c r="G110" i="167"/>
  <c r="E117" i="167"/>
  <c r="E125" i="167"/>
  <c r="E135" i="167"/>
  <c r="E165" i="167"/>
  <c r="G165" i="167"/>
  <c r="E173" i="167"/>
  <c r="E181" i="167"/>
  <c r="E185" i="167"/>
  <c r="G185" i="167"/>
  <c r="E189" i="167"/>
  <c r="E193" i="167"/>
  <c r="E220" i="167"/>
  <c r="G220" i="167"/>
  <c r="E202" i="27"/>
  <c r="E82" i="149"/>
  <c r="E151" i="149"/>
  <c r="E47" i="102"/>
  <c r="E59" i="102"/>
  <c r="E70" i="102"/>
  <c r="G70" i="102"/>
  <c r="E114" i="102"/>
  <c r="E170" i="102"/>
  <c r="G170" i="102"/>
  <c r="E202" i="85"/>
  <c r="E183" i="62"/>
  <c r="E70" i="20"/>
  <c r="E78" i="20"/>
  <c r="E85" i="20"/>
  <c r="E107" i="20"/>
  <c r="E114" i="20"/>
  <c r="E118" i="20"/>
  <c r="G118" i="20"/>
  <c r="E170" i="20"/>
  <c r="E174" i="20"/>
  <c r="E178" i="20"/>
  <c r="E186" i="20"/>
  <c r="G186" i="20"/>
  <c r="E99" i="27"/>
  <c r="E135" i="27"/>
  <c r="E165" i="27"/>
  <c r="E189" i="27"/>
  <c r="E109" i="167"/>
  <c r="E148" i="167"/>
  <c r="E72" i="85"/>
  <c r="G72" i="85"/>
  <c r="E76" i="85"/>
  <c r="G76" i="85"/>
  <c r="E83" i="85"/>
  <c r="E124" i="85"/>
  <c r="G124" i="85"/>
  <c r="E129" i="85"/>
  <c r="E133" i="85"/>
  <c r="G133" i="85"/>
  <c r="E143" i="85"/>
  <c r="E148" i="85"/>
  <c r="E152" i="85"/>
  <c r="G152" i="85"/>
  <c r="E164" i="85"/>
  <c r="E168" i="85"/>
  <c r="E172" i="85"/>
  <c r="E180" i="85"/>
  <c r="E192" i="85"/>
  <c r="E30" i="149"/>
  <c r="G30" i="149"/>
  <c r="E38" i="149"/>
  <c r="G38" i="149"/>
  <c r="E46" i="149"/>
  <c r="E54" i="149"/>
  <c r="E65" i="149"/>
  <c r="E73" i="149"/>
  <c r="G73" i="149"/>
  <c r="E106" i="149"/>
  <c r="E110" i="149"/>
  <c r="E117" i="149"/>
  <c r="E130" i="149"/>
  <c r="E135" i="149"/>
  <c r="E140" i="149"/>
  <c r="E145" i="149"/>
  <c r="E153" i="149"/>
  <c r="E158" i="149"/>
  <c r="E165" i="149"/>
  <c r="E169" i="149"/>
  <c r="E173" i="149"/>
  <c r="E177" i="149"/>
  <c r="G177" i="149"/>
  <c r="E181" i="149"/>
  <c r="E185" i="149"/>
  <c r="E189" i="149"/>
  <c r="E201" i="72"/>
  <c r="E205" i="72"/>
  <c r="E201" i="20"/>
  <c r="E205" i="20"/>
  <c r="E200" i="27"/>
  <c r="G200" i="27"/>
  <c r="E204" i="27"/>
  <c r="E203" i="85"/>
  <c r="E200" i="149"/>
  <c r="E204" i="149"/>
  <c r="G204" i="149"/>
  <c r="E73" i="62"/>
  <c r="G73" i="62"/>
  <c r="E135" i="62"/>
  <c r="G135" i="62"/>
  <c r="E149" i="62"/>
  <c r="E158" i="62"/>
  <c r="E55" i="62"/>
  <c r="E59" i="62"/>
  <c r="E78" i="62"/>
  <c r="G78" i="62"/>
  <c r="E223" i="177"/>
  <c r="E45" i="20"/>
  <c r="E53" i="20"/>
  <c r="E64" i="20"/>
  <c r="E116" i="20"/>
  <c r="G116" i="20"/>
  <c r="E133" i="20"/>
  <c r="G133" i="20"/>
  <c r="E138" i="20"/>
  <c r="G138" i="20"/>
  <c r="E143" i="20"/>
  <c r="E148" i="20"/>
  <c r="E152" i="20"/>
  <c r="E157" i="20"/>
  <c r="E90" i="113"/>
  <c r="E115" i="113"/>
  <c r="E97" i="102"/>
  <c r="E160" i="102"/>
  <c r="G160" i="102"/>
  <c r="E187" i="102"/>
  <c r="E27" i="167"/>
  <c r="G27" i="167"/>
  <c r="E35" i="167"/>
  <c r="E43" i="167"/>
  <c r="E51" i="167"/>
  <c r="G51" i="167"/>
  <c r="E59" i="167"/>
  <c r="G59" i="167"/>
  <c r="E70" i="167"/>
  <c r="E78" i="167"/>
  <c r="E89" i="167"/>
  <c r="E96" i="167"/>
  <c r="E126" i="167"/>
  <c r="E131" i="167"/>
  <c r="G131" i="167"/>
  <c r="E155" i="167"/>
  <c r="E166" i="167"/>
  <c r="G166" i="167"/>
  <c r="E170" i="167"/>
  <c r="E178" i="167"/>
  <c r="E182" i="167"/>
  <c r="E186" i="167"/>
  <c r="G186" i="167"/>
  <c r="E194" i="167"/>
  <c r="E15" i="37"/>
  <c r="E31" i="37"/>
  <c r="G31" i="37"/>
  <c r="E66" i="37"/>
  <c r="E150" i="37"/>
  <c r="E194" i="37"/>
  <c r="E98" i="79"/>
  <c r="G98" i="79"/>
  <c r="E221" i="79"/>
  <c r="E30" i="72"/>
  <c r="E54" i="72"/>
  <c r="E19" i="37"/>
  <c r="G19" i="37"/>
  <c r="E39" i="37"/>
  <c r="E146" i="37"/>
  <c r="G146" i="37"/>
  <c r="E231" i="79"/>
  <c r="E46" i="72"/>
  <c r="E99" i="72"/>
  <c r="E130" i="72"/>
  <c r="E73" i="177"/>
  <c r="E13" i="167"/>
  <c r="G13" i="167"/>
  <c r="E17" i="167"/>
  <c r="G17" i="167"/>
  <c r="E25" i="167"/>
  <c r="G25" i="167"/>
  <c r="E29" i="167"/>
  <c r="E33" i="167"/>
  <c r="E37" i="167"/>
  <c r="E41" i="167"/>
  <c r="E45" i="167"/>
  <c r="E49" i="167"/>
  <c r="E53" i="167"/>
  <c r="G53" i="167"/>
  <c r="E57" i="167"/>
  <c r="G57" i="167"/>
  <c r="E64" i="167"/>
  <c r="E68" i="167"/>
  <c r="G68" i="167"/>
  <c r="E72" i="167"/>
  <c r="E76" i="167"/>
  <c r="G76" i="167"/>
  <c r="E83" i="167"/>
  <c r="E87" i="167"/>
  <c r="G87" i="167"/>
  <c r="E91" i="167"/>
  <c r="G91" i="167"/>
  <c r="E98" i="167"/>
  <c r="E105" i="167"/>
  <c r="G105" i="167"/>
  <c r="E116" i="167"/>
  <c r="E124" i="167"/>
  <c r="G124" i="167"/>
  <c r="E129" i="167"/>
  <c r="E133" i="167"/>
  <c r="G133" i="167"/>
  <c r="E138" i="167"/>
  <c r="E143" i="167"/>
  <c r="E152" i="167"/>
  <c r="E157" i="167"/>
  <c r="E164" i="167"/>
  <c r="G164" i="167"/>
  <c r="E168" i="167"/>
  <c r="E172" i="167"/>
  <c r="E176" i="167"/>
  <c r="G176" i="167"/>
  <c r="E180" i="167"/>
  <c r="G180" i="167"/>
  <c r="E184" i="167"/>
  <c r="E188" i="167"/>
  <c r="E225" i="37"/>
  <c r="E35" i="37"/>
  <c r="E166" i="37"/>
  <c r="E13" i="79"/>
  <c r="E105" i="79"/>
  <c r="E50" i="72"/>
  <c r="E84" i="72"/>
  <c r="G84" i="72"/>
  <c r="E135" i="72"/>
  <c r="E189" i="72"/>
  <c r="E204" i="72"/>
  <c r="E223" i="72"/>
  <c r="G223" i="72"/>
  <c r="E27" i="37"/>
  <c r="E159" i="37"/>
  <c r="E58" i="72"/>
  <c r="E106" i="72"/>
  <c r="E125" i="72"/>
  <c r="E12" i="167"/>
  <c r="E16" i="167"/>
  <c r="E20" i="167"/>
  <c r="G20" i="167"/>
  <c r="E28" i="167"/>
  <c r="E32" i="167"/>
  <c r="E36" i="167"/>
  <c r="E40" i="167"/>
  <c r="E44" i="167"/>
  <c r="G44" i="167"/>
  <c r="E48" i="167"/>
  <c r="E52" i="167"/>
  <c r="G52" i="167"/>
  <c r="E56" i="167"/>
  <c r="G56" i="167"/>
  <c r="E60" i="167"/>
  <c r="E67" i="167"/>
  <c r="E71" i="167"/>
  <c r="E75" i="167"/>
  <c r="G75" i="167"/>
  <c r="E82" i="167"/>
  <c r="E86" i="167"/>
  <c r="G86" i="167"/>
  <c r="E90" i="167"/>
  <c r="G90" i="167"/>
  <c r="E97" i="167"/>
  <c r="E101" i="167"/>
  <c r="E108" i="167"/>
  <c r="E115" i="167"/>
  <c r="E123" i="167"/>
  <c r="E127" i="167"/>
  <c r="E132" i="167"/>
  <c r="E137" i="167"/>
  <c r="E142" i="167"/>
  <c r="G142" i="167"/>
  <c r="E147" i="167"/>
  <c r="E151" i="167"/>
  <c r="G151" i="167"/>
  <c r="E156" i="167"/>
  <c r="G156" i="167"/>
  <c r="E160" i="167"/>
  <c r="E167" i="167"/>
  <c r="G167" i="167"/>
  <c r="E171" i="167"/>
  <c r="E175" i="167"/>
  <c r="E179" i="167"/>
  <c r="E183" i="167"/>
  <c r="E187" i="167"/>
  <c r="E191" i="167"/>
  <c r="E195" i="167"/>
  <c r="E202" i="167"/>
  <c r="G202" i="167"/>
  <c r="E219" i="167"/>
  <c r="E227" i="167"/>
  <c r="E12" i="113"/>
  <c r="G12" i="113"/>
  <c r="E20" i="113"/>
  <c r="G20" i="113"/>
  <c r="E28" i="113"/>
  <c r="G28" i="113"/>
  <c r="E32" i="113"/>
  <c r="E40" i="113"/>
  <c r="E44" i="113"/>
  <c r="G44" i="113"/>
  <c r="E48" i="113"/>
  <c r="E60" i="113"/>
  <c r="G60" i="113"/>
  <c r="E97" i="113"/>
  <c r="G97" i="113"/>
  <c r="E108" i="113"/>
  <c r="G108" i="113"/>
  <c r="E132" i="113"/>
  <c r="E151" i="113"/>
  <c r="E171" i="113"/>
  <c r="E191" i="113"/>
  <c r="G191" i="113"/>
  <c r="E227" i="113"/>
  <c r="E192" i="167"/>
  <c r="E196" i="167"/>
  <c r="G196" i="167"/>
  <c r="E203" i="167"/>
  <c r="E221" i="167"/>
  <c r="E231" i="167"/>
  <c r="E221" i="113"/>
  <c r="E126" i="37"/>
  <c r="E141" i="37"/>
  <c r="E155" i="37"/>
  <c r="G155" i="37"/>
  <c r="E170" i="37"/>
  <c r="E182" i="37"/>
  <c r="G182" i="37"/>
  <c r="E179" i="24"/>
  <c r="E87" i="79"/>
  <c r="E91" i="79"/>
  <c r="G91" i="79"/>
  <c r="E129" i="79"/>
  <c r="E164" i="79"/>
  <c r="G164" i="79"/>
  <c r="E168" i="79"/>
  <c r="G168" i="79"/>
  <c r="E172" i="79"/>
  <c r="E188" i="79"/>
  <c r="G188" i="79"/>
  <c r="E192" i="79"/>
  <c r="G192" i="79"/>
  <c r="E110" i="72"/>
  <c r="G110" i="72"/>
  <c r="E117" i="72"/>
  <c r="G117" i="72"/>
  <c r="E185" i="72"/>
  <c r="E200" i="72"/>
  <c r="G200" i="72"/>
  <c r="E204" i="85"/>
  <c r="G204" i="85"/>
  <c r="E201" i="149"/>
  <c r="E129" i="62"/>
  <c r="E172" i="62"/>
  <c r="E196" i="62"/>
  <c r="G196" i="62"/>
  <c r="E54" i="19"/>
  <c r="E109" i="72"/>
  <c r="E129" i="72"/>
  <c r="G129" i="72"/>
  <c r="E138" i="72"/>
  <c r="E148" i="72"/>
  <c r="G148" i="72"/>
  <c r="E172" i="72"/>
  <c r="G172" i="72"/>
  <c r="E180" i="72"/>
  <c r="E114" i="85"/>
  <c r="E159" i="85"/>
  <c r="E170" i="85"/>
  <c r="E178" i="85"/>
  <c r="E201" i="85"/>
  <c r="E107" i="149"/>
  <c r="G107" i="149"/>
  <c r="E146" i="149"/>
  <c r="E49" i="113"/>
  <c r="G49" i="113"/>
  <c r="E76" i="113"/>
  <c r="E143" i="113"/>
  <c r="E72" i="113"/>
  <c r="E83" i="113"/>
  <c r="E98" i="113"/>
  <c r="E124" i="113"/>
  <c r="E133" i="113"/>
  <c r="E138" i="113"/>
  <c r="E152" i="113"/>
  <c r="G152" i="113"/>
  <c r="E168" i="113"/>
  <c r="G168" i="113"/>
  <c r="E172" i="113"/>
  <c r="E192" i="113"/>
  <c r="E203" i="113"/>
  <c r="G203" i="113"/>
  <c r="E220" i="113"/>
  <c r="G220" i="113"/>
  <c r="E44" i="177"/>
  <c r="E232" i="113"/>
  <c r="E200" i="167"/>
  <c r="E204" i="167"/>
  <c r="E203" i="37"/>
  <c r="E60" i="177"/>
  <c r="E86" i="177"/>
  <c r="G86" i="177"/>
  <c r="E231" i="177"/>
  <c r="E85" i="62"/>
  <c r="E89" i="62"/>
  <c r="E107" i="62"/>
  <c r="E114" i="62"/>
  <c r="E126" i="62"/>
  <c r="E174" i="102"/>
  <c r="E165" i="177"/>
  <c r="E67" i="177"/>
  <c r="G67" i="177"/>
  <c r="E106" i="85"/>
  <c r="G106" i="85"/>
  <c r="E201" i="167"/>
  <c r="E205" i="149"/>
  <c r="E201" i="102"/>
  <c r="E205" i="102"/>
  <c r="E40" i="37"/>
  <c r="E48" i="37"/>
  <c r="E71" i="37"/>
  <c r="E86" i="37"/>
  <c r="G86" i="37"/>
  <c r="E127" i="37"/>
  <c r="E137" i="37"/>
  <c r="G137" i="37"/>
  <c r="E147" i="37"/>
  <c r="E167" i="37"/>
  <c r="E171" i="37"/>
  <c r="G171" i="37"/>
  <c r="E153" i="177"/>
  <c r="E48" i="177"/>
  <c r="E12" i="177"/>
  <c r="E204" i="177"/>
  <c r="G204" i="177"/>
  <c r="E181" i="177"/>
  <c r="F208" i="45"/>
  <c r="E38" i="113"/>
  <c r="E58" i="113"/>
  <c r="E69" i="113"/>
  <c r="E73" i="113"/>
  <c r="E106" i="113"/>
  <c r="E110" i="113"/>
  <c r="G110" i="113"/>
  <c r="E117" i="113"/>
  <c r="E125" i="113"/>
  <c r="E149" i="113"/>
  <c r="E165" i="113"/>
  <c r="E169" i="113"/>
  <c r="E173" i="113"/>
  <c r="E185" i="113"/>
  <c r="E189" i="113"/>
  <c r="G189" i="113"/>
  <c r="E193" i="113"/>
  <c r="E204" i="113"/>
  <c r="G204" i="113"/>
  <c r="E221" i="164"/>
  <c r="E202" i="149"/>
  <c r="E170" i="62"/>
  <c r="E99" i="19"/>
  <c r="G99" i="19"/>
  <c r="E158" i="19"/>
  <c r="E88" i="177"/>
  <c r="E26" i="177"/>
  <c r="E232" i="177"/>
  <c r="E110" i="177"/>
  <c r="G110" i="177"/>
  <c r="G233" i="92"/>
  <c r="E28" i="177"/>
  <c r="E32" i="177"/>
  <c r="G32" i="177"/>
  <c r="E177" i="177"/>
  <c r="G177" i="177"/>
  <c r="E90" i="177"/>
  <c r="G90" i="177"/>
  <c r="E40" i="177"/>
  <c r="G40" i="177"/>
  <c r="E82" i="177"/>
  <c r="E158" i="177"/>
  <c r="E20" i="177"/>
  <c r="E50" i="177"/>
  <c r="E75" i="177"/>
  <c r="E106" i="177"/>
  <c r="E16" i="177"/>
  <c r="E169" i="177"/>
  <c r="E71" i="177"/>
  <c r="E140" i="177"/>
  <c r="E222" i="177"/>
  <c r="G222" i="177"/>
  <c r="E18" i="177"/>
  <c r="E36" i="177"/>
  <c r="E56" i="177"/>
  <c r="G56" i="177"/>
  <c r="E149" i="177"/>
  <c r="E145" i="177"/>
  <c r="E52" i="177"/>
  <c r="G52" i="177"/>
  <c r="G165" i="149"/>
  <c r="F215" i="45"/>
  <c r="G233" i="71"/>
  <c r="G91" i="45"/>
  <c r="G157" i="45"/>
  <c r="G64" i="45"/>
  <c r="G29" i="45"/>
  <c r="G233" i="95"/>
  <c r="G233" i="50"/>
  <c r="E233" i="142"/>
  <c r="G173" i="149"/>
  <c r="G233" i="14"/>
  <c r="E237" i="111"/>
  <c r="G192" i="111"/>
  <c r="G223" i="111"/>
  <c r="G132" i="111"/>
  <c r="G141" i="111"/>
  <c r="G50" i="111"/>
  <c r="G193" i="111"/>
  <c r="G18" i="111"/>
  <c r="G27" i="111"/>
  <c r="G35" i="111"/>
  <c r="G43" i="111"/>
  <c r="G70" i="111"/>
  <c r="G78" i="111"/>
  <c r="G90" i="111"/>
  <c r="G124" i="111"/>
  <c r="G133" i="111"/>
  <c r="G57" i="111"/>
  <c r="G184" i="111"/>
  <c r="G140" i="111"/>
  <c r="G58" i="111"/>
  <c r="G96" i="111"/>
  <c r="G51" i="111"/>
  <c r="M16" i="111"/>
  <c r="G185" i="111"/>
  <c r="G25" i="111"/>
  <c r="E79" i="111"/>
  <c r="G68" i="111"/>
  <c r="G176" i="111"/>
  <c r="G15" i="111"/>
  <c r="G41" i="111"/>
  <c r="G148" i="111"/>
  <c r="G186" i="111"/>
  <c r="G194" i="111"/>
  <c r="G149" i="111"/>
  <c r="G177" i="111"/>
  <c r="G76" i="111"/>
  <c r="G108" i="111"/>
  <c r="G168" i="111"/>
  <c r="G34" i="111"/>
  <c r="E119" i="111"/>
  <c r="E197" i="111"/>
  <c r="G91" i="111"/>
  <c r="E102" i="111"/>
  <c r="G206" i="111"/>
  <c r="G232" i="111"/>
  <c r="G164" i="111"/>
  <c r="E233" i="16"/>
  <c r="E233" i="158"/>
  <c r="E233" i="156"/>
  <c r="G233" i="156"/>
  <c r="E233" i="155"/>
  <c r="G233" i="119"/>
  <c r="G233" i="31"/>
  <c r="G233" i="32"/>
  <c r="G233" i="141"/>
  <c r="G233" i="24"/>
  <c r="G233" i="90"/>
  <c r="E237" i="135"/>
  <c r="G111" i="135"/>
  <c r="M19" i="135"/>
  <c r="G54" i="135"/>
  <c r="G96" i="135"/>
  <c r="G146" i="135"/>
  <c r="M16" i="135"/>
  <c r="G33" i="135"/>
  <c r="G57" i="135"/>
  <c r="E206" i="135"/>
  <c r="G182" i="135"/>
  <c r="G174" i="135"/>
  <c r="G166" i="135"/>
  <c r="G55" i="135"/>
  <c r="G97" i="135"/>
  <c r="G136" i="135"/>
  <c r="G158" i="135"/>
  <c r="E93" i="135"/>
  <c r="G219" i="135"/>
  <c r="G42" i="135"/>
  <c r="G77" i="135"/>
  <c r="G89" i="135"/>
  <c r="G147" i="135"/>
  <c r="G155" i="135"/>
  <c r="E197" i="135"/>
  <c r="E102" i="135"/>
  <c r="E61" i="135"/>
  <c r="E79" i="135"/>
  <c r="E119" i="135"/>
  <c r="E161" i="135"/>
  <c r="E208" i="135"/>
  <c r="G220" i="135"/>
  <c r="G233" i="39"/>
  <c r="G233" i="175"/>
  <c r="G76" i="45"/>
  <c r="G109" i="45"/>
  <c r="G148" i="45"/>
  <c r="G57" i="45"/>
  <c r="G33" i="45"/>
  <c r="G138" i="45"/>
  <c r="G49" i="45"/>
  <c r="E233" i="98"/>
  <c r="G233" i="63"/>
  <c r="G233" i="66"/>
  <c r="E233" i="68"/>
  <c r="G222" i="167"/>
  <c r="E87" i="69"/>
  <c r="G87" i="69"/>
  <c r="E231" i="143"/>
  <c r="G231" i="143"/>
  <c r="E29" i="15"/>
  <c r="G29" i="15"/>
  <c r="E42" i="174"/>
  <c r="E92" i="174"/>
  <c r="E169" i="174"/>
  <c r="G169" i="174"/>
  <c r="E200" i="174"/>
  <c r="E205" i="119"/>
  <c r="E226" i="141"/>
  <c r="E133" i="69"/>
  <c r="E231" i="142"/>
  <c r="D111" i="50"/>
  <c r="G219" i="176"/>
  <c r="E177" i="98"/>
  <c r="G177" i="98"/>
  <c r="E221" i="143"/>
  <c r="G221" i="143"/>
  <c r="E231" i="10"/>
  <c r="E235" i="10"/>
  <c r="E221" i="86"/>
  <c r="G221" i="86"/>
  <c r="G191" i="167"/>
  <c r="E124" i="10"/>
  <c r="G124" i="10"/>
  <c r="E137" i="176"/>
  <c r="E224" i="90"/>
  <c r="E200" i="31"/>
  <c r="G200" i="31"/>
  <c r="G30" i="72"/>
  <c r="G182" i="72"/>
  <c r="E227" i="176"/>
  <c r="E221" i="95"/>
  <c r="G32" i="113"/>
  <c r="E145" i="133"/>
  <c r="G145" i="133"/>
  <c r="G232" i="149"/>
  <c r="G130" i="149"/>
  <c r="E106" i="174"/>
  <c r="E172" i="106"/>
  <c r="E90" i="64"/>
  <c r="G125" i="113"/>
  <c r="G192" i="85"/>
  <c r="G156" i="72"/>
  <c r="G149" i="20"/>
  <c r="G141" i="167"/>
  <c r="G31" i="167"/>
  <c r="E146" i="120"/>
  <c r="G146" i="120"/>
  <c r="G160" i="72"/>
  <c r="F215" i="156"/>
  <c r="E233" i="55"/>
  <c r="E86" i="71"/>
  <c r="E222" i="42"/>
  <c r="G222" i="42"/>
  <c r="E42" i="165"/>
  <c r="E221" i="10"/>
  <c r="E193" i="174"/>
  <c r="E115" i="176"/>
  <c r="G222" i="149"/>
  <c r="E148" i="31"/>
  <c r="G148" i="31"/>
  <c r="E231" i="95"/>
  <c r="E226" i="158"/>
  <c r="E221" i="1"/>
  <c r="C111" i="15"/>
  <c r="D119" i="10"/>
  <c r="D206" i="10"/>
  <c r="E84" i="86"/>
  <c r="G84" i="86"/>
  <c r="D93" i="95"/>
  <c r="G82" i="167"/>
  <c r="E226" i="175"/>
  <c r="G226" i="175"/>
  <c r="E200" i="55"/>
  <c r="E142" i="94"/>
  <c r="G142" i="94"/>
  <c r="E110" i="46"/>
  <c r="E231" i="50"/>
  <c r="E222" i="31"/>
  <c r="E231" i="69"/>
  <c r="E235" i="69"/>
  <c r="E146" i="174"/>
  <c r="E147" i="90"/>
  <c r="E36" i="24"/>
  <c r="E40" i="24"/>
  <c r="G40" i="24"/>
  <c r="E82" i="24"/>
  <c r="E147" i="24"/>
  <c r="E20" i="141"/>
  <c r="E32" i="32"/>
  <c r="E92" i="157"/>
  <c r="E165" i="157"/>
  <c r="E82" i="158"/>
  <c r="E123" i="158"/>
  <c r="E156" i="158"/>
  <c r="E202" i="16"/>
  <c r="G202" i="16"/>
  <c r="E72" i="176"/>
  <c r="E98" i="176"/>
  <c r="E124" i="176"/>
  <c r="E164" i="176"/>
  <c r="E172" i="176"/>
  <c r="E14" i="142"/>
  <c r="E110" i="142"/>
  <c r="G110" i="142"/>
  <c r="E18" i="1"/>
  <c r="E58" i="50"/>
  <c r="E204" i="50"/>
  <c r="E34" i="55"/>
  <c r="E16" i="176"/>
  <c r="G16" i="176"/>
  <c r="E48" i="176"/>
  <c r="E52" i="176"/>
  <c r="E175" i="176"/>
  <c r="E49" i="87"/>
  <c r="E72" i="86"/>
  <c r="E172" i="69"/>
  <c r="E204" i="31"/>
  <c r="G224" i="103"/>
  <c r="G201" i="20"/>
  <c r="E33" i="176"/>
  <c r="E127" i="24"/>
  <c r="G127" i="24"/>
  <c r="E101" i="32"/>
  <c r="E153" i="87"/>
  <c r="G153" i="87"/>
  <c r="E85" i="98"/>
  <c r="G85" i="98"/>
  <c r="G71" i="72"/>
  <c r="E204" i="94"/>
  <c r="E127" i="141"/>
  <c r="E118" i="133"/>
  <c r="E97" i="32"/>
  <c r="G97" i="32"/>
  <c r="E84" i="50"/>
  <c r="E84" i="143"/>
  <c r="G84" i="143"/>
  <c r="E231" i="156"/>
  <c r="G231" i="156"/>
  <c r="E232" i="16"/>
  <c r="G232" i="16"/>
  <c r="E53" i="176"/>
  <c r="E178" i="174"/>
  <c r="E64" i="176"/>
  <c r="E153" i="10"/>
  <c r="E158" i="95"/>
  <c r="G158" i="95"/>
  <c r="E196" i="176"/>
  <c r="E55" i="120"/>
  <c r="G60" i="167"/>
  <c r="E152" i="176"/>
  <c r="E191" i="32"/>
  <c r="E16" i="141"/>
  <c r="E150" i="120"/>
  <c r="E132" i="141"/>
  <c r="E156" i="90"/>
  <c r="E73" i="69"/>
  <c r="E181" i="92"/>
  <c r="E30" i="1"/>
  <c r="G126" i="37"/>
  <c r="E186" i="174"/>
  <c r="E188" i="31"/>
  <c r="E99" i="94"/>
  <c r="E205" i="98"/>
  <c r="E225" i="174"/>
  <c r="E204" i="10"/>
  <c r="G204" i="10"/>
  <c r="E39" i="152"/>
  <c r="E36" i="32"/>
  <c r="E174" i="133"/>
  <c r="E99" i="95"/>
  <c r="E223" i="157"/>
  <c r="D111" i="10"/>
  <c r="E145" i="176"/>
  <c r="E182" i="174"/>
  <c r="E191" i="141"/>
  <c r="G191" i="141"/>
  <c r="E32" i="24"/>
  <c r="E52" i="141"/>
  <c r="E47" i="120"/>
  <c r="E165" i="142"/>
  <c r="E58" i="142"/>
  <c r="E60" i="158"/>
  <c r="E225" i="14"/>
  <c r="G19" i="72"/>
  <c r="E98" i="69"/>
  <c r="E180" i="69"/>
  <c r="E188" i="69"/>
  <c r="G188" i="69"/>
  <c r="E29" i="142"/>
  <c r="E196" i="1"/>
  <c r="E29" i="50"/>
  <c r="E143" i="50"/>
  <c r="G143" i="50"/>
  <c r="E29" i="95"/>
  <c r="E83" i="95"/>
  <c r="E138" i="95"/>
  <c r="E204" i="69"/>
  <c r="G204" i="69"/>
  <c r="E201" i="120"/>
  <c r="E127" i="16"/>
  <c r="E174" i="98"/>
  <c r="G174" i="98"/>
  <c r="E147" i="158"/>
  <c r="G147" i="167"/>
  <c r="E202" i="141"/>
  <c r="E49" i="176"/>
  <c r="E183" i="90"/>
  <c r="E71" i="32"/>
  <c r="G166" i="37"/>
  <c r="D111" i="69"/>
  <c r="E37" i="176"/>
  <c r="E131" i="174"/>
  <c r="E177" i="157"/>
  <c r="G77" i="149"/>
  <c r="E156" i="141"/>
  <c r="E160" i="90"/>
  <c r="E82" i="90"/>
  <c r="E205" i="174"/>
  <c r="E202" i="104"/>
  <c r="E205" i="43"/>
  <c r="G132" i="113"/>
  <c r="G98" i="113"/>
  <c r="G73" i="113"/>
  <c r="G222" i="113"/>
  <c r="G70" i="167"/>
  <c r="G226" i="167"/>
  <c r="G19" i="167"/>
  <c r="G43" i="167"/>
  <c r="E64" i="84"/>
  <c r="G64" i="84"/>
  <c r="E233" i="84"/>
  <c r="G233" i="84"/>
  <c r="F208" i="57"/>
  <c r="E191" i="60"/>
  <c r="E223" i="60"/>
  <c r="E227" i="60"/>
  <c r="E175" i="54"/>
  <c r="E46" i="94"/>
  <c r="E50" i="94"/>
  <c r="G50" i="94"/>
  <c r="E97" i="94"/>
  <c r="G97" i="94"/>
  <c r="E179" i="94"/>
  <c r="E219" i="94"/>
  <c r="E223" i="94"/>
  <c r="E165" i="164"/>
  <c r="E41" i="15"/>
  <c r="E49" i="15"/>
  <c r="G49" i="15"/>
  <c r="E87" i="15"/>
  <c r="G87" i="15"/>
  <c r="E224" i="15"/>
  <c r="E168" i="68"/>
  <c r="E225" i="66"/>
  <c r="E73" i="174"/>
  <c r="E158" i="174"/>
  <c r="E173" i="174"/>
  <c r="E177" i="174"/>
  <c r="E114" i="53"/>
  <c r="E231" i="83"/>
  <c r="E221" i="47"/>
  <c r="E231" i="47"/>
  <c r="E232" i="46"/>
  <c r="G138" i="102"/>
  <c r="E28" i="106"/>
  <c r="E43" i="104"/>
  <c r="E43" i="175"/>
  <c r="E166" i="175"/>
  <c r="E190" i="175"/>
  <c r="E123" i="84"/>
  <c r="E202" i="84"/>
  <c r="G202" i="84"/>
  <c r="G226" i="84"/>
  <c r="E222" i="133"/>
  <c r="E232" i="133"/>
  <c r="E222" i="152"/>
  <c r="E232" i="152"/>
  <c r="E46" i="120"/>
  <c r="E69" i="120"/>
  <c r="G69" i="120"/>
  <c r="E130" i="120"/>
  <c r="E145" i="120"/>
  <c r="G145" i="120"/>
  <c r="E225" i="32"/>
  <c r="G225" i="32"/>
  <c r="E225" i="64"/>
  <c r="E32" i="28"/>
  <c r="E175" i="28"/>
  <c r="E202" i="28"/>
  <c r="E226" i="28"/>
  <c r="G226" i="28"/>
  <c r="E146" i="119"/>
  <c r="E155" i="119"/>
  <c r="E170" i="119"/>
  <c r="G170" i="119"/>
  <c r="E186" i="119"/>
  <c r="E201" i="119"/>
  <c r="E201" i="25"/>
  <c r="E136" i="155"/>
  <c r="G136" i="155"/>
  <c r="E164" i="155"/>
  <c r="E168" i="155"/>
  <c r="E172" i="155"/>
  <c r="E188" i="155"/>
  <c r="E192" i="155"/>
  <c r="E224" i="155"/>
  <c r="E17" i="156"/>
  <c r="G17" i="156"/>
  <c r="E33" i="156"/>
  <c r="E43" i="156"/>
  <c r="E87" i="156"/>
  <c r="E91" i="156"/>
  <c r="E194" i="156"/>
  <c r="E205" i="156"/>
  <c r="E225" i="42"/>
  <c r="E221" i="158"/>
  <c r="E231" i="158"/>
  <c r="E225" i="16"/>
  <c r="G225" i="16"/>
  <c r="E231" i="16"/>
  <c r="G231" i="16"/>
  <c r="E14" i="165"/>
  <c r="G14" i="165"/>
  <c r="E34" i="165"/>
  <c r="E88" i="165"/>
  <c r="E145" i="165"/>
  <c r="E158" i="165"/>
  <c r="E181" i="165"/>
  <c r="E117" i="55"/>
  <c r="E125" i="55"/>
  <c r="G125" i="55"/>
  <c r="E140" i="55"/>
  <c r="E145" i="55"/>
  <c r="E181" i="55"/>
  <c r="E226" i="55"/>
  <c r="E232" i="55"/>
  <c r="G232" i="55"/>
  <c r="E43" i="14"/>
  <c r="E74" i="14"/>
  <c r="E89" i="14"/>
  <c r="E96" i="14"/>
  <c r="E182" i="14"/>
  <c r="E186" i="14"/>
  <c r="E28" i="172"/>
  <c r="G28" i="172"/>
  <c r="E67" i="172"/>
  <c r="E108" i="176"/>
  <c r="G108" i="176"/>
  <c r="E142" i="176"/>
  <c r="E167" i="176"/>
  <c r="E171" i="176"/>
  <c r="E202" i="176"/>
  <c r="E83" i="143"/>
  <c r="E98" i="143"/>
  <c r="E105" i="143"/>
  <c r="G105" i="143"/>
  <c r="E109" i="143"/>
  <c r="E116" i="143"/>
  <c r="E138" i="143"/>
  <c r="G138" i="143"/>
  <c r="E143" i="143"/>
  <c r="E164" i="143"/>
  <c r="E172" i="143"/>
  <c r="E184" i="143"/>
  <c r="E220" i="143"/>
  <c r="E33" i="10"/>
  <c r="E41" i="10"/>
  <c r="E72" i="10"/>
  <c r="E168" i="10"/>
  <c r="E172" i="10"/>
  <c r="E184" i="10"/>
  <c r="E64" i="87"/>
  <c r="G64" i="87"/>
  <c r="E68" i="87"/>
  <c r="G68" i="87"/>
  <c r="E129" i="87"/>
  <c r="E37" i="86"/>
  <c r="E45" i="86"/>
  <c r="E105" i="86"/>
  <c r="E133" i="86"/>
  <c r="E138" i="86"/>
  <c r="E220" i="86"/>
  <c r="E224" i="86"/>
  <c r="E17" i="89"/>
  <c r="E220" i="89"/>
  <c r="E224" i="89"/>
  <c r="G224" i="89"/>
  <c r="E68" i="69"/>
  <c r="E72" i="69"/>
  <c r="G72" i="69"/>
  <c r="E168" i="69"/>
  <c r="E178" i="69"/>
  <c r="E192" i="69"/>
  <c r="E13" i="142"/>
  <c r="G13" i="142"/>
  <c r="E25" i="142"/>
  <c r="E83" i="142"/>
  <c r="G83" i="142"/>
  <c r="E87" i="142"/>
  <c r="E91" i="142"/>
  <c r="E98" i="142"/>
  <c r="E105" i="142"/>
  <c r="G105" i="142"/>
  <c r="E109" i="142"/>
  <c r="E116" i="142"/>
  <c r="E124" i="142"/>
  <c r="E138" i="142"/>
  <c r="E152" i="142"/>
  <c r="E164" i="142"/>
  <c r="E220" i="142"/>
  <c r="G220" i="142"/>
  <c r="E25" i="92"/>
  <c r="E29" i="92"/>
  <c r="E33" i="92"/>
  <c r="E53" i="92"/>
  <c r="E68" i="92"/>
  <c r="G68" i="92"/>
  <c r="E105" i="92"/>
  <c r="E109" i="92"/>
  <c r="E133" i="92"/>
  <c r="G133" i="92"/>
  <c r="E138" i="92"/>
  <c r="E143" i="92"/>
  <c r="E164" i="92"/>
  <c r="E168" i="92"/>
  <c r="E203" i="92"/>
  <c r="E220" i="92"/>
  <c r="G220" i="92"/>
  <c r="E188" i="1"/>
  <c r="E220" i="1"/>
  <c r="E45" i="50"/>
  <c r="E49" i="50"/>
  <c r="E72" i="50"/>
  <c r="E76" i="50"/>
  <c r="E124" i="50"/>
  <c r="E148" i="50"/>
  <c r="E180" i="50"/>
  <c r="E13" i="95"/>
  <c r="E45" i="95"/>
  <c r="G45" i="95"/>
  <c r="E53" i="95"/>
  <c r="E57" i="95"/>
  <c r="G57" i="95"/>
  <c r="E68" i="95"/>
  <c r="E76" i="95"/>
  <c r="E116" i="95"/>
  <c r="E143" i="95"/>
  <c r="G143" i="95"/>
  <c r="E192" i="95"/>
  <c r="E220" i="95"/>
  <c r="G220" i="95"/>
  <c r="E181" i="31"/>
  <c r="E177" i="31"/>
  <c r="G177" i="31"/>
  <c r="E173" i="31"/>
  <c r="E169" i="31"/>
  <c r="G169" i="31"/>
  <c r="E165" i="31"/>
  <c r="E135" i="31"/>
  <c r="G135" i="31"/>
  <c r="E125" i="31"/>
  <c r="E106" i="31"/>
  <c r="E92" i="31"/>
  <c r="G92" i="31"/>
  <c r="E73" i="31"/>
  <c r="E69" i="31"/>
  <c r="E65" i="31"/>
  <c r="G65" i="31"/>
  <c r="E58" i="31"/>
  <c r="G58" i="31"/>
  <c r="E54" i="31"/>
  <c r="G54" i="31"/>
  <c r="E50" i="31"/>
  <c r="E46" i="31"/>
  <c r="G46" i="31"/>
  <c r="E98" i="38"/>
  <c r="E143" i="38"/>
  <c r="G143" i="38"/>
  <c r="E188" i="38"/>
  <c r="E192" i="38"/>
  <c r="E196" i="38"/>
  <c r="E203" i="38"/>
  <c r="G203" i="38"/>
  <c r="E231" i="150"/>
  <c r="E65" i="174"/>
  <c r="G65" i="174"/>
  <c r="E77" i="174"/>
  <c r="E202" i="94"/>
  <c r="E189" i="176"/>
  <c r="G189" i="176"/>
  <c r="E170" i="175"/>
  <c r="E97" i="164"/>
  <c r="E166" i="92"/>
  <c r="E203" i="155"/>
  <c r="E184" i="155"/>
  <c r="E138" i="10"/>
  <c r="G138" i="10"/>
  <c r="E136" i="69"/>
  <c r="E131" i="155"/>
  <c r="G131" i="155"/>
  <c r="G202" i="27"/>
  <c r="G191" i="149"/>
  <c r="E165" i="55"/>
  <c r="E170" i="104"/>
  <c r="G170" i="104"/>
  <c r="E124" i="92"/>
  <c r="E33" i="87"/>
  <c r="E192" i="1"/>
  <c r="G223" i="103"/>
  <c r="E153" i="118"/>
  <c r="G153" i="118"/>
  <c r="E173" i="118"/>
  <c r="G173" i="118"/>
  <c r="E189" i="118"/>
  <c r="G189" i="118"/>
  <c r="E169" i="60"/>
  <c r="E171" i="54"/>
  <c r="D111" i="164"/>
  <c r="E189" i="164"/>
  <c r="G189" i="164"/>
  <c r="E25" i="15"/>
  <c r="G25" i="15"/>
  <c r="E37" i="15"/>
  <c r="E64" i="15"/>
  <c r="E68" i="15"/>
  <c r="G68" i="15"/>
  <c r="E83" i="15"/>
  <c r="E225" i="68"/>
  <c r="E231" i="68"/>
  <c r="E235" i="68"/>
  <c r="E225" i="63"/>
  <c r="E223" i="58"/>
  <c r="E227" i="58"/>
  <c r="G227" i="58"/>
  <c r="E69" i="174"/>
  <c r="E84" i="174"/>
  <c r="E110" i="174"/>
  <c r="E117" i="174"/>
  <c r="E125" i="174"/>
  <c r="E130" i="174"/>
  <c r="G130" i="174"/>
  <c r="E153" i="174"/>
  <c r="E185" i="174"/>
  <c r="G185" i="174"/>
  <c r="E204" i="174"/>
  <c r="E231" i="174"/>
  <c r="E136" i="53"/>
  <c r="G136" i="53"/>
  <c r="E178" i="98"/>
  <c r="G178" i="98"/>
  <c r="E194" i="98"/>
  <c r="E170" i="83"/>
  <c r="E140" i="46"/>
  <c r="G140" i="46"/>
  <c r="E149" i="46"/>
  <c r="E193" i="46"/>
  <c r="G193" i="46"/>
  <c r="E147" i="106"/>
  <c r="G147" i="106"/>
  <c r="E226" i="106"/>
  <c r="E174" i="104"/>
  <c r="E205" i="104"/>
  <c r="E224" i="104"/>
  <c r="E60" i="84"/>
  <c r="G60" i="84"/>
  <c r="E147" i="84"/>
  <c r="E54" i="133"/>
  <c r="E117" i="133"/>
  <c r="E130" i="133"/>
  <c r="E65" i="152"/>
  <c r="G65" i="152"/>
  <c r="E77" i="152"/>
  <c r="E110" i="152"/>
  <c r="E140" i="152"/>
  <c r="G140" i="152"/>
  <c r="E149" i="152"/>
  <c r="E58" i="120"/>
  <c r="G58" i="120"/>
  <c r="E77" i="120"/>
  <c r="G77" i="120"/>
  <c r="E88" i="120"/>
  <c r="E117" i="120"/>
  <c r="E125" i="120"/>
  <c r="E186" i="141"/>
  <c r="G186" i="141"/>
  <c r="E60" i="28"/>
  <c r="E82" i="28"/>
  <c r="E137" i="28"/>
  <c r="E183" i="28"/>
  <c r="E191" i="28"/>
  <c r="E36" i="65"/>
  <c r="G36" i="65"/>
  <c r="E56" i="65"/>
  <c r="G56" i="65"/>
  <c r="E82" i="65"/>
  <c r="G82" i="65"/>
  <c r="E127" i="65"/>
  <c r="E137" i="65"/>
  <c r="E160" i="65"/>
  <c r="E183" i="65"/>
  <c r="E191" i="65"/>
  <c r="E202" i="65"/>
  <c r="G202" i="65"/>
  <c r="E226" i="65"/>
  <c r="E118" i="119"/>
  <c r="E224" i="119"/>
  <c r="G224" i="119"/>
  <c r="E100" i="25"/>
  <c r="E131" i="25"/>
  <c r="E15" i="155"/>
  <c r="G15" i="155"/>
  <c r="E114" i="155"/>
  <c r="G114" i="155"/>
  <c r="E159" i="155"/>
  <c r="G159" i="155"/>
  <c r="E176" i="155"/>
  <c r="G176" i="155"/>
  <c r="E37" i="156"/>
  <c r="E105" i="156"/>
  <c r="G105" i="156"/>
  <c r="E141" i="156"/>
  <c r="G141" i="156"/>
  <c r="E152" i="156"/>
  <c r="G152" i="156"/>
  <c r="E164" i="156"/>
  <c r="G164" i="156"/>
  <c r="E172" i="156"/>
  <c r="E190" i="156"/>
  <c r="G190" i="156"/>
  <c r="E220" i="156"/>
  <c r="E146" i="42"/>
  <c r="E194" i="157"/>
  <c r="E221" i="16"/>
  <c r="E26" i="165"/>
  <c r="E50" i="165"/>
  <c r="E54" i="165"/>
  <c r="E106" i="165"/>
  <c r="E110" i="165"/>
  <c r="G110" i="165"/>
  <c r="E130" i="165"/>
  <c r="E140" i="165"/>
  <c r="G140" i="165"/>
  <c r="E177" i="165"/>
  <c r="E185" i="165"/>
  <c r="G185" i="165"/>
  <c r="E189" i="165"/>
  <c r="E193" i="165"/>
  <c r="E200" i="165"/>
  <c r="G200" i="165"/>
  <c r="E14" i="55"/>
  <c r="E18" i="55"/>
  <c r="E26" i="55"/>
  <c r="E50" i="55"/>
  <c r="G50" i="55"/>
  <c r="E58" i="55"/>
  <c r="G58" i="55"/>
  <c r="E65" i="55"/>
  <c r="E69" i="55"/>
  <c r="G69" i="55"/>
  <c r="E73" i="55"/>
  <c r="E77" i="55"/>
  <c r="E130" i="55"/>
  <c r="E135" i="55"/>
  <c r="E158" i="55"/>
  <c r="G158" i="55"/>
  <c r="E169" i="55"/>
  <c r="E173" i="55"/>
  <c r="E185" i="55"/>
  <c r="E193" i="55"/>
  <c r="E222" i="55"/>
  <c r="E51" i="14"/>
  <c r="E55" i="14"/>
  <c r="E70" i="14"/>
  <c r="E78" i="14"/>
  <c r="G78" i="14"/>
  <c r="E170" i="14"/>
  <c r="E194" i="14"/>
  <c r="G26" i="85"/>
  <c r="G97" i="85"/>
  <c r="E71" i="172"/>
  <c r="E92" i="172"/>
  <c r="G92" i="172"/>
  <c r="E127" i="172"/>
  <c r="G127" i="172"/>
  <c r="E193" i="172"/>
  <c r="E223" i="172"/>
  <c r="E12" i="176"/>
  <c r="E20" i="176"/>
  <c r="G20" i="176"/>
  <c r="E38" i="176"/>
  <c r="E42" i="176"/>
  <c r="E50" i="176"/>
  <c r="E67" i="176"/>
  <c r="E71" i="176"/>
  <c r="E132" i="176"/>
  <c r="E149" i="176"/>
  <c r="E195" i="176"/>
  <c r="E204" i="176"/>
  <c r="E17" i="143"/>
  <c r="G17" i="143"/>
  <c r="E87" i="143"/>
  <c r="E124" i="143"/>
  <c r="G124" i="143"/>
  <c r="E129" i="143"/>
  <c r="E148" i="143"/>
  <c r="E152" i="143"/>
  <c r="E168" i="143"/>
  <c r="G168" i="143"/>
  <c r="E180" i="143"/>
  <c r="E192" i="143"/>
  <c r="E196" i="143"/>
  <c r="G196" i="143"/>
  <c r="E203" i="143"/>
  <c r="E29" i="10"/>
  <c r="E76" i="10"/>
  <c r="E109" i="10"/>
  <c r="E116" i="10"/>
  <c r="G116" i="10"/>
  <c r="E143" i="10"/>
  <c r="G143" i="10"/>
  <c r="E176" i="10"/>
  <c r="E203" i="10"/>
  <c r="G203" i="10"/>
  <c r="E29" i="87"/>
  <c r="E57" i="87"/>
  <c r="E72" i="87"/>
  <c r="G72" i="87"/>
  <c r="E91" i="87"/>
  <c r="E116" i="87"/>
  <c r="E152" i="87"/>
  <c r="E157" i="87"/>
  <c r="E164" i="87"/>
  <c r="E180" i="87"/>
  <c r="E184" i="87"/>
  <c r="E196" i="87"/>
  <c r="E203" i="87"/>
  <c r="E13" i="86"/>
  <c r="G13" i="86"/>
  <c r="E53" i="86"/>
  <c r="E68" i="86"/>
  <c r="E109" i="86"/>
  <c r="E172" i="86"/>
  <c r="E188" i="86"/>
  <c r="E203" i="86"/>
  <c r="E25" i="89"/>
  <c r="E41" i="89"/>
  <c r="E45" i="89"/>
  <c r="G45" i="89"/>
  <c r="E76" i="69"/>
  <c r="E83" i="69"/>
  <c r="G83" i="69"/>
  <c r="E105" i="69"/>
  <c r="E109" i="69"/>
  <c r="E116" i="69"/>
  <c r="G116" i="69"/>
  <c r="E126" i="69"/>
  <c r="E148" i="69"/>
  <c r="G148" i="69"/>
  <c r="E152" i="69"/>
  <c r="E157" i="69"/>
  <c r="E164" i="69"/>
  <c r="E196" i="69"/>
  <c r="E203" i="69"/>
  <c r="E33" i="142"/>
  <c r="E37" i="142"/>
  <c r="E133" i="142"/>
  <c r="E148" i="142"/>
  <c r="G148" i="142"/>
  <c r="E168" i="142"/>
  <c r="E176" i="142"/>
  <c r="E180" i="142"/>
  <c r="G180" i="142"/>
  <c r="E184" i="142"/>
  <c r="E188" i="142"/>
  <c r="G188" i="142"/>
  <c r="E192" i="142"/>
  <c r="E196" i="142"/>
  <c r="E203" i="142"/>
  <c r="E17" i="92"/>
  <c r="E41" i="92"/>
  <c r="G41" i="92"/>
  <c r="E57" i="92"/>
  <c r="E72" i="92"/>
  <c r="E76" i="92"/>
  <c r="E91" i="92"/>
  <c r="G91" i="92"/>
  <c r="E98" i="92"/>
  <c r="E116" i="92"/>
  <c r="E150" i="92"/>
  <c r="E152" i="92"/>
  <c r="E157" i="92"/>
  <c r="E13" i="50"/>
  <c r="E17" i="50"/>
  <c r="G17" i="50"/>
  <c r="E25" i="50"/>
  <c r="E53" i="50"/>
  <c r="E68" i="50"/>
  <c r="E83" i="50"/>
  <c r="E98" i="50"/>
  <c r="E105" i="50"/>
  <c r="E129" i="50"/>
  <c r="G129" i="50"/>
  <c r="E152" i="50"/>
  <c r="G152" i="50"/>
  <c r="E157" i="50"/>
  <c r="G157" i="50"/>
  <c r="E164" i="50"/>
  <c r="E168" i="50"/>
  <c r="E172" i="50"/>
  <c r="G172" i="50"/>
  <c r="E176" i="50"/>
  <c r="E184" i="50"/>
  <c r="E188" i="50"/>
  <c r="G188" i="50"/>
  <c r="E194" i="50"/>
  <c r="E220" i="50"/>
  <c r="E37" i="95"/>
  <c r="G37" i="95"/>
  <c r="E49" i="95"/>
  <c r="E64" i="95"/>
  <c r="G64" i="95"/>
  <c r="E91" i="95"/>
  <c r="G91" i="95"/>
  <c r="E105" i="95"/>
  <c r="E124" i="95"/>
  <c r="G124" i="95"/>
  <c r="E129" i="95"/>
  <c r="E133" i="95"/>
  <c r="E148" i="95"/>
  <c r="E182" i="95"/>
  <c r="E188" i="95"/>
  <c r="E196" i="95"/>
  <c r="G196" i="95"/>
  <c r="E223" i="31"/>
  <c r="E158" i="31"/>
  <c r="G158" i="31"/>
  <c r="E153" i="31"/>
  <c r="E149" i="31"/>
  <c r="E145" i="31"/>
  <c r="G145" i="31"/>
  <c r="E130" i="31"/>
  <c r="G130" i="31"/>
  <c r="E110" i="31"/>
  <c r="E99" i="31"/>
  <c r="G99" i="31"/>
  <c r="E88" i="31"/>
  <c r="E84" i="31"/>
  <c r="E105" i="38"/>
  <c r="E109" i="38"/>
  <c r="E124" i="38"/>
  <c r="E129" i="38"/>
  <c r="E133" i="38"/>
  <c r="E138" i="38"/>
  <c r="E164" i="38"/>
  <c r="G164" i="38"/>
  <c r="E168" i="38"/>
  <c r="G168" i="38"/>
  <c r="E184" i="38"/>
  <c r="E220" i="38"/>
  <c r="E221" i="150"/>
  <c r="G221" i="150"/>
  <c r="E225" i="150"/>
  <c r="D93" i="53"/>
  <c r="D111" i="47"/>
  <c r="E145" i="174"/>
  <c r="G145" i="174"/>
  <c r="E149" i="174"/>
  <c r="E123" i="164"/>
  <c r="E160" i="176"/>
  <c r="G160" i="176"/>
  <c r="E34" i="174"/>
  <c r="G34" i="174"/>
  <c r="E145" i="164"/>
  <c r="E101" i="176"/>
  <c r="G152" i="167"/>
  <c r="G116" i="167"/>
  <c r="E176" i="69"/>
  <c r="E41" i="156"/>
  <c r="E141" i="155"/>
  <c r="E11" i="83"/>
  <c r="G11" i="83"/>
  <c r="E50" i="172"/>
  <c r="G50" i="172"/>
  <c r="E145" i="46"/>
  <c r="G145" i="46"/>
  <c r="G167" i="72"/>
  <c r="E26" i="31"/>
  <c r="E17" i="142"/>
  <c r="E47" i="14"/>
  <c r="E140" i="118"/>
  <c r="G140" i="118"/>
  <c r="D93" i="60"/>
  <c r="E177" i="60"/>
  <c r="G177" i="60"/>
  <c r="E200" i="60"/>
  <c r="D206" i="60"/>
  <c r="E173" i="54"/>
  <c r="E48" i="164"/>
  <c r="E60" i="164"/>
  <c r="E108" i="164"/>
  <c r="E223" i="164"/>
  <c r="G223" i="164"/>
  <c r="E53" i="15"/>
  <c r="E72" i="15"/>
  <c r="E91" i="15"/>
  <c r="E88" i="174"/>
  <c r="E99" i="174"/>
  <c r="E140" i="174"/>
  <c r="E222" i="174"/>
  <c r="E55" i="53"/>
  <c r="E107" i="98"/>
  <c r="E225" i="49"/>
  <c r="E130" i="46"/>
  <c r="E185" i="46"/>
  <c r="E189" i="46"/>
  <c r="E200" i="46"/>
  <c r="E187" i="106"/>
  <c r="E114" i="104"/>
  <c r="E224" i="175"/>
  <c r="E44" i="84"/>
  <c r="E97" i="84"/>
  <c r="E183" i="84"/>
  <c r="E158" i="133"/>
  <c r="E165" i="133"/>
  <c r="E193" i="133"/>
  <c r="G193" i="133"/>
  <c r="E54" i="120"/>
  <c r="E73" i="120"/>
  <c r="E99" i="120"/>
  <c r="G99" i="120"/>
  <c r="E106" i="120"/>
  <c r="G106" i="120"/>
  <c r="E110" i="120"/>
  <c r="E140" i="120"/>
  <c r="E222" i="120"/>
  <c r="E232" i="120"/>
  <c r="G232" i="120"/>
  <c r="E225" i="90"/>
  <c r="E107" i="24"/>
  <c r="E225" i="24"/>
  <c r="E225" i="141"/>
  <c r="G225" i="141"/>
  <c r="E205" i="32"/>
  <c r="G28" i="72"/>
  <c r="E127" i="28"/>
  <c r="E147" i="28"/>
  <c r="E31" i="119"/>
  <c r="E70" i="119"/>
  <c r="E107" i="119"/>
  <c r="G107" i="119"/>
  <c r="E194" i="119"/>
  <c r="G194" i="119"/>
  <c r="E35" i="25"/>
  <c r="E85" i="25"/>
  <c r="E114" i="25"/>
  <c r="G114" i="25"/>
  <c r="E205" i="25"/>
  <c r="E224" i="25"/>
  <c r="G224" i="25"/>
  <c r="E27" i="155"/>
  <c r="E85" i="155"/>
  <c r="E126" i="155"/>
  <c r="E157" i="155"/>
  <c r="G157" i="155"/>
  <c r="E166" i="155"/>
  <c r="E170" i="155"/>
  <c r="G170" i="155"/>
  <c r="E25" i="156"/>
  <c r="E68" i="156"/>
  <c r="E129" i="156"/>
  <c r="E143" i="156"/>
  <c r="G143" i="156"/>
  <c r="E178" i="156"/>
  <c r="G178" i="156"/>
  <c r="E182" i="156"/>
  <c r="E188" i="156"/>
  <c r="E201" i="156"/>
  <c r="E225" i="157"/>
  <c r="G225" i="157"/>
  <c r="E68" i="158"/>
  <c r="G68" i="158"/>
  <c r="E18" i="165"/>
  <c r="E30" i="165"/>
  <c r="E38" i="165"/>
  <c r="E58" i="165"/>
  <c r="E99" i="165"/>
  <c r="G99" i="165"/>
  <c r="E117" i="165"/>
  <c r="E125" i="165"/>
  <c r="E149" i="165"/>
  <c r="G149" i="165"/>
  <c r="E204" i="165"/>
  <c r="E222" i="165"/>
  <c r="E232" i="165"/>
  <c r="E30" i="55"/>
  <c r="G30" i="55"/>
  <c r="E38" i="55"/>
  <c r="E42" i="55"/>
  <c r="E54" i="55"/>
  <c r="G54" i="55"/>
  <c r="E149" i="55"/>
  <c r="E153" i="55"/>
  <c r="E177" i="55"/>
  <c r="E11" i="14"/>
  <c r="G11" i="14"/>
  <c r="E15" i="14"/>
  <c r="E19" i="14"/>
  <c r="G19" i="14"/>
  <c r="E27" i="14"/>
  <c r="E31" i="14"/>
  <c r="E35" i="14"/>
  <c r="E39" i="14"/>
  <c r="E59" i="14"/>
  <c r="E66" i="14"/>
  <c r="E205" i="14"/>
  <c r="E220" i="14"/>
  <c r="E224" i="14"/>
  <c r="E18" i="172"/>
  <c r="E40" i="176"/>
  <c r="E44" i="176"/>
  <c r="G44" i="176"/>
  <c r="E56" i="176"/>
  <c r="E60" i="176"/>
  <c r="G60" i="176"/>
  <c r="E82" i="176"/>
  <c r="E86" i="176"/>
  <c r="E90" i="176"/>
  <c r="E97" i="176"/>
  <c r="E106" i="176"/>
  <c r="E110" i="176"/>
  <c r="G110" i="176"/>
  <c r="E156" i="176"/>
  <c r="E191" i="176"/>
  <c r="E222" i="176"/>
  <c r="G222" i="176"/>
  <c r="E226" i="176"/>
  <c r="E133" i="143"/>
  <c r="E157" i="143"/>
  <c r="G157" i="143"/>
  <c r="E176" i="143"/>
  <c r="E188" i="143"/>
  <c r="E25" i="10"/>
  <c r="E45" i="10"/>
  <c r="E49" i="10"/>
  <c r="E129" i="10"/>
  <c r="E133" i="10"/>
  <c r="E152" i="10"/>
  <c r="E192" i="10"/>
  <c r="E205" i="10"/>
  <c r="E220" i="10"/>
  <c r="E224" i="10"/>
  <c r="E41" i="87"/>
  <c r="E45" i="87"/>
  <c r="E83" i="87"/>
  <c r="E87" i="87"/>
  <c r="E105" i="87"/>
  <c r="E109" i="87"/>
  <c r="E148" i="87"/>
  <c r="E172" i="87"/>
  <c r="G172" i="87"/>
  <c r="E192" i="87"/>
  <c r="E220" i="87"/>
  <c r="G220" i="87"/>
  <c r="E224" i="87"/>
  <c r="E17" i="86"/>
  <c r="E33" i="86"/>
  <c r="E49" i="86"/>
  <c r="E64" i="86"/>
  <c r="G64" i="86"/>
  <c r="E83" i="86"/>
  <c r="G83" i="86"/>
  <c r="E87" i="86"/>
  <c r="E91" i="86"/>
  <c r="E116" i="86"/>
  <c r="E143" i="86"/>
  <c r="G143" i="86"/>
  <c r="E184" i="86"/>
  <c r="E33" i="89"/>
  <c r="G33" i="89"/>
  <c r="E49" i="89"/>
  <c r="E53" i="89"/>
  <c r="E57" i="89"/>
  <c r="E64" i="89"/>
  <c r="G64" i="89"/>
  <c r="E68" i="89"/>
  <c r="E72" i="89"/>
  <c r="E76" i="89"/>
  <c r="E83" i="89"/>
  <c r="E91" i="69"/>
  <c r="E124" i="69"/>
  <c r="E129" i="69"/>
  <c r="E138" i="69"/>
  <c r="E143" i="69"/>
  <c r="E184" i="69"/>
  <c r="E220" i="69"/>
  <c r="G220" i="69"/>
  <c r="E224" i="69"/>
  <c r="E129" i="142"/>
  <c r="E143" i="142"/>
  <c r="E157" i="142"/>
  <c r="E172" i="142"/>
  <c r="E13" i="92"/>
  <c r="E37" i="92"/>
  <c r="E45" i="92"/>
  <c r="E49" i="92"/>
  <c r="E64" i="92"/>
  <c r="E83" i="92"/>
  <c r="E87" i="92"/>
  <c r="E129" i="92"/>
  <c r="E148" i="92"/>
  <c r="E203" i="1"/>
  <c r="G203" i="1"/>
  <c r="E33" i="50"/>
  <c r="E37" i="50"/>
  <c r="G37" i="50"/>
  <c r="E41" i="50"/>
  <c r="E57" i="50"/>
  <c r="E64" i="50"/>
  <c r="E87" i="50"/>
  <c r="E91" i="50"/>
  <c r="G91" i="50"/>
  <c r="E109" i="50"/>
  <c r="E116" i="50"/>
  <c r="E133" i="50"/>
  <c r="E138" i="50"/>
  <c r="G138" i="50"/>
  <c r="E170" i="50"/>
  <c r="E192" i="50"/>
  <c r="E196" i="50"/>
  <c r="E203" i="50"/>
  <c r="E17" i="95"/>
  <c r="G17" i="95"/>
  <c r="E25" i="95"/>
  <c r="G25" i="95"/>
  <c r="E33" i="95"/>
  <c r="E41" i="95"/>
  <c r="G41" i="95"/>
  <c r="E72" i="95"/>
  <c r="G72" i="95"/>
  <c r="E87" i="95"/>
  <c r="E98" i="95"/>
  <c r="G98" i="95"/>
  <c r="E109" i="95"/>
  <c r="E152" i="95"/>
  <c r="E184" i="95"/>
  <c r="E203" i="95"/>
  <c r="E193" i="31"/>
  <c r="E189" i="31"/>
  <c r="E185" i="31"/>
  <c r="E140" i="31"/>
  <c r="E117" i="31"/>
  <c r="G117" i="31"/>
  <c r="E42" i="31"/>
  <c r="E38" i="31"/>
  <c r="G38" i="31"/>
  <c r="E34" i="31"/>
  <c r="E30" i="31"/>
  <c r="G30" i="31"/>
  <c r="E18" i="31"/>
  <c r="G18" i="31"/>
  <c r="E14" i="31"/>
  <c r="G14" i="31"/>
  <c r="E13" i="38"/>
  <c r="G13" i="38"/>
  <c r="E76" i="38"/>
  <c r="E83" i="38"/>
  <c r="G83" i="38"/>
  <c r="E87" i="38"/>
  <c r="E91" i="38"/>
  <c r="E116" i="38"/>
  <c r="E152" i="38"/>
  <c r="E157" i="38"/>
  <c r="E172" i="38"/>
  <c r="E176" i="38"/>
  <c r="G226" i="174"/>
  <c r="E185" i="176"/>
  <c r="D119" i="47"/>
  <c r="E189" i="174"/>
  <c r="E75" i="176"/>
  <c r="E124" i="87"/>
  <c r="E174" i="156"/>
  <c r="G174" i="156"/>
  <c r="E92" i="120"/>
  <c r="E180" i="38"/>
  <c r="E200" i="15"/>
  <c r="G200" i="15"/>
  <c r="E191" i="64"/>
  <c r="E183" i="16"/>
  <c r="E195" i="16"/>
  <c r="C102" i="10"/>
  <c r="E232" i="10"/>
  <c r="C21" i="87"/>
  <c r="C102" i="87"/>
  <c r="E232" i="87"/>
  <c r="C21" i="86"/>
  <c r="C102" i="86"/>
  <c r="C93" i="89"/>
  <c r="C102" i="89"/>
  <c r="C119" i="89"/>
  <c r="C161" i="89"/>
  <c r="C102" i="69"/>
  <c r="C119" i="69"/>
  <c r="C161" i="69"/>
  <c r="C21" i="142"/>
  <c r="E222" i="92"/>
  <c r="G222" i="92"/>
  <c r="E135" i="53"/>
  <c r="G135" i="53"/>
  <c r="E99" i="118"/>
  <c r="G99" i="118"/>
  <c r="E117" i="118"/>
  <c r="E38" i="60"/>
  <c r="G38" i="60"/>
  <c r="E179" i="54"/>
  <c r="E200" i="94"/>
  <c r="E71" i="164"/>
  <c r="G71" i="164"/>
  <c r="E151" i="164"/>
  <c r="E146" i="53"/>
  <c r="G146" i="53"/>
  <c r="E66" i="49"/>
  <c r="E205" i="83"/>
  <c r="E66" i="47"/>
  <c r="E114" i="47"/>
  <c r="G114" i="47"/>
  <c r="E190" i="141"/>
  <c r="E59" i="32"/>
  <c r="G59" i="32"/>
  <c r="C102" i="16"/>
  <c r="E14" i="172"/>
  <c r="E32" i="172"/>
  <c r="G32" i="172"/>
  <c r="E38" i="172"/>
  <c r="G38" i="172"/>
  <c r="E42" i="172"/>
  <c r="G42" i="172"/>
  <c r="E48" i="172"/>
  <c r="E73" i="172"/>
  <c r="E90" i="172"/>
  <c r="E130" i="172"/>
  <c r="G130" i="172"/>
  <c r="E153" i="172"/>
  <c r="G153" i="172"/>
  <c r="E204" i="172"/>
  <c r="D79" i="50"/>
  <c r="E96" i="150"/>
  <c r="E135" i="120"/>
  <c r="G135" i="120"/>
  <c r="E97" i="28"/>
  <c r="E156" i="28"/>
  <c r="E187" i="28"/>
  <c r="E171" i="65"/>
  <c r="E205" i="95"/>
  <c r="G145" i="176"/>
  <c r="G59" i="102"/>
  <c r="E221" i="118"/>
  <c r="E231" i="118"/>
  <c r="G231" i="118"/>
  <c r="D102" i="60"/>
  <c r="E221" i="60"/>
  <c r="E231" i="60"/>
  <c r="D21" i="54"/>
  <c r="D61" i="54"/>
  <c r="D206" i="54"/>
  <c r="E231" i="54"/>
  <c r="D21" i="94"/>
  <c r="D61" i="94"/>
  <c r="D79" i="94"/>
  <c r="D111" i="94"/>
  <c r="E150" i="94"/>
  <c r="D206" i="145"/>
  <c r="D21" i="164"/>
  <c r="D61" i="164"/>
  <c r="D79" i="164"/>
  <c r="D93" i="164"/>
  <c r="D102" i="164"/>
  <c r="D119" i="164"/>
  <c r="D161" i="164"/>
  <c r="D197" i="164"/>
  <c r="D206" i="164"/>
  <c r="E231" i="164"/>
  <c r="E235" i="164"/>
  <c r="E142" i="15"/>
  <c r="G142" i="15"/>
  <c r="E151" i="15"/>
  <c r="G151" i="15"/>
  <c r="E222" i="15"/>
  <c r="D79" i="68"/>
  <c r="D93" i="68"/>
  <c r="D206" i="68"/>
  <c r="E219" i="68"/>
  <c r="G219" i="68"/>
  <c r="D206" i="66"/>
  <c r="E223" i="66"/>
  <c r="D93" i="63"/>
  <c r="E223" i="63"/>
  <c r="E196" i="58"/>
  <c r="E221" i="58"/>
  <c r="G221" i="58"/>
  <c r="E231" i="58"/>
  <c r="E11" i="174"/>
  <c r="E15" i="174"/>
  <c r="E19" i="174"/>
  <c r="E31" i="174"/>
  <c r="E72" i="174"/>
  <c r="G72" i="174"/>
  <c r="E141" i="174"/>
  <c r="E143" i="174"/>
  <c r="G143" i="174"/>
  <c r="E148" i="174"/>
  <c r="C197" i="174"/>
  <c r="E166" i="174"/>
  <c r="E170" i="174"/>
  <c r="G170" i="174"/>
  <c r="E174" i="174"/>
  <c r="E190" i="174"/>
  <c r="E194" i="174"/>
  <c r="E201" i="174"/>
  <c r="C206" i="174"/>
  <c r="E220" i="174"/>
  <c r="G220" i="174"/>
  <c r="E224" i="174"/>
  <c r="E38" i="53"/>
  <c r="E42" i="53"/>
  <c r="E50" i="53"/>
  <c r="E58" i="53"/>
  <c r="D79" i="53"/>
  <c r="E69" i="53"/>
  <c r="E84" i="53"/>
  <c r="E92" i="53"/>
  <c r="D102" i="53"/>
  <c r="E99" i="53"/>
  <c r="E106" i="53"/>
  <c r="D111" i="53"/>
  <c r="D119" i="53"/>
  <c r="E117" i="53"/>
  <c r="G117" i="53"/>
  <c r="E125" i="53"/>
  <c r="G125" i="53"/>
  <c r="E130" i="53"/>
  <c r="G130" i="53"/>
  <c r="E140" i="53"/>
  <c r="E153" i="53"/>
  <c r="E165" i="53"/>
  <c r="E169" i="53"/>
  <c r="G169" i="53"/>
  <c r="E173" i="53"/>
  <c r="E177" i="53"/>
  <c r="E181" i="53"/>
  <c r="G181" i="53"/>
  <c r="E185" i="53"/>
  <c r="E189" i="53"/>
  <c r="G189" i="53"/>
  <c r="E193" i="53"/>
  <c r="E200" i="53"/>
  <c r="G200" i="53"/>
  <c r="E204" i="53"/>
  <c r="E219" i="53"/>
  <c r="E227" i="53"/>
  <c r="E26" i="98"/>
  <c r="E34" i="98"/>
  <c r="E46" i="98"/>
  <c r="E58" i="98"/>
  <c r="E65" i="98"/>
  <c r="E181" i="98"/>
  <c r="E185" i="98"/>
  <c r="E189" i="98"/>
  <c r="G189" i="98"/>
  <c r="E193" i="98"/>
  <c r="E200" i="98"/>
  <c r="G200" i="98"/>
  <c r="E204" i="98"/>
  <c r="E219" i="98"/>
  <c r="E227" i="98"/>
  <c r="E34" i="49"/>
  <c r="E36" i="49"/>
  <c r="E42" i="49"/>
  <c r="E50" i="49"/>
  <c r="G50" i="49"/>
  <c r="E69" i="49"/>
  <c r="E84" i="49"/>
  <c r="E88" i="49"/>
  <c r="E92" i="49"/>
  <c r="E99" i="49"/>
  <c r="G99" i="49"/>
  <c r="E110" i="49"/>
  <c r="E117" i="49"/>
  <c r="G117" i="49"/>
  <c r="E125" i="49"/>
  <c r="D206" i="83"/>
  <c r="E204" i="83"/>
  <c r="G204" i="83"/>
  <c r="E219" i="83"/>
  <c r="E227" i="83"/>
  <c r="D21" i="47"/>
  <c r="D93" i="47"/>
  <c r="D102" i="47"/>
  <c r="E140" i="47"/>
  <c r="E145" i="47"/>
  <c r="E149" i="47"/>
  <c r="E153" i="47"/>
  <c r="E165" i="47"/>
  <c r="G72" i="113"/>
  <c r="G45" i="167"/>
  <c r="G73" i="177"/>
  <c r="G97" i="84"/>
  <c r="E169" i="47"/>
  <c r="E173" i="47"/>
  <c r="E181" i="47"/>
  <c r="E183" i="47"/>
  <c r="E58" i="46"/>
  <c r="E73" i="46"/>
  <c r="E178" i="46"/>
  <c r="G178" i="46"/>
  <c r="E186" i="46"/>
  <c r="G186" i="46"/>
  <c r="E129" i="106"/>
  <c r="E133" i="106"/>
  <c r="E143" i="106"/>
  <c r="E148" i="106"/>
  <c r="E164" i="106"/>
  <c r="E168" i="106"/>
  <c r="E176" i="106"/>
  <c r="E180" i="106"/>
  <c r="E184" i="106"/>
  <c r="G184" i="106"/>
  <c r="E188" i="106"/>
  <c r="E192" i="106"/>
  <c r="E196" i="106"/>
  <c r="E201" i="106"/>
  <c r="E220" i="106"/>
  <c r="E60" i="104"/>
  <c r="G60" i="104"/>
  <c r="E71" i="104"/>
  <c r="E86" i="104"/>
  <c r="E97" i="104"/>
  <c r="G97" i="104"/>
  <c r="E108" i="104"/>
  <c r="G108" i="104"/>
  <c r="E123" i="104"/>
  <c r="E137" i="104"/>
  <c r="E151" i="104"/>
  <c r="G151" i="104"/>
  <c r="E187" i="104"/>
  <c r="E195" i="104"/>
  <c r="E114" i="43"/>
  <c r="E126" i="43"/>
  <c r="E150" i="43"/>
  <c r="E159" i="43"/>
  <c r="E170" i="43"/>
  <c r="E174" i="43"/>
  <c r="E190" i="43"/>
  <c r="E12" i="175"/>
  <c r="G12" i="175"/>
  <c r="E20" i="175"/>
  <c r="E28" i="175"/>
  <c r="E34" i="175"/>
  <c r="E73" i="175"/>
  <c r="G73" i="175"/>
  <c r="E149" i="175"/>
  <c r="E17" i="84"/>
  <c r="E37" i="84"/>
  <c r="G37" i="84"/>
  <c r="E41" i="84"/>
  <c r="E45" i="84"/>
  <c r="E53" i="84"/>
  <c r="G53" i="84"/>
  <c r="E57" i="84"/>
  <c r="E68" i="84"/>
  <c r="E72" i="84"/>
  <c r="G72" i="84"/>
  <c r="E76" i="84"/>
  <c r="E83" i="84"/>
  <c r="E87" i="84"/>
  <c r="E91" i="84"/>
  <c r="E98" i="84"/>
  <c r="G98" i="84"/>
  <c r="E105" i="84"/>
  <c r="E116" i="84"/>
  <c r="E164" i="84"/>
  <c r="G164" i="84"/>
  <c r="E168" i="84"/>
  <c r="G168" i="84"/>
  <c r="E184" i="84"/>
  <c r="G184" i="84"/>
  <c r="E188" i="84"/>
  <c r="E192" i="84"/>
  <c r="E196" i="84"/>
  <c r="E132" i="71"/>
  <c r="E160" i="71"/>
  <c r="E219" i="71"/>
  <c r="E227" i="71"/>
  <c r="E143" i="39"/>
  <c r="E221" i="39"/>
  <c r="E231" i="39"/>
  <c r="G231" i="39"/>
  <c r="E31" i="133"/>
  <c r="E35" i="133"/>
  <c r="E43" i="133"/>
  <c r="G43" i="133"/>
  <c r="E47" i="133"/>
  <c r="E51" i="133"/>
  <c r="E55" i="133"/>
  <c r="E59" i="133"/>
  <c r="G59" i="133"/>
  <c r="E66" i="133"/>
  <c r="E70" i="133"/>
  <c r="E74" i="133"/>
  <c r="E78" i="133"/>
  <c r="E96" i="133"/>
  <c r="E100" i="133"/>
  <c r="G100" i="133"/>
  <c r="E107" i="133"/>
  <c r="E126" i="133"/>
  <c r="G126" i="133"/>
  <c r="E136" i="133"/>
  <c r="E170" i="133"/>
  <c r="E178" i="133"/>
  <c r="G178" i="133"/>
  <c r="E182" i="133"/>
  <c r="E186" i="133"/>
  <c r="E190" i="133"/>
  <c r="E194" i="133"/>
  <c r="G194" i="133"/>
  <c r="E201" i="133"/>
  <c r="E205" i="133"/>
  <c r="E224" i="133"/>
  <c r="E11" i="152"/>
  <c r="E15" i="152"/>
  <c r="G15" i="152"/>
  <c r="E19" i="152"/>
  <c r="G19" i="152"/>
  <c r="E27" i="152"/>
  <c r="G27" i="152"/>
  <c r="E31" i="152"/>
  <c r="E35" i="152"/>
  <c r="E47" i="152"/>
  <c r="E51" i="152"/>
  <c r="E55" i="152"/>
  <c r="E59" i="152"/>
  <c r="E39" i="120"/>
  <c r="E51" i="120"/>
  <c r="E85" i="120"/>
  <c r="E89" i="120"/>
  <c r="E126" i="120"/>
  <c r="E136" i="120"/>
  <c r="E155" i="120"/>
  <c r="E159" i="120"/>
  <c r="E166" i="120"/>
  <c r="E170" i="120"/>
  <c r="E174" i="120"/>
  <c r="E178" i="120"/>
  <c r="E182" i="120"/>
  <c r="E186" i="120"/>
  <c r="E190" i="120"/>
  <c r="E194" i="120"/>
  <c r="E224" i="120"/>
  <c r="G219" i="37"/>
  <c r="E75" i="90"/>
  <c r="E86" i="90"/>
  <c r="E90" i="90"/>
  <c r="E97" i="90"/>
  <c r="E101" i="90"/>
  <c r="E137" i="90"/>
  <c r="E142" i="90"/>
  <c r="G142" i="90"/>
  <c r="E151" i="90"/>
  <c r="G151" i="90"/>
  <c r="E167" i="90"/>
  <c r="E171" i="90"/>
  <c r="E175" i="90"/>
  <c r="E179" i="90"/>
  <c r="E187" i="90"/>
  <c r="E191" i="90"/>
  <c r="E195" i="90"/>
  <c r="E219" i="90"/>
  <c r="E227" i="90"/>
  <c r="G227" i="90"/>
  <c r="E12" i="24"/>
  <c r="E16" i="24"/>
  <c r="E44" i="24"/>
  <c r="E67" i="24"/>
  <c r="G67" i="24"/>
  <c r="E71" i="24"/>
  <c r="E75" i="24"/>
  <c r="G75" i="24"/>
  <c r="E86" i="24"/>
  <c r="E90" i="24"/>
  <c r="G90" i="24"/>
  <c r="E97" i="24"/>
  <c r="E101" i="24"/>
  <c r="E108" i="24"/>
  <c r="E115" i="24"/>
  <c r="E123" i="24"/>
  <c r="E132" i="24"/>
  <c r="E137" i="24"/>
  <c r="E142" i="24"/>
  <c r="E151" i="24"/>
  <c r="E156" i="24"/>
  <c r="E160" i="24"/>
  <c r="G160" i="24"/>
  <c r="E171" i="24"/>
  <c r="E175" i="24"/>
  <c r="E187" i="24"/>
  <c r="E191" i="24"/>
  <c r="G191" i="24"/>
  <c r="E195" i="24"/>
  <c r="E202" i="24"/>
  <c r="E219" i="24"/>
  <c r="G219" i="24"/>
  <c r="E227" i="24"/>
  <c r="G227" i="24"/>
  <c r="E12" i="141"/>
  <c r="E28" i="141"/>
  <c r="G28" i="141"/>
  <c r="E32" i="141"/>
  <c r="G32" i="141"/>
  <c r="E36" i="141"/>
  <c r="G36" i="141"/>
  <c r="E40" i="141"/>
  <c r="E44" i="141"/>
  <c r="E48" i="141"/>
  <c r="E56" i="141"/>
  <c r="E82" i="141"/>
  <c r="G82" i="141"/>
  <c r="E86" i="141"/>
  <c r="E90" i="141"/>
  <c r="E97" i="141"/>
  <c r="E101" i="141"/>
  <c r="E108" i="141"/>
  <c r="E142" i="141"/>
  <c r="E147" i="141"/>
  <c r="G147" i="141"/>
  <c r="E151" i="141"/>
  <c r="E160" i="141"/>
  <c r="E167" i="141"/>
  <c r="E171" i="141"/>
  <c r="E173" i="141"/>
  <c r="E175" i="141"/>
  <c r="E179" i="141"/>
  <c r="E183" i="141"/>
  <c r="E187" i="141"/>
  <c r="G187" i="141"/>
  <c r="E195" i="141"/>
  <c r="E219" i="141"/>
  <c r="G227" i="141"/>
  <c r="E12" i="32"/>
  <c r="E16" i="32"/>
  <c r="E40" i="32"/>
  <c r="G40" i="32"/>
  <c r="E44" i="32"/>
  <c r="E48" i="32"/>
  <c r="E52" i="32"/>
  <c r="E56" i="32"/>
  <c r="E67" i="32"/>
  <c r="E82" i="32"/>
  <c r="E86" i="32"/>
  <c r="E90" i="32"/>
  <c r="G90" i="32"/>
  <c r="E108" i="32"/>
  <c r="E123" i="32"/>
  <c r="E127" i="32"/>
  <c r="E132" i="32"/>
  <c r="E137" i="32"/>
  <c r="G137" i="32"/>
  <c r="E142" i="32"/>
  <c r="G142" i="32"/>
  <c r="E147" i="32"/>
  <c r="G147" i="32"/>
  <c r="E151" i="32"/>
  <c r="E156" i="32"/>
  <c r="G156" i="32"/>
  <c r="E179" i="32"/>
  <c r="E183" i="32"/>
  <c r="E187" i="32"/>
  <c r="E195" i="32"/>
  <c r="E202" i="32"/>
  <c r="E219" i="32"/>
  <c r="E227" i="32"/>
  <c r="E12" i="64"/>
  <c r="E20" i="64"/>
  <c r="E28" i="64"/>
  <c r="E32" i="64"/>
  <c r="E36" i="64"/>
  <c r="G36" i="64"/>
  <c r="E40" i="64"/>
  <c r="E48" i="64"/>
  <c r="E52" i="64"/>
  <c r="G52" i="64"/>
  <c r="E56" i="64"/>
  <c r="E67" i="64"/>
  <c r="G67" i="64"/>
  <c r="E69" i="64"/>
  <c r="G69" i="64"/>
  <c r="E75" i="64"/>
  <c r="E82" i="64"/>
  <c r="E86" i="64"/>
  <c r="E108" i="64"/>
  <c r="E115" i="64"/>
  <c r="E127" i="64"/>
  <c r="E132" i="64"/>
  <c r="E137" i="64"/>
  <c r="E147" i="64"/>
  <c r="E171" i="64"/>
  <c r="E175" i="64"/>
  <c r="G175" i="64"/>
  <c r="E179" i="64"/>
  <c r="E187" i="64"/>
  <c r="E195" i="64"/>
  <c r="E219" i="64"/>
  <c r="G219" i="64"/>
  <c r="G219" i="150"/>
  <c r="E220" i="28"/>
  <c r="G220" i="28"/>
  <c r="E30" i="42"/>
  <c r="G30" i="42"/>
  <c r="E88" i="42"/>
  <c r="E125" i="42"/>
  <c r="E88" i="157"/>
  <c r="G88" i="157"/>
  <c r="E135" i="157"/>
  <c r="G135" i="157"/>
  <c r="E149" i="157"/>
  <c r="E158" i="157"/>
  <c r="E189" i="157"/>
  <c r="E193" i="157"/>
  <c r="E204" i="157"/>
  <c r="E16" i="158"/>
  <c r="E20" i="158"/>
  <c r="E32" i="158"/>
  <c r="E44" i="158"/>
  <c r="E56" i="158"/>
  <c r="G56" i="158"/>
  <c r="E101" i="158"/>
  <c r="G101" i="158"/>
  <c r="E127" i="158"/>
  <c r="E132" i="158"/>
  <c r="E137" i="158"/>
  <c r="E142" i="158"/>
  <c r="E160" i="158"/>
  <c r="E183" i="158"/>
  <c r="G183" i="158"/>
  <c r="E90" i="16"/>
  <c r="E147" i="16"/>
  <c r="E151" i="16"/>
  <c r="E175" i="16"/>
  <c r="E187" i="16"/>
  <c r="G187" i="16"/>
  <c r="E114" i="55"/>
  <c r="G114" i="55"/>
  <c r="E184" i="55"/>
  <c r="E33" i="172"/>
  <c r="E41" i="172"/>
  <c r="E45" i="172"/>
  <c r="G45" i="172"/>
  <c r="E57" i="172"/>
  <c r="E68" i="172"/>
  <c r="E83" i="172"/>
  <c r="G83" i="172"/>
  <c r="E98" i="172"/>
  <c r="G98" i="172"/>
  <c r="E109" i="172"/>
  <c r="E133" i="172"/>
  <c r="E164" i="172"/>
  <c r="G164" i="172"/>
  <c r="E180" i="172"/>
  <c r="E221" i="172"/>
  <c r="E41" i="176"/>
  <c r="E57" i="176"/>
  <c r="E133" i="176"/>
  <c r="E138" i="176"/>
  <c r="E148" i="176"/>
  <c r="E157" i="176"/>
  <c r="E192" i="176"/>
  <c r="E135" i="143"/>
  <c r="E181" i="143"/>
  <c r="E165" i="10"/>
  <c r="E173" i="10"/>
  <c r="G173" i="10"/>
  <c r="E222" i="10"/>
  <c r="E125" i="87"/>
  <c r="E165" i="87"/>
  <c r="E200" i="87"/>
  <c r="E204" i="87"/>
  <c r="E222" i="87"/>
  <c r="E99" i="86"/>
  <c r="E125" i="86"/>
  <c r="E232" i="86"/>
  <c r="E222" i="89"/>
  <c r="E232" i="89"/>
  <c r="E140" i="69"/>
  <c r="E145" i="69"/>
  <c r="G145" i="69"/>
  <c r="E158" i="69"/>
  <c r="E200" i="69"/>
  <c r="E222" i="69"/>
  <c r="E232" i="69"/>
  <c r="E34" i="142"/>
  <c r="E50" i="142"/>
  <c r="E65" i="142"/>
  <c r="G65" i="142"/>
  <c r="E69" i="142"/>
  <c r="E88" i="142"/>
  <c r="E92" i="142"/>
  <c r="G92" i="142"/>
  <c r="E158" i="142"/>
  <c r="G158" i="142"/>
  <c r="E232" i="142"/>
  <c r="E69" i="92"/>
  <c r="E158" i="92"/>
  <c r="E173" i="92"/>
  <c r="G173" i="92"/>
  <c r="E204" i="92"/>
  <c r="G204" i="92"/>
  <c r="E73" i="1"/>
  <c r="G73" i="1"/>
  <c r="E84" i="1"/>
  <c r="E125" i="1"/>
  <c r="G125" i="1"/>
  <c r="E204" i="1"/>
  <c r="E88" i="50"/>
  <c r="E145" i="50"/>
  <c r="E169" i="50"/>
  <c r="G169" i="50"/>
  <c r="E200" i="50"/>
  <c r="E30" i="95"/>
  <c r="E46" i="95"/>
  <c r="E65" i="95"/>
  <c r="C93" i="95"/>
  <c r="E110" i="95"/>
  <c r="G110" i="95"/>
  <c r="E165" i="95"/>
  <c r="G165" i="95"/>
  <c r="E181" i="95"/>
  <c r="E204" i="95"/>
  <c r="G204" i="95"/>
  <c r="E222" i="95"/>
  <c r="E232" i="95"/>
  <c r="E231" i="31"/>
  <c r="E221" i="31"/>
  <c r="G221" i="31"/>
  <c r="E232" i="38"/>
  <c r="E227" i="150"/>
  <c r="E168" i="176"/>
  <c r="G168" i="176"/>
  <c r="E87" i="176"/>
  <c r="E29" i="176"/>
  <c r="G29" i="176"/>
  <c r="E169" i="157"/>
  <c r="G169" i="157"/>
  <c r="E152" i="31"/>
  <c r="E192" i="31"/>
  <c r="G192" i="31"/>
  <c r="E180" i="176"/>
  <c r="E205" i="65"/>
  <c r="E70" i="65"/>
  <c r="E193" i="50"/>
  <c r="G193" i="50"/>
  <c r="E181" i="1"/>
  <c r="E140" i="92"/>
  <c r="E193" i="69"/>
  <c r="E65" i="86"/>
  <c r="G65" i="86"/>
  <c r="E140" i="87"/>
  <c r="E145" i="10"/>
  <c r="G145" i="10"/>
  <c r="E165" i="143"/>
  <c r="E169" i="92"/>
  <c r="E92" i="1"/>
  <c r="G92" i="1"/>
  <c r="E191" i="16"/>
  <c r="E97" i="16"/>
  <c r="G97" i="16"/>
  <c r="E86" i="158"/>
  <c r="G86" i="158"/>
  <c r="E29" i="172"/>
  <c r="E110" i="118"/>
  <c r="E125" i="118"/>
  <c r="E145" i="118"/>
  <c r="E149" i="118"/>
  <c r="E177" i="118"/>
  <c r="E181" i="118"/>
  <c r="E222" i="118"/>
  <c r="G222" i="118"/>
  <c r="E232" i="118"/>
  <c r="G232" i="118"/>
  <c r="E97" i="60"/>
  <c r="E123" i="60"/>
  <c r="E137" i="60"/>
  <c r="E158" i="60"/>
  <c r="E165" i="60"/>
  <c r="E173" i="60"/>
  <c r="E185" i="60"/>
  <c r="E193" i="60"/>
  <c r="E232" i="60"/>
  <c r="E34" i="54"/>
  <c r="E38" i="54"/>
  <c r="G38" i="54"/>
  <c r="E42" i="54"/>
  <c r="E65" i="54"/>
  <c r="G65" i="54"/>
  <c r="E73" i="54"/>
  <c r="E77" i="54"/>
  <c r="E88" i="54"/>
  <c r="E108" i="54"/>
  <c r="E132" i="54"/>
  <c r="G132" i="54"/>
  <c r="E153" i="54"/>
  <c r="E191" i="54"/>
  <c r="G191" i="54"/>
  <c r="E200" i="54"/>
  <c r="E204" i="54"/>
  <c r="E18" i="94"/>
  <c r="G18" i="94"/>
  <c r="E58" i="94"/>
  <c r="G58" i="94"/>
  <c r="E73" i="94"/>
  <c r="E75" i="94"/>
  <c r="G75" i="94"/>
  <c r="E77" i="94"/>
  <c r="E90" i="94"/>
  <c r="E156" i="94"/>
  <c r="E160" i="94"/>
  <c r="E185" i="94"/>
  <c r="E189" i="94"/>
  <c r="E195" i="94"/>
  <c r="E232" i="94"/>
  <c r="E18" i="164"/>
  <c r="E26" i="164"/>
  <c r="G26" i="164"/>
  <c r="E30" i="164"/>
  <c r="E34" i="164"/>
  <c r="E36" i="164"/>
  <c r="G36" i="164"/>
  <c r="E40" i="164"/>
  <c r="E54" i="164"/>
  <c r="E56" i="164"/>
  <c r="E58" i="164"/>
  <c r="G58" i="164"/>
  <c r="E84" i="164"/>
  <c r="E88" i="164"/>
  <c r="E90" i="164"/>
  <c r="E92" i="164"/>
  <c r="G92" i="164"/>
  <c r="E99" i="164"/>
  <c r="E115" i="164"/>
  <c r="E171" i="164"/>
  <c r="E181" i="164"/>
  <c r="G181" i="164"/>
  <c r="E185" i="164"/>
  <c r="E200" i="164"/>
  <c r="E222" i="164"/>
  <c r="E29" i="68"/>
  <c r="E31" i="66"/>
  <c r="E35" i="66"/>
  <c r="G35" i="66"/>
  <c r="E159" i="63"/>
  <c r="E18" i="58"/>
  <c r="E145" i="58"/>
  <c r="E204" i="58"/>
  <c r="G204" i="58"/>
  <c r="E35" i="174"/>
  <c r="E66" i="53"/>
  <c r="E100" i="53"/>
  <c r="E131" i="53"/>
  <c r="E27" i="98"/>
  <c r="E31" i="98"/>
  <c r="E96" i="98"/>
  <c r="E114" i="98"/>
  <c r="E150" i="98"/>
  <c r="E166" i="98"/>
  <c r="E170" i="98"/>
  <c r="E182" i="98"/>
  <c r="E186" i="98"/>
  <c r="G186" i="98"/>
  <c r="E190" i="98"/>
  <c r="G190" i="98"/>
  <c r="E201" i="98"/>
  <c r="E31" i="49"/>
  <c r="G31" i="49"/>
  <c r="E74" i="49"/>
  <c r="E43" i="83"/>
  <c r="E152" i="83"/>
  <c r="E155" i="83"/>
  <c r="E157" i="83"/>
  <c r="E31" i="47"/>
  <c r="E59" i="47"/>
  <c r="E70" i="47"/>
  <c r="E13" i="84"/>
  <c r="G13" i="84"/>
  <c r="E25" i="84"/>
  <c r="E29" i="84"/>
  <c r="E221" i="84"/>
  <c r="E231" i="84"/>
  <c r="E220" i="71"/>
  <c r="G220" i="71"/>
  <c r="E75" i="39"/>
  <c r="E90" i="39"/>
  <c r="E181" i="39"/>
  <c r="E39" i="133"/>
  <c r="G39" i="133"/>
  <c r="E85" i="133"/>
  <c r="E114" i="133"/>
  <c r="G114" i="133"/>
  <c r="E225" i="133"/>
  <c r="G225" i="133"/>
  <c r="E43" i="120"/>
  <c r="E78" i="120"/>
  <c r="E19" i="90"/>
  <c r="E96" i="90"/>
  <c r="E136" i="90"/>
  <c r="E96" i="24"/>
  <c r="G96" i="24"/>
  <c r="E100" i="24"/>
  <c r="E114" i="24"/>
  <c r="G114" i="24"/>
  <c r="E118" i="24"/>
  <c r="E126" i="24"/>
  <c r="E131" i="24"/>
  <c r="E136" i="24"/>
  <c r="E146" i="24"/>
  <c r="E150" i="24"/>
  <c r="E155" i="24"/>
  <c r="G155" i="24"/>
  <c r="E182" i="24"/>
  <c r="G182" i="24"/>
  <c r="E224" i="24"/>
  <c r="E11" i="141"/>
  <c r="G11" i="141"/>
  <c r="E15" i="141"/>
  <c r="E19" i="141"/>
  <c r="G19" i="141"/>
  <c r="E35" i="141"/>
  <c r="E39" i="141"/>
  <c r="E43" i="141"/>
  <c r="E47" i="141"/>
  <c r="G47" i="141"/>
  <c r="E51" i="141"/>
  <c r="E59" i="141"/>
  <c r="E66" i="141"/>
  <c r="E70" i="141"/>
  <c r="E74" i="141"/>
  <c r="E85" i="141"/>
  <c r="E89" i="141"/>
  <c r="E96" i="141"/>
  <c r="E100" i="141"/>
  <c r="E107" i="141"/>
  <c r="E114" i="141"/>
  <c r="E118" i="141"/>
  <c r="G118" i="141"/>
  <c r="E131" i="141"/>
  <c r="E136" i="141"/>
  <c r="E15" i="32"/>
  <c r="G15" i="32"/>
  <c r="E19" i="32"/>
  <c r="E27" i="32"/>
  <c r="E35" i="32"/>
  <c r="E39" i="32"/>
  <c r="G39" i="32"/>
  <c r="E47" i="32"/>
  <c r="E51" i="32"/>
  <c r="E55" i="32"/>
  <c r="E70" i="32"/>
  <c r="E74" i="32"/>
  <c r="G74" i="32"/>
  <c r="E85" i="32"/>
  <c r="E96" i="32"/>
  <c r="E107" i="32"/>
  <c r="G107" i="32"/>
  <c r="E114" i="32"/>
  <c r="E131" i="32"/>
  <c r="E136" i="32"/>
  <c r="E146" i="32"/>
  <c r="E166" i="32"/>
  <c r="G166" i="32"/>
  <c r="E170" i="32"/>
  <c r="E178" i="32"/>
  <c r="E190" i="32"/>
  <c r="G190" i="32"/>
  <c r="E31" i="64"/>
  <c r="E66" i="64"/>
  <c r="E96" i="64"/>
  <c r="E118" i="64"/>
  <c r="E131" i="64"/>
  <c r="E141" i="64"/>
  <c r="E146" i="64"/>
  <c r="E150" i="64"/>
  <c r="E178" i="64"/>
  <c r="E224" i="64"/>
  <c r="G175" i="72"/>
  <c r="E225" i="28"/>
  <c r="E225" i="65"/>
  <c r="E223" i="119"/>
  <c r="G191" i="20"/>
  <c r="E51" i="157"/>
  <c r="G51" i="157"/>
  <c r="E66" i="157"/>
  <c r="E74" i="157"/>
  <c r="E85" i="157"/>
  <c r="E126" i="157"/>
  <c r="E136" i="157"/>
  <c r="E155" i="157"/>
  <c r="E166" i="157"/>
  <c r="E174" i="157"/>
  <c r="E186" i="157"/>
  <c r="E201" i="157"/>
  <c r="G201" i="157"/>
  <c r="E205" i="157"/>
  <c r="E29" i="158"/>
  <c r="E49" i="158"/>
  <c r="G49" i="158"/>
  <c r="E91" i="158"/>
  <c r="E176" i="158"/>
  <c r="E91" i="16"/>
  <c r="E109" i="16"/>
  <c r="E164" i="16"/>
  <c r="E172" i="16"/>
  <c r="G172" i="16"/>
  <c r="E188" i="16"/>
  <c r="E196" i="16"/>
  <c r="G221" i="165"/>
  <c r="E231" i="55"/>
  <c r="G231" i="55"/>
  <c r="K14" i="55"/>
  <c r="E20" i="172"/>
  <c r="E26" i="172"/>
  <c r="E30" i="172"/>
  <c r="E40" i="172"/>
  <c r="E44" i="172"/>
  <c r="E54" i="172"/>
  <c r="E56" i="172"/>
  <c r="G56" i="172"/>
  <c r="E60" i="172"/>
  <c r="E75" i="172"/>
  <c r="E77" i="172"/>
  <c r="E82" i="172"/>
  <c r="E88" i="172"/>
  <c r="E110" i="172"/>
  <c r="C119" i="172"/>
  <c r="E117" i="172"/>
  <c r="E123" i="172"/>
  <c r="E135" i="172"/>
  <c r="E137" i="172"/>
  <c r="E140" i="172"/>
  <c r="E142" i="172"/>
  <c r="E149" i="172"/>
  <c r="E158" i="172"/>
  <c r="E165" i="172"/>
  <c r="E222" i="172"/>
  <c r="E226" i="172"/>
  <c r="E232" i="172"/>
  <c r="E30" i="10"/>
  <c r="E69" i="10"/>
  <c r="E18" i="86"/>
  <c r="G18" i="86"/>
  <c r="E153" i="69"/>
  <c r="G223" i="69"/>
  <c r="E18" i="92"/>
  <c r="E30" i="92"/>
  <c r="E130" i="92"/>
  <c r="G130" i="92"/>
  <c r="E185" i="92"/>
  <c r="E189" i="92"/>
  <c r="G189" i="92"/>
  <c r="E135" i="1"/>
  <c r="G135" i="1"/>
  <c r="E185" i="1"/>
  <c r="E227" i="1"/>
  <c r="G227" i="1"/>
  <c r="E46" i="50"/>
  <c r="E54" i="50"/>
  <c r="E223" i="95"/>
  <c r="G223" i="95"/>
  <c r="E232" i="175"/>
  <c r="E203" i="31"/>
  <c r="E196" i="31"/>
  <c r="E184" i="31"/>
  <c r="E180" i="31"/>
  <c r="E168" i="31"/>
  <c r="E164" i="31"/>
  <c r="E138" i="31"/>
  <c r="G138" i="31"/>
  <c r="E133" i="31"/>
  <c r="E129" i="31"/>
  <c r="E124" i="31"/>
  <c r="G124" i="31"/>
  <c r="E105" i="31"/>
  <c r="E98" i="31"/>
  <c r="G98" i="31"/>
  <c r="E231" i="45"/>
  <c r="G130" i="37"/>
  <c r="D79" i="95"/>
  <c r="D102" i="86"/>
  <c r="D102" i="10"/>
  <c r="E82" i="164"/>
  <c r="E27" i="66"/>
  <c r="G27" i="66"/>
  <c r="E123" i="94"/>
  <c r="E65" i="94"/>
  <c r="D79" i="86"/>
  <c r="E220" i="176"/>
  <c r="E143" i="176"/>
  <c r="E135" i="118"/>
  <c r="E86" i="164"/>
  <c r="E146" i="98"/>
  <c r="G221" i="37"/>
  <c r="E35" i="98"/>
  <c r="G35" i="98"/>
  <c r="E166" i="63"/>
  <c r="E178" i="66"/>
  <c r="E179" i="158"/>
  <c r="E109" i="31"/>
  <c r="E172" i="31"/>
  <c r="E176" i="55"/>
  <c r="E76" i="176"/>
  <c r="E173" i="94"/>
  <c r="E91" i="176"/>
  <c r="E142" i="54"/>
  <c r="E201" i="49"/>
  <c r="E137" i="94"/>
  <c r="E200" i="92"/>
  <c r="E129" i="176"/>
  <c r="E55" i="28"/>
  <c r="E92" i="69"/>
  <c r="G92" i="69"/>
  <c r="E181" i="69"/>
  <c r="E101" i="172"/>
  <c r="E52" i="172"/>
  <c r="G52" i="172"/>
  <c r="E96" i="47"/>
  <c r="E96" i="49"/>
  <c r="E181" i="50"/>
  <c r="G181" i="50"/>
  <c r="E165" i="1"/>
  <c r="G165" i="1"/>
  <c r="E200" i="142"/>
  <c r="E149" i="69"/>
  <c r="G149" i="69"/>
  <c r="E185" i="69"/>
  <c r="E203" i="16"/>
  <c r="E165" i="86"/>
  <c r="E189" i="87"/>
  <c r="E193" i="10"/>
  <c r="E149" i="143"/>
  <c r="E200" i="172"/>
  <c r="E125" i="172"/>
  <c r="G125" i="172"/>
  <c r="E65" i="172"/>
  <c r="E99" i="92"/>
  <c r="E180" i="16"/>
  <c r="E146" i="157"/>
  <c r="G146" i="157"/>
  <c r="E145" i="142"/>
  <c r="E171" i="16"/>
  <c r="E175" i="158"/>
  <c r="E97" i="158"/>
  <c r="G97" i="158"/>
  <c r="E125" i="157"/>
  <c r="E78" i="141"/>
  <c r="E231" i="172"/>
  <c r="E203" i="172"/>
  <c r="E157" i="172"/>
  <c r="E173" i="157"/>
  <c r="G173" i="157"/>
  <c r="E38" i="164"/>
  <c r="E227" i="64"/>
  <c r="E18" i="42"/>
  <c r="E110" i="42"/>
  <c r="E165" i="42"/>
  <c r="G165" i="42"/>
  <c r="E69" i="157"/>
  <c r="E73" i="157"/>
  <c r="E77" i="157"/>
  <c r="E84" i="157"/>
  <c r="G84" i="157"/>
  <c r="E140" i="157"/>
  <c r="G140" i="157"/>
  <c r="E145" i="157"/>
  <c r="E153" i="157"/>
  <c r="G153" i="157"/>
  <c r="E181" i="157"/>
  <c r="E185" i="157"/>
  <c r="E12" i="158"/>
  <c r="G12" i="158"/>
  <c r="E28" i="158"/>
  <c r="E48" i="158"/>
  <c r="E52" i="158"/>
  <c r="E67" i="158"/>
  <c r="E71" i="158"/>
  <c r="E75" i="158"/>
  <c r="E90" i="158"/>
  <c r="E108" i="158"/>
  <c r="G108" i="158"/>
  <c r="E151" i="158"/>
  <c r="E195" i="158"/>
  <c r="G195" i="158"/>
  <c r="E101" i="16"/>
  <c r="G101" i="16"/>
  <c r="E108" i="16"/>
  <c r="E115" i="16"/>
  <c r="E123" i="16"/>
  <c r="E132" i="16"/>
  <c r="E137" i="16"/>
  <c r="E142" i="16"/>
  <c r="G142" i="16"/>
  <c r="E160" i="16"/>
  <c r="E167" i="16"/>
  <c r="E179" i="16"/>
  <c r="E227" i="16"/>
  <c r="E13" i="172"/>
  <c r="E17" i="172"/>
  <c r="E25" i="172"/>
  <c r="G25" i="172"/>
  <c r="E49" i="172"/>
  <c r="E53" i="172"/>
  <c r="E76" i="172"/>
  <c r="G76" i="172"/>
  <c r="E91" i="172"/>
  <c r="E105" i="172"/>
  <c r="G105" i="172"/>
  <c r="E116" i="172"/>
  <c r="E172" i="172"/>
  <c r="E176" i="172"/>
  <c r="E184" i="172"/>
  <c r="G184" i="172"/>
  <c r="E192" i="172"/>
  <c r="G192" i="172"/>
  <c r="E196" i="172"/>
  <c r="E105" i="176"/>
  <c r="G105" i="176"/>
  <c r="E109" i="176"/>
  <c r="G109" i="176"/>
  <c r="E116" i="176"/>
  <c r="G116" i="176"/>
  <c r="E18" i="143"/>
  <c r="E117" i="143"/>
  <c r="G117" i="143"/>
  <c r="E14" i="10"/>
  <c r="E54" i="10"/>
  <c r="E99" i="10"/>
  <c r="G99" i="10"/>
  <c r="E84" i="87"/>
  <c r="G84" i="87"/>
  <c r="E173" i="87"/>
  <c r="E110" i="69"/>
  <c r="E30" i="142"/>
  <c r="G30" i="142"/>
  <c r="E125" i="142"/>
  <c r="G125" i="142"/>
  <c r="E135" i="142"/>
  <c r="G135" i="142"/>
  <c r="E149" i="142"/>
  <c r="E189" i="142"/>
  <c r="E193" i="142"/>
  <c r="G193" i="142"/>
  <c r="E204" i="142"/>
  <c r="G204" i="142"/>
  <c r="E222" i="142"/>
  <c r="E26" i="1"/>
  <c r="E34" i="1"/>
  <c r="E54" i="1"/>
  <c r="E58" i="1"/>
  <c r="E99" i="1"/>
  <c r="G99" i="1"/>
  <c r="E130" i="1"/>
  <c r="G130" i="1"/>
  <c r="E140" i="1"/>
  <c r="E189" i="1"/>
  <c r="G189" i="1"/>
  <c r="E222" i="1"/>
  <c r="E158" i="50"/>
  <c r="E222" i="50"/>
  <c r="E54" i="95"/>
  <c r="G201" i="167"/>
  <c r="D206" i="92"/>
  <c r="E28" i="164"/>
  <c r="E115" i="94"/>
  <c r="E26" i="94"/>
  <c r="G222" i="60"/>
  <c r="D21" i="86"/>
  <c r="E68" i="176"/>
  <c r="D206" i="142"/>
  <c r="D79" i="15"/>
  <c r="E204" i="60"/>
  <c r="E169" i="118"/>
  <c r="G169" i="118"/>
  <c r="E201" i="53"/>
  <c r="D206" i="50"/>
  <c r="E153" i="164"/>
  <c r="G223" i="167"/>
  <c r="E171" i="158"/>
  <c r="E116" i="31"/>
  <c r="E176" i="31"/>
  <c r="E45" i="176"/>
  <c r="E169" i="94"/>
  <c r="G169" i="94"/>
  <c r="E181" i="60"/>
  <c r="G181" i="60"/>
  <c r="E127" i="164"/>
  <c r="E124" i="47"/>
  <c r="G124" i="47"/>
  <c r="E183" i="94"/>
  <c r="E183" i="54"/>
  <c r="E200" i="103"/>
  <c r="E201" i="83"/>
  <c r="E99" i="69"/>
  <c r="E147" i="172"/>
  <c r="E15" i="47"/>
  <c r="G15" i="47"/>
  <c r="E15" i="49"/>
  <c r="G15" i="49"/>
  <c r="E165" i="94"/>
  <c r="E117" i="95"/>
  <c r="E135" i="50"/>
  <c r="G135" i="50"/>
  <c r="E193" i="92"/>
  <c r="E177" i="142"/>
  <c r="E46" i="172"/>
  <c r="E106" i="69"/>
  <c r="E135" i="86"/>
  <c r="G135" i="86"/>
  <c r="E181" i="87"/>
  <c r="E185" i="10"/>
  <c r="E84" i="10"/>
  <c r="G84" i="10"/>
  <c r="E99" i="143"/>
  <c r="E106" i="172"/>
  <c r="E200" i="157"/>
  <c r="G200" i="157"/>
  <c r="E189" i="95"/>
  <c r="E152" i="16"/>
  <c r="E107" i="157"/>
  <c r="G107" i="157"/>
  <c r="E30" i="58"/>
  <c r="E232" i="1"/>
  <c r="E222" i="143"/>
  <c r="E156" i="16"/>
  <c r="E155" i="32"/>
  <c r="E126" i="141"/>
  <c r="G126" i="141"/>
  <c r="E130" i="157"/>
  <c r="G130" i="157"/>
  <c r="E141" i="24"/>
  <c r="E30" i="54"/>
  <c r="E174" i="64"/>
  <c r="G174" i="64"/>
  <c r="E181" i="10"/>
  <c r="E33" i="103"/>
  <c r="E64" i="60"/>
  <c r="G64" i="60"/>
  <c r="E152" i="145"/>
  <c r="E67" i="53"/>
  <c r="G67" i="53"/>
  <c r="E37" i="172"/>
  <c r="G37" i="172"/>
  <c r="E64" i="172"/>
  <c r="E72" i="172"/>
  <c r="E87" i="172"/>
  <c r="G87" i="172"/>
  <c r="E168" i="172"/>
  <c r="E188" i="172"/>
  <c r="G188" i="172"/>
  <c r="E222" i="178"/>
  <c r="G151" i="113"/>
  <c r="G14" i="167"/>
  <c r="G78" i="72"/>
  <c r="G66" i="167"/>
  <c r="E46" i="103"/>
  <c r="E50" i="103"/>
  <c r="E92" i="103"/>
  <c r="E110" i="103"/>
  <c r="E153" i="103"/>
  <c r="E169" i="103"/>
  <c r="E181" i="103"/>
  <c r="G181" i="103"/>
  <c r="E232" i="103"/>
  <c r="E65" i="118"/>
  <c r="E130" i="118"/>
  <c r="E158" i="118"/>
  <c r="G158" i="118"/>
  <c r="E226" i="118"/>
  <c r="E32" i="60"/>
  <c r="E40" i="60"/>
  <c r="E65" i="60"/>
  <c r="E75" i="60"/>
  <c r="E82" i="60"/>
  <c r="G82" i="60"/>
  <c r="E90" i="60"/>
  <c r="E92" i="60"/>
  <c r="E106" i="60"/>
  <c r="E132" i="60"/>
  <c r="E135" i="60"/>
  <c r="E140" i="60"/>
  <c r="E142" i="60"/>
  <c r="E167" i="60"/>
  <c r="G167" i="60"/>
  <c r="E179" i="60"/>
  <c r="E183" i="60"/>
  <c r="E187" i="60"/>
  <c r="G187" i="60"/>
  <c r="E189" i="60"/>
  <c r="E202" i="60"/>
  <c r="E226" i="60"/>
  <c r="E14" i="54"/>
  <c r="E18" i="54"/>
  <c r="G18" i="54"/>
  <c r="E26" i="54"/>
  <c r="E46" i="54"/>
  <c r="G46" i="54"/>
  <c r="E50" i="54"/>
  <c r="E54" i="54"/>
  <c r="E58" i="54"/>
  <c r="E69" i="54"/>
  <c r="E84" i="54"/>
  <c r="E92" i="54"/>
  <c r="E99" i="54"/>
  <c r="E106" i="54"/>
  <c r="E110" i="54"/>
  <c r="E115" i="54"/>
  <c r="E127" i="54"/>
  <c r="G127" i="54"/>
  <c r="E147" i="54"/>
  <c r="G147" i="54"/>
  <c r="E149" i="54"/>
  <c r="E151" i="54"/>
  <c r="G151" i="54"/>
  <c r="E158" i="54"/>
  <c r="E160" i="54"/>
  <c r="E167" i="54"/>
  <c r="E169" i="54"/>
  <c r="E177" i="54"/>
  <c r="G177" i="54"/>
  <c r="E181" i="54"/>
  <c r="G181" i="54"/>
  <c r="E185" i="54"/>
  <c r="E189" i="54"/>
  <c r="G189" i="54"/>
  <c r="E193" i="54"/>
  <c r="E14" i="94"/>
  <c r="E30" i="94"/>
  <c r="E34" i="94"/>
  <c r="G34" i="94"/>
  <c r="E36" i="94"/>
  <c r="G36" i="94"/>
  <c r="E42" i="94"/>
  <c r="E54" i="94"/>
  <c r="E69" i="94"/>
  <c r="G69" i="94"/>
  <c r="E71" i="94"/>
  <c r="G71" i="94"/>
  <c r="E108" i="94"/>
  <c r="E132" i="94"/>
  <c r="E147" i="94"/>
  <c r="E151" i="94"/>
  <c r="E153" i="94"/>
  <c r="E158" i="94"/>
  <c r="E167" i="94"/>
  <c r="E171" i="94"/>
  <c r="E177" i="94"/>
  <c r="E181" i="94"/>
  <c r="E187" i="94"/>
  <c r="G187" i="94"/>
  <c r="E191" i="94"/>
  <c r="G191" i="94"/>
  <c r="E193" i="94"/>
  <c r="E222" i="94"/>
  <c r="E226" i="94"/>
  <c r="E14" i="164"/>
  <c r="G14" i="164"/>
  <c r="E16" i="164"/>
  <c r="E32" i="164"/>
  <c r="E42" i="164"/>
  <c r="E44" i="164"/>
  <c r="E46" i="164"/>
  <c r="G46" i="164"/>
  <c r="E50" i="164"/>
  <c r="G50" i="164"/>
  <c r="E52" i="164"/>
  <c r="E65" i="164"/>
  <c r="E67" i="164"/>
  <c r="E69" i="164"/>
  <c r="E73" i="164"/>
  <c r="G73" i="164"/>
  <c r="E75" i="164"/>
  <c r="E77" i="164"/>
  <c r="E106" i="164"/>
  <c r="E117" i="164"/>
  <c r="E125" i="164"/>
  <c r="G125" i="164"/>
  <c r="E130" i="164"/>
  <c r="E135" i="164"/>
  <c r="E140" i="164"/>
  <c r="G140" i="164"/>
  <c r="E149" i="164"/>
  <c r="E158" i="164"/>
  <c r="G158" i="164"/>
  <c r="E169" i="164"/>
  <c r="G169" i="164"/>
  <c r="E173" i="164"/>
  <c r="G173" i="164"/>
  <c r="E177" i="164"/>
  <c r="E193" i="164"/>
  <c r="E204" i="164"/>
  <c r="G204" i="164"/>
  <c r="E232" i="164"/>
  <c r="E25" i="68"/>
  <c r="E49" i="68"/>
  <c r="E57" i="68"/>
  <c r="E83" i="68"/>
  <c r="E87" i="68"/>
  <c r="G87" i="68"/>
  <c r="E133" i="68"/>
  <c r="G133" i="68"/>
  <c r="E138" i="68"/>
  <c r="E143" i="68"/>
  <c r="G143" i="68"/>
  <c r="E148" i="68"/>
  <c r="G148" i="68"/>
  <c r="E152" i="68"/>
  <c r="G152" i="68"/>
  <c r="E157" i="68"/>
  <c r="E164" i="68"/>
  <c r="E184" i="68"/>
  <c r="E188" i="68"/>
  <c r="E196" i="68"/>
  <c r="E25" i="66"/>
  <c r="E159" i="66"/>
  <c r="E170" i="66"/>
  <c r="G170" i="66"/>
  <c r="E59" i="63"/>
  <c r="E220" i="63"/>
  <c r="E14" i="58"/>
  <c r="G14" i="58"/>
  <c r="E26" i="58"/>
  <c r="E34" i="58"/>
  <c r="G34" i="58"/>
  <c r="E38" i="58"/>
  <c r="E42" i="58"/>
  <c r="E232" i="58"/>
  <c r="E39" i="174"/>
  <c r="E105" i="174"/>
  <c r="E31" i="53"/>
  <c r="E39" i="53"/>
  <c r="E47" i="53"/>
  <c r="G47" i="53"/>
  <c r="E51" i="53"/>
  <c r="E59" i="53"/>
  <c r="E70" i="53"/>
  <c r="G70" i="53"/>
  <c r="E74" i="53"/>
  <c r="E78" i="53"/>
  <c r="E87" i="53"/>
  <c r="E89" i="53"/>
  <c r="E96" i="53"/>
  <c r="E107" i="53"/>
  <c r="E118" i="53"/>
  <c r="E126" i="53"/>
  <c r="G126" i="53"/>
  <c r="E138" i="53"/>
  <c r="E150" i="53"/>
  <c r="G150" i="53"/>
  <c r="E155" i="53"/>
  <c r="G155" i="53"/>
  <c r="E157" i="53"/>
  <c r="G157" i="53"/>
  <c r="E159" i="53"/>
  <c r="E166" i="53"/>
  <c r="E170" i="53"/>
  <c r="E174" i="53"/>
  <c r="G43" i="141"/>
  <c r="G145" i="177"/>
  <c r="E100" i="98"/>
  <c r="E224" i="98"/>
  <c r="E27" i="49"/>
  <c r="E35" i="49"/>
  <c r="E47" i="49"/>
  <c r="E85" i="49"/>
  <c r="E100" i="49"/>
  <c r="E114" i="49"/>
  <c r="E159" i="49"/>
  <c r="E194" i="49"/>
  <c r="G194" i="49"/>
  <c r="E224" i="49"/>
  <c r="E35" i="83"/>
  <c r="G35" i="83"/>
  <c r="E51" i="83"/>
  <c r="G51" i="83"/>
  <c r="E66" i="83"/>
  <c r="G66" i="83"/>
  <c r="E126" i="83"/>
  <c r="E159" i="83"/>
  <c r="E174" i="83"/>
  <c r="E186" i="83"/>
  <c r="E194" i="83"/>
  <c r="E27" i="47"/>
  <c r="E39" i="47"/>
  <c r="E51" i="47"/>
  <c r="G51" i="47"/>
  <c r="E89" i="47"/>
  <c r="E100" i="47"/>
  <c r="E126" i="47"/>
  <c r="E131" i="46"/>
  <c r="E155" i="46"/>
  <c r="E225" i="46"/>
  <c r="E157" i="106"/>
  <c r="E231" i="106"/>
  <c r="E67" i="104"/>
  <c r="G67" i="104"/>
  <c r="E75" i="104"/>
  <c r="E90" i="104"/>
  <c r="E101" i="104"/>
  <c r="E115" i="104"/>
  <c r="E132" i="104"/>
  <c r="E142" i="104"/>
  <c r="E160" i="104"/>
  <c r="E191" i="104"/>
  <c r="E118" i="43"/>
  <c r="E146" i="43"/>
  <c r="E155" i="43"/>
  <c r="E166" i="43"/>
  <c r="G166" i="43"/>
  <c r="E182" i="43"/>
  <c r="G182" i="43"/>
  <c r="E186" i="43"/>
  <c r="E194" i="43"/>
  <c r="E118" i="90"/>
  <c r="E190" i="90"/>
  <c r="E203" i="90"/>
  <c r="E220" i="90"/>
  <c r="E19" i="24"/>
  <c r="G19" i="24"/>
  <c r="E89" i="24"/>
  <c r="G89" i="24"/>
  <c r="E159" i="24"/>
  <c r="E178" i="24"/>
  <c r="E201" i="24"/>
  <c r="E205" i="24"/>
  <c r="E27" i="141"/>
  <c r="E31" i="141"/>
  <c r="E155" i="141"/>
  <c r="E159" i="141"/>
  <c r="G159" i="141"/>
  <c r="E166" i="141"/>
  <c r="E170" i="141"/>
  <c r="G170" i="141"/>
  <c r="E174" i="141"/>
  <c r="E178" i="141"/>
  <c r="G178" i="141"/>
  <c r="E182" i="141"/>
  <c r="G182" i="141"/>
  <c r="E11" i="32"/>
  <c r="E31" i="32"/>
  <c r="G31" i="32"/>
  <c r="E43" i="32"/>
  <c r="G43" i="32"/>
  <c r="E66" i="32"/>
  <c r="E78" i="32"/>
  <c r="G78" i="32"/>
  <c r="E89" i="32"/>
  <c r="E100" i="32"/>
  <c r="E141" i="32"/>
  <c r="E150" i="32"/>
  <c r="E159" i="32"/>
  <c r="E174" i="32"/>
  <c r="E182" i="32"/>
  <c r="E194" i="32"/>
  <c r="E201" i="32"/>
  <c r="E224" i="32"/>
  <c r="E35" i="64"/>
  <c r="E43" i="64"/>
  <c r="E51" i="64"/>
  <c r="E55" i="64"/>
  <c r="E78" i="64"/>
  <c r="E85" i="64"/>
  <c r="E89" i="64"/>
  <c r="E107" i="64"/>
  <c r="G107" i="64"/>
  <c r="E126" i="64"/>
  <c r="E136" i="64"/>
  <c r="E155" i="64"/>
  <c r="E159" i="64"/>
  <c r="E166" i="64"/>
  <c r="E186" i="64"/>
  <c r="E223" i="25"/>
  <c r="E223" i="155"/>
  <c r="E224" i="42"/>
  <c r="E43" i="157"/>
  <c r="E55" i="157"/>
  <c r="E70" i="157"/>
  <c r="E78" i="157"/>
  <c r="E96" i="157"/>
  <c r="G96" i="157"/>
  <c r="E118" i="157"/>
  <c r="E131" i="157"/>
  <c r="E141" i="157"/>
  <c r="G141" i="157"/>
  <c r="E150" i="157"/>
  <c r="E159" i="157"/>
  <c r="E170" i="157"/>
  <c r="E178" i="157"/>
  <c r="G178" i="157"/>
  <c r="E190" i="157"/>
  <c r="E25" i="158"/>
  <c r="E33" i="158"/>
  <c r="E57" i="158"/>
  <c r="E83" i="158"/>
  <c r="E168" i="158"/>
  <c r="E72" i="16"/>
  <c r="E98" i="16"/>
  <c r="G98" i="16"/>
  <c r="E143" i="16"/>
  <c r="E157" i="16"/>
  <c r="E168" i="16"/>
  <c r="E176" i="16"/>
  <c r="E184" i="16"/>
  <c r="E192" i="16"/>
  <c r="E231" i="165"/>
  <c r="G231" i="165"/>
  <c r="G235" i="165"/>
  <c r="E107" i="55"/>
  <c r="G107" i="55"/>
  <c r="E221" i="55"/>
  <c r="E225" i="55"/>
  <c r="G225" i="55"/>
  <c r="E219" i="14"/>
  <c r="E223" i="14"/>
  <c r="E227" i="14"/>
  <c r="E34" i="172"/>
  <c r="E99" i="172"/>
  <c r="E14" i="143"/>
  <c r="E26" i="143"/>
  <c r="E30" i="143"/>
  <c r="E34" i="143"/>
  <c r="E38" i="143"/>
  <c r="E42" i="143"/>
  <c r="G42" i="143"/>
  <c r="E46" i="143"/>
  <c r="E50" i="143"/>
  <c r="E54" i="143"/>
  <c r="E58" i="143"/>
  <c r="E65" i="143"/>
  <c r="E69" i="143"/>
  <c r="E73" i="143"/>
  <c r="E77" i="143"/>
  <c r="E88" i="143"/>
  <c r="E92" i="143"/>
  <c r="E106" i="143"/>
  <c r="E110" i="143"/>
  <c r="E125" i="143"/>
  <c r="E130" i="143"/>
  <c r="E140" i="143"/>
  <c r="E145" i="143"/>
  <c r="E153" i="143"/>
  <c r="E158" i="143"/>
  <c r="E169" i="143"/>
  <c r="E173" i="143"/>
  <c r="E177" i="143"/>
  <c r="E193" i="143"/>
  <c r="E200" i="143"/>
  <c r="E204" i="143"/>
  <c r="E18" i="10"/>
  <c r="E38" i="10"/>
  <c r="E42" i="10"/>
  <c r="E77" i="10"/>
  <c r="G77" i="10"/>
  <c r="E88" i="10"/>
  <c r="G88" i="10"/>
  <c r="E92" i="10"/>
  <c r="E110" i="10"/>
  <c r="G110" i="10"/>
  <c r="E117" i="10"/>
  <c r="E130" i="10"/>
  <c r="E140" i="10"/>
  <c r="E149" i="10"/>
  <c r="E158" i="10"/>
  <c r="E169" i="10"/>
  <c r="E177" i="10"/>
  <c r="E189" i="10"/>
  <c r="E200" i="10"/>
  <c r="E227" i="10"/>
  <c r="E77" i="87"/>
  <c r="E117" i="87"/>
  <c r="E130" i="87"/>
  <c r="E135" i="87"/>
  <c r="E145" i="87"/>
  <c r="E149" i="87"/>
  <c r="E158" i="87"/>
  <c r="E169" i="87"/>
  <c r="E177" i="87"/>
  <c r="G177" i="87"/>
  <c r="E185" i="87"/>
  <c r="E193" i="87"/>
  <c r="E223" i="87"/>
  <c r="E14" i="86"/>
  <c r="E26" i="86"/>
  <c r="E58" i="86"/>
  <c r="E69" i="86"/>
  <c r="E73" i="86"/>
  <c r="E77" i="86"/>
  <c r="E88" i="86"/>
  <c r="E92" i="86"/>
  <c r="E106" i="86"/>
  <c r="G106" i="86"/>
  <c r="E110" i="86"/>
  <c r="G110" i="86"/>
  <c r="E117" i="86"/>
  <c r="E130" i="86"/>
  <c r="E140" i="86"/>
  <c r="E145" i="86"/>
  <c r="E149" i="86"/>
  <c r="E153" i="86"/>
  <c r="E158" i="86"/>
  <c r="E169" i="86"/>
  <c r="E227" i="86"/>
  <c r="E177" i="89"/>
  <c r="G177" i="89"/>
  <c r="E181" i="89"/>
  <c r="E69" i="69"/>
  <c r="E77" i="69"/>
  <c r="E84" i="69"/>
  <c r="E88" i="69"/>
  <c r="E117" i="69"/>
  <c r="E125" i="69"/>
  <c r="E130" i="69"/>
  <c r="E135" i="69"/>
  <c r="G135" i="69"/>
  <c r="E165" i="69"/>
  <c r="E169" i="69"/>
  <c r="E173" i="69"/>
  <c r="E177" i="69"/>
  <c r="E189" i="69"/>
  <c r="E18" i="142"/>
  <c r="G18" i="142"/>
  <c r="E38" i="142"/>
  <c r="E42" i="142"/>
  <c r="E46" i="142"/>
  <c r="E54" i="142"/>
  <c r="E73" i="142"/>
  <c r="E77" i="142"/>
  <c r="G77" i="142"/>
  <c r="E84" i="142"/>
  <c r="G84" i="142"/>
  <c r="E99" i="142"/>
  <c r="E106" i="142"/>
  <c r="E117" i="142"/>
  <c r="E130" i="142"/>
  <c r="E140" i="142"/>
  <c r="E153" i="142"/>
  <c r="G153" i="142"/>
  <c r="E169" i="142"/>
  <c r="E173" i="142"/>
  <c r="E181" i="142"/>
  <c r="E185" i="142"/>
  <c r="E223" i="142"/>
  <c r="E14" i="92"/>
  <c r="E26" i="92"/>
  <c r="E34" i="92"/>
  <c r="G34" i="92"/>
  <c r="E38" i="92"/>
  <c r="E46" i="92"/>
  <c r="E50" i="92"/>
  <c r="E54" i="92"/>
  <c r="E58" i="92"/>
  <c r="E65" i="92"/>
  <c r="E84" i="92"/>
  <c r="E88" i="92"/>
  <c r="E92" i="92"/>
  <c r="E106" i="92"/>
  <c r="E110" i="92"/>
  <c r="E117" i="92"/>
  <c r="E125" i="92"/>
  <c r="G125" i="92"/>
  <c r="E135" i="92"/>
  <c r="E145" i="92"/>
  <c r="E149" i="92"/>
  <c r="E153" i="92"/>
  <c r="E165" i="92"/>
  <c r="E177" i="92"/>
  <c r="E223" i="92"/>
  <c r="E14" i="1"/>
  <c r="E38" i="1"/>
  <c r="E42" i="1"/>
  <c r="E46" i="1"/>
  <c r="E50" i="1"/>
  <c r="G50" i="1"/>
  <c r="E65" i="1"/>
  <c r="E69" i="1"/>
  <c r="G69" i="1"/>
  <c r="E77" i="1"/>
  <c r="E88" i="1"/>
  <c r="E106" i="1"/>
  <c r="E110" i="1"/>
  <c r="G110" i="1"/>
  <c r="E117" i="1"/>
  <c r="E145" i="1"/>
  <c r="E149" i="1"/>
  <c r="E153" i="1"/>
  <c r="E158" i="1"/>
  <c r="E169" i="1"/>
  <c r="E173" i="1"/>
  <c r="E193" i="1"/>
  <c r="E200" i="1"/>
  <c r="E223" i="1"/>
  <c r="E14" i="50"/>
  <c r="E26" i="50"/>
  <c r="G26" i="50"/>
  <c r="E30" i="50"/>
  <c r="E34" i="50"/>
  <c r="E38" i="50"/>
  <c r="E42" i="50"/>
  <c r="E50" i="50"/>
  <c r="E65" i="50"/>
  <c r="E69" i="50"/>
  <c r="G69" i="50"/>
  <c r="E73" i="50"/>
  <c r="E77" i="50"/>
  <c r="E92" i="50"/>
  <c r="G92" i="50"/>
  <c r="E99" i="50"/>
  <c r="E106" i="50"/>
  <c r="E110" i="50"/>
  <c r="E117" i="50"/>
  <c r="E125" i="50"/>
  <c r="G125" i="50"/>
  <c r="E130" i="50"/>
  <c r="G130" i="50"/>
  <c r="E140" i="50"/>
  <c r="G140" i="50"/>
  <c r="E149" i="50"/>
  <c r="E153" i="50"/>
  <c r="G153" i="50"/>
  <c r="E165" i="50"/>
  <c r="G165" i="50"/>
  <c r="E173" i="50"/>
  <c r="E177" i="50"/>
  <c r="E185" i="50"/>
  <c r="E189" i="50"/>
  <c r="E223" i="50"/>
  <c r="E14" i="95"/>
  <c r="G14" i="95"/>
  <c r="E18" i="95"/>
  <c r="E26" i="95"/>
  <c r="E34" i="95"/>
  <c r="G34" i="95"/>
  <c r="E38" i="95"/>
  <c r="E42" i="95"/>
  <c r="E50" i="95"/>
  <c r="E58" i="95"/>
  <c r="E69" i="95"/>
  <c r="G69" i="95"/>
  <c r="E73" i="95"/>
  <c r="E77" i="95"/>
  <c r="E84" i="95"/>
  <c r="E88" i="95"/>
  <c r="E92" i="95"/>
  <c r="E106" i="95"/>
  <c r="E149" i="95"/>
  <c r="E153" i="95"/>
  <c r="E169" i="95"/>
  <c r="E173" i="95"/>
  <c r="E177" i="95"/>
  <c r="G177" i="95"/>
  <c r="E185" i="95"/>
  <c r="E193" i="95"/>
  <c r="E200" i="95"/>
  <c r="E224" i="31"/>
  <c r="E220" i="31"/>
  <c r="E143" i="31"/>
  <c r="E91" i="31"/>
  <c r="E89" i="98"/>
  <c r="E205" i="49"/>
  <c r="E186" i="47"/>
  <c r="E118" i="47"/>
  <c r="E190" i="83"/>
  <c r="E89" i="83"/>
  <c r="E190" i="49"/>
  <c r="E55" i="49"/>
  <c r="G55" i="49"/>
  <c r="E29" i="106"/>
  <c r="E78" i="98"/>
  <c r="E107" i="47"/>
  <c r="E47" i="47"/>
  <c r="E178" i="83"/>
  <c r="E59" i="83"/>
  <c r="E107" i="49"/>
  <c r="E39" i="49"/>
  <c r="E220" i="103"/>
  <c r="E13" i="15"/>
  <c r="E17" i="15"/>
  <c r="E33" i="15"/>
  <c r="G33" i="15"/>
  <c r="E45" i="15"/>
  <c r="E57" i="15"/>
  <c r="G57" i="15"/>
  <c r="E76" i="15"/>
  <c r="E98" i="15"/>
  <c r="E158" i="68"/>
  <c r="E75" i="98"/>
  <c r="G75" i="98"/>
  <c r="E232" i="53"/>
  <c r="D102" i="174"/>
  <c r="E222" i="53"/>
  <c r="E20" i="49"/>
  <c r="G20" i="49"/>
  <c r="E124" i="39"/>
  <c r="E84" i="120"/>
  <c r="G84" i="120"/>
  <c r="E223" i="120"/>
  <c r="E226" i="32"/>
  <c r="E142" i="64"/>
  <c r="E226" i="64"/>
  <c r="E28" i="28"/>
  <c r="E44" i="28"/>
  <c r="E75" i="28"/>
  <c r="E123" i="28"/>
  <c r="E132" i="28"/>
  <c r="E142" i="28"/>
  <c r="E160" i="28"/>
  <c r="E179" i="28"/>
  <c r="E195" i="28"/>
  <c r="E28" i="65"/>
  <c r="E32" i="65"/>
  <c r="E48" i="65"/>
  <c r="E67" i="65"/>
  <c r="E97" i="65"/>
  <c r="E123" i="65"/>
  <c r="E132" i="65"/>
  <c r="E142" i="65"/>
  <c r="G142" i="65"/>
  <c r="E179" i="65"/>
  <c r="E187" i="65"/>
  <c r="E195" i="65"/>
  <c r="E219" i="65"/>
  <c r="E223" i="65"/>
  <c r="E227" i="65"/>
  <c r="E15" i="119"/>
  <c r="E39" i="119"/>
  <c r="E66" i="119"/>
  <c r="E85" i="119"/>
  <c r="E89" i="119"/>
  <c r="E114" i="119"/>
  <c r="E136" i="119"/>
  <c r="E141" i="119"/>
  <c r="E150" i="119"/>
  <c r="E166" i="119"/>
  <c r="G166" i="119"/>
  <c r="E178" i="119"/>
  <c r="E182" i="119"/>
  <c r="E190" i="119"/>
  <c r="G190" i="119"/>
  <c r="E27" i="25"/>
  <c r="E47" i="25"/>
  <c r="E59" i="25"/>
  <c r="E70" i="25"/>
  <c r="E89" i="25"/>
  <c r="E107" i="25"/>
  <c r="E126" i="25"/>
  <c r="E136" i="25"/>
  <c r="E11" i="155"/>
  <c r="E78" i="155"/>
  <c r="G78" i="155"/>
  <c r="E226" i="42"/>
  <c r="E46" i="55"/>
  <c r="G46" i="55"/>
  <c r="E100" i="14"/>
  <c r="E13" i="143"/>
  <c r="E91" i="143"/>
  <c r="E87" i="10"/>
  <c r="E91" i="10"/>
  <c r="E98" i="10"/>
  <c r="E196" i="10"/>
  <c r="E13" i="87"/>
  <c r="E17" i="87"/>
  <c r="E37" i="87"/>
  <c r="G37" i="87"/>
  <c r="E53" i="87"/>
  <c r="G53" i="87"/>
  <c r="E98" i="87"/>
  <c r="E188" i="87"/>
  <c r="E231" i="87"/>
  <c r="E25" i="86"/>
  <c r="E29" i="86"/>
  <c r="E41" i="86"/>
  <c r="E57" i="86"/>
  <c r="E76" i="86"/>
  <c r="E98" i="86"/>
  <c r="E29" i="89"/>
  <c r="E37" i="89"/>
  <c r="G37" i="89"/>
  <c r="E231" i="1"/>
  <c r="G231" i="1"/>
  <c r="E232" i="31"/>
  <c r="E132" i="83"/>
  <c r="E54" i="175"/>
  <c r="E152" i="120"/>
  <c r="E96" i="28"/>
  <c r="E181" i="119"/>
  <c r="E200" i="155"/>
  <c r="G200" i="155"/>
  <c r="E150" i="55"/>
  <c r="E11" i="176"/>
  <c r="E51" i="176"/>
  <c r="E74" i="176"/>
  <c r="E170" i="176"/>
  <c r="E178" i="176"/>
  <c r="E28" i="10"/>
  <c r="E40" i="10"/>
  <c r="E33" i="178"/>
  <c r="G231" i="19"/>
  <c r="E193" i="19"/>
  <c r="E50" i="19"/>
  <c r="G50" i="19"/>
  <c r="E153" i="19"/>
  <c r="E28" i="19"/>
  <c r="G178" i="85"/>
  <c r="G224" i="85"/>
  <c r="G153" i="85"/>
  <c r="G188" i="85"/>
  <c r="G179" i="85"/>
  <c r="G91" i="85"/>
  <c r="G17" i="85"/>
  <c r="G184" i="85"/>
  <c r="G105" i="85"/>
  <c r="G49" i="85"/>
  <c r="G71" i="85"/>
  <c r="G156" i="158"/>
  <c r="G73" i="37"/>
  <c r="G145" i="47"/>
  <c r="G34" i="142"/>
  <c r="G52" i="27"/>
  <c r="G155" i="72"/>
  <c r="G66" i="72"/>
  <c r="G66" i="37"/>
  <c r="G160" i="167"/>
  <c r="G38" i="113"/>
  <c r="G223" i="46"/>
  <c r="G232" i="20"/>
  <c r="E75" i="178"/>
  <c r="G187" i="62"/>
  <c r="G35" i="72"/>
  <c r="E56" i="28"/>
  <c r="E12" i="65"/>
  <c r="G12" i="65"/>
  <c r="E16" i="65"/>
  <c r="E60" i="65"/>
  <c r="G60" i="65"/>
  <c r="E47" i="119"/>
  <c r="E225" i="119"/>
  <c r="E43" i="25"/>
  <c r="G43" i="25"/>
  <c r="E19" i="155"/>
  <c r="E226" i="157"/>
  <c r="E222" i="158"/>
  <c r="E232" i="158"/>
  <c r="E165" i="54"/>
  <c r="E117" i="103"/>
  <c r="E14" i="103"/>
  <c r="E223" i="54"/>
  <c r="E20" i="65"/>
  <c r="E223" i="83"/>
  <c r="E158" i="141"/>
  <c r="E38" i="64"/>
  <c r="E179" i="42"/>
  <c r="G179" i="42"/>
  <c r="E52" i="157"/>
  <c r="C61" i="87"/>
  <c r="E107" i="63"/>
  <c r="G107" i="63"/>
  <c r="E83" i="174"/>
  <c r="E152" i="174"/>
  <c r="E164" i="174"/>
  <c r="E25" i="53"/>
  <c r="E64" i="53"/>
  <c r="E83" i="53"/>
  <c r="E109" i="53"/>
  <c r="E148" i="53"/>
  <c r="G148" i="53"/>
  <c r="E152" i="53"/>
  <c r="E45" i="83"/>
  <c r="E25" i="47"/>
  <c r="E129" i="47"/>
  <c r="E132" i="39"/>
  <c r="G132" i="39"/>
  <c r="E27" i="64"/>
  <c r="E59" i="64"/>
  <c r="E100" i="64"/>
  <c r="E41" i="16"/>
  <c r="E116" i="16"/>
  <c r="E188" i="150"/>
  <c r="E196" i="150"/>
  <c r="E13" i="25"/>
  <c r="E203" i="25"/>
  <c r="G123" i="37"/>
  <c r="G170" i="37"/>
  <c r="G159" i="37"/>
  <c r="E90" i="103"/>
  <c r="E160" i="103"/>
  <c r="G160" i="103"/>
  <c r="E219" i="103"/>
  <c r="E48" i="118"/>
  <c r="E67" i="118"/>
  <c r="E86" i="118"/>
  <c r="E151" i="118"/>
  <c r="E171" i="118"/>
  <c r="E183" i="118"/>
  <c r="E203" i="60"/>
  <c r="E25" i="54"/>
  <c r="E41" i="54"/>
  <c r="E29" i="94"/>
  <c r="E83" i="94"/>
  <c r="E143" i="145"/>
  <c r="G143" i="145"/>
  <c r="E17" i="164"/>
  <c r="E72" i="164"/>
  <c r="E219" i="47"/>
  <c r="G219" i="47"/>
  <c r="E31" i="106"/>
  <c r="E89" i="106"/>
  <c r="E178" i="106"/>
  <c r="E26" i="104"/>
  <c r="E42" i="104"/>
  <c r="E65" i="104"/>
  <c r="G65" i="104"/>
  <c r="E84" i="104"/>
  <c r="E106" i="104"/>
  <c r="E125" i="104"/>
  <c r="E140" i="104"/>
  <c r="E169" i="104"/>
  <c r="E177" i="104"/>
  <c r="E193" i="104"/>
  <c r="E57" i="43"/>
  <c r="E68" i="43"/>
  <c r="E196" i="43"/>
  <c r="E18" i="175"/>
  <c r="E30" i="175"/>
  <c r="E38" i="175"/>
  <c r="E50" i="175"/>
  <c r="E145" i="175"/>
  <c r="E181" i="175"/>
  <c r="E222" i="175"/>
  <c r="E136" i="84"/>
  <c r="E150" i="84"/>
  <c r="E170" i="84"/>
  <c r="G170" i="84"/>
  <c r="E223" i="71"/>
  <c r="D111" i="39"/>
  <c r="E37" i="152"/>
  <c r="G37" i="152"/>
  <c r="E148" i="152"/>
  <c r="E172" i="152"/>
  <c r="E188" i="152"/>
  <c r="E33" i="120"/>
  <c r="G67" i="37"/>
  <c r="E223" i="90"/>
  <c r="E204" i="24"/>
  <c r="E42" i="141"/>
  <c r="E58" i="141"/>
  <c r="E84" i="141"/>
  <c r="G84" i="141"/>
  <c r="E92" i="141"/>
  <c r="E125" i="141"/>
  <c r="E149" i="141"/>
  <c r="E185" i="141"/>
  <c r="E200" i="141"/>
  <c r="E14" i="32"/>
  <c r="G14" i="32"/>
  <c r="E38" i="32"/>
  <c r="E54" i="32"/>
  <c r="E73" i="32"/>
  <c r="E99" i="32"/>
  <c r="E140" i="32"/>
  <c r="E158" i="32"/>
  <c r="E173" i="32"/>
  <c r="E193" i="32"/>
  <c r="E65" i="64"/>
  <c r="E84" i="64"/>
  <c r="E159" i="28"/>
  <c r="G159" i="28"/>
  <c r="E205" i="28"/>
  <c r="E15" i="65"/>
  <c r="E51" i="65"/>
  <c r="E66" i="65"/>
  <c r="E96" i="65"/>
  <c r="E182" i="65"/>
  <c r="E194" i="65"/>
  <c r="E224" i="65"/>
  <c r="E50" i="119"/>
  <c r="E88" i="119"/>
  <c r="G88" i="119"/>
  <c r="E117" i="119"/>
  <c r="E153" i="119"/>
  <c r="E200" i="119"/>
  <c r="G200" i="119"/>
  <c r="E232" i="119"/>
  <c r="E58" i="25"/>
  <c r="E84" i="25"/>
  <c r="G84" i="25"/>
  <c r="E106" i="25"/>
  <c r="G106" i="25"/>
  <c r="E158" i="25"/>
  <c r="G158" i="25"/>
  <c r="E177" i="25"/>
  <c r="E193" i="25"/>
  <c r="E222" i="25"/>
  <c r="E18" i="155"/>
  <c r="E30" i="155"/>
  <c r="E50" i="155"/>
  <c r="G50" i="155"/>
  <c r="E158" i="104"/>
  <c r="E47" i="65"/>
  <c r="E92" i="104"/>
  <c r="E194" i="84"/>
  <c r="G148" i="38"/>
  <c r="G49" i="86"/>
  <c r="G90" i="64"/>
  <c r="E189" i="32"/>
  <c r="E140" i="25"/>
  <c r="G146" i="102"/>
  <c r="E97" i="103"/>
  <c r="E115" i="103"/>
  <c r="G115" i="103"/>
  <c r="E32" i="118"/>
  <c r="E75" i="118"/>
  <c r="E97" i="118"/>
  <c r="E123" i="118"/>
  <c r="E167" i="118"/>
  <c r="E191" i="118"/>
  <c r="E16" i="174"/>
  <c r="E36" i="174"/>
  <c r="G36" i="174"/>
  <c r="E196" i="118"/>
  <c r="E17" i="54"/>
  <c r="E152" i="164"/>
  <c r="G152" i="164"/>
  <c r="E180" i="164"/>
  <c r="E109" i="19"/>
  <c r="E43" i="106"/>
  <c r="E159" i="106"/>
  <c r="E174" i="106"/>
  <c r="E54" i="104"/>
  <c r="G54" i="104"/>
  <c r="E77" i="104"/>
  <c r="E135" i="104"/>
  <c r="E153" i="104"/>
  <c r="E173" i="104"/>
  <c r="E181" i="104"/>
  <c r="E200" i="104"/>
  <c r="E87" i="43"/>
  <c r="E109" i="43"/>
  <c r="E14" i="175"/>
  <c r="E26" i="175"/>
  <c r="E99" i="175"/>
  <c r="E117" i="175"/>
  <c r="E140" i="175"/>
  <c r="G140" i="175"/>
  <c r="E177" i="175"/>
  <c r="E204" i="175"/>
  <c r="E47" i="84"/>
  <c r="E146" i="84"/>
  <c r="E166" i="84"/>
  <c r="E143" i="133"/>
  <c r="E25" i="152"/>
  <c r="E76" i="152"/>
  <c r="E91" i="152"/>
  <c r="E109" i="152"/>
  <c r="G109" i="152"/>
  <c r="E116" i="152"/>
  <c r="E184" i="152"/>
  <c r="E203" i="152"/>
  <c r="E37" i="120"/>
  <c r="E105" i="120"/>
  <c r="G105" i="120"/>
  <c r="E220" i="120"/>
  <c r="G220" i="120"/>
  <c r="G124" i="37"/>
  <c r="E38" i="141"/>
  <c r="E54" i="141"/>
  <c r="E73" i="141"/>
  <c r="E106" i="141"/>
  <c r="G106" i="141"/>
  <c r="E117" i="141"/>
  <c r="E140" i="141"/>
  <c r="E177" i="141"/>
  <c r="E30" i="32"/>
  <c r="E65" i="32"/>
  <c r="E110" i="32"/>
  <c r="E135" i="32"/>
  <c r="E153" i="32"/>
  <c r="E46" i="64"/>
  <c r="E92" i="64"/>
  <c r="G92" i="64"/>
  <c r="E155" i="28"/>
  <c r="E174" i="28"/>
  <c r="E178" i="28"/>
  <c r="E194" i="28"/>
  <c r="E224" i="28"/>
  <c r="E85" i="65"/>
  <c r="E114" i="65"/>
  <c r="E131" i="65"/>
  <c r="E150" i="65"/>
  <c r="E166" i="65"/>
  <c r="G166" i="65"/>
  <c r="E190" i="65"/>
  <c r="E201" i="65"/>
  <c r="E38" i="119"/>
  <c r="E84" i="119"/>
  <c r="E140" i="119"/>
  <c r="E158" i="119"/>
  <c r="G158" i="119"/>
  <c r="E177" i="119"/>
  <c r="E204" i="119"/>
  <c r="E26" i="25"/>
  <c r="E65" i="25"/>
  <c r="E77" i="25"/>
  <c r="E99" i="25"/>
  <c r="E125" i="25"/>
  <c r="E173" i="25"/>
  <c r="E181" i="25"/>
  <c r="E200" i="25"/>
  <c r="E232" i="25"/>
  <c r="G232" i="25"/>
  <c r="E26" i="155"/>
  <c r="G26" i="155"/>
  <c r="E42" i="155"/>
  <c r="G42" i="155"/>
  <c r="E84" i="155"/>
  <c r="E110" i="155"/>
  <c r="E191" i="103"/>
  <c r="E116" i="94"/>
  <c r="E130" i="175"/>
  <c r="G185" i="94"/>
  <c r="E201" i="84"/>
  <c r="G179" i="72"/>
  <c r="E52" i="174"/>
  <c r="G52" i="174"/>
  <c r="E142" i="118"/>
  <c r="G78" i="167"/>
  <c r="E132" i="103"/>
  <c r="E183" i="103"/>
  <c r="E202" i="103"/>
  <c r="E28" i="118"/>
  <c r="G28" i="118"/>
  <c r="E44" i="118"/>
  <c r="E60" i="118"/>
  <c r="E71" i="118"/>
  <c r="E115" i="118"/>
  <c r="G115" i="118"/>
  <c r="E160" i="118"/>
  <c r="E187" i="118"/>
  <c r="E205" i="15"/>
  <c r="G205" i="15"/>
  <c r="E117" i="66"/>
  <c r="G117" i="66"/>
  <c r="E140" i="63"/>
  <c r="G140" i="63"/>
  <c r="E169" i="63"/>
  <c r="C102" i="58"/>
  <c r="E40" i="174"/>
  <c r="E195" i="103"/>
  <c r="E53" i="54"/>
  <c r="E116" i="54"/>
  <c r="E76" i="164"/>
  <c r="G76" i="164"/>
  <c r="E220" i="164"/>
  <c r="E53" i="19"/>
  <c r="E227" i="47"/>
  <c r="G227" i="47"/>
  <c r="E180" i="46"/>
  <c r="G181" i="102"/>
  <c r="E11" i="106"/>
  <c r="E27" i="106"/>
  <c r="G27" i="106"/>
  <c r="E39" i="106"/>
  <c r="E47" i="106"/>
  <c r="G47" i="106"/>
  <c r="E66" i="106"/>
  <c r="E170" i="106"/>
  <c r="E186" i="106"/>
  <c r="E194" i="106"/>
  <c r="E14" i="104"/>
  <c r="E30" i="104"/>
  <c r="E46" i="104"/>
  <c r="E58" i="104"/>
  <c r="G58" i="104"/>
  <c r="E73" i="104"/>
  <c r="E88" i="104"/>
  <c r="G88" i="104"/>
  <c r="E99" i="104"/>
  <c r="E130" i="104"/>
  <c r="E152" i="43"/>
  <c r="E220" i="43"/>
  <c r="E118" i="84"/>
  <c r="E141" i="84"/>
  <c r="E155" i="84"/>
  <c r="E174" i="84"/>
  <c r="E203" i="133"/>
  <c r="E49" i="152"/>
  <c r="E72" i="152"/>
  <c r="E98" i="152"/>
  <c r="E204" i="90"/>
  <c r="E140" i="24"/>
  <c r="G140" i="24"/>
  <c r="E193" i="24"/>
  <c r="E46" i="141"/>
  <c r="G46" i="141"/>
  <c r="E65" i="141"/>
  <c r="G65" i="141"/>
  <c r="E77" i="141"/>
  <c r="E99" i="141"/>
  <c r="E130" i="141"/>
  <c r="E145" i="141"/>
  <c r="E189" i="141"/>
  <c r="E223" i="141"/>
  <c r="G223" i="141"/>
  <c r="E18" i="32"/>
  <c r="G18" i="32"/>
  <c r="E34" i="32"/>
  <c r="E42" i="32"/>
  <c r="G42" i="32"/>
  <c r="E69" i="32"/>
  <c r="E84" i="32"/>
  <c r="G84" i="32"/>
  <c r="E106" i="32"/>
  <c r="E125" i="32"/>
  <c r="E145" i="32"/>
  <c r="E181" i="32"/>
  <c r="E204" i="32"/>
  <c r="E77" i="64"/>
  <c r="E99" i="64"/>
  <c r="E173" i="64"/>
  <c r="E11" i="28"/>
  <c r="E166" i="28"/>
  <c r="E201" i="28"/>
  <c r="E11" i="65"/>
  <c r="E55" i="65"/>
  <c r="E74" i="65"/>
  <c r="G74" i="65"/>
  <c r="E89" i="65"/>
  <c r="E107" i="65"/>
  <c r="E126" i="65"/>
  <c r="G126" i="65"/>
  <c r="E141" i="65"/>
  <c r="E155" i="65"/>
  <c r="E14" i="119"/>
  <c r="E92" i="119"/>
  <c r="E106" i="119"/>
  <c r="E130" i="119"/>
  <c r="E145" i="119"/>
  <c r="E185" i="119"/>
  <c r="E193" i="119"/>
  <c r="E222" i="119"/>
  <c r="E38" i="25"/>
  <c r="E73" i="25"/>
  <c r="G73" i="25"/>
  <c r="E92" i="25"/>
  <c r="E135" i="25"/>
  <c r="E149" i="25"/>
  <c r="E169" i="25"/>
  <c r="E189" i="25"/>
  <c r="E69" i="155"/>
  <c r="E136" i="65"/>
  <c r="E190" i="28"/>
  <c r="G178" i="167"/>
  <c r="E38" i="104"/>
  <c r="E189" i="104"/>
  <c r="E137" i="118"/>
  <c r="E172" i="46"/>
  <c r="E169" i="32"/>
  <c r="E13" i="152"/>
  <c r="G13" i="152"/>
  <c r="G100" i="167"/>
  <c r="G158" i="167"/>
  <c r="E82" i="103"/>
  <c r="E101" i="103"/>
  <c r="E127" i="103"/>
  <c r="E36" i="118"/>
  <c r="E52" i="118"/>
  <c r="G52" i="118"/>
  <c r="E90" i="118"/>
  <c r="E156" i="118"/>
  <c r="E175" i="118"/>
  <c r="E179" i="118"/>
  <c r="G179" i="118"/>
  <c r="E194" i="15"/>
  <c r="G194" i="15"/>
  <c r="E84" i="68"/>
  <c r="E153" i="63"/>
  <c r="G153" i="63"/>
  <c r="E189" i="63"/>
  <c r="E76" i="60"/>
  <c r="E116" i="60"/>
  <c r="G116" i="60"/>
  <c r="E143" i="54"/>
  <c r="E57" i="94"/>
  <c r="E13" i="164"/>
  <c r="E176" i="164"/>
  <c r="E203" i="164"/>
  <c r="G203" i="164"/>
  <c r="E101" i="15"/>
  <c r="E15" i="106"/>
  <c r="G15" i="106"/>
  <c r="E35" i="106"/>
  <c r="E70" i="106"/>
  <c r="G70" i="106"/>
  <c r="E146" i="106"/>
  <c r="E182" i="106"/>
  <c r="E190" i="106"/>
  <c r="G190" i="106"/>
  <c r="E205" i="106"/>
  <c r="E18" i="104"/>
  <c r="E34" i="104"/>
  <c r="E50" i="104"/>
  <c r="E69" i="104"/>
  <c r="E145" i="104"/>
  <c r="E165" i="104"/>
  <c r="E204" i="104"/>
  <c r="E49" i="43"/>
  <c r="E98" i="43"/>
  <c r="E203" i="43"/>
  <c r="E69" i="175"/>
  <c r="E84" i="175"/>
  <c r="E92" i="175"/>
  <c r="E125" i="175"/>
  <c r="G125" i="175"/>
  <c r="E135" i="175"/>
  <c r="E158" i="175"/>
  <c r="E173" i="175"/>
  <c r="G173" i="175"/>
  <c r="E200" i="175"/>
  <c r="G200" i="175"/>
  <c r="E107" i="84"/>
  <c r="E159" i="84"/>
  <c r="G159" i="84"/>
  <c r="E196" i="133"/>
  <c r="E45" i="152"/>
  <c r="E53" i="152"/>
  <c r="G53" i="152"/>
  <c r="E83" i="152"/>
  <c r="G83" i="152"/>
  <c r="E105" i="152"/>
  <c r="G105" i="152"/>
  <c r="E129" i="152"/>
  <c r="E143" i="152"/>
  <c r="E157" i="152"/>
  <c r="E57" i="120"/>
  <c r="E172" i="120"/>
  <c r="G135" i="37"/>
  <c r="E189" i="24"/>
  <c r="E200" i="24"/>
  <c r="E14" i="141"/>
  <c r="E34" i="141"/>
  <c r="E50" i="141"/>
  <c r="E69" i="141"/>
  <c r="G69" i="141"/>
  <c r="E88" i="141"/>
  <c r="E110" i="141"/>
  <c r="E135" i="141"/>
  <c r="E181" i="141"/>
  <c r="E193" i="141"/>
  <c r="E204" i="141"/>
  <c r="E26" i="32"/>
  <c r="E58" i="32"/>
  <c r="E77" i="32"/>
  <c r="E92" i="32"/>
  <c r="G92" i="32"/>
  <c r="E149" i="32"/>
  <c r="E185" i="32"/>
  <c r="E200" i="32"/>
  <c r="G200" i="32"/>
  <c r="E223" i="32"/>
  <c r="E73" i="64"/>
  <c r="E88" i="64"/>
  <c r="E110" i="64"/>
  <c r="E150" i="28"/>
  <c r="E170" i="28"/>
  <c r="G170" i="28"/>
  <c r="E182" i="28"/>
  <c r="E59" i="65"/>
  <c r="E78" i="65"/>
  <c r="E100" i="65"/>
  <c r="G100" i="65"/>
  <c r="E118" i="65"/>
  <c r="E146" i="65"/>
  <c r="G146" i="65"/>
  <c r="E159" i="65"/>
  <c r="E186" i="65"/>
  <c r="E42" i="119"/>
  <c r="G42" i="119"/>
  <c r="E99" i="119"/>
  <c r="G99" i="119"/>
  <c r="E110" i="119"/>
  <c r="E135" i="119"/>
  <c r="G135" i="119"/>
  <c r="E149" i="119"/>
  <c r="E189" i="119"/>
  <c r="E69" i="25"/>
  <c r="G69" i="25"/>
  <c r="E88" i="25"/>
  <c r="E130" i="25"/>
  <c r="E145" i="25"/>
  <c r="E165" i="25"/>
  <c r="E185" i="25"/>
  <c r="E204" i="25"/>
  <c r="G204" i="25"/>
  <c r="E46" i="155"/>
  <c r="E88" i="155"/>
  <c r="G88" i="155"/>
  <c r="E153" i="175"/>
  <c r="E108" i="118"/>
  <c r="E193" i="175"/>
  <c r="G193" i="175"/>
  <c r="G133" i="113"/>
  <c r="E185" i="104"/>
  <c r="G185" i="104"/>
  <c r="E148" i="133"/>
  <c r="E135" i="155"/>
  <c r="E169" i="155"/>
  <c r="G169" i="155"/>
  <c r="E82" i="42"/>
  <c r="E101" i="42"/>
  <c r="G101" i="42"/>
  <c r="E115" i="42"/>
  <c r="E137" i="42"/>
  <c r="E227" i="42"/>
  <c r="E16" i="157"/>
  <c r="G16" i="157"/>
  <c r="E40" i="157"/>
  <c r="E78" i="55"/>
  <c r="E131" i="55"/>
  <c r="E166" i="55"/>
  <c r="E178" i="55"/>
  <c r="E147" i="14"/>
  <c r="E156" i="14"/>
  <c r="G64" i="85"/>
  <c r="C79" i="1"/>
  <c r="E85" i="165"/>
  <c r="G167" i="102"/>
  <c r="G37" i="86"/>
  <c r="G38" i="167"/>
  <c r="E164" i="103"/>
  <c r="E171" i="15"/>
  <c r="E11" i="150"/>
  <c r="E11" i="68"/>
  <c r="E224" i="68"/>
  <c r="E141" i="66"/>
  <c r="E155" i="66"/>
  <c r="E146" i="63"/>
  <c r="E68" i="174"/>
  <c r="E87" i="174"/>
  <c r="E172" i="174"/>
  <c r="E13" i="53"/>
  <c r="E45" i="53"/>
  <c r="G45" i="53"/>
  <c r="E57" i="53"/>
  <c r="G57" i="53"/>
  <c r="E105" i="53"/>
  <c r="E53" i="83"/>
  <c r="E176" i="83"/>
  <c r="E45" i="47"/>
  <c r="E83" i="47"/>
  <c r="E109" i="47"/>
  <c r="G109" i="47"/>
  <c r="E148" i="47"/>
  <c r="G148" i="47"/>
  <c r="E172" i="47"/>
  <c r="G172" i="47"/>
  <c r="E221" i="43"/>
  <c r="E39" i="71"/>
  <c r="G39" i="71"/>
  <c r="E59" i="71"/>
  <c r="E70" i="71"/>
  <c r="E71" i="39"/>
  <c r="E82" i="39"/>
  <c r="E101" i="39"/>
  <c r="E127" i="39"/>
  <c r="E151" i="39"/>
  <c r="E231" i="152"/>
  <c r="E76" i="174"/>
  <c r="E188" i="174"/>
  <c r="E155" i="63"/>
  <c r="E98" i="174"/>
  <c r="E150" i="63"/>
  <c r="E100" i="66"/>
  <c r="G64" i="176"/>
  <c r="E188" i="49"/>
  <c r="E48" i="157"/>
  <c r="E191" i="42"/>
  <c r="E205" i="55"/>
  <c r="E127" i="14"/>
  <c r="G127" i="14"/>
  <c r="E51" i="68"/>
  <c r="E133" i="47"/>
  <c r="E140" i="155"/>
  <c r="E158" i="155"/>
  <c r="E173" i="155"/>
  <c r="G173" i="155"/>
  <c r="E193" i="155"/>
  <c r="E34" i="156"/>
  <c r="E75" i="42"/>
  <c r="E97" i="42"/>
  <c r="E202" i="42"/>
  <c r="E12" i="157"/>
  <c r="E36" i="157"/>
  <c r="E96" i="55"/>
  <c r="E141" i="55"/>
  <c r="E159" i="55"/>
  <c r="G159" i="55"/>
  <c r="E170" i="55"/>
  <c r="E52" i="14"/>
  <c r="G165" i="86"/>
  <c r="E17" i="103"/>
  <c r="G17" i="103"/>
  <c r="E168" i="103"/>
  <c r="E132" i="15"/>
  <c r="E183" i="15"/>
  <c r="E191" i="15"/>
  <c r="E227" i="15"/>
  <c r="E15" i="68"/>
  <c r="E35" i="68"/>
  <c r="E47" i="68"/>
  <c r="E205" i="68"/>
  <c r="G205" i="68"/>
  <c r="E47" i="66"/>
  <c r="E59" i="66"/>
  <c r="E96" i="63"/>
  <c r="E118" i="63"/>
  <c r="E124" i="174"/>
  <c r="E168" i="174"/>
  <c r="E176" i="174"/>
  <c r="G176" i="174"/>
  <c r="E221" i="174"/>
  <c r="E29" i="53"/>
  <c r="E72" i="53"/>
  <c r="E164" i="53"/>
  <c r="E124" i="49"/>
  <c r="E180" i="83"/>
  <c r="E192" i="83"/>
  <c r="E220" i="83"/>
  <c r="E87" i="47"/>
  <c r="E143" i="47"/>
  <c r="E164" i="47"/>
  <c r="E180" i="47"/>
  <c r="G180" i="47"/>
  <c r="E231" i="46"/>
  <c r="G231" i="46"/>
  <c r="E225" i="106"/>
  <c r="E223" i="104"/>
  <c r="E225" i="84"/>
  <c r="E11" i="71"/>
  <c r="E156" i="39"/>
  <c r="E183" i="39"/>
  <c r="E226" i="39"/>
  <c r="E195" i="42"/>
  <c r="E31" i="68"/>
  <c r="G31" i="68"/>
  <c r="E89" i="63"/>
  <c r="E78" i="66"/>
  <c r="E176" i="49"/>
  <c r="G176" i="49"/>
  <c r="E202" i="15"/>
  <c r="G35" i="37"/>
  <c r="G97" i="102"/>
  <c r="E187" i="42"/>
  <c r="E160" i="15"/>
  <c r="E201" i="55"/>
  <c r="E90" i="14"/>
  <c r="E49" i="83"/>
  <c r="E33" i="53"/>
  <c r="G221" i="142"/>
  <c r="G18" i="165"/>
  <c r="E19" i="150"/>
  <c r="G184" i="142"/>
  <c r="E130" i="155"/>
  <c r="E153" i="155"/>
  <c r="E50" i="156"/>
  <c r="E71" i="42"/>
  <c r="E90" i="42"/>
  <c r="E28" i="157"/>
  <c r="E44" i="157"/>
  <c r="E159" i="165"/>
  <c r="E85" i="55"/>
  <c r="E136" i="55"/>
  <c r="G136" i="55"/>
  <c r="E146" i="55"/>
  <c r="E182" i="55"/>
  <c r="E194" i="55"/>
  <c r="E224" i="55"/>
  <c r="G224" i="55"/>
  <c r="E71" i="14"/>
  <c r="G71" i="14"/>
  <c r="E101" i="14"/>
  <c r="E151" i="14"/>
  <c r="E179" i="14"/>
  <c r="E226" i="14"/>
  <c r="G185" i="85"/>
  <c r="G54" i="72"/>
  <c r="G47" i="102"/>
  <c r="E188" i="103"/>
  <c r="E203" i="103"/>
  <c r="E164" i="118"/>
  <c r="G164" i="118"/>
  <c r="E115" i="15"/>
  <c r="E127" i="15"/>
  <c r="E156" i="15"/>
  <c r="E167" i="15"/>
  <c r="G167" i="15"/>
  <c r="E179" i="15"/>
  <c r="E187" i="15"/>
  <c r="E15" i="150"/>
  <c r="G15" i="150"/>
  <c r="E39" i="68"/>
  <c r="E107" i="68"/>
  <c r="E201" i="68"/>
  <c r="E43" i="66"/>
  <c r="E136" i="66"/>
  <c r="E150" i="66"/>
  <c r="E174" i="66"/>
  <c r="E190" i="66"/>
  <c r="E47" i="63"/>
  <c r="E126" i="63"/>
  <c r="G126" i="63"/>
  <c r="E141" i="63"/>
  <c r="E127" i="58"/>
  <c r="E157" i="174"/>
  <c r="E53" i="53"/>
  <c r="E68" i="53"/>
  <c r="E98" i="53"/>
  <c r="E143" i="53"/>
  <c r="E25" i="83"/>
  <c r="G25" i="83"/>
  <c r="E164" i="83"/>
  <c r="G164" i="83"/>
  <c r="E188" i="83"/>
  <c r="G188" i="83"/>
  <c r="E196" i="83"/>
  <c r="E13" i="47"/>
  <c r="E91" i="47"/>
  <c r="E105" i="47"/>
  <c r="E138" i="47"/>
  <c r="E157" i="47"/>
  <c r="E176" i="47"/>
  <c r="G176" i="47"/>
  <c r="E51" i="71"/>
  <c r="E66" i="71"/>
  <c r="E85" i="71"/>
  <c r="E147" i="39"/>
  <c r="E167" i="39"/>
  <c r="E179" i="39"/>
  <c r="E195" i="39"/>
  <c r="E85" i="63"/>
  <c r="E133" i="174"/>
  <c r="G133" i="174"/>
  <c r="E118" i="66"/>
  <c r="E132" i="14"/>
  <c r="G200" i="19"/>
  <c r="E223" i="175"/>
  <c r="E109" i="174"/>
  <c r="E78" i="63"/>
  <c r="E70" i="66"/>
  <c r="E184" i="174"/>
  <c r="G184" i="174"/>
  <c r="G227" i="113"/>
  <c r="G101" i="167"/>
  <c r="G28" i="167"/>
  <c r="G189" i="149"/>
  <c r="E123" i="42"/>
  <c r="E137" i="15"/>
  <c r="E174" i="55"/>
  <c r="G174" i="55"/>
  <c r="E70" i="68"/>
  <c r="G185" i="37"/>
  <c r="E231" i="133"/>
  <c r="G231" i="133"/>
  <c r="K14" i="133"/>
  <c r="E125" i="155"/>
  <c r="E145" i="155"/>
  <c r="E165" i="155"/>
  <c r="E177" i="156"/>
  <c r="E108" i="42"/>
  <c r="E142" i="42"/>
  <c r="E171" i="42"/>
  <c r="G219" i="42"/>
  <c r="E20" i="157"/>
  <c r="E32" i="157"/>
  <c r="G32" i="157"/>
  <c r="E11" i="55"/>
  <c r="E97" i="14"/>
  <c r="E183" i="14"/>
  <c r="G146" i="167"/>
  <c r="E83" i="118"/>
  <c r="G83" i="118"/>
  <c r="E147" i="15"/>
  <c r="E175" i="15"/>
  <c r="E43" i="68"/>
  <c r="G43" i="68"/>
  <c r="E66" i="66"/>
  <c r="E131" i="66"/>
  <c r="E146" i="66"/>
  <c r="E194" i="66"/>
  <c r="E43" i="63"/>
  <c r="E114" i="63"/>
  <c r="E136" i="63"/>
  <c r="E52" i="58"/>
  <c r="E180" i="174"/>
  <c r="E17" i="53"/>
  <c r="G17" i="53"/>
  <c r="E37" i="53"/>
  <c r="E76" i="53"/>
  <c r="E91" i="53"/>
  <c r="E116" i="53"/>
  <c r="G116" i="53"/>
  <c r="E172" i="53"/>
  <c r="E220" i="53"/>
  <c r="E148" i="49"/>
  <c r="G148" i="49"/>
  <c r="E105" i="83"/>
  <c r="G105" i="83"/>
  <c r="E168" i="83"/>
  <c r="E184" i="83"/>
  <c r="E203" i="83"/>
  <c r="E17" i="47"/>
  <c r="G17" i="47"/>
  <c r="E53" i="47"/>
  <c r="E76" i="47"/>
  <c r="E98" i="47"/>
  <c r="E168" i="47"/>
  <c r="E184" i="47"/>
  <c r="G184" i="47"/>
  <c r="E123" i="39"/>
  <c r="E142" i="39"/>
  <c r="E160" i="39"/>
  <c r="G160" i="39"/>
  <c r="E175" i="39"/>
  <c r="E191" i="39"/>
  <c r="G191" i="39"/>
  <c r="E91" i="174"/>
  <c r="G202" i="149"/>
  <c r="E143" i="83"/>
  <c r="G143" i="83"/>
  <c r="E195" i="15"/>
  <c r="E74" i="63"/>
  <c r="E186" i="66"/>
  <c r="E39" i="66"/>
  <c r="E182" i="66"/>
  <c r="G40" i="167"/>
  <c r="G182" i="167"/>
  <c r="E126" i="55"/>
  <c r="E66" i="68"/>
  <c r="G66" i="68"/>
  <c r="E86" i="39"/>
  <c r="G40" i="102"/>
  <c r="G219" i="102"/>
  <c r="E65" i="120"/>
  <c r="G65" i="120"/>
  <c r="E226" i="24"/>
  <c r="G226" i="24"/>
  <c r="E52" i="28"/>
  <c r="E90" i="28"/>
  <c r="E151" i="28"/>
  <c r="E219" i="28"/>
  <c r="E227" i="28"/>
  <c r="G227" i="28"/>
  <c r="E115" i="65"/>
  <c r="E175" i="65"/>
  <c r="E131" i="119"/>
  <c r="E174" i="119"/>
  <c r="E51" i="25"/>
  <c r="E118" i="25"/>
  <c r="E225" i="25"/>
  <c r="E15" i="156"/>
  <c r="E225" i="156"/>
  <c r="E221" i="87"/>
  <c r="E231" i="86"/>
  <c r="E235" i="86"/>
  <c r="G67" i="85"/>
  <c r="E18" i="83"/>
  <c r="E226" i="104"/>
  <c r="G226" i="104"/>
  <c r="E219" i="16"/>
  <c r="E224" i="53"/>
  <c r="G224" i="53"/>
  <c r="E18" i="119"/>
  <c r="E30" i="119"/>
  <c r="E34" i="119"/>
  <c r="E34" i="25"/>
  <c r="E54" i="25"/>
  <c r="G54" i="25"/>
  <c r="E110" i="25"/>
  <c r="E153" i="25"/>
  <c r="E14" i="155"/>
  <c r="E34" i="155"/>
  <c r="C93" i="157"/>
  <c r="E45" i="174"/>
  <c r="E53" i="174"/>
  <c r="E86" i="46"/>
  <c r="E18" i="176"/>
  <c r="G18" i="176"/>
  <c r="E26" i="176"/>
  <c r="E88" i="176"/>
  <c r="G88" i="176"/>
  <c r="E92" i="176"/>
  <c r="G92" i="176"/>
  <c r="E135" i="176"/>
  <c r="E153" i="176"/>
  <c r="E165" i="176"/>
  <c r="E177" i="176"/>
  <c r="C206" i="118"/>
  <c r="E159" i="60"/>
  <c r="E66" i="54"/>
  <c r="E100" i="54"/>
  <c r="G100" i="54"/>
  <c r="E182" i="54"/>
  <c r="E70" i="94"/>
  <c r="E205" i="94"/>
  <c r="E190" i="164"/>
  <c r="E108" i="66"/>
  <c r="E18" i="174"/>
  <c r="G18" i="174"/>
  <c r="E31" i="43"/>
  <c r="E43" i="43"/>
  <c r="E66" i="43"/>
  <c r="G66" i="43"/>
  <c r="E70" i="43"/>
  <c r="G70" i="43"/>
  <c r="E78" i="43"/>
  <c r="E96" i="43"/>
  <c r="E100" i="43"/>
  <c r="E107" i="43"/>
  <c r="E131" i="43"/>
  <c r="E136" i="43"/>
  <c r="E141" i="43"/>
  <c r="E44" i="175"/>
  <c r="E115" i="175"/>
  <c r="C79" i="141"/>
  <c r="C102" i="98"/>
  <c r="D79" i="24"/>
  <c r="G69" i="79"/>
  <c r="G52" i="79"/>
  <c r="G170" i="79"/>
  <c r="G42" i="79"/>
  <c r="G195" i="79"/>
  <c r="G66" i="79"/>
  <c r="G35" i="79"/>
  <c r="G205" i="79"/>
  <c r="G56" i="72"/>
  <c r="G77" i="72"/>
  <c r="G27" i="72"/>
  <c r="G99" i="72"/>
  <c r="G58" i="72"/>
  <c r="G138" i="72"/>
  <c r="G174" i="72"/>
  <c r="G183" i="20"/>
  <c r="G232" i="60"/>
  <c r="G18" i="149"/>
  <c r="G32" i="85"/>
  <c r="E13" i="103"/>
  <c r="E25" i="103"/>
  <c r="E29" i="103"/>
  <c r="G29" i="103"/>
  <c r="E37" i="103"/>
  <c r="E41" i="103"/>
  <c r="E45" i="103"/>
  <c r="G45" i="103"/>
  <c r="E49" i="103"/>
  <c r="G49" i="103"/>
  <c r="E53" i="103"/>
  <c r="E57" i="103"/>
  <c r="E116" i="103"/>
  <c r="E143" i="103"/>
  <c r="E148" i="103"/>
  <c r="G148" i="103"/>
  <c r="E152" i="103"/>
  <c r="G152" i="103"/>
  <c r="E157" i="103"/>
  <c r="G157" i="103"/>
  <c r="E172" i="103"/>
  <c r="E176" i="103"/>
  <c r="E180" i="103"/>
  <c r="G180" i="103"/>
  <c r="E184" i="103"/>
  <c r="E192" i="103"/>
  <c r="E196" i="103"/>
  <c r="G196" i="103"/>
  <c r="E221" i="103"/>
  <c r="E231" i="103"/>
  <c r="E13" i="118"/>
  <c r="E17" i="118"/>
  <c r="G17" i="118"/>
  <c r="E25" i="118"/>
  <c r="E29" i="118"/>
  <c r="G29" i="118"/>
  <c r="E41" i="118"/>
  <c r="E45" i="118"/>
  <c r="G45" i="118"/>
  <c r="E49" i="118"/>
  <c r="E53" i="118"/>
  <c r="E57" i="118"/>
  <c r="E64" i="118"/>
  <c r="E68" i="118"/>
  <c r="E72" i="118"/>
  <c r="E76" i="118"/>
  <c r="E87" i="118"/>
  <c r="E91" i="118"/>
  <c r="E98" i="118"/>
  <c r="E133" i="118"/>
  <c r="E143" i="118"/>
  <c r="E148" i="118"/>
  <c r="G148" i="118"/>
  <c r="E152" i="118"/>
  <c r="E157" i="118"/>
  <c r="E172" i="118"/>
  <c r="G172" i="118"/>
  <c r="E176" i="118"/>
  <c r="E180" i="118"/>
  <c r="E184" i="118"/>
  <c r="E188" i="118"/>
  <c r="E203" i="118"/>
  <c r="G203" i="118"/>
  <c r="E13" i="60"/>
  <c r="E17" i="60"/>
  <c r="G17" i="60"/>
  <c r="E41" i="60"/>
  <c r="E51" i="60"/>
  <c r="G51" i="60"/>
  <c r="E53" i="60"/>
  <c r="E68" i="60"/>
  <c r="E72" i="60"/>
  <c r="E87" i="60"/>
  <c r="E91" i="60"/>
  <c r="E98" i="60"/>
  <c r="E148" i="60"/>
  <c r="E152" i="60"/>
  <c r="G152" i="60"/>
  <c r="E157" i="60"/>
  <c r="E196" i="60"/>
  <c r="E220" i="60"/>
  <c r="E29" i="54"/>
  <c r="E33" i="54"/>
  <c r="E37" i="54"/>
  <c r="E45" i="54"/>
  <c r="E49" i="54"/>
  <c r="E57" i="54"/>
  <c r="G57" i="54"/>
  <c r="E64" i="54"/>
  <c r="E68" i="54"/>
  <c r="E72" i="54"/>
  <c r="E76" i="54"/>
  <c r="E124" i="54"/>
  <c r="G124" i="54"/>
  <c r="E129" i="54"/>
  <c r="E133" i="54"/>
  <c r="E138" i="54"/>
  <c r="E157" i="54"/>
  <c r="E184" i="54"/>
  <c r="E196" i="54"/>
  <c r="E203" i="54"/>
  <c r="E13" i="94"/>
  <c r="E17" i="94"/>
  <c r="E25" i="94"/>
  <c r="E33" i="94"/>
  <c r="E37" i="94"/>
  <c r="E41" i="94"/>
  <c r="E49" i="94"/>
  <c r="E53" i="94"/>
  <c r="E64" i="94"/>
  <c r="E68" i="94"/>
  <c r="E72" i="94"/>
  <c r="G72" i="94"/>
  <c r="E76" i="94"/>
  <c r="E87" i="94"/>
  <c r="E91" i="94"/>
  <c r="E98" i="94"/>
  <c r="G98" i="94"/>
  <c r="E105" i="94"/>
  <c r="G105" i="94"/>
  <c r="E109" i="94"/>
  <c r="E124" i="94"/>
  <c r="E129" i="94"/>
  <c r="E131" i="94"/>
  <c r="E133" i="94"/>
  <c r="E138" i="94"/>
  <c r="E174" i="94"/>
  <c r="E164" i="145"/>
  <c r="E25" i="164"/>
  <c r="E29" i="164"/>
  <c r="G29" i="164"/>
  <c r="E33" i="164"/>
  <c r="E37" i="164"/>
  <c r="E41" i="164"/>
  <c r="E45" i="164"/>
  <c r="E49" i="164"/>
  <c r="E53" i="164"/>
  <c r="E57" i="164"/>
  <c r="E64" i="164"/>
  <c r="E68" i="164"/>
  <c r="E87" i="164"/>
  <c r="E91" i="164"/>
  <c r="E98" i="164"/>
  <c r="E105" i="164"/>
  <c r="G105" i="164"/>
  <c r="E109" i="164"/>
  <c r="E116" i="164"/>
  <c r="E124" i="164"/>
  <c r="E129" i="164"/>
  <c r="E133" i="164"/>
  <c r="E138" i="164"/>
  <c r="E143" i="164"/>
  <c r="G143" i="164"/>
  <c r="E148" i="164"/>
  <c r="E157" i="164"/>
  <c r="E164" i="164"/>
  <c r="E168" i="164"/>
  <c r="E172" i="164"/>
  <c r="E182" i="164"/>
  <c r="E184" i="164"/>
  <c r="E188" i="164"/>
  <c r="E192" i="164"/>
  <c r="E196" i="164"/>
  <c r="E57" i="19"/>
  <c r="E68" i="19"/>
  <c r="E124" i="19"/>
  <c r="G124" i="19"/>
  <c r="E129" i="19"/>
  <c r="G129" i="19"/>
  <c r="E188" i="19"/>
  <c r="G188" i="19"/>
  <c r="E16" i="15"/>
  <c r="G16" i="15"/>
  <c r="E20" i="15"/>
  <c r="E36" i="15"/>
  <c r="G36" i="15"/>
  <c r="E48" i="15"/>
  <c r="G48" i="15"/>
  <c r="E75" i="15"/>
  <c r="E86" i="15"/>
  <c r="E90" i="15"/>
  <c r="E136" i="15"/>
  <c r="G136" i="15"/>
  <c r="E182" i="15"/>
  <c r="G182" i="15"/>
  <c r="E190" i="15"/>
  <c r="E201" i="15"/>
  <c r="E73" i="68"/>
  <c r="E99" i="68"/>
  <c r="G99" i="68"/>
  <c r="E130" i="68"/>
  <c r="E145" i="68"/>
  <c r="E153" i="68"/>
  <c r="E165" i="68"/>
  <c r="E181" i="68"/>
  <c r="G181" i="68"/>
  <c r="E189" i="68"/>
  <c r="G189" i="68"/>
  <c r="E73" i="66"/>
  <c r="E88" i="66"/>
  <c r="G88" i="66"/>
  <c r="E106" i="66"/>
  <c r="E125" i="66"/>
  <c r="E173" i="66"/>
  <c r="E204" i="66"/>
  <c r="E222" i="66"/>
  <c r="C79" i="63"/>
  <c r="E69" i="63"/>
  <c r="E88" i="63"/>
  <c r="G88" i="63"/>
  <c r="E125" i="63"/>
  <c r="E135" i="63"/>
  <c r="E149" i="63"/>
  <c r="E158" i="63"/>
  <c r="E165" i="63"/>
  <c r="E173" i="63"/>
  <c r="E177" i="63"/>
  <c r="E181" i="63"/>
  <c r="E185" i="63"/>
  <c r="E200" i="63"/>
  <c r="E204" i="63"/>
  <c r="E232" i="63"/>
  <c r="C93" i="58"/>
  <c r="C111" i="58"/>
  <c r="E168" i="58"/>
  <c r="E176" i="58"/>
  <c r="E184" i="58"/>
  <c r="E192" i="58"/>
  <c r="G192" i="58"/>
  <c r="E203" i="58"/>
  <c r="G203" i="58"/>
  <c r="E220" i="58"/>
  <c r="E224" i="58"/>
  <c r="E12" i="174"/>
  <c r="E14" i="174"/>
  <c r="E20" i="174"/>
  <c r="E26" i="174"/>
  <c r="E28" i="174"/>
  <c r="E30" i="174"/>
  <c r="E32" i="174"/>
  <c r="E38" i="174"/>
  <c r="E46" i="174"/>
  <c r="E50" i="174"/>
  <c r="E54" i="174"/>
  <c r="E56" i="174"/>
  <c r="E58" i="174"/>
  <c r="E60" i="174"/>
  <c r="G136" i="79"/>
  <c r="G53" i="172"/>
  <c r="G117" i="85"/>
  <c r="G232" i="43"/>
  <c r="G47" i="79"/>
  <c r="G227" i="32"/>
  <c r="G232" i="27"/>
  <c r="C79" i="10"/>
  <c r="C206" i="10"/>
  <c r="C79" i="87"/>
  <c r="C111" i="87"/>
  <c r="C111" i="89"/>
  <c r="C197" i="89"/>
  <c r="C111" i="69"/>
  <c r="C197" i="69"/>
  <c r="C228" i="142"/>
  <c r="E222" i="38"/>
  <c r="E221" i="83"/>
  <c r="E30" i="156"/>
  <c r="E225" i="98"/>
  <c r="E31" i="83"/>
  <c r="G31" i="83"/>
  <c r="C102" i="141"/>
  <c r="C119" i="141"/>
  <c r="E18" i="25"/>
  <c r="E30" i="25"/>
  <c r="E38" i="155"/>
  <c r="G38" i="155"/>
  <c r="E17" i="83"/>
  <c r="G17" i="83"/>
  <c r="E33" i="83"/>
  <c r="D111" i="176"/>
  <c r="D21" i="143"/>
  <c r="D161" i="143"/>
  <c r="D79" i="10"/>
  <c r="D206" i="86"/>
  <c r="D21" i="142"/>
  <c r="D21" i="50"/>
  <c r="E123" i="174"/>
  <c r="G123" i="174"/>
  <c r="E171" i="174"/>
  <c r="C197" i="53"/>
  <c r="C21" i="104"/>
  <c r="C79" i="120"/>
  <c r="D102" i="90"/>
  <c r="E46" i="145"/>
  <c r="G46" i="145"/>
  <c r="E44" i="65"/>
  <c r="E75" i="65"/>
  <c r="E90" i="65"/>
  <c r="E59" i="119"/>
  <c r="E31" i="25"/>
  <c r="E170" i="25"/>
  <c r="E31" i="155"/>
  <c r="E127" i="42"/>
  <c r="E151" i="42"/>
  <c r="E183" i="42"/>
  <c r="E203" i="145"/>
  <c r="E133" i="145"/>
  <c r="E177" i="145"/>
  <c r="G177" i="145"/>
  <c r="E138" i="145"/>
  <c r="G138" i="145"/>
  <c r="E76" i="145"/>
  <c r="E176" i="145"/>
  <c r="G233" i="177"/>
  <c r="G165" i="177"/>
  <c r="E40" i="175"/>
  <c r="E97" i="175"/>
  <c r="E123" i="175"/>
  <c r="E179" i="175"/>
  <c r="E202" i="175"/>
  <c r="E36" i="175"/>
  <c r="E86" i="175"/>
  <c r="E187" i="175"/>
  <c r="E160" i="175"/>
  <c r="G160" i="175"/>
  <c r="E186" i="175"/>
  <c r="E191" i="175"/>
  <c r="G191" i="175"/>
  <c r="E48" i="175"/>
  <c r="E51" i="175"/>
  <c r="E90" i="175"/>
  <c r="G90" i="175"/>
  <c r="E108" i="175"/>
  <c r="G108" i="175"/>
  <c r="E47" i="175"/>
  <c r="E183" i="175"/>
  <c r="E127" i="175"/>
  <c r="E52" i="175"/>
  <c r="E101" i="175"/>
  <c r="E167" i="175"/>
  <c r="E35" i="175"/>
  <c r="E82" i="175"/>
  <c r="E19" i="175"/>
  <c r="E16" i="175"/>
  <c r="E32" i="175"/>
  <c r="G32" i="175"/>
  <c r="E60" i="175"/>
  <c r="G60" i="175"/>
  <c r="E75" i="175"/>
  <c r="E67" i="175"/>
  <c r="G181" i="149"/>
  <c r="G200" i="149"/>
  <c r="G135" i="149"/>
  <c r="C102" i="24"/>
  <c r="C119" i="24"/>
  <c r="C161" i="24"/>
  <c r="C206" i="24"/>
  <c r="E220" i="24"/>
  <c r="E220" i="141"/>
  <c r="C21" i="32"/>
  <c r="C102" i="32"/>
  <c r="C111" i="32"/>
  <c r="E109" i="64"/>
  <c r="E220" i="64"/>
  <c r="G47" i="72"/>
  <c r="G170" i="72"/>
  <c r="E13" i="28"/>
  <c r="E25" i="28"/>
  <c r="E29" i="28"/>
  <c r="E41" i="28"/>
  <c r="E45" i="28"/>
  <c r="E53" i="28"/>
  <c r="E57" i="28"/>
  <c r="E68" i="28"/>
  <c r="E72" i="28"/>
  <c r="E76" i="28"/>
  <c r="E83" i="28"/>
  <c r="E98" i="28"/>
  <c r="E105" i="28"/>
  <c r="E116" i="28"/>
  <c r="E124" i="28"/>
  <c r="E133" i="28"/>
  <c r="G133" i="28"/>
  <c r="E138" i="28"/>
  <c r="E143" i="28"/>
  <c r="G143" i="28"/>
  <c r="E152" i="28"/>
  <c r="E157" i="28"/>
  <c r="E164" i="28"/>
  <c r="E168" i="28"/>
  <c r="E172" i="28"/>
  <c r="E176" i="28"/>
  <c r="E180" i="28"/>
  <c r="E192" i="28"/>
  <c r="E196" i="28"/>
  <c r="E203" i="28"/>
  <c r="E221" i="28"/>
  <c r="G221" i="28"/>
  <c r="E231" i="28"/>
  <c r="E17" i="65"/>
  <c r="G17" i="65"/>
  <c r="E33" i="65"/>
  <c r="E37" i="65"/>
  <c r="G37" i="65"/>
  <c r="E41" i="65"/>
  <c r="E49" i="65"/>
  <c r="E53" i="65"/>
  <c r="E57" i="65"/>
  <c r="E68" i="65"/>
  <c r="E76" i="65"/>
  <c r="E83" i="65"/>
  <c r="E87" i="65"/>
  <c r="E98" i="65"/>
  <c r="D111" i="65"/>
  <c r="E109" i="65"/>
  <c r="E116" i="65"/>
  <c r="E129" i="65"/>
  <c r="E133" i="65"/>
  <c r="E143" i="65"/>
  <c r="E148" i="65"/>
  <c r="E157" i="65"/>
  <c r="D197" i="65"/>
  <c r="E168" i="65"/>
  <c r="G168" i="65"/>
  <c r="E172" i="65"/>
  <c r="G172" i="65"/>
  <c r="E176" i="65"/>
  <c r="E180" i="65"/>
  <c r="E184" i="65"/>
  <c r="E188" i="65"/>
  <c r="E192" i="65"/>
  <c r="E196" i="65"/>
  <c r="E203" i="65"/>
  <c r="D206" i="65"/>
  <c r="D206" i="25"/>
  <c r="E219" i="25"/>
  <c r="D21" i="155"/>
  <c r="E36" i="155"/>
  <c r="E40" i="155"/>
  <c r="E44" i="155"/>
  <c r="E48" i="155"/>
  <c r="E52" i="155"/>
  <c r="E60" i="155"/>
  <c r="E67" i="155"/>
  <c r="G67" i="155"/>
  <c r="E71" i="155"/>
  <c r="E75" i="155"/>
  <c r="G75" i="155"/>
  <c r="E82" i="155"/>
  <c r="G82" i="155"/>
  <c r="D93" i="155"/>
  <c r="E86" i="155"/>
  <c r="E90" i="155"/>
  <c r="D102" i="155"/>
  <c r="E97" i="155"/>
  <c r="G97" i="155"/>
  <c r="E101" i="155"/>
  <c r="E123" i="155"/>
  <c r="G123" i="155"/>
  <c r="E147" i="155"/>
  <c r="G147" i="155"/>
  <c r="E226" i="155"/>
  <c r="E82" i="156"/>
  <c r="E167" i="156"/>
  <c r="E187" i="156"/>
  <c r="E226" i="156"/>
  <c r="C79" i="42"/>
  <c r="C93" i="42"/>
  <c r="C111" i="42"/>
  <c r="E220" i="42"/>
  <c r="C21" i="157"/>
  <c r="E71" i="157"/>
  <c r="E75" i="157"/>
  <c r="E167" i="157"/>
  <c r="E219" i="157"/>
  <c r="G219" i="157"/>
  <c r="E227" i="157"/>
  <c r="E14" i="158"/>
  <c r="E18" i="158"/>
  <c r="E26" i="158"/>
  <c r="E34" i="158"/>
  <c r="G34" i="158"/>
  <c r="E42" i="158"/>
  <c r="G42" i="158"/>
  <c r="E50" i="158"/>
  <c r="E54" i="158"/>
  <c r="E58" i="158"/>
  <c r="E77" i="158"/>
  <c r="E84" i="158"/>
  <c r="G84" i="158"/>
  <c r="E88" i="158"/>
  <c r="G88" i="158"/>
  <c r="E92" i="158"/>
  <c r="E106" i="158"/>
  <c r="G106" i="158"/>
  <c r="E110" i="158"/>
  <c r="E117" i="158"/>
  <c r="E125" i="158"/>
  <c r="E130" i="158"/>
  <c r="G130" i="158"/>
  <c r="E135" i="158"/>
  <c r="G135" i="158"/>
  <c r="E140" i="158"/>
  <c r="G140" i="158"/>
  <c r="E145" i="158"/>
  <c r="E149" i="158"/>
  <c r="E153" i="158"/>
  <c r="E165" i="158"/>
  <c r="E189" i="158"/>
  <c r="E200" i="158"/>
  <c r="E204" i="158"/>
  <c r="E223" i="158"/>
  <c r="E14" i="16"/>
  <c r="E18" i="16"/>
  <c r="E26" i="16"/>
  <c r="E30" i="16"/>
  <c r="E34" i="16"/>
  <c r="E38" i="16"/>
  <c r="E42" i="16"/>
  <c r="E46" i="16"/>
  <c r="E50" i="16"/>
  <c r="E54" i="16"/>
  <c r="E58" i="16"/>
  <c r="E65" i="16"/>
  <c r="G65" i="16"/>
  <c r="E69" i="16"/>
  <c r="G69" i="16"/>
  <c r="E73" i="16"/>
  <c r="E77" i="16"/>
  <c r="E84" i="16"/>
  <c r="G84" i="16"/>
  <c r="E92" i="16"/>
  <c r="G92" i="16"/>
  <c r="E99" i="16"/>
  <c r="E106" i="16"/>
  <c r="E110" i="16"/>
  <c r="E117" i="16"/>
  <c r="E130" i="16"/>
  <c r="G130" i="16"/>
  <c r="E135" i="16"/>
  <c r="E140" i="16"/>
  <c r="G140" i="16"/>
  <c r="E145" i="16"/>
  <c r="E149" i="16"/>
  <c r="E153" i="16"/>
  <c r="G153" i="16"/>
  <c r="E158" i="16"/>
  <c r="E165" i="16"/>
  <c r="G165" i="16"/>
  <c r="E169" i="16"/>
  <c r="E173" i="16"/>
  <c r="E177" i="16"/>
  <c r="E181" i="16"/>
  <c r="E185" i="16"/>
  <c r="E189" i="16"/>
  <c r="E204" i="16"/>
  <c r="E16" i="165"/>
  <c r="G16" i="165"/>
  <c r="E28" i="165"/>
  <c r="E36" i="165"/>
  <c r="G36" i="165"/>
  <c r="E44" i="165"/>
  <c r="E52" i="165"/>
  <c r="E60" i="165"/>
  <c r="E67" i="165"/>
  <c r="E71" i="165"/>
  <c r="E75" i="165"/>
  <c r="D111" i="165"/>
  <c r="E115" i="165"/>
  <c r="G115" i="165"/>
  <c r="E127" i="165"/>
  <c r="E137" i="165"/>
  <c r="E142" i="165"/>
  <c r="E147" i="165"/>
  <c r="E151" i="165"/>
  <c r="E167" i="165"/>
  <c r="E171" i="165"/>
  <c r="E191" i="165"/>
  <c r="E195" i="165"/>
  <c r="E202" i="165"/>
  <c r="G202" i="165"/>
  <c r="D206" i="165"/>
  <c r="E219" i="165"/>
  <c r="C228" i="165"/>
  <c r="E12" i="55"/>
  <c r="E16" i="55"/>
  <c r="E32" i="55"/>
  <c r="G32" i="55"/>
  <c r="E40" i="55"/>
  <c r="E48" i="55"/>
  <c r="E56" i="55"/>
  <c r="E60" i="55"/>
  <c r="G60" i="55"/>
  <c r="E67" i="55"/>
  <c r="E71" i="55"/>
  <c r="E75" i="55"/>
  <c r="E86" i="55"/>
  <c r="G86" i="55"/>
  <c r="E97" i="55"/>
  <c r="E101" i="55"/>
  <c r="E108" i="55"/>
  <c r="E115" i="55"/>
  <c r="E123" i="55"/>
  <c r="E127" i="55"/>
  <c r="E132" i="55"/>
  <c r="E137" i="55"/>
  <c r="E147" i="55"/>
  <c r="G147" i="55"/>
  <c r="E151" i="55"/>
  <c r="E160" i="55"/>
  <c r="G160" i="55"/>
  <c r="E167" i="55"/>
  <c r="E191" i="55"/>
  <c r="E195" i="55"/>
  <c r="E202" i="55"/>
  <c r="E219" i="55"/>
  <c r="E227" i="55"/>
  <c r="E13" i="14"/>
  <c r="D21" i="14"/>
  <c r="E17" i="14"/>
  <c r="D61" i="14"/>
  <c r="E25" i="14"/>
  <c r="G25" i="14"/>
  <c r="E29" i="14"/>
  <c r="E33" i="14"/>
  <c r="E37" i="14"/>
  <c r="E41" i="14"/>
  <c r="E45" i="14"/>
  <c r="E49" i="14"/>
  <c r="E53" i="14"/>
  <c r="E57" i="14"/>
  <c r="G57" i="14"/>
  <c r="E72" i="14"/>
  <c r="E76" i="14"/>
  <c r="G76" i="14"/>
  <c r="E83" i="14"/>
  <c r="E87" i="14"/>
  <c r="G87" i="14"/>
  <c r="E98" i="14"/>
  <c r="D102" i="14"/>
  <c r="E105" i="14"/>
  <c r="D111" i="14"/>
  <c r="D119" i="14"/>
  <c r="E116" i="14"/>
  <c r="E124" i="14"/>
  <c r="E129" i="14"/>
  <c r="E133" i="14"/>
  <c r="E138" i="14"/>
  <c r="E143" i="14"/>
  <c r="E148" i="14"/>
  <c r="E152" i="14"/>
  <c r="E157" i="14"/>
  <c r="E164" i="14"/>
  <c r="E168" i="14"/>
  <c r="E188" i="14"/>
  <c r="E91" i="14"/>
  <c r="G205" i="20"/>
  <c r="E96" i="103"/>
  <c r="E114" i="103"/>
  <c r="E136" i="103"/>
  <c r="E194" i="103"/>
  <c r="E19" i="118"/>
  <c r="E39" i="118"/>
  <c r="E55" i="118"/>
  <c r="E74" i="118"/>
  <c r="D102" i="118"/>
  <c r="E96" i="118"/>
  <c r="E118" i="118"/>
  <c r="G118" i="118"/>
  <c r="E141" i="118"/>
  <c r="G141" i="118"/>
  <c r="E159" i="118"/>
  <c r="E43" i="60"/>
  <c r="E55" i="60"/>
  <c r="E100" i="60"/>
  <c r="E126" i="60"/>
  <c r="E146" i="60"/>
  <c r="E166" i="60"/>
  <c r="E186" i="60"/>
  <c r="E201" i="60"/>
  <c r="C206" i="60"/>
  <c r="E19" i="54"/>
  <c r="E59" i="54"/>
  <c r="E78" i="54"/>
  <c r="C102" i="54"/>
  <c r="E96" i="54"/>
  <c r="C119" i="54"/>
  <c r="E114" i="54"/>
  <c r="E136" i="54"/>
  <c r="E155" i="54"/>
  <c r="E174" i="54"/>
  <c r="E190" i="54"/>
  <c r="E27" i="94"/>
  <c r="E43" i="94"/>
  <c r="E136" i="94"/>
  <c r="E155" i="94"/>
  <c r="E170" i="94"/>
  <c r="E186" i="94"/>
  <c r="C21" i="164"/>
  <c r="E11" i="164"/>
  <c r="E35" i="164"/>
  <c r="E85" i="164"/>
  <c r="C93" i="164"/>
  <c r="E107" i="164"/>
  <c r="G107" i="164"/>
  <c r="C111" i="164"/>
  <c r="E131" i="164"/>
  <c r="E150" i="164"/>
  <c r="E170" i="164"/>
  <c r="E205" i="164"/>
  <c r="E19" i="19"/>
  <c r="E89" i="19"/>
  <c r="E30" i="15"/>
  <c r="G30" i="15"/>
  <c r="E65" i="15"/>
  <c r="E88" i="15"/>
  <c r="E116" i="15"/>
  <c r="G116" i="15"/>
  <c r="E168" i="15"/>
  <c r="E12" i="68"/>
  <c r="E32" i="68"/>
  <c r="E71" i="68"/>
  <c r="E90" i="68"/>
  <c r="E115" i="68"/>
  <c r="E167" i="68"/>
  <c r="E183" i="68"/>
  <c r="G183" i="68"/>
  <c r="E202" i="68"/>
  <c r="E28" i="66"/>
  <c r="E44" i="66"/>
  <c r="G44" i="66"/>
  <c r="C93" i="66"/>
  <c r="E82" i="66"/>
  <c r="E97" i="66"/>
  <c r="E123" i="66"/>
  <c r="G123" i="66"/>
  <c r="E142" i="66"/>
  <c r="E156" i="66"/>
  <c r="E97" i="63"/>
  <c r="E115" i="63"/>
  <c r="G115" i="63"/>
  <c r="C119" i="63"/>
  <c r="E179" i="63"/>
  <c r="E100" i="58"/>
  <c r="E150" i="58"/>
  <c r="E170" i="58"/>
  <c r="E186" i="58"/>
  <c r="E205" i="58"/>
  <c r="E64" i="174"/>
  <c r="D93" i="174"/>
  <c r="E82" i="174"/>
  <c r="E175" i="174"/>
  <c r="E191" i="174"/>
  <c r="C228" i="174"/>
  <c r="E219" i="174"/>
  <c r="G219" i="174"/>
  <c r="E12" i="53"/>
  <c r="C21" i="53"/>
  <c r="E32" i="53"/>
  <c r="E90" i="98"/>
  <c r="E171" i="98"/>
  <c r="G171" i="98"/>
  <c r="E226" i="98"/>
  <c r="E16" i="49"/>
  <c r="G16" i="49"/>
  <c r="E183" i="49"/>
  <c r="G183" i="49"/>
  <c r="E151" i="83"/>
  <c r="E195" i="83"/>
  <c r="G195" i="83"/>
  <c r="E226" i="83"/>
  <c r="E20" i="47"/>
  <c r="E44" i="47"/>
  <c r="E142" i="47"/>
  <c r="E187" i="47"/>
  <c r="E100" i="46"/>
  <c r="E226" i="46"/>
  <c r="C61" i="104"/>
  <c r="E172" i="104"/>
  <c r="E226" i="43"/>
  <c r="C21" i="175"/>
  <c r="E98" i="175"/>
  <c r="C102" i="175"/>
  <c r="E222" i="84"/>
  <c r="E29" i="71"/>
  <c r="G29" i="71"/>
  <c r="E83" i="71"/>
  <c r="G83" i="71"/>
  <c r="E129" i="71"/>
  <c r="G129" i="71"/>
  <c r="E180" i="71"/>
  <c r="E192" i="71"/>
  <c r="E231" i="71"/>
  <c r="E18" i="39"/>
  <c r="E34" i="39"/>
  <c r="E145" i="39"/>
  <c r="E165" i="39"/>
  <c r="E177" i="39"/>
  <c r="C102" i="133"/>
  <c r="C206" i="133"/>
  <c r="E226" i="152"/>
  <c r="C102" i="120"/>
  <c r="E33" i="90"/>
  <c r="E29" i="24"/>
  <c r="C61" i="158"/>
  <c r="E96" i="158"/>
  <c r="E105" i="55"/>
  <c r="G105" i="55"/>
  <c r="C61" i="14"/>
  <c r="C79" i="14"/>
  <c r="E77" i="14"/>
  <c r="D61" i="172"/>
  <c r="D79" i="172"/>
  <c r="E27" i="176"/>
  <c r="E78" i="176"/>
  <c r="E114" i="176"/>
  <c r="G114" i="176"/>
  <c r="C119" i="176"/>
  <c r="E141" i="176"/>
  <c r="E201" i="176"/>
  <c r="C206" i="176"/>
  <c r="C21" i="143"/>
  <c r="E175" i="143"/>
  <c r="G175" i="143"/>
  <c r="E16" i="10"/>
  <c r="E32" i="10"/>
  <c r="E52" i="10"/>
  <c r="E127" i="10"/>
  <c r="E179" i="10"/>
  <c r="E191" i="10"/>
  <c r="E60" i="87"/>
  <c r="E108" i="86"/>
  <c r="E137" i="86"/>
  <c r="E75" i="89"/>
  <c r="E28" i="69"/>
  <c r="E151" i="69"/>
  <c r="E187" i="69"/>
  <c r="E35" i="150"/>
  <c r="E114" i="150"/>
  <c r="E190" i="150"/>
  <c r="E205" i="150"/>
  <c r="E116" i="71"/>
  <c r="G116" i="71"/>
  <c r="G155" i="85"/>
  <c r="E131" i="150"/>
  <c r="G169" i="113"/>
  <c r="E204" i="14"/>
  <c r="E174" i="172"/>
  <c r="G64" i="167"/>
  <c r="E186" i="54"/>
  <c r="E76" i="24"/>
  <c r="E70" i="103"/>
  <c r="E89" i="103"/>
  <c r="E155" i="103"/>
  <c r="G155" i="103"/>
  <c r="E190" i="103"/>
  <c r="G190" i="103"/>
  <c r="E201" i="103"/>
  <c r="E11" i="118"/>
  <c r="G11" i="118"/>
  <c r="E27" i="118"/>
  <c r="E43" i="118"/>
  <c r="E78" i="118"/>
  <c r="E100" i="118"/>
  <c r="G100" i="118"/>
  <c r="E126" i="118"/>
  <c r="E146" i="118"/>
  <c r="E166" i="118"/>
  <c r="G166" i="118"/>
  <c r="E194" i="118"/>
  <c r="E224" i="118"/>
  <c r="E19" i="60"/>
  <c r="G19" i="60"/>
  <c r="E39" i="60"/>
  <c r="G39" i="60"/>
  <c r="E96" i="60"/>
  <c r="G96" i="60"/>
  <c r="E141" i="60"/>
  <c r="E155" i="60"/>
  <c r="G155" i="60"/>
  <c r="E174" i="60"/>
  <c r="E190" i="60"/>
  <c r="E205" i="60"/>
  <c r="E15" i="54"/>
  <c r="E35" i="54"/>
  <c r="E74" i="54"/>
  <c r="E146" i="54"/>
  <c r="G146" i="54"/>
  <c r="E166" i="54"/>
  <c r="E201" i="54"/>
  <c r="G201" i="54"/>
  <c r="E19" i="94"/>
  <c r="E39" i="94"/>
  <c r="E51" i="94"/>
  <c r="E66" i="94"/>
  <c r="E126" i="94"/>
  <c r="E166" i="94"/>
  <c r="E178" i="94"/>
  <c r="E201" i="94"/>
  <c r="E39" i="145"/>
  <c r="E15" i="164"/>
  <c r="E31" i="164"/>
  <c r="G31" i="164"/>
  <c r="E47" i="164"/>
  <c r="E55" i="164"/>
  <c r="E74" i="164"/>
  <c r="C102" i="164"/>
  <c r="E96" i="164"/>
  <c r="E118" i="164"/>
  <c r="E141" i="164"/>
  <c r="E155" i="164"/>
  <c r="E174" i="164"/>
  <c r="E186" i="164"/>
  <c r="G186" i="164"/>
  <c r="E78" i="19"/>
  <c r="E54" i="15"/>
  <c r="E73" i="15"/>
  <c r="E92" i="15"/>
  <c r="E109" i="15"/>
  <c r="E129" i="15"/>
  <c r="G129" i="15"/>
  <c r="E143" i="15"/>
  <c r="E164" i="15"/>
  <c r="E180" i="15"/>
  <c r="E221" i="15"/>
  <c r="E16" i="68"/>
  <c r="E60" i="68"/>
  <c r="E75" i="68"/>
  <c r="E97" i="68"/>
  <c r="E123" i="68"/>
  <c r="G123" i="68"/>
  <c r="E156" i="68"/>
  <c r="E175" i="68"/>
  <c r="G175" i="68"/>
  <c r="E20" i="66"/>
  <c r="E86" i="66"/>
  <c r="E101" i="66"/>
  <c r="E151" i="66"/>
  <c r="E202" i="66"/>
  <c r="E82" i="63"/>
  <c r="E101" i="63"/>
  <c r="E171" i="63"/>
  <c r="E202" i="63"/>
  <c r="E166" i="58"/>
  <c r="E178" i="58"/>
  <c r="E194" i="58"/>
  <c r="E225" i="58"/>
  <c r="G225" i="58"/>
  <c r="E71" i="174"/>
  <c r="G71" i="174"/>
  <c r="E101" i="174"/>
  <c r="G101" i="174"/>
  <c r="E147" i="174"/>
  <c r="E160" i="174"/>
  <c r="E179" i="174"/>
  <c r="E195" i="174"/>
  <c r="E227" i="174"/>
  <c r="G227" i="174"/>
  <c r="E179" i="53"/>
  <c r="G179" i="53"/>
  <c r="E191" i="53"/>
  <c r="G191" i="53"/>
  <c r="E202" i="53"/>
  <c r="C206" i="53"/>
  <c r="C21" i="98"/>
  <c r="E12" i="98"/>
  <c r="E132" i="98"/>
  <c r="E167" i="98"/>
  <c r="E179" i="98"/>
  <c r="E187" i="98"/>
  <c r="E187" i="49"/>
  <c r="E202" i="49"/>
  <c r="C93" i="83"/>
  <c r="E171" i="83"/>
  <c r="E187" i="83"/>
  <c r="E202" i="83"/>
  <c r="E16" i="47"/>
  <c r="E36" i="47"/>
  <c r="E56" i="47"/>
  <c r="E71" i="47"/>
  <c r="G71" i="47"/>
  <c r="C111" i="47"/>
  <c r="E108" i="47"/>
  <c r="G108" i="47"/>
  <c r="E89" i="46"/>
  <c r="E107" i="46"/>
  <c r="C79" i="104"/>
  <c r="C93" i="104"/>
  <c r="E17" i="71"/>
  <c r="E37" i="71"/>
  <c r="E49" i="71"/>
  <c r="E68" i="71"/>
  <c r="G68" i="71"/>
  <c r="E91" i="71"/>
  <c r="E138" i="71"/>
  <c r="E152" i="71"/>
  <c r="E168" i="71"/>
  <c r="E176" i="71"/>
  <c r="G176" i="71"/>
  <c r="E184" i="71"/>
  <c r="E196" i="71"/>
  <c r="E221" i="71"/>
  <c r="D102" i="39"/>
  <c r="D119" i="39"/>
  <c r="E149" i="39"/>
  <c r="E173" i="39"/>
  <c r="E189" i="39"/>
  <c r="G189" i="39"/>
  <c r="E226" i="133"/>
  <c r="C21" i="152"/>
  <c r="E86" i="152"/>
  <c r="G86" i="152"/>
  <c r="C93" i="120"/>
  <c r="E195" i="120"/>
  <c r="E226" i="120"/>
  <c r="E87" i="90"/>
  <c r="G87" i="90"/>
  <c r="E176" i="90"/>
  <c r="E196" i="90"/>
  <c r="E45" i="24"/>
  <c r="E57" i="24"/>
  <c r="E68" i="42"/>
  <c r="G68" i="42"/>
  <c r="E17" i="157"/>
  <c r="E168" i="157"/>
  <c r="C79" i="158"/>
  <c r="E205" i="16"/>
  <c r="G205" i="16"/>
  <c r="E17" i="165"/>
  <c r="E41" i="55"/>
  <c r="E72" i="55"/>
  <c r="E83" i="55"/>
  <c r="E133" i="55"/>
  <c r="E157" i="55"/>
  <c r="C93" i="14"/>
  <c r="E200" i="14"/>
  <c r="E232" i="14"/>
  <c r="E19" i="176"/>
  <c r="G19" i="176"/>
  <c r="E35" i="176"/>
  <c r="G35" i="176"/>
  <c r="E47" i="176"/>
  <c r="E59" i="176"/>
  <c r="E70" i="176"/>
  <c r="C102" i="176"/>
  <c r="E96" i="176"/>
  <c r="E118" i="176"/>
  <c r="G118" i="176"/>
  <c r="E150" i="176"/>
  <c r="E159" i="176"/>
  <c r="E205" i="176"/>
  <c r="G205" i="176"/>
  <c r="E86" i="10"/>
  <c r="E108" i="10"/>
  <c r="E32" i="87"/>
  <c r="E48" i="87"/>
  <c r="E75" i="87"/>
  <c r="E115" i="87"/>
  <c r="C119" i="87"/>
  <c r="E132" i="87"/>
  <c r="E191" i="87"/>
  <c r="G191" i="87"/>
  <c r="E16" i="86"/>
  <c r="C21" i="89"/>
  <c r="C61" i="89"/>
  <c r="E67" i="89"/>
  <c r="C79" i="89"/>
  <c r="E82" i="69"/>
  <c r="C93" i="69"/>
  <c r="C206" i="142"/>
  <c r="C111" i="92"/>
  <c r="C197" i="92"/>
  <c r="C206" i="92"/>
  <c r="E226" i="38"/>
  <c r="G226" i="38"/>
  <c r="E27" i="150"/>
  <c r="E136" i="150"/>
  <c r="E150" i="150"/>
  <c r="E166" i="150"/>
  <c r="E186" i="150"/>
  <c r="E224" i="150"/>
  <c r="C93" i="158"/>
  <c r="E201" i="145"/>
  <c r="E164" i="71"/>
  <c r="E133" i="71"/>
  <c r="G133" i="71"/>
  <c r="E156" i="174"/>
  <c r="E175" i="63"/>
  <c r="G56" i="20"/>
  <c r="E195" i="98"/>
  <c r="E57" i="174"/>
  <c r="C206" i="54"/>
  <c r="E90" i="174"/>
  <c r="G69" i="113"/>
  <c r="E67" i="174"/>
  <c r="D197" i="58"/>
  <c r="E170" i="150"/>
  <c r="E107" i="103"/>
  <c r="E146" i="150"/>
  <c r="E118" i="54"/>
  <c r="E31" i="118"/>
  <c r="E178" i="172"/>
  <c r="G178" i="172"/>
  <c r="E148" i="15"/>
  <c r="G82" i="72"/>
  <c r="E129" i="90"/>
  <c r="G129" i="90"/>
  <c r="E59" i="103"/>
  <c r="E131" i="103"/>
  <c r="E186" i="103"/>
  <c r="E205" i="103"/>
  <c r="E35" i="118"/>
  <c r="E51" i="118"/>
  <c r="E70" i="118"/>
  <c r="E114" i="118"/>
  <c r="E136" i="118"/>
  <c r="G136" i="118"/>
  <c r="E201" i="118"/>
  <c r="G201" i="118"/>
  <c r="E11" i="60"/>
  <c r="E31" i="60"/>
  <c r="E89" i="60"/>
  <c r="E114" i="60"/>
  <c r="E136" i="60"/>
  <c r="E178" i="60"/>
  <c r="E194" i="60"/>
  <c r="C228" i="60"/>
  <c r="E224" i="60"/>
  <c r="E11" i="54"/>
  <c r="G11" i="54"/>
  <c r="C21" i="54"/>
  <c r="E31" i="54"/>
  <c r="C79" i="54"/>
  <c r="E85" i="54"/>
  <c r="C93" i="54"/>
  <c r="E141" i="54"/>
  <c r="E159" i="54"/>
  <c r="E205" i="54"/>
  <c r="E15" i="94"/>
  <c r="E35" i="94"/>
  <c r="E74" i="94"/>
  <c r="E146" i="94"/>
  <c r="E190" i="94"/>
  <c r="E47" i="145"/>
  <c r="E174" i="145"/>
  <c r="E19" i="164"/>
  <c r="E39" i="164"/>
  <c r="E78" i="164"/>
  <c r="E100" i="164"/>
  <c r="E126" i="164"/>
  <c r="E146" i="164"/>
  <c r="E178" i="164"/>
  <c r="E194" i="164"/>
  <c r="E224" i="164"/>
  <c r="E11" i="19"/>
  <c r="E31" i="19"/>
  <c r="G31" i="19"/>
  <c r="E43" i="19"/>
  <c r="E50" i="15"/>
  <c r="E69" i="15"/>
  <c r="E84" i="15"/>
  <c r="G84" i="15"/>
  <c r="E105" i="15"/>
  <c r="E133" i="15"/>
  <c r="E172" i="15"/>
  <c r="E184" i="15"/>
  <c r="G184" i="15"/>
  <c r="E196" i="15"/>
  <c r="C21" i="150"/>
  <c r="E56" i="68"/>
  <c r="E82" i="68"/>
  <c r="E101" i="68"/>
  <c r="G101" i="68"/>
  <c r="E160" i="68"/>
  <c r="E179" i="68"/>
  <c r="E191" i="68"/>
  <c r="G191" i="68"/>
  <c r="E127" i="66"/>
  <c r="E147" i="66"/>
  <c r="C111" i="63"/>
  <c r="E147" i="63"/>
  <c r="E167" i="63"/>
  <c r="E183" i="63"/>
  <c r="E195" i="63"/>
  <c r="D93" i="58"/>
  <c r="E107" i="58"/>
  <c r="E118" i="58"/>
  <c r="E136" i="58"/>
  <c r="G136" i="58"/>
  <c r="E155" i="58"/>
  <c r="E174" i="58"/>
  <c r="E190" i="58"/>
  <c r="G190" i="58"/>
  <c r="E201" i="58"/>
  <c r="D206" i="58"/>
  <c r="E97" i="174"/>
  <c r="D111" i="174"/>
  <c r="E127" i="174"/>
  <c r="E142" i="174"/>
  <c r="E151" i="174"/>
  <c r="E167" i="174"/>
  <c r="E183" i="174"/>
  <c r="E183" i="53"/>
  <c r="E195" i="53"/>
  <c r="G195" i="53"/>
  <c r="E226" i="53"/>
  <c r="E16" i="98"/>
  <c r="E137" i="98"/>
  <c r="E156" i="98"/>
  <c r="E175" i="98"/>
  <c r="G175" i="98"/>
  <c r="E191" i="98"/>
  <c r="E202" i="98"/>
  <c r="C206" i="98"/>
  <c r="E12" i="49"/>
  <c r="E32" i="49"/>
  <c r="E179" i="49"/>
  <c r="E195" i="49"/>
  <c r="G195" i="49"/>
  <c r="E226" i="49"/>
  <c r="E20" i="83"/>
  <c r="E86" i="83"/>
  <c r="G86" i="83"/>
  <c r="E147" i="83"/>
  <c r="E167" i="83"/>
  <c r="E183" i="83"/>
  <c r="E48" i="47"/>
  <c r="E201" i="47"/>
  <c r="G201" i="47"/>
  <c r="E85" i="46"/>
  <c r="D119" i="46"/>
  <c r="E114" i="46"/>
  <c r="E125" i="46"/>
  <c r="E76" i="175"/>
  <c r="G76" i="175"/>
  <c r="E232" i="84"/>
  <c r="E13" i="71"/>
  <c r="E33" i="71"/>
  <c r="G33" i="71"/>
  <c r="E72" i="71"/>
  <c r="E98" i="71"/>
  <c r="E148" i="71"/>
  <c r="E157" i="71"/>
  <c r="E203" i="71"/>
  <c r="E42" i="39"/>
  <c r="E153" i="39"/>
  <c r="E169" i="39"/>
  <c r="E193" i="39"/>
  <c r="E223" i="39"/>
  <c r="C61" i="152"/>
  <c r="C119" i="152"/>
  <c r="E138" i="90"/>
  <c r="E221" i="90"/>
  <c r="G221" i="90"/>
  <c r="E33" i="32"/>
  <c r="E87" i="119"/>
  <c r="E87" i="155"/>
  <c r="D79" i="157"/>
  <c r="E164" i="157"/>
  <c r="G164" i="157"/>
  <c r="E220" i="157"/>
  <c r="C21" i="165"/>
  <c r="E196" i="165"/>
  <c r="E143" i="55"/>
  <c r="E168" i="55"/>
  <c r="E192" i="55"/>
  <c r="E220" i="55"/>
  <c r="E73" i="14"/>
  <c r="E189" i="14"/>
  <c r="G189" i="14"/>
  <c r="G189" i="85"/>
  <c r="E39" i="176"/>
  <c r="E85" i="176"/>
  <c r="G85" i="176"/>
  <c r="C93" i="176"/>
  <c r="E107" i="176"/>
  <c r="G107" i="176"/>
  <c r="C111" i="176"/>
  <c r="E131" i="176"/>
  <c r="E186" i="176"/>
  <c r="E194" i="176"/>
  <c r="E60" i="10"/>
  <c r="E82" i="10"/>
  <c r="E101" i="10"/>
  <c r="E137" i="10"/>
  <c r="E187" i="10"/>
  <c r="E52" i="87"/>
  <c r="G52" i="87"/>
  <c r="E71" i="87"/>
  <c r="E86" i="87"/>
  <c r="E82" i="86"/>
  <c r="C93" i="86"/>
  <c r="E160" i="89"/>
  <c r="C206" i="89"/>
  <c r="E44" i="69"/>
  <c r="E52" i="69"/>
  <c r="C79" i="69"/>
  <c r="E75" i="69"/>
  <c r="E90" i="69"/>
  <c r="E101" i="69"/>
  <c r="E123" i="69"/>
  <c r="G123" i="69"/>
  <c r="E156" i="69"/>
  <c r="E171" i="69"/>
  <c r="E183" i="69"/>
  <c r="E202" i="69"/>
  <c r="C206" i="69"/>
  <c r="C79" i="92"/>
  <c r="C93" i="92"/>
  <c r="C102" i="92"/>
  <c r="C161" i="92"/>
  <c r="E226" i="92"/>
  <c r="E126" i="150"/>
  <c r="E141" i="150"/>
  <c r="G141" i="150"/>
  <c r="E155" i="150"/>
  <c r="E178" i="150"/>
  <c r="E171" i="47"/>
  <c r="G171" i="47"/>
  <c r="E166" i="176"/>
  <c r="G83" i="167"/>
  <c r="D119" i="118"/>
  <c r="D79" i="58"/>
  <c r="E166" i="164"/>
  <c r="E137" i="83"/>
  <c r="E195" i="68"/>
  <c r="G148" i="20"/>
  <c r="E127" i="69"/>
  <c r="E114" i="58"/>
  <c r="E66" i="103"/>
  <c r="E85" i="103"/>
  <c r="E100" i="103"/>
  <c r="E126" i="103"/>
  <c r="G126" i="103"/>
  <c r="E47" i="118"/>
  <c r="D79" i="118"/>
  <c r="D93" i="118"/>
  <c r="E85" i="118"/>
  <c r="E107" i="118"/>
  <c r="D111" i="118"/>
  <c r="E131" i="118"/>
  <c r="E205" i="118"/>
  <c r="E15" i="60"/>
  <c r="E35" i="60"/>
  <c r="E47" i="60"/>
  <c r="E107" i="60"/>
  <c r="E131" i="60"/>
  <c r="E150" i="60"/>
  <c r="E170" i="60"/>
  <c r="E182" i="60"/>
  <c r="E27" i="54"/>
  <c r="E39" i="54"/>
  <c r="G39" i="54"/>
  <c r="E51" i="54"/>
  <c r="E70" i="54"/>
  <c r="E89" i="54"/>
  <c r="C111" i="54"/>
  <c r="E107" i="54"/>
  <c r="E131" i="54"/>
  <c r="G131" i="54"/>
  <c r="E150" i="54"/>
  <c r="G150" i="54"/>
  <c r="E170" i="54"/>
  <c r="G170" i="54"/>
  <c r="E178" i="54"/>
  <c r="E194" i="54"/>
  <c r="C228" i="54"/>
  <c r="E224" i="54"/>
  <c r="E11" i="94"/>
  <c r="E31" i="94"/>
  <c r="E47" i="94"/>
  <c r="E59" i="94"/>
  <c r="G59" i="94"/>
  <c r="E78" i="94"/>
  <c r="E118" i="94"/>
  <c r="E141" i="94"/>
  <c r="E159" i="94"/>
  <c r="E182" i="94"/>
  <c r="E194" i="94"/>
  <c r="E224" i="94"/>
  <c r="E15" i="145"/>
  <c r="G15" i="145"/>
  <c r="E150" i="145"/>
  <c r="C61" i="164"/>
  <c r="E27" i="164"/>
  <c r="E43" i="164"/>
  <c r="E51" i="164"/>
  <c r="E70" i="164"/>
  <c r="E89" i="164"/>
  <c r="E114" i="164"/>
  <c r="G114" i="164"/>
  <c r="C119" i="164"/>
  <c r="E136" i="164"/>
  <c r="E201" i="164"/>
  <c r="E35" i="19"/>
  <c r="E58" i="15"/>
  <c r="E77" i="15"/>
  <c r="E99" i="15"/>
  <c r="E124" i="15"/>
  <c r="E138" i="15"/>
  <c r="E157" i="15"/>
  <c r="E176" i="15"/>
  <c r="E188" i="15"/>
  <c r="G188" i="15"/>
  <c r="E67" i="68"/>
  <c r="E86" i="68"/>
  <c r="E108" i="68"/>
  <c r="E151" i="68"/>
  <c r="E171" i="68"/>
  <c r="E187" i="68"/>
  <c r="E90" i="66"/>
  <c r="E115" i="66"/>
  <c r="G115" i="66"/>
  <c r="C119" i="66"/>
  <c r="E226" i="66"/>
  <c r="C21" i="63"/>
  <c r="E96" i="58"/>
  <c r="E141" i="58"/>
  <c r="E159" i="58"/>
  <c r="E182" i="58"/>
  <c r="E86" i="174"/>
  <c r="E137" i="174"/>
  <c r="E187" i="174"/>
  <c r="E202" i="174"/>
  <c r="E187" i="53"/>
  <c r="E28" i="98"/>
  <c r="E82" i="98"/>
  <c r="E101" i="98"/>
  <c r="G101" i="98"/>
  <c r="E142" i="98"/>
  <c r="E160" i="98"/>
  <c r="E183" i="98"/>
  <c r="E28" i="49"/>
  <c r="E191" i="49"/>
  <c r="E28" i="83"/>
  <c r="C102" i="83"/>
  <c r="E175" i="83"/>
  <c r="E191" i="83"/>
  <c r="E12" i="47"/>
  <c r="E28" i="47"/>
  <c r="E40" i="47"/>
  <c r="G40" i="47"/>
  <c r="E52" i="47"/>
  <c r="E60" i="47"/>
  <c r="E151" i="47"/>
  <c r="G151" i="47"/>
  <c r="E225" i="47"/>
  <c r="D21" i="46"/>
  <c r="E59" i="46"/>
  <c r="G59" i="46"/>
  <c r="D79" i="46"/>
  <c r="E137" i="46"/>
  <c r="E232" i="106"/>
  <c r="C111" i="104"/>
  <c r="E124" i="175"/>
  <c r="E25" i="71"/>
  <c r="E45" i="71"/>
  <c r="E64" i="71"/>
  <c r="G64" i="71"/>
  <c r="E76" i="71"/>
  <c r="E87" i="71"/>
  <c r="E124" i="71"/>
  <c r="E143" i="71"/>
  <c r="E172" i="71"/>
  <c r="E14" i="39"/>
  <c r="E30" i="39"/>
  <c r="E46" i="39"/>
  <c r="D93" i="39"/>
  <c r="E158" i="39"/>
  <c r="E124" i="90"/>
  <c r="E13" i="24"/>
  <c r="D21" i="24"/>
  <c r="E87" i="24"/>
  <c r="E76" i="157"/>
  <c r="C21" i="158"/>
  <c r="E224" i="16"/>
  <c r="E45" i="165"/>
  <c r="G45" i="165"/>
  <c r="E53" i="165"/>
  <c r="C119" i="165"/>
  <c r="E133" i="165"/>
  <c r="E138" i="55"/>
  <c r="E152" i="55"/>
  <c r="E203" i="55"/>
  <c r="E50" i="14"/>
  <c r="C102" i="14"/>
  <c r="E222" i="14"/>
  <c r="D93" i="172"/>
  <c r="D102" i="172"/>
  <c r="D119" i="172"/>
  <c r="E31" i="176"/>
  <c r="E100" i="176"/>
  <c r="E126" i="176"/>
  <c r="G126" i="176"/>
  <c r="E146" i="176"/>
  <c r="E174" i="176"/>
  <c r="C61" i="143"/>
  <c r="C79" i="143"/>
  <c r="C119" i="143"/>
  <c r="E56" i="10"/>
  <c r="E115" i="10"/>
  <c r="E132" i="10"/>
  <c r="E183" i="10"/>
  <c r="E195" i="10"/>
  <c r="E226" i="10"/>
  <c r="E40" i="87"/>
  <c r="C93" i="87"/>
  <c r="E101" i="87"/>
  <c r="E226" i="87"/>
  <c r="E90" i="89"/>
  <c r="E132" i="89"/>
  <c r="E142" i="89"/>
  <c r="G142" i="89"/>
  <c r="E137" i="69"/>
  <c r="G137" i="69"/>
  <c r="E226" i="142"/>
  <c r="C21" i="92"/>
  <c r="C61" i="92"/>
  <c r="C119" i="92"/>
  <c r="E12" i="38"/>
  <c r="E31" i="150"/>
  <c r="E118" i="150"/>
  <c r="E159" i="150"/>
  <c r="E174" i="150"/>
  <c r="G174" i="150"/>
  <c r="E182" i="150"/>
  <c r="E194" i="150"/>
  <c r="E201" i="150"/>
  <c r="G201" i="150"/>
  <c r="C197" i="54"/>
  <c r="E96" i="46"/>
  <c r="G117" i="113"/>
  <c r="G18" i="58"/>
  <c r="D21" i="58"/>
  <c r="D119" i="15"/>
  <c r="E159" i="164"/>
  <c r="E55" i="176"/>
  <c r="G55" i="176"/>
  <c r="E147" i="68"/>
  <c r="E49" i="174"/>
  <c r="G49" i="174"/>
  <c r="E185" i="39"/>
  <c r="G33" i="92"/>
  <c r="C21" i="172"/>
  <c r="E11" i="172"/>
  <c r="E15" i="172"/>
  <c r="E19" i="172"/>
  <c r="E27" i="172"/>
  <c r="C61" i="172"/>
  <c r="E31" i="172"/>
  <c r="E35" i="172"/>
  <c r="E39" i="172"/>
  <c r="G39" i="172"/>
  <c r="E43" i="172"/>
  <c r="E47" i="172"/>
  <c r="E51" i="172"/>
  <c r="E55" i="172"/>
  <c r="E59" i="172"/>
  <c r="E66" i="172"/>
  <c r="C79" i="172"/>
  <c r="E70" i="172"/>
  <c r="E74" i="172"/>
  <c r="E78" i="172"/>
  <c r="E85" i="172"/>
  <c r="C93" i="172"/>
  <c r="E89" i="172"/>
  <c r="C102" i="172"/>
  <c r="E96" i="172"/>
  <c r="E100" i="172"/>
  <c r="E107" i="172"/>
  <c r="C111" i="172"/>
  <c r="E114" i="172"/>
  <c r="E126" i="172"/>
  <c r="E131" i="172"/>
  <c r="G131" i="172"/>
  <c r="E141" i="172"/>
  <c r="E146" i="172"/>
  <c r="E150" i="172"/>
  <c r="E155" i="172"/>
  <c r="E159" i="172"/>
  <c r="E170" i="172"/>
  <c r="G170" i="172"/>
  <c r="E182" i="172"/>
  <c r="G182" i="172"/>
  <c r="E186" i="172"/>
  <c r="G186" i="172"/>
  <c r="E190" i="172"/>
  <c r="E194" i="172"/>
  <c r="E201" i="172"/>
  <c r="E205" i="172"/>
  <c r="E224" i="172"/>
  <c r="E14" i="176"/>
  <c r="E30" i="176"/>
  <c r="E34" i="176"/>
  <c r="E58" i="176"/>
  <c r="E99" i="176"/>
  <c r="G99" i="176"/>
  <c r="D102" i="176"/>
  <c r="E117" i="176"/>
  <c r="G117" i="176"/>
  <c r="D119" i="176"/>
  <c r="E140" i="176"/>
  <c r="G140" i="176"/>
  <c r="E158" i="176"/>
  <c r="E181" i="176"/>
  <c r="E223" i="176"/>
  <c r="D61" i="10"/>
  <c r="E70" i="10"/>
  <c r="E74" i="10"/>
  <c r="E114" i="10"/>
  <c r="E178" i="10"/>
  <c r="E182" i="10"/>
  <c r="E190" i="10"/>
  <c r="E194" i="10"/>
  <c r="E201" i="10"/>
  <c r="E15" i="87"/>
  <c r="E74" i="87"/>
  <c r="E114" i="87"/>
  <c r="E131" i="87"/>
  <c r="G131" i="87"/>
  <c r="E146" i="87"/>
  <c r="E201" i="87"/>
  <c r="C228" i="87"/>
  <c r="D111" i="86"/>
  <c r="D119" i="86"/>
  <c r="E186" i="86"/>
  <c r="E194" i="86"/>
  <c r="E15" i="89"/>
  <c r="E31" i="89"/>
  <c r="E43" i="89"/>
  <c r="E66" i="89"/>
  <c r="E89" i="89"/>
  <c r="E107" i="89"/>
  <c r="E114" i="89"/>
  <c r="E126" i="89"/>
  <c r="G126" i="89"/>
  <c r="E131" i="89"/>
  <c r="E136" i="89"/>
  <c r="E141" i="89"/>
  <c r="E146" i="89"/>
  <c r="E150" i="89"/>
  <c r="E159" i="89"/>
  <c r="E170" i="89"/>
  <c r="E178" i="89"/>
  <c r="E186" i="89"/>
  <c r="E194" i="89"/>
  <c r="E201" i="89"/>
  <c r="G201" i="89"/>
  <c r="E205" i="89"/>
  <c r="G205" i="89"/>
  <c r="E43" i="69"/>
  <c r="E66" i="69"/>
  <c r="D93" i="69"/>
  <c r="D102" i="69"/>
  <c r="E107" i="69"/>
  <c r="D119" i="69"/>
  <c r="D161" i="69"/>
  <c r="E131" i="69"/>
  <c r="G131" i="69"/>
  <c r="E141" i="69"/>
  <c r="G141" i="69"/>
  <c r="E146" i="69"/>
  <c r="E155" i="69"/>
  <c r="E166" i="69"/>
  <c r="E170" i="69"/>
  <c r="E186" i="69"/>
  <c r="G186" i="69"/>
  <c r="E205" i="69"/>
  <c r="G205" i="69"/>
  <c r="C228" i="69"/>
  <c r="E89" i="142"/>
  <c r="E96" i="142"/>
  <c r="D102" i="142"/>
  <c r="E107" i="142"/>
  <c r="E114" i="142"/>
  <c r="E186" i="142"/>
  <c r="E190" i="142"/>
  <c r="E194" i="142"/>
  <c r="E201" i="142"/>
  <c r="E205" i="142"/>
  <c r="E225" i="142"/>
  <c r="E66" i="92"/>
  <c r="E74" i="92"/>
  <c r="E89" i="92"/>
  <c r="D161" i="92"/>
  <c r="E126" i="92"/>
  <c r="E131" i="92"/>
  <c r="E136" i="92"/>
  <c r="E141" i="92"/>
  <c r="E146" i="92"/>
  <c r="E155" i="92"/>
  <c r="G155" i="92"/>
  <c r="E170" i="92"/>
  <c r="E182" i="92"/>
  <c r="E190" i="92"/>
  <c r="E205" i="92"/>
  <c r="E225" i="92"/>
  <c r="E66" i="1"/>
  <c r="G66" i="1"/>
  <c r="E74" i="1"/>
  <c r="E150" i="1"/>
  <c r="E155" i="1"/>
  <c r="E159" i="1"/>
  <c r="E166" i="1"/>
  <c r="E170" i="1"/>
  <c r="E174" i="1"/>
  <c r="E178" i="1"/>
  <c r="G178" i="1"/>
  <c r="E182" i="1"/>
  <c r="D206" i="1"/>
  <c r="E225" i="1"/>
  <c r="G225" i="1"/>
  <c r="E89" i="50"/>
  <c r="D102" i="50"/>
  <c r="E100" i="50"/>
  <c r="E107" i="50"/>
  <c r="D119" i="50"/>
  <c r="E118" i="50"/>
  <c r="E141" i="50"/>
  <c r="G141" i="50"/>
  <c r="E146" i="50"/>
  <c r="E155" i="50"/>
  <c r="E166" i="50"/>
  <c r="D197" i="50"/>
  <c r="E174" i="50"/>
  <c r="G174" i="50"/>
  <c r="E178" i="50"/>
  <c r="E182" i="50"/>
  <c r="E186" i="50"/>
  <c r="E201" i="50"/>
  <c r="E205" i="50"/>
  <c r="D119" i="95"/>
  <c r="E114" i="95"/>
  <c r="G114" i="95"/>
  <c r="E178" i="95"/>
  <c r="G178" i="95"/>
  <c r="E186" i="95"/>
  <c r="E171" i="31"/>
  <c r="G171" i="31"/>
  <c r="E166" i="38"/>
  <c r="E182" i="38"/>
  <c r="E194" i="38"/>
  <c r="E201" i="38"/>
  <c r="D93" i="10"/>
  <c r="D79" i="92"/>
  <c r="C206" i="172"/>
  <c r="E118" i="172"/>
  <c r="E166" i="172"/>
  <c r="E159" i="50"/>
  <c r="E118" i="69"/>
  <c r="G118" i="69"/>
  <c r="D93" i="50"/>
  <c r="D61" i="95"/>
  <c r="E173" i="176"/>
  <c r="G173" i="176"/>
  <c r="E130" i="176"/>
  <c r="D102" i="95"/>
  <c r="E169" i="176"/>
  <c r="E107" i="1"/>
  <c r="G107" i="1"/>
  <c r="E178" i="86"/>
  <c r="G221" i="155"/>
  <c r="D206" i="87"/>
  <c r="D21" i="95"/>
  <c r="D119" i="87"/>
  <c r="E201" i="92"/>
  <c r="G201" i="92"/>
  <c r="E96" i="1"/>
  <c r="G96" i="1"/>
  <c r="E186" i="10"/>
  <c r="G135" i="167"/>
  <c r="G132" i="102"/>
  <c r="D111" i="95"/>
  <c r="D79" i="87"/>
  <c r="E125" i="176"/>
  <c r="E84" i="176"/>
  <c r="D61" i="86"/>
  <c r="D93" i="86"/>
  <c r="E205" i="86"/>
  <c r="E174" i="92"/>
  <c r="G226" i="37"/>
  <c r="E226" i="103"/>
  <c r="E20" i="118"/>
  <c r="E225" i="118"/>
  <c r="E225" i="60"/>
  <c r="G225" i="60"/>
  <c r="E225" i="94"/>
  <c r="E219" i="63"/>
  <c r="E227" i="63"/>
  <c r="E32" i="58"/>
  <c r="G32" i="58"/>
  <c r="E67" i="58"/>
  <c r="E200" i="84"/>
  <c r="E40" i="120"/>
  <c r="E222" i="141"/>
  <c r="E221" i="119"/>
  <c r="E231" i="119"/>
  <c r="E221" i="25"/>
  <c r="G221" i="25"/>
  <c r="E114" i="16"/>
  <c r="G114" i="16"/>
  <c r="E188" i="165"/>
  <c r="E192" i="165"/>
  <c r="E203" i="165"/>
  <c r="E17" i="55"/>
  <c r="G17" i="55"/>
  <c r="E25" i="55"/>
  <c r="E45" i="55"/>
  <c r="E53" i="55"/>
  <c r="E57" i="55"/>
  <c r="G57" i="55"/>
  <c r="E64" i="55"/>
  <c r="E68" i="55"/>
  <c r="E76" i="55"/>
  <c r="G76" i="55"/>
  <c r="E91" i="55"/>
  <c r="E109" i="55"/>
  <c r="E124" i="55"/>
  <c r="E129" i="55"/>
  <c r="E148" i="55"/>
  <c r="G148" i="55"/>
  <c r="E172" i="55"/>
  <c r="E180" i="55"/>
  <c r="E188" i="55"/>
  <c r="G188" i="55"/>
  <c r="E26" i="14"/>
  <c r="E42" i="14"/>
  <c r="E46" i="14"/>
  <c r="E54" i="14"/>
  <c r="G54" i="14"/>
  <c r="E65" i="14"/>
  <c r="G65" i="14"/>
  <c r="E69" i="14"/>
  <c r="E84" i="14"/>
  <c r="E92" i="14"/>
  <c r="E106" i="14"/>
  <c r="E117" i="14"/>
  <c r="E173" i="14"/>
  <c r="G173" i="14"/>
  <c r="E219" i="143"/>
  <c r="E227" i="143"/>
  <c r="E219" i="10"/>
  <c r="E219" i="87"/>
  <c r="E227" i="87"/>
  <c r="E219" i="86"/>
  <c r="E219" i="89"/>
  <c r="E227" i="89"/>
  <c r="E219" i="69"/>
  <c r="E227" i="69"/>
  <c r="E175" i="92"/>
  <c r="E179" i="92"/>
  <c r="E183" i="92"/>
  <c r="E219" i="92"/>
  <c r="E227" i="92"/>
  <c r="G227" i="92"/>
  <c r="E16" i="1"/>
  <c r="E36" i="1"/>
  <c r="E219" i="50"/>
  <c r="E178" i="31"/>
  <c r="E166" i="31"/>
  <c r="E155" i="31"/>
  <c r="E141" i="31"/>
  <c r="G141" i="31"/>
  <c r="E136" i="31"/>
  <c r="E131" i="31"/>
  <c r="E126" i="31"/>
  <c r="E118" i="31"/>
  <c r="E114" i="31"/>
  <c r="E107" i="31"/>
  <c r="E89" i="31"/>
  <c r="E78" i="31"/>
  <c r="E70" i="31"/>
  <c r="E66" i="31"/>
  <c r="E59" i="31"/>
  <c r="E55" i="31"/>
  <c r="G55" i="31"/>
  <c r="E51" i="31"/>
  <c r="E47" i="31"/>
  <c r="E43" i="31"/>
  <c r="E39" i="31"/>
  <c r="E35" i="31"/>
  <c r="E31" i="31"/>
  <c r="E27" i="31"/>
  <c r="E19" i="31"/>
  <c r="E15" i="31"/>
  <c r="E11" i="31"/>
  <c r="E226" i="145"/>
  <c r="E13" i="150"/>
  <c r="E91" i="68"/>
  <c r="E222" i="104"/>
  <c r="E232" i="104"/>
  <c r="E14" i="25"/>
  <c r="E46" i="25"/>
  <c r="E77" i="155"/>
  <c r="E106" i="155"/>
  <c r="G106" i="155"/>
  <c r="E117" i="155"/>
  <c r="E168" i="145"/>
  <c r="G168" i="145"/>
  <c r="E53" i="68"/>
  <c r="E164" i="120"/>
  <c r="E158" i="24"/>
  <c r="E169" i="24"/>
  <c r="G169" i="24"/>
  <c r="E49" i="156"/>
  <c r="E76" i="156"/>
  <c r="E133" i="156"/>
  <c r="E138" i="156"/>
  <c r="E192" i="156"/>
  <c r="E203" i="156"/>
  <c r="E32" i="15"/>
  <c r="E56" i="15"/>
  <c r="E202" i="106"/>
  <c r="E201" i="104"/>
  <c r="E39" i="175"/>
  <c r="E55" i="175"/>
  <c r="E78" i="175"/>
  <c r="G78" i="175"/>
  <c r="E126" i="175"/>
  <c r="G126" i="175"/>
  <c r="E115" i="84"/>
  <c r="G115" i="84"/>
  <c r="E69" i="152"/>
  <c r="E200" i="152"/>
  <c r="E11" i="157"/>
  <c r="E15" i="157"/>
  <c r="E171" i="14"/>
  <c r="E85" i="92"/>
  <c r="G85" i="92"/>
  <c r="E100" i="92"/>
  <c r="E190" i="1"/>
  <c r="E170" i="95"/>
  <c r="E160" i="31"/>
  <c r="E151" i="31"/>
  <c r="E78" i="38"/>
  <c r="E114" i="38"/>
  <c r="E159" i="38"/>
  <c r="E131" i="149"/>
  <c r="E174" i="149"/>
  <c r="E126" i="149"/>
  <c r="E195" i="149"/>
  <c r="E156" i="149"/>
  <c r="G169" i="149"/>
  <c r="G220" i="149"/>
  <c r="G151" i="149"/>
  <c r="E190" i="149"/>
  <c r="E101" i="149"/>
  <c r="E183" i="149"/>
  <c r="E132" i="149"/>
  <c r="E226" i="149"/>
  <c r="E141" i="149"/>
  <c r="E33" i="149"/>
  <c r="G153" i="149"/>
  <c r="E170" i="149"/>
  <c r="E182" i="149"/>
  <c r="E90" i="149"/>
  <c r="E175" i="149"/>
  <c r="E123" i="149"/>
  <c r="E27" i="149"/>
  <c r="E42" i="149"/>
  <c r="E35" i="149"/>
  <c r="E155" i="149"/>
  <c r="G108" i="149"/>
  <c r="E86" i="149"/>
  <c r="E171" i="149"/>
  <c r="E115" i="149"/>
  <c r="E159" i="149"/>
  <c r="G159" i="149"/>
  <c r="E89" i="149"/>
  <c r="G89" i="149"/>
  <c r="E43" i="149"/>
  <c r="G149" i="27"/>
  <c r="G40" i="27"/>
  <c r="G60" i="27"/>
  <c r="G75" i="27"/>
  <c r="G195" i="27"/>
  <c r="G219" i="27"/>
  <c r="E125" i="27"/>
  <c r="E160" i="27"/>
  <c r="E97" i="27"/>
  <c r="E226" i="27"/>
  <c r="E71" i="27"/>
  <c r="E223" i="27"/>
  <c r="E169" i="27"/>
  <c r="E106" i="27"/>
  <c r="E156" i="27"/>
  <c r="E90" i="27"/>
  <c r="E36" i="27"/>
  <c r="G36" i="27"/>
  <c r="E39" i="27"/>
  <c r="E89" i="27"/>
  <c r="E201" i="27"/>
  <c r="E187" i="27"/>
  <c r="E137" i="27"/>
  <c r="E132" i="27"/>
  <c r="G132" i="27"/>
  <c r="E44" i="27"/>
  <c r="E194" i="27"/>
  <c r="E127" i="27"/>
  <c r="G233" i="27"/>
  <c r="E227" i="27"/>
  <c r="E147" i="27"/>
  <c r="G165" i="27"/>
  <c r="G56" i="27"/>
  <c r="G48" i="27"/>
  <c r="E183" i="27"/>
  <c r="E123" i="27"/>
  <c r="E150" i="27"/>
  <c r="G150" i="27"/>
  <c r="E191" i="27"/>
  <c r="E179" i="27"/>
  <c r="G179" i="27"/>
  <c r="E115" i="27"/>
  <c r="G93" i="33"/>
  <c r="G164" i="62"/>
  <c r="E75" i="62"/>
  <c r="E150" i="62"/>
  <c r="E157" i="62"/>
  <c r="E70" i="62"/>
  <c r="G70" i="62"/>
  <c r="E20" i="62"/>
  <c r="G233" i="62"/>
  <c r="E159" i="62"/>
  <c r="E36" i="62"/>
  <c r="G85" i="62"/>
  <c r="E186" i="62"/>
  <c r="E131" i="62"/>
  <c r="E152" i="62"/>
  <c r="E160" i="62"/>
  <c r="G160" i="62"/>
  <c r="E66" i="62"/>
  <c r="E140" i="62"/>
  <c r="E71" i="62"/>
  <c r="E138" i="62"/>
  <c r="E67" i="62"/>
  <c r="G183" i="62"/>
  <c r="E180" i="62"/>
  <c r="E202" i="62"/>
  <c r="G202" i="62"/>
  <c r="E193" i="62"/>
  <c r="E231" i="62"/>
  <c r="E118" i="62"/>
  <c r="E117" i="62"/>
  <c r="E189" i="62"/>
  <c r="E106" i="62"/>
  <c r="E48" i="62"/>
  <c r="G48" i="62"/>
  <c r="G99" i="177"/>
  <c r="G117" i="177"/>
  <c r="G135" i="177"/>
  <c r="G173" i="177"/>
  <c r="E130" i="177"/>
  <c r="E13" i="177"/>
  <c r="G13" i="177"/>
  <c r="G149" i="177"/>
  <c r="E54" i="177"/>
  <c r="E92" i="177"/>
  <c r="E125" i="177"/>
  <c r="G125" i="177"/>
  <c r="E84" i="177"/>
  <c r="E15" i="177"/>
  <c r="E27" i="177"/>
  <c r="G27" i="177"/>
  <c r="E35" i="177"/>
  <c r="E39" i="177"/>
  <c r="G39" i="177"/>
  <c r="E51" i="177"/>
  <c r="E74" i="177"/>
  <c r="G74" i="177"/>
  <c r="E126" i="177"/>
  <c r="E65" i="177"/>
  <c r="G65" i="177"/>
  <c r="E14" i="177"/>
  <c r="E34" i="177"/>
  <c r="E221" i="177"/>
  <c r="E185" i="177"/>
  <c r="G185" i="177"/>
  <c r="E69" i="177"/>
  <c r="G69" i="177"/>
  <c r="G158" i="177"/>
  <c r="G18" i="177"/>
  <c r="E193" i="177"/>
  <c r="E77" i="177"/>
  <c r="E189" i="177"/>
  <c r="G82" i="177"/>
  <c r="G140" i="177"/>
  <c r="E131" i="177"/>
  <c r="G28" i="177"/>
  <c r="G153" i="177"/>
  <c r="E60" i="103"/>
  <c r="E160" i="19"/>
  <c r="G160" i="19"/>
  <c r="E125" i="15"/>
  <c r="E149" i="15"/>
  <c r="G149" i="15"/>
  <c r="E169" i="15"/>
  <c r="C206" i="47"/>
  <c r="E202" i="47"/>
  <c r="E12" i="46"/>
  <c r="G12" i="46"/>
  <c r="E32" i="46"/>
  <c r="E48" i="46"/>
  <c r="E67" i="46"/>
  <c r="G67" i="46"/>
  <c r="E90" i="46"/>
  <c r="E147" i="46"/>
  <c r="E191" i="46"/>
  <c r="E219" i="46"/>
  <c r="E73" i="106"/>
  <c r="E117" i="106"/>
  <c r="E25" i="104"/>
  <c r="E76" i="104"/>
  <c r="E98" i="104"/>
  <c r="G98" i="104"/>
  <c r="D102" i="104"/>
  <c r="E157" i="104"/>
  <c r="E180" i="104"/>
  <c r="E196" i="104"/>
  <c r="E36" i="43"/>
  <c r="E48" i="43"/>
  <c r="E67" i="43"/>
  <c r="E86" i="43"/>
  <c r="E115" i="43"/>
  <c r="E183" i="43"/>
  <c r="E202" i="43"/>
  <c r="G202" i="43"/>
  <c r="E25" i="175"/>
  <c r="E41" i="175"/>
  <c r="E64" i="175"/>
  <c r="E83" i="175"/>
  <c r="G83" i="175"/>
  <c r="E105" i="175"/>
  <c r="E180" i="175"/>
  <c r="E110" i="84"/>
  <c r="E165" i="84"/>
  <c r="E232" i="71"/>
  <c r="E205" i="39"/>
  <c r="E32" i="133"/>
  <c r="E160" i="133"/>
  <c r="E179" i="133"/>
  <c r="E202" i="133"/>
  <c r="E40" i="152"/>
  <c r="E56" i="152"/>
  <c r="E82" i="152"/>
  <c r="E101" i="152"/>
  <c r="E132" i="152"/>
  <c r="E187" i="152"/>
  <c r="G187" i="152"/>
  <c r="E28" i="120"/>
  <c r="E48" i="120"/>
  <c r="G48" i="120"/>
  <c r="E97" i="120"/>
  <c r="E142" i="120"/>
  <c r="E73" i="90"/>
  <c r="E135" i="90"/>
  <c r="E153" i="90"/>
  <c r="E193" i="90"/>
  <c r="E222" i="90"/>
  <c r="E18" i="24"/>
  <c r="D119" i="24"/>
  <c r="E138" i="24"/>
  <c r="E180" i="24"/>
  <c r="E203" i="24"/>
  <c r="D206" i="24"/>
  <c r="D79" i="141"/>
  <c r="E87" i="141"/>
  <c r="E143" i="141"/>
  <c r="E176" i="141"/>
  <c r="E76" i="32"/>
  <c r="G76" i="32"/>
  <c r="E91" i="32"/>
  <c r="D206" i="32"/>
  <c r="E138" i="64"/>
  <c r="E176" i="64"/>
  <c r="E192" i="64"/>
  <c r="E110" i="28"/>
  <c r="C21" i="65"/>
  <c r="E17" i="119"/>
  <c r="G17" i="119"/>
  <c r="E37" i="119"/>
  <c r="E57" i="119"/>
  <c r="E109" i="119"/>
  <c r="E133" i="119"/>
  <c r="G133" i="119"/>
  <c r="E157" i="119"/>
  <c r="E180" i="119"/>
  <c r="E203" i="119"/>
  <c r="C206" i="119"/>
  <c r="E29" i="25"/>
  <c r="E49" i="25"/>
  <c r="C102" i="25"/>
  <c r="E37" i="155"/>
  <c r="E53" i="155"/>
  <c r="E72" i="155"/>
  <c r="E91" i="155"/>
  <c r="E124" i="155"/>
  <c r="E148" i="155"/>
  <c r="E12" i="156"/>
  <c r="E127" i="156"/>
  <c r="E179" i="156"/>
  <c r="E191" i="156"/>
  <c r="E219" i="156"/>
  <c r="D21" i="42"/>
  <c r="E13" i="42"/>
  <c r="E33" i="42"/>
  <c r="E53" i="42"/>
  <c r="E72" i="42"/>
  <c r="E124" i="42"/>
  <c r="E164" i="42"/>
  <c r="E172" i="42"/>
  <c r="E188" i="42"/>
  <c r="E221" i="42"/>
  <c r="E13" i="157"/>
  <c r="E30" i="150"/>
  <c r="E46" i="150"/>
  <c r="D79" i="150"/>
  <c r="C119" i="25"/>
  <c r="D111" i="141"/>
  <c r="E173" i="15"/>
  <c r="E28" i="103"/>
  <c r="E48" i="103"/>
  <c r="E56" i="103"/>
  <c r="E86" i="19"/>
  <c r="E35" i="15"/>
  <c r="E66" i="15"/>
  <c r="C79" i="15"/>
  <c r="E110" i="15"/>
  <c r="G110" i="15"/>
  <c r="E130" i="15"/>
  <c r="E145" i="15"/>
  <c r="E158" i="15"/>
  <c r="E165" i="15"/>
  <c r="G165" i="15"/>
  <c r="E191" i="47"/>
  <c r="G191" i="47"/>
  <c r="E28" i="46"/>
  <c r="E44" i="46"/>
  <c r="E56" i="46"/>
  <c r="E187" i="46"/>
  <c r="E202" i="46"/>
  <c r="G202" i="46"/>
  <c r="D206" i="46"/>
  <c r="E222" i="45"/>
  <c r="E14" i="106"/>
  <c r="E30" i="106"/>
  <c r="E42" i="106"/>
  <c r="E58" i="106"/>
  <c r="E77" i="106"/>
  <c r="E99" i="106"/>
  <c r="G99" i="106"/>
  <c r="E140" i="106"/>
  <c r="E29" i="104"/>
  <c r="E68" i="104"/>
  <c r="E87" i="104"/>
  <c r="E109" i="104"/>
  <c r="E129" i="104"/>
  <c r="E231" i="104"/>
  <c r="E40" i="43"/>
  <c r="E75" i="43"/>
  <c r="E97" i="43"/>
  <c r="E123" i="43"/>
  <c r="E156" i="43"/>
  <c r="G156" i="43"/>
  <c r="E195" i="43"/>
  <c r="E227" i="43"/>
  <c r="E29" i="175"/>
  <c r="E68" i="175"/>
  <c r="E91" i="175"/>
  <c r="C228" i="175"/>
  <c r="E221" i="175"/>
  <c r="E169" i="84"/>
  <c r="E185" i="84"/>
  <c r="E201" i="39"/>
  <c r="E224" i="39"/>
  <c r="E20" i="133"/>
  <c r="E40" i="133"/>
  <c r="E48" i="133"/>
  <c r="E101" i="133"/>
  <c r="E147" i="133"/>
  <c r="E175" i="133"/>
  <c r="G175" i="133"/>
  <c r="E195" i="133"/>
  <c r="E219" i="133"/>
  <c r="E20" i="152"/>
  <c r="E32" i="152"/>
  <c r="G32" i="152"/>
  <c r="E90" i="152"/>
  <c r="E137" i="152"/>
  <c r="E151" i="152"/>
  <c r="E191" i="152"/>
  <c r="E227" i="152"/>
  <c r="E32" i="120"/>
  <c r="E52" i="120"/>
  <c r="G52" i="120"/>
  <c r="E108" i="120"/>
  <c r="D111" i="120"/>
  <c r="E14" i="90"/>
  <c r="G14" i="90"/>
  <c r="E26" i="90"/>
  <c r="E34" i="90"/>
  <c r="E54" i="90"/>
  <c r="E65" i="90"/>
  <c r="E77" i="90"/>
  <c r="E88" i="90"/>
  <c r="E106" i="90"/>
  <c r="E145" i="90"/>
  <c r="E169" i="90"/>
  <c r="E185" i="90"/>
  <c r="E129" i="24"/>
  <c r="E168" i="24"/>
  <c r="E196" i="24"/>
  <c r="E221" i="24"/>
  <c r="C228" i="24"/>
  <c r="E72" i="141"/>
  <c r="E133" i="141"/>
  <c r="E180" i="141"/>
  <c r="E192" i="141"/>
  <c r="E221" i="141"/>
  <c r="E29" i="32"/>
  <c r="E221" i="32"/>
  <c r="G221" i="32"/>
  <c r="E76" i="64"/>
  <c r="E91" i="64"/>
  <c r="E133" i="64"/>
  <c r="E148" i="64"/>
  <c r="E164" i="64"/>
  <c r="E172" i="64"/>
  <c r="E188" i="64"/>
  <c r="E196" i="64"/>
  <c r="G196" i="64"/>
  <c r="G159" i="72"/>
  <c r="C79" i="65"/>
  <c r="C102" i="65"/>
  <c r="C119" i="65"/>
  <c r="E29" i="119"/>
  <c r="E49" i="119"/>
  <c r="E64" i="119"/>
  <c r="E72" i="119"/>
  <c r="E91" i="119"/>
  <c r="G91" i="119"/>
  <c r="E116" i="119"/>
  <c r="E143" i="119"/>
  <c r="E17" i="25"/>
  <c r="E33" i="25"/>
  <c r="E41" i="25"/>
  <c r="C93" i="25"/>
  <c r="C197" i="25"/>
  <c r="E29" i="155"/>
  <c r="E41" i="155"/>
  <c r="E57" i="155"/>
  <c r="E76" i="155"/>
  <c r="E105" i="155"/>
  <c r="C111" i="155"/>
  <c r="E129" i="155"/>
  <c r="E143" i="155"/>
  <c r="E152" i="155"/>
  <c r="E56" i="156"/>
  <c r="E71" i="156"/>
  <c r="E86" i="156"/>
  <c r="E108" i="156"/>
  <c r="E137" i="156"/>
  <c r="G137" i="156"/>
  <c r="E29" i="42"/>
  <c r="E45" i="42"/>
  <c r="E64" i="42"/>
  <c r="E87" i="42"/>
  <c r="G87" i="42"/>
  <c r="E109" i="42"/>
  <c r="E176" i="42"/>
  <c r="E196" i="42"/>
  <c r="E192" i="177"/>
  <c r="E220" i="177"/>
  <c r="E26" i="150"/>
  <c r="E73" i="150"/>
  <c r="E77" i="150"/>
  <c r="D102" i="150"/>
  <c r="E223" i="150"/>
  <c r="C61" i="155"/>
  <c r="D93" i="150"/>
  <c r="E192" i="104"/>
  <c r="E171" i="156"/>
  <c r="E25" i="155"/>
  <c r="G221" i="152"/>
  <c r="G125" i="149"/>
  <c r="G124" i="45"/>
  <c r="G203" i="45"/>
  <c r="E32" i="103"/>
  <c r="E156" i="19"/>
  <c r="C93" i="15"/>
  <c r="E106" i="15"/>
  <c r="D111" i="15"/>
  <c r="E140" i="15"/>
  <c r="G140" i="15"/>
  <c r="E36" i="46"/>
  <c r="E75" i="46"/>
  <c r="E142" i="46"/>
  <c r="G203" i="102"/>
  <c r="E84" i="106"/>
  <c r="G84" i="106"/>
  <c r="E135" i="106"/>
  <c r="E204" i="106"/>
  <c r="E37" i="104"/>
  <c r="G37" i="104"/>
  <c r="E53" i="104"/>
  <c r="E72" i="104"/>
  <c r="E91" i="104"/>
  <c r="E148" i="104"/>
  <c r="E184" i="104"/>
  <c r="E12" i="43"/>
  <c r="E56" i="43"/>
  <c r="E132" i="43"/>
  <c r="E191" i="43"/>
  <c r="E219" i="43"/>
  <c r="E17" i="175"/>
  <c r="E37" i="175"/>
  <c r="G37" i="175"/>
  <c r="E45" i="175"/>
  <c r="E57" i="175"/>
  <c r="E72" i="175"/>
  <c r="E87" i="175"/>
  <c r="E109" i="175"/>
  <c r="E125" i="84"/>
  <c r="E173" i="84"/>
  <c r="E181" i="84"/>
  <c r="E223" i="84"/>
  <c r="E200" i="71"/>
  <c r="E222" i="71"/>
  <c r="G222" i="71"/>
  <c r="E11" i="39"/>
  <c r="E16" i="133"/>
  <c r="E90" i="133"/>
  <c r="E115" i="133"/>
  <c r="E151" i="133"/>
  <c r="E167" i="133"/>
  <c r="D197" i="133"/>
  <c r="E183" i="133"/>
  <c r="E191" i="133"/>
  <c r="E227" i="133"/>
  <c r="E12" i="152"/>
  <c r="E48" i="152"/>
  <c r="G48" i="152"/>
  <c r="E97" i="152"/>
  <c r="E123" i="152"/>
  <c r="E160" i="152"/>
  <c r="G160" i="152"/>
  <c r="E202" i="152"/>
  <c r="E36" i="120"/>
  <c r="E44" i="120"/>
  <c r="E60" i="120"/>
  <c r="G60" i="120"/>
  <c r="D93" i="120"/>
  <c r="E127" i="120"/>
  <c r="E183" i="120"/>
  <c r="G183" i="120"/>
  <c r="E219" i="120"/>
  <c r="E58" i="90"/>
  <c r="E84" i="90"/>
  <c r="C93" i="90"/>
  <c r="E149" i="90"/>
  <c r="G149" i="90"/>
  <c r="E165" i="90"/>
  <c r="E173" i="90"/>
  <c r="E189" i="90"/>
  <c r="E14" i="24"/>
  <c r="E30" i="24"/>
  <c r="E176" i="24"/>
  <c r="E188" i="24"/>
  <c r="E33" i="141"/>
  <c r="E68" i="141"/>
  <c r="E83" i="141"/>
  <c r="D93" i="141"/>
  <c r="E138" i="141"/>
  <c r="E152" i="141"/>
  <c r="E168" i="141"/>
  <c r="E188" i="141"/>
  <c r="G188" i="141"/>
  <c r="E196" i="141"/>
  <c r="E231" i="141"/>
  <c r="E64" i="32"/>
  <c r="D79" i="32"/>
  <c r="D93" i="32"/>
  <c r="E45" i="64"/>
  <c r="E98" i="64"/>
  <c r="E129" i="64"/>
  <c r="E180" i="64"/>
  <c r="E203" i="64"/>
  <c r="E13" i="119"/>
  <c r="C21" i="119"/>
  <c r="E45" i="119"/>
  <c r="E105" i="119"/>
  <c r="E124" i="119"/>
  <c r="E138" i="119"/>
  <c r="E152" i="119"/>
  <c r="E168" i="119"/>
  <c r="E176" i="119"/>
  <c r="E220" i="119"/>
  <c r="E25" i="25"/>
  <c r="G25" i="25"/>
  <c r="C79" i="25"/>
  <c r="E192" i="25"/>
  <c r="E196" i="25"/>
  <c r="E17" i="155"/>
  <c r="E64" i="155"/>
  <c r="G64" i="155"/>
  <c r="E109" i="155"/>
  <c r="E133" i="155"/>
  <c r="E195" i="155"/>
  <c r="E227" i="155"/>
  <c r="E52" i="156"/>
  <c r="E90" i="156"/>
  <c r="E123" i="156"/>
  <c r="G123" i="156"/>
  <c r="E175" i="156"/>
  <c r="E202" i="156"/>
  <c r="D206" i="156"/>
  <c r="E41" i="42"/>
  <c r="G41" i="42"/>
  <c r="E76" i="42"/>
  <c r="E91" i="42"/>
  <c r="E116" i="42"/>
  <c r="D119" i="42"/>
  <c r="E133" i="42"/>
  <c r="E180" i="42"/>
  <c r="E192" i="42"/>
  <c r="E231" i="42"/>
  <c r="E235" i="42"/>
  <c r="E203" i="177"/>
  <c r="D111" i="150"/>
  <c r="E138" i="104"/>
  <c r="E179" i="155"/>
  <c r="E74" i="15"/>
  <c r="E157" i="42"/>
  <c r="E192" i="24"/>
  <c r="G101" i="27"/>
  <c r="E183" i="19"/>
  <c r="C61" i="15"/>
  <c r="C102" i="15"/>
  <c r="E117" i="15"/>
  <c r="E135" i="15"/>
  <c r="E153" i="15"/>
  <c r="E177" i="15"/>
  <c r="E195" i="47"/>
  <c r="E226" i="47"/>
  <c r="E20" i="46"/>
  <c r="E40" i="46"/>
  <c r="E52" i="46"/>
  <c r="E71" i="46"/>
  <c r="E82" i="46"/>
  <c r="C93" i="46"/>
  <c r="C119" i="46"/>
  <c r="E132" i="46"/>
  <c r="E179" i="46"/>
  <c r="G179" i="46"/>
  <c r="E195" i="46"/>
  <c r="E227" i="46"/>
  <c r="E26" i="106"/>
  <c r="E50" i="106"/>
  <c r="E69" i="106"/>
  <c r="G69" i="106"/>
  <c r="D111" i="106"/>
  <c r="E106" i="106"/>
  <c r="E130" i="106"/>
  <c r="E223" i="106"/>
  <c r="E33" i="104"/>
  <c r="E45" i="104"/>
  <c r="E64" i="104"/>
  <c r="E83" i="104"/>
  <c r="E105" i="104"/>
  <c r="G105" i="104"/>
  <c r="E116" i="104"/>
  <c r="E133" i="104"/>
  <c r="E143" i="104"/>
  <c r="G143" i="104"/>
  <c r="E152" i="104"/>
  <c r="E168" i="104"/>
  <c r="E176" i="104"/>
  <c r="E188" i="104"/>
  <c r="E221" i="104"/>
  <c r="E20" i="43"/>
  <c r="E52" i="43"/>
  <c r="E71" i="43"/>
  <c r="G71" i="43"/>
  <c r="E82" i="43"/>
  <c r="E90" i="43"/>
  <c r="E108" i="43"/>
  <c r="E127" i="43"/>
  <c r="E187" i="43"/>
  <c r="E13" i="175"/>
  <c r="E33" i="175"/>
  <c r="E49" i="175"/>
  <c r="G49" i="175"/>
  <c r="E176" i="175"/>
  <c r="E196" i="175"/>
  <c r="E117" i="84"/>
  <c r="E177" i="84"/>
  <c r="E189" i="84"/>
  <c r="E204" i="84"/>
  <c r="E204" i="71"/>
  <c r="E123" i="133"/>
  <c r="G123" i="133"/>
  <c r="E142" i="133"/>
  <c r="E156" i="133"/>
  <c r="E171" i="133"/>
  <c r="E187" i="133"/>
  <c r="E28" i="152"/>
  <c r="E44" i="152"/>
  <c r="E60" i="152"/>
  <c r="E108" i="152"/>
  <c r="E127" i="152"/>
  <c r="E147" i="152"/>
  <c r="E156" i="152"/>
  <c r="E179" i="152"/>
  <c r="G179" i="152"/>
  <c r="E195" i="152"/>
  <c r="E219" i="152"/>
  <c r="E86" i="120"/>
  <c r="E147" i="120"/>
  <c r="G147" i="120"/>
  <c r="E156" i="120"/>
  <c r="E171" i="120"/>
  <c r="E187" i="120"/>
  <c r="E18" i="90"/>
  <c r="E30" i="90"/>
  <c r="E69" i="90"/>
  <c r="E158" i="90"/>
  <c r="G158" i="90"/>
  <c r="E200" i="90"/>
  <c r="E26" i="24"/>
  <c r="E172" i="24"/>
  <c r="G172" i="24"/>
  <c r="E231" i="24"/>
  <c r="E235" i="24"/>
  <c r="E29" i="141"/>
  <c r="D102" i="141"/>
  <c r="E129" i="141"/>
  <c r="E148" i="141"/>
  <c r="E157" i="141"/>
  <c r="E172" i="141"/>
  <c r="E184" i="141"/>
  <c r="E203" i="141"/>
  <c r="D206" i="141"/>
  <c r="E41" i="32"/>
  <c r="E87" i="32"/>
  <c r="E98" i="32"/>
  <c r="G98" i="32"/>
  <c r="D102" i="32"/>
  <c r="E116" i="32"/>
  <c r="E180" i="32"/>
  <c r="E231" i="32"/>
  <c r="E72" i="64"/>
  <c r="E87" i="64"/>
  <c r="E105" i="64"/>
  <c r="G105" i="64"/>
  <c r="E124" i="64"/>
  <c r="E143" i="64"/>
  <c r="E168" i="64"/>
  <c r="G168" i="64"/>
  <c r="E184" i="64"/>
  <c r="G184" i="64"/>
  <c r="E232" i="28"/>
  <c r="C111" i="65"/>
  <c r="E25" i="119"/>
  <c r="E33" i="119"/>
  <c r="G33" i="119"/>
  <c r="E41" i="119"/>
  <c r="E53" i="119"/>
  <c r="E68" i="119"/>
  <c r="E83" i="119"/>
  <c r="G83" i="119"/>
  <c r="E98" i="119"/>
  <c r="E129" i="119"/>
  <c r="E148" i="119"/>
  <c r="E164" i="119"/>
  <c r="C21" i="25"/>
  <c r="E37" i="25"/>
  <c r="C111" i="25"/>
  <c r="C161" i="25"/>
  <c r="E188" i="25"/>
  <c r="E220" i="25"/>
  <c r="G220" i="25"/>
  <c r="E13" i="155"/>
  <c r="C21" i="155"/>
  <c r="E33" i="155"/>
  <c r="E49" i="155"/>
  <c r="C93" i="155"/>
  <c r="E83" i="155"/>
  <c r="E98" i="155"/>
  <c r="E116" i="155"/>
  <c r="C119" i="155"/>
  <c r="E138" i="155"/>
  <c r="E219" i="155"/>
  <c r="G219" i="155"/>
  <c r="E48" i="156"/>
  <c r="E60" i="156"/>
  <c r="E97" i="156"/>
  <c r="G97" i="156"/>
  <c r="D119" i="156"/>
  <c r="E115" i="156"/>
  <c r="E132" i="156"/>
  <c r="E183" i="156"/>
  <c r="E195" i="156"/>
  <c r="E227" i="156"/>
  <c r="E25" i="42"/>
  <c r="E37" i="42"/>
  <c r="E49" i="42"/>
  <c r="E57" i="42"/>
  <c r="G57" i="42"/>
  <c r="E83" i="42"/>
  <c r="D93" i="42"/>
  <c r="E98" i="42"/>
  <c r="E129" i="42"/>
  <c r="G129" i="42"/>
  <c r="E168" i="42"/>
  <c r="E184" i="42"/>
  <c r="E203" i="42"/>
  <c r="E34" i="150"/>
  <c r="G34" i="150"/>
  <c r="E69" i="150"/>
  <c r="E110" i="150"/>
  <c r="G201" i="102"/>
  <c r="E179" i="43"/>
  <c r="E67" i="103"/>
  <c r="E160" i="156"/>
  <c r="E101" i="156"/>
  <c r="E184" i="119"/>
  <c r="E54" i="106"/>
  <c r="E172" i="119"/>
  <c r="E105" i="42"/>
  <c r="E37" i="32"/>
  <c r="G37" i="32"/>
  <c r="E59" i="15"/>
  <c r="G114" i="20"/>
  <c r="E53" i="175"/>
  <c r="E147" i="156"/>
  <c r="E75" i="156"/>
  <c r="E68" i="155"/>
  <c r="E52" i="133"/>
  <c r="G52" i="133"/>
  <c r="G221" i="65"/>
  <c r="G91" i="27"/>
  <c r="G25" i="45"/>
  <c r="G19" i="45"/>
  <c r="E20" i="60"/>
  <c r="E219" i="60"/>
  <c r="E44" i="54"/>
  <c r="E227" i="164"/>
  <c r="E137" i="92"/>
  <c r="E191" i="92"/>
  <c r="E12" i="1"/>
  <c r="E28" i="1"/>
  <c r="E40" i="1"/>
  <c r="E219" i="1"/>
  <c r="E227" i="50"/>
  <c r="E14" i="83"/>
  <c r="E26" i="83"/>
  <c r="E149" i="83"/>
  <c r="E37" i="149"/>
  <c r="E68" i="149"/>
  <c r="E231" i="149"/>
  <c r="E221" i="69"/>
  <c r="E223" i="98"/>
  <c r="E42" i="83"/>
  <c r="E65" i="83"/>
  <c r="E29" i="16"/>
  <c r="E53" i="16"/>
  <c r="E232" i="92"/>
  <c r="G232" i="92"/>
  <c r="E41" i="149"/>
  <c r="E53" i="149"/>
  <c r="E57" i="149"/>
  <c r="E64" i="149"/>
  <c r="E87" i="149"/>
  <c r="E91" i="149"/>
  <c r="E184" i="149"/>
  <c r="E89" i="155"/>
  <c r="E107" i="155"/>
  <c r="E225" i="165"/>
  <c r="E83" i="45"/>
  <c r="E49" i="104"/>
  <c r="E36" i="152"/>
  <c r="E30" i="158"/>
  <c r="E38" i="158"/>
  <c r="G38" i="158"/>
  <c r="E46" i="158"/>
  <c r="E158" i="158"/>
  <c r="E227" i="165"/>
  <c r="E86" i="94"/>
  <c r="E34" i="15"/>
  <c r="G34" i="15"/>
  <c r="E42" i="15"/>
  <c r="E77" i="47"/>
  <c r="E117" i="47"/>
  <c r="E130" i="47"/>
  <c r="E98" i="46"/>
  <c r="E109" i="46"/>
  <c r="E14" i="45"/>
  <c r="E77" i="45"/>
  <c r="G77" i="45"/>
  <c r="E84" i="45"/>
  <c r="E149" i="45"/>
  <c r="E150" i="106"/>
  <c r="E17" i="43"/>
  <c r="E72" i="43"/>
  <c r="E148" i="43"/>
  <c r="E14" i="71"/>
  <c r="G14" i="71"/>
  <c r="E132" i="120"/>
  <c r="E137" i="120"/>
  <c r="E133" i="90"/>
  <c r="E168" i="90"/>
  <c r="E37" i="24"/>
  <c r="E124" i="24"/>
  <c r="E33" i="28"/>
  <c r="E37" i="28"/>
  <c r="E49" i="28"/>
  <c r="E87" i="28"/>
  <c r="E91" i="28"/>
  <c r="E109" i="28"/>
  <c r="E148" i="28"/>
  <c r="E13" i="65"/>
  <c r="E29" i="65"/>
  <c r="E45" i="65"/>
  <c r="G45" i="65"/>
  <c r="E64" i="65"/>
  <c r="E91" i="65"/>
  <c r="E105" i="65"/>
  <c r="E124" i="65"/>
  <c r="E152" i="65"/>
  <c r="E164" i="65"/>
  <c r="E56" i="155"/>
  <c r="E73" i="158"/>
  <c r="E193" i="158"/>
  <c r="G193" i="158"/>
  <c r="E88" i="16"/>
  <c r="E117" i="27"/>
  <c r="G117" i="27"/>
  <c r="E173" i="27"/>
  <c r="E12" i="165"/>
  <c r="E28" i="55"/>
  <c r="E36" i="55"/>
  <c r="E82" i="55"/>
  <c r="E156" i="55"/>
  <c r="E185" i="15"/>
  <c r="G185" i="15"/>
  <c r="E15" i="45"/>
  <c r="E31" i="45"/>
  <c r="E35" i="45"/>
  <c r="E39" i="45"/>
  <c r="E43" i="45"/>
  <c r="E47" i="45"/>
  <c r="E51" i="45"/>
  <c r="E55" i="45"/>
  <c r="E59" i="45"/>
  <c r="E66" i="45"/>
  <c r="E70" i="45"/>
  <c r="E74" i="45"/>
  <c r="E78" i="45"/>
  <c r="E85" i="45"/>
  <c r="E100" i="45"/>
  <c r="E118" i="45"/>
  <c r="E126" i="45"/>
  <c r="E131" i="45"/>
  <c r="E136" i="45"/>
  <c r="E141" i="45"/>
  <c r="E146" i="45"/>
  <c r="E150" i="45"/>
  <c r="E155" i="45"/>
  <c r="E159" i="45"/>
  <c r="E170" i="45"/>
  <c r="E174" i="45"/>
  <c r="E178" i="45"/>
  <c r="E182" i="45"/>
  <c r="E186" i="45"/>
  <c r="E190" i="45"/>
  <c r="E194" i="45"/>
  <c r="E30" i="118"/>
  <c r="G30" i="118"/>
  <c r="E109" i="49"/>
  <c r="C206" i="46"/>
  <c r="C228" i="106"/>
  <c r="E31" i="90"/>
  <c r="E39" i="90"/>
  <c r="E39" i="24"/>
  <c r="G39" i="24"/>
  <c r="E51" i="24"/>
  <c r="E59" i="24"/>
  <c r="E143" i="157"/>
  <c r="G143" i="157"/>
  <c r="E11" i="158"/>
  <c r="E29" i="165"/>
  <c r="G29" i="165"/>
  <c r="D119" i="165"/>
  <c r="E78" i="142"/>
  <c r="E15" i="92"/>
  <c r="E31" i="1"/>
  <c r="G31" i="1"/>
  <c r="E55" i="1"/>
  <c r="E126" i="95"/>
  <c r="G126" i="95"/>
  <c r="E55" i="38"/>
  <c r="G55" i="38"/>
  <c r="E30" i="49"/>
  <c r="G30" i="49"/>
  <c r="E40" i="65"/>
  <c r="E71" i="65"/>
  <c r="E35" i="119"/>
  <c r="E96" i="119"/>
  <c r="E100" i="119"/>
  <c r="E126" i="119"/>
  <c r="E39" i="25"/>
  <c r="E55" i="25"/>
  <c r="G55" i="25"/>
  <c r="E66" i="25"/>
  <c r="E74" i="25"/>
  <c r="E78" i="25"/>
  <c r="E96" i="25"/>
  <c r="E166" i="25"/>
  <c r="E59" i="155"/>
  <c r="G59" i="155"/>
  <c r="E74" i="31"/>
  <c r="G227" i="85"/>
  <c r="G92" i="174"/>
  <c r="G160" i="149"/>
  <c r="G183" i="102"/>
  <c r="G189" i="37"/>
  <c r="G131" i="27"/>
  <c r="G174" i="37"/>
  <c r="G76" i="72"/>
  <c r="G123" i="84"/>
  <c r="G51" i="27"/>
  <c r="G44" i="84"/>
  <c r="G127" i="37"/>
  <c r="G167" i="37"/>
  <c r="G172" i="62"/>
  <c r="G187" i="32"/>
  <c r="G205" i="72"/>
  <c r="G96" i="62"/>
  <c r="G46" i="98"/>
  <c r="G12" i="27"/>
  <c r="E140" i="103"/>
  <c r="E145" i="103"/>
  <c r="E149" i="103"/>
  <c r="E158" i="103"/>
  <c r="E165" i="103"/>
  <c r="E173" i="103"/>
  <c r="E177" i="103"/>
  <c r="G177" i="103"/>
  <c r="E185" i="103"/>
  <c r="E189" i="103"/>
  <c r="E222" i="103"/>
  <c r="E14" i="118"/>
  <c r="E18" i="118"/>
  <c r="E26" i="118"/>
  <c r="E46" i="118"/>
  <c r="E92" i="118"/>
  <c r="G92" i="118"/>
  <c r="E106" i="118"/>
  <c r="G106" i="118"/>
  <c r="E29" i="66"/>
  <c r="G29" i="66"/>
  <c r="E37" i="66"/>
  <c r="E41" i="66"/>
  <c r="E45" i="66"/>
  <c r="E164" i="66"/>
  <c r="E231" i="66"/>
  <c r="E45" i="63"/>
  <c r="E49" i="63"/>
  <c r="E76" i="63"/>
  <c r="G76" i="63"/>
  <c r="D102" i="63"/>
  <c r="D111" i="63"/>
  <c r="D119" i="63"/>
  <c r="E157" i="63"/>
  <c r="E168" i="63"/>
  <c r="E151" i="62"/>
  <c r="E167" i="62"/>
  <c r="E171" i="62"/>
  <c r="E175" i="62"/>
  <c r="G175" i="62"/>
  <c r="E76" i="49"/>
  <c r="E91" i="49"/>
  <c r="E116" i="49"/>
  <c r="E133" i="49"/>
  <c r="E138" i="49"/>
  <c r="E143" i="49"/>
  <c r="E152" i="49"/>
  <c r="E164" i="49"/>
  <c r="G164" i="49"/>
  <c r="E180" i="49"/>
  <c r="E184" i="49"/>
  <c r="E192" i="49"/>
  <c r="E219" i="49"/>
  <c r="E227" i="49"/>
  <c r="E12" i="83"/>
  <c r="E16" i="83"/>
  <c r="E32" i="83"/>
  <c r="E36" i="83"/>
  <c r="G36" i="83"/>
  <c r="E40" i="83"/>
  <c r="E48" i="83"/>
  <c r="E71" i="83"/>
  <c r="E75" i="83"/>
  <c r="E82" i="83"/>
  <c r="E90" i="83"/>
  <c r="G90" i="83"/>
  <c r="E97" i="83"/>
  <c r="G97" i="83"/>
  <c r="E101" i="83"/>
  <c r="E108" i="83"/>
  <c r="G108" i="83"/>
  <c r="E115" i="83"/>
  <c r="D119" i="83"/>
  <c r="E142" i="83"/>
  <c r="C161" i="47"/>
  <c r="E132" i="47"/>
  <c r="E137" i="47"/>
  <c r="E147" i="47"/>
  <c r="E156" i="47"/>
  <c r="E160" i="47"/>
  <c r="E167" i="47"/>
  <c r="C197" i="47"/>
  <c r="E175" i="47"/>
  <c r="E179" i="47"/>
  <c r="G179" i="47"/>
  <c r="E190" i="47"/>
  <c r="E194" i="47"/>
  <c r="G194" i="47"/>
  <c r="E200" i="47"/>
  <c r="D206" i="47"/>
  <c r="E204" i="47"/>
  <c r="E223" i="47"/>
  <c r="E14" i="46"/>
  <c r="E18" i="46"/>
  <c r="D61" i="46"/>
  <c r="E30" i="46"/>
  <c r="E34" i="46"/>
  <c r="E38" i="46"/>
  <c r="E42" i="46"/>
  <c r="E46" i="46"/>
  <c r="E50" i="46"/>
  <c r="E54" i="46"/>
  <c r="G54" i="46"/>
  <c r="E65" i="46"/>
  <c r="E69" i="46"/>
  <c r="E77" i="46"/>
  <c r="D93" i="46"/>
  <c r="E88" i="46"/>
  <c r="E99" i="46"/>
  <c r="E106" i="46"/>
  <c r="D111" i="46"/>
  <c r="E136" i="46"/>
  <c r="E150" i="46"/>
  <c r="E159" i="46"/>
  <c r="E170" i="46"/>
  <c r="E174" i="46"/>
  <c r="E182" i="46"/>
  <c r="E190" i="46"/>
  <c r="E194" i="46"/>
  <c r="E224" i="46"/>
  <c r="E226" i="45"/>
  <c r="E12" i="106"/>
  <c r="E16" i="106"/>
  <c r="E20" i="106"/>
  <c r="E32" i="106"/>
  <c r="G32" i="106"/>
  <c r="D93" i="106"/>
  <c r="E101" i="106"/>
  <c r="E108" i="106"/>
  <c r="E115" i="106"/>
  <c r="G115" i="106"/>
  <c r="D119" i="106"/>
  <c r="E123" i="106"/>
  <c r="E132" i="106"/>
  <c r="E142" i="106"/>
  <c r="E156" i="106"/>
  <c r="E160" i="106"/>
  <c r="G160" i="106"/>
  <c r="D197" i="106"/>
  <c r="E167" i="106"/>
  <c r="E171" i="106"/>
  <c r="E175" i="106"/>
  <c r="E179" i="106"/>
  <c r="E183" i="106"/>
  <c r="E191" i="106"/>
  <c r="E195" i="106"/>
  <c r="E11" i="104"/>
  <c r="E15" i="104"/>
  <c r="E27" i="104"/>
  <c r="E31" i="104"/>
  <c r="E35" i="104"/>
  <c r="E47" i="104"/>
  <c r="E51" i="104"/>
  <c r="E55" i="104"/>
  <c r="E59" i="104"/>
  <c r="E66" i="104"/>
  <c r="E89" i="104"/>
  <c r="G89" i="104"/>
  <c r="E107" i="104"/>
  <c r="D119" i="104"/>
  <c r="E118" i="104"/>
  <c r="E126" i="104"/>
  <c r="E141" i="104"/>
  <c r="E146" i="104"/>
  <c r="G146" i="104"/>
  <c r="E150" i="104"/>
  <c r="E155" i="104"/>
  <c r="E159" i="104"/>
  <c r="E166" i="104"/>
  <c r="E178" i="104"/>
  <c r="E194" i="104"/>
  <c r="E200" i="43"/>
  <c r="E11" i="175"/>
  <c r="G11" i="175"/>
  <c r="D21" i="175"/>
  <c r="E15" i="175"/>
  <c r="E27" i="175"/>
  <c r="E31" i="175"/>
  <c r="G31" i="175"/>
  <c r="E66" i="175"/>
  <c r="E70" i="175"/>
  <c r="E89" i="175"/>
  <c r="D102" i="175"/>
  <c r="E96" i="175"/>
  <c r="G96" i="175"/>
  <c r="E100" i="175"/>
  <c r="E107" i="175"/>
  <c r="D111" i="175"/>
  <c r="D119" i="175"/>
  <c r="E114" i="175"/>
  <c r="E118" i="175"/>
  <c r="E131" i="175"/>
  <c r="G131" i="175"/>
  <c r="E136" i="175"/>
  <c r="E141" i="175"/>
  <c r="E146" i="175"/>
  <c r="E150" i="175"/>
  <c r="E174" i="175"/>
  <c r="E194" i="175"/>
  <c r="D206" i="175"/>
  <c r="E201" i="175"/>
  <c r="E205" i="175"/>
  <c r="E225" i="175"/>
  <c r="G225" i="175"/>
  <c r="E20" i="84"/>
  <c r="E28" i="84"/>
  <c r="E32" i="84"/>
  <c r="E36" i="84"/>
  <c r="E56" i="84"/>
  <c r="E75" i="84"/>
  <c r="E82" i="84"/>
  <c r="G82" i="84"/>
  <c r="E86" i="84"/>
  <c r="E90" i="84"/>
  <c r="E101" i="84"/>
  <c r="E108" i="84"/>
  <c r="G108" i="84"/>
  <c r="E127" i="84"/>
  <c r="E132" i="84"/>
  <c r="E137" i="84"/>
  <c r="E151" i="84"/>
  <c r="E156" i="84"/>
  <c r="G156" i="84"/>
  <c r="E160" i="84"/>
  <c r="E167" i="84"/>
  <c r="E171" i="84"/>
  <c r="E175" i="84"/>
  <c r="E179" i="84"/>
  <c r="E187" i="84"/>
  <c r="E191" i="84"/>
  <c r="E195" i="84"/>
  <c r="E219" i="84"/>
  <c r="E20" i="71"/>
  <c r="E101" i="71"/>
  <c r="E123" i="71"/>
  <c r="G123" i="71"/>
  <c r="E127" i="71"/>
  <c r="G127" i="71"/>
  <c r="E167" i="71"/>
  <c r="E171" i="71"/>
  <c r="E175" i="71"/>
  <c r="E187" i="71"/>
  <c r="E191" i="71"/>
  <c r="E202" i="71"/>
  <c r="G71" i="177"/>
  <c r="G227" i="175"/>
  <c r="G186" i="79"/>
  <c r="G148" i="85"/>
  <c r="G225" i="149"/>
  <c r="E53" i="39"/>
  <c r="E57" i="39"/>
  <c r="E64" i="39"/>
  <c r="C79" i="39"/>
  <c r="E68" i="39"/>
  <c r="G68" i="39"/>
  <c r="E72" i="39"/>
  <c r="E76" i="39"/>
  <c r="E83" i="39"/>
  <c r="E87" i="39"/>
  <c r="E91" i="39"/>
  <c r="E105" i="39"/>
  <c r="E109" i="39"/>
  <c r="E116" i="39"/>
  <c r="E129" i="39"/>
  <c r="E133" i="39"/>
  <c r="E138" i="39"/>
  <c r="E203" i="39"/>
  <c r="E220" i="39"/>
  <c r="E14" i="133"/>
  <c r="E18" i="133"/>
  <c r="E26" i="133"/>
  <c r="E46" i="133"/>
  <c r="E50" i="133"/>
  <c r="G50" i="133"/>
  <c r="E58" i="133"/>
  <c r="E65" i="133"/>
  <c r="E88" i="133"/>
  <c r="E99" i="133"/>
  <c r="E110" i="133"/>
  <c r="E125" i="133"/>
  <c r="E135" i="133"/>
  <c r="E140" i="133"/>
  <c r="E153" i="133"/>
  <c r="E169" i="133"/>
  <c r="E173" i="133"/>
  <c r="E177" i="133"/>
  <c r="E181" i="133"/>
  <c r="E185" i="133"/>
  <c r="E189" i="133"/>
  <c r="E200" i="133"/>
  <c r="E223" i="133"/>
  <c r="E14" i="152"/>
  <c r="D21" i="152"/>
  <c r="E18" i="152"/>
  <c r="E26" i="152"/>
  <c r="G26" i="152"/>
  <c r="E30" i="152"/>
  <c r="E34" i="152"/>
  <c r="E38" i="152"/>
  <c r="E42" i="152"/>
  <c r="E46" i="152"/>
  <c r="E50" i="152"/>
  <c r="G50" i="152"/>
  <c r="E54" i="152"/>
  <c r="E73" i="152"/>
  <c r="E84" i="152"/>
  <c r="G84" i="152"/>
  <c r="E88" i="152"/>
  <c r="E117" i="152"/>
  <c r="G117" i="152"/>
  <c r="E130" i="152"/>
  <c r="G130" i="152"/>
  <c r="E135" i="152"/>
  <c r="E145" i="152"/>
  <c r="E158" i="152"/>
  <c r="E177" i="152"/>
  <c r="E181" i="152"/>
  <c r="E189" i="152"/>
  <c r="G189" i="152"/>
  <c r="E193" i="152"/>
  <c r="E204" i="152"/>
  <c r="E223" i="152"/>
  <c r="E14" i="120"/>
  <c r="G14" i="120"/>
  <c r="E18" i="120"/>
  <c r="G18" i="120"/>
  <c r="E34" i="120"/>
  <c r="G34" i="120"/>
  <c r="E50" i="120"/>
  <c r="E64" i="120"/>
  <c r="G64" i="120"/>
  <c r="E72" i="120"/>
  <c r="E76" i="120"/>
  <c r="E83" i="120"/>
  <c r="E91" i="120"/>
  <c r="D102" i="120"/>
  <c r="E109" i="120"/>
  <c r="D119" i="120"/>
  <c r="E124" i="120"/>
  <c r="E133" i="120"/>
  <c r="E138" i="120"/>
  <c r="E143" i="120"/>
  <c r="E148" i="120"/>
  <c r="E157" i="120"/>
  <c r="E168" i="120"/>
  <c r="E15" i="90"/>
  <c r="E27" i="90"/>
  <c r="E35" i="90"/>
  <c r="E43" i="90"/>
  <c r="E47" i="90"/>
  <c r="G47" i="90"/>
  <c r="E51" i="90"/>
  <c r="E55" i="90"/>
  <c r="E59" i="90"/>
  <c r="E66" i="90"/>
  <c r="E70" i="90"/>
  <c r="E74" i="90"/>
  <c r="E85" i="90"/>
  <c r="E89" i="90"/>
  <c r="E100" i="90"/>
  <c r="E114" i="90"/>
  <c r="E126" i="90"/>
  <c r="E131" i="90"/>
  <c r="E146" i="90"/>
  <c r="E170" i="90"/>
  <c r="E174" i="90"/>
  <c r="E178" i="90"/>
  <c r="E182" i="90"/>
  <c r="E186" i="90"/>
  <c r="E194" i="90"/>
  <c r="C206" i="90"/>
  <c r="E201" i="90"/>
  <c r="E205" i="90"/>
  <c r="E11" i="24"/>
  <c r="E15" i="24"/>
  <c r="G15" i="24"/>
  <c r="E27" i="24"/>
  <c r="E31" i="24"/>
  <c r="G31" i="24"/>
  <c r="E35" i="24"/>
  <c r="G35" i="24"/>
  <c r="E43" i="24"/>
  <c r="E47" i="24"/>
  <c r="E55" i="24"/>
  <c r="E66" i="24"/>
  <c r="E70" i="24"/>
  <c r="E99" i="24"/>
  <c r="E110" i="24"/>
  <c r="E117" i="24"/>
  <c r="E125" i="24"/>
  <c r="E130" i="24"/>
  <c r="E135" i="24"/>
  <c r="E145" i="24"/>
  <c r="E149" i="24"/>
  <c r="E153" i="24"/>
  <c r="E165" i="24"/>
  <c r="E173" i="24"/>
  <c r="G173" i="24"/>
  <c r="E45" i="156"/>
  <c r="E53" i="156"/>
  <c r="E57" i="156"/>
  <c r="E64" i="156"/>
  <c r="E72" i="156"/>
  <c r="E83" i="156"/>
  <c r="E98" i="156"/>
  <c r="E116" i="156"/>
  <c r="E124" i="156"/>
  <c r="G124" i="156"/>
  <c r="E148" i="156"/>
  <c r="E157" i="156"/>
  <c r="E168" i="156"/>
  <c r="E176" i="156"/>
  <c r="E180" i="156"/>
  <c r="G180" i="156"/>
  <c r="E184" i="156"/>
  <c r="E196" i="156"/>
  <c r="E221" i="156"/>
  <c r="G221" i="156"/>
  <c r="E14" i="42"/>
  <c r="G14" i="42"/>
  <c r="E26" i="42"/>
  <c r="G26" i="42"/>
  <c r="D61" i="42"/>
  <c r="E34" i="42"/>
  <c r="E38" i="42"/>
  <c r="E42" i="42"/>
  <c r="E46" i="42"/>
  <c r="E50" i="42"/>
  <c r="E54" i="42"/>
  <c r="E58" i="42"/>
  <c r="E65" i="42"/>
  <c r="D79" i="42"/>
  <c r="E69" i="42"/>
  <c r="E73" i="42"/>
  <c r="E77" i="42"/>
  <c r="G77" i="42"/>
  <c r="E84" i="42"/>
  <c r="E92" i="42"/>
  <c r="D102" i="42"/>
  <c r="E99" i="42"/>
  <c r="E106" i="42"/>
  <c r="G106" i="42"/>
  <c r="D111" i="42"/>
  <c r="E117" i="42"/>
  <c r="E130" i="42"/>
  <c r="E135" i="42"/>
  <c r="E140" i="42"/>
  <c r="E145" i="42"/>
  <c r="E149" i="42"/>
  <c r="E153" i="42"/>
  <c r="E158" i="42"/>
  <c r="G158" i="42"/>
  <c r="E169" i="42"/>
  <c r="E173" i="42"/>
  <c r="E177" i="42"/>
  <c r="G177" i="42"/>
  <c r="E181" i="42"/>
  <c r="E204" i="42"/>
  <c r="D21" i="157"/>
  <c r="E42" i="157"/>
  <c r="E58" i="157"/>
  <c r="G58" i="157"/>
  <c r="E87" i="157"/>
  <c r="G87" i="157"/>
  <c r="E91" i="157"/>
  <c r="G91" i="157"/>
  <c r="E98" i="157"/>
  <c r="E105" i="157"/>
  <c r="E109" i="157"/>
  <c r="E116" i="157"/>
  <c r="E124" i="157"/>
  <c r="G124" i="157"/>
  <c r="E138" i="157"/>
  <c r="E148" i="157"/>
  <c r="G148" i="157"/>
  <c r="E152" i="157"/>
  <c r="E157" i="157"/>
  <c r="E172" i="157"/>
  <c r="E176" i="157"/>
  <c r="E180" i="157"/>
  <c r="E184" i="157"/>
  <c r="E196" i="157"/>
  <c r="E203" i="157"/>
  <c r="D206" i="157"/>
  <c r="E221" i="157"/>
  <c r="C228" i="157"/>
  <c r="E231" i="157"/>
  <c r="G231" i="157"/>
  <c r="G235" i="157"/>
  <c r="K15" i="157"/>
  <c r="E15" i="158"/>
  <c r="G15" i="158"/>
  <c r="D161" i="16"/>
  <c r="E11" i="27"/>
  <c r="E19" i="27"/>
  <c r="G19" i="27"/>
  <c r="E27" i="27"/>
  <c r="E31" i="27"/>
  <c r="E35" i="27"/>
  <c r="E47" i="27"/>
  <c r="E59" i="27"/>
  <c r="E66" i="27"/>
  <c r="E74" i="27"/>
  <c r="E78" i="27"/>
  <c r="E85" i="27"/>
  <c r="E96" i="27"/>
  <c r="E114" i="27"/>
  <c r="E118" i="27"/>
  <c r="E126" i="27"/>
  <c r="G126" i="27"/>
  <c r="E136" i="27"/>
  <c r="E146" i="27"/>
  <c r="E155" i="27"/>
  <c r="G155" i="27"/>
  <c r="E159" i="27"/>
  <c r="G159" i="27"/>
  <c r="E166" i="27"/>
  <c r="E174" i="27"/>
  <c r="E186" i="27"/>
  <c r="E190" i="27"/>
  <c r="E205" i="27"/>
  <c r="E13" i="165"/>
  <c r="E25" i="165"/>
  <c r="G25" i="165"/>
  <c r="E33" i="165"/>
  <c r="E37" i="165"/>
  <c r="G37" i="165"/>
  <c r="E41" i="165"/>
  <c r="E49" i="165"/>
  <c r="G49" i="165"/>
  <c r="E57" i="165"/>
  <c r="E64" i="165"/>
  <c r="G64" i="165"/>
  <c r="E68" i="165"/>
  <c r="E72" i="165"/>
  <c r="E76" i="165"/>
  <c r="E98" i="165"/>
  <c r="G98" i="165"/>
  <c r="E105" i="165"/>
  <c r="E109" i="165"/>
  <c r="E124" i="165"/>
  <c r="E129" i="165"/>
  <c r="G129" i="165"/>
  <c r="E148" i="165"/>
  <c r="E157" i="165"/>
  <c r="E184" i="165"/>
  <c r="G221" i="45"/>
  <c r="G232" i="45"/>
  <c r="G225" i="45"/>
  <c r="E118" i="149"/>
  <c r="G118" i="149"/>
  <c r="E47" i="149"/>
  <c r="G47" i="149"/>
  <c r="E178" i="149"/>
  <c r="E88" i="14"/>
  <c r="E18" i="45"/>
  <c r="E26" i="45"/>
  <c r="E42" i="45"/>
  <c r="E50" i="45"/>
  <c r="E54" i="45"/>
  <c r="E69" i="45"/>
  <c r="E117" i="45"/>
  <c r="E135" i="45"/>
  <c r="G149" i="45"/>
  <c r="E169" i="45"/>
  <c r="E177" i="45"/>
  <c r="E181" i="45"/>
  <c r="E189" i="45"/>
  <c r="E193" i="45"/>
  <c r="E204" i="45"/>
  <c r="E223" i="45"/>
  <c r="E74" i="106"/>
  <c r="E96" i="106"/>
  <c r="E166" i="106"/>
  <c r="E224" i="106"/>
  <c r="G224" i="106"/>
  <c r="E25" i="43"/>
  <c r="E29" i="43"/>
  <c r="E33" i="43"/>
  <c r="G33" i="43"/>
  <c r="E45" i="43"/>
  <c r="E53" i="43"/>
  <c r="E64" i="43"/>
  <c r="E83" i="43"/>
  <c r="E105" i="43"/>
  <c r="E138" i="43"/>
  <c r="E143" i="43"/>
  <c r="E164" i="43"/>
  <c r="E168" i="43"/>
  <c r="E176" i="43"/>
  <c r="G176" i="43"/>
  <c r="E184" i="43"/>
  <c r="E78" i="84"/>
  <c r="E114" i="84"/>
  <c r="E131" i="84"/>
  <c r="E224" i="84"/>
  <c r="E18" i="71"/>
  <c r="E88" i="71"/>
  <c r="E15" i="39"/>
  <c r="E19" i="39"/>
  <c r="E74" i="39"/>
  <c r="E225" i="39"/>
  <c r="E180" i="133"/>
  <c r="E184" i="133"/>
  <c r="E188" i="133"/>
  <c r="E220" i="133"/>
  <c r="G220" i="133"/>
  <c r="E17" i="152"/>
  <c r="E29" i="152"/>
  <c r="E41" i="152"/>
  <c r="E57" i="152"/>
  <c r="E68" i="152"/>
  <c r="E87" i="152"/>
  <c r="E133" i="152"/>
  <c r="G133" i="152"/>
  <c r="E138" i="152"/>
  <c r="E152" i="152"/>
  <c r="E168" i="152"/>
  <c r="E176" i="152"/>
  <c r="G176" i="152"/>
  <c r="E196" i="152"/>
  <c r="E220" i="152"/>
  <c r="E67" i="120"/>
  <c r="E75" i="120"/>
  <c r="G75" i="120"/>
  <c r="E101" i="120"/>
  <c r="E123" i="120"/>
  <c r="E151" i="120"/>
  <c r="G151" i="120"/>
  <c r="E160" i="120"/>
  <c r="E175" i="120"/>
  <c r="E179" i="120"/>
  <c r="E191" i="120"/>
  <c r="E25" i="90"/>
  <c r="E72" i="90"/>
  <c r="E76" i="90"/>
  <c r="E98" i="90"/>
  <c r="E109" i="90"/>
  <c r="E172" i="90"/>
  <c r="E180" i="90"/>
  <c r="E184" i="90"/>
  <c r="E231" i="90"/>
  <c r="E17" i="24"/>
  <c r="E33" i="24"/>
  <c r="E49" i="24"/>
  <c r="E53" i="24"/>
  <c r="E64" i="24"/>
  <c r="E72" i="24"/>
  <c r="E133" i="24"/>
  <c r="G133" i="24"/>
  <c r="E143" i="24"/>
  <c r="E148" i="24"/>
  <c r="E64" i="28"/>
  <c r="E129" i="28"/>
  <c r="E25" i="65"/>
  <c r="E72" i="65"/>
  <c r="E138" i="65"/>
  <c r="E175" i="119"/>
  <c r="E227" i="25"/>
  <c r="E202" i="155"/>
  <c r="G202" i="155"/>
  <c r="E85" i="149"/>
  <c r="E39" i="149"/>
  <c r="E150" i="149"/>
  <c r="E58" i="14"/>
  <c r="E33" i="55"/>
  <c r="E37" i="55"/>
  <c r="E87" i="55"/>
  <c r="E164" i="55"/>
  <c r="E196" i="55"/>
  <c r="E38" i="14"/>
  <c r="E99" i="14"/>
  <c r="E110" i="14"/>
  <c r="E15" i="149"/>
  <c r="E19" i="149"/>
  <c r="E31" i="149"/>
  <c r="E59" i="149"/>
  <c r="E66" i="149"/>
  <c r="E100" i="149"/>
  <c r="E114" i="149"/>
  <c r="G114" i="149"/>
  <c r="E166" i="149"/>
  <c r="E70" i="149"/>
  <c r="E136" i="149"/>
  <c r="E55" i="149"/>
  <c r="G55" i="149"/>
  <c r="E11" i="149"/>
  <c r="G11" i="149"/>
  <c r="E51" i="149"/>
  <c r="G13" i="45"/>
  <c r="G77" i="79"/>
  <c r="E222" i="54"/>
  <c r="E108" i="15"/>
  <c r="E14" i="68"/>
  <c r="E18" i="68"/>
  <c r="E77" i="68"/>
  <c r="G77" i="68"/>
  <c r="E232" i="68"/>
  <c r="G232" i="68"/>
  <c r="E220" i="62"/>
  <c r="G220" i="62"/>
  <c r="E41" i="53"/>
  <c r="G41" i="53"/>
  <c r="E49" i="53"/>
  <c r="E168" i="53"/>
  <c r="E224" i="47"/>
  <c r="G72" i="45"/>
  <c r="G105" i="45"/>
  <c r="G87" i="45"/>
  <c r="E44" i="60"/>
  <c r="G44" i="60"/>
  <c r="E16" i="54"/>
  <c r="E99" i="103"/>
  <c r="E220" i="118"/>
  <c r="E42" i="133"/>
  <c r="E224" i="158"/>
  <c r="E43" i="27"/>
  <c r="E55" i="27"/>
  <c r="E220" i="165"/>
  <c r="E69" i="172"/>
  <c r="E99" i="145"/>
  <c r="G99" i="145"/>
  <c r="E18" i="156"/>
  <c r="E74" i="155"/>
  <c r="E28" i="86"/>
  <c r="E32" i="86"/>
  <c r="E44" i="86"/>
  <c r="G44" i="86"/>
  <c r="E225" i="164"/>
  <c r="E130" i="62"/>
  <c r="E108" i="65"/>
  <c r="E35" i="157"/>
  <c r="E45" i="149"/>
  <c r="E49" i="149"/>
  <c r="E72" i="149"/>
  <c r="E83" i="149"/>
  <c r="E105" i="149"/>
  <c r="E133" i="149"/>
  <c r="E40" i="54"/>
  <c r="E75" i="54"/>
  <c r="E127" i="94"/>
  <c r="E30" i="45"/>
  <c r="E34" i="45"/>
  <c r="E38" i="45"/>
  <c r="E46" i="45"/>
  <c r="E58" i="45"/>
  <c r="E65" i="45"/>
  <c r="E73" i="45"/>
  <c r="E88" i="45"/>
  <c r="E92" i="45"/>
  <c r="E99" i="45"/>
  <c r="E106" i="45"/>
  <c r="E110" i="45"/>
  <c r="E125" i="45"/>
  <c r="E130" i="45"/>
  <c r="E140" i="45"/>
  <c r="E145" i="45"/>
  <c r="E153" i="45"/>
  <c r="E158" i="45"/>
  <c r="E165" i="45"/>
  <c r="E173" i="45"/>
  <c r="E185" i="45"/>
  <c r="E200" i="45"/>
  <c r="E106" i="71"/>
  <c r="E131" i="39"/>
  <c r="E25" i="24"/>
  <c r="E36" i="60"/>
  <c r="E166" i="145"/>
  <c r="E73" i="47"/>
  <c r="G73" i="47"/>
  <c r="E138" i="133"/>
  <c r="E17" i="120"/>
  <c r="E25" i="120"/>
  <c r="E25" i="141"/>
  <c r="G25" i="141"/>
  <c r="E42" i="38"/>
  <c r="E99" i="38"/>
  <c r="G99" i="38"/>
  <c r="E177" i="38"/>
  <c r="E60" i="150"/>
  <c r="E191" i="145"/>
  <c r="E56" i="62"/>
  <c r="C61" i="46"/>
  <c r="E192" i="149"/>
  <c r="E196" i="149"/>
  <c r="E86" i="172"/>
  <c r="C161" i="15"/>
  <c r="C119" i="47"/>
  <c r="E149" i="149"/>
  <c r="E85" i="31"/>
  <c r="D21" i="60"/>
  <c r="E19" i="58"/>
  <c r="E89" i="58"/>
  <c r="G89" i="58"/>
  <c r="E11" i="49"/>
  <c r="E19" i="49"/>
  <c r="E58" i="83"/>
  <c r="E200" i="106"/>
  <c r="E164" i="175"/>
  <c r="E140" i="84"/>
  <c r="E14" i="156"/>
  <c r="G14" i="156"/>
  <c r="G232" i="145"/>
  <c r="G222" i="145"/>
  <c r="G233" i="145"/>
  <c r="E146" i="145"/>
  <c r="E11" i="145"/>
  <c r="E189" i="145"/>
  <c r="E18" i="145"/>
  <c r="E77" i="145"/>
  <c r="E205" i="145"/>
  <c r="E136" i="145"/>
  <c r="E145" i="145"/>
  <c r="E224" i="145"/>
  <c r="E172" i="145"/>
  <c r="E105" i="145"/>
  <c r="E185" i="145"/>
  <c r="E50" i="145"/>
  <c r="E84" i="145"/>
  <c r="E92" i="145"/>
  <c r="E35" i="145"/>
  <c r="E114" i="145"/>
  <c r="E149" i="145"/>
  <c r="G149" i="145"/>
  <c r="E117" i="145"/>
  <c r="E100" i="145"/>
  <c r="E130" i="145"/>
  <c r="E41" i="145"/>
  <c r="E88" i="145"/>
  <c r="E173" i="145"/>
  <c r="E69" i="145"/>
  <c r="E59" i="145"/>
  <c r="D93" i="145"/>
  <c r="E106" i="145"/>
  <c r="E19" i="145"/>
  <c r="E30" i="145"/>
  <c r="G30" i="145"/>
  <c r="E225" i="145"/>
  <c r="E129" i="145"/>
  <c r="E74" i="145"/>
  <c r="E125" i="145"/>
  <c r="G125" i="145"/>
  <c r="E73" i="145"/>
  <c r="G73" i="145"/>
  <c r="C111" i="145"/>
  <c r="E182" i="145"/>
  <c r="E55" i="145"/>
  <c r="E193" i="145"/>
  <c r="E148" i="145"/>
  <c r="E140" i="145"/>
  <c r="E14" i="145"/>
  <c r="G14" i="145"/>
  <c r="E227" i="145"/>
  <c r="G45" i="20"/>
  <c r="G165" i="133"/>
  <c r="G170" i="69"/>
  <c r="G164" i="85"/>
  <c r="G44" i="72"/>
  <c r="E26" i="38"/>
  <c r="E65" i="38"/>
  <c r="E84" i="38"/>
  <c r="E106" i="38"/>
  <c r="E130" i="38"/>
  <c r="E149" i="38"/>
  <c r="E165" i="38"/>
  <c r="E189" i="38"/>
  <c r="E85" i="177"/>
  <c r="E107" i="177"/>
  <c r="G107" i="177"/>
  <c r="E136" i="177"/>
  <c r="G148" i="156"/>
  <c r="G107" i="62"/>
  <c r="E205" i="177"/>
  <c r="E55" i="177"/>
  <c r="E170" i="177"/>
  <c r="G221" i="167"/>
  <c r="G150" i="37"/>
  <c r="G186" i="106"/>
  <c r="E173" i="38"/>
  <c r="G138" i="113"/>
  <c r="G98" i="155"/>
  <c r="G200" i="177"/>
  <c r="G189" i="27"/>
  <c r="G171" i="72"/>
  <c r="E33" i="31"/>
  <c r="E73" i="38"/>
  <c r="E92" i="38"/>
  <c r="E125" i="38"/>
  <c r="E193" i="38"/>
  <c r="G193" i="38"/>
  <c r="E146" i="177"/>
  <c r="E178" i="177"/>
  <c r="E190" i="177"/>
  <c r="E224" i="177"/>
  <c r="E166" i="177"/>
  <c r="G166" i="177"/>
  <c r="G108" i="167"/>
  <c r="G67" i="167"/>
  <c r="G48" i="167"/>
  <c r="G12" i="167"/>
  <c r="G49" i="167"/>
  <c r="E174" i="177"/>
  <c r="G69" i="104"/>
  <c r="G194" i="37"/>
  <c r="G167" i="27"/>
  <c r="G133" i="72"/>
  <c r="E18" i="38"/>
  <c r="E38" i="38"/>
  <c r="E50" i="38"/>
  <c r="E69" i="38"/>
  <c r="E88" i="38"/>
  <c r="G88" i="38"/>
  <c r="E110" i="38"/>
  <c r="E135" i="38"/>
  <c r="E153" i="38"/>
  <c r="G153" i="38"/>
  <c r="E169" i="38"/>
  <c r="E185" i="38"/>
  <c r="E223" i="38"/>
  <c r="E47" i="177"/>
  <c r="E100" i="177"/>
  <c r="E150" i="177"/>
  <c r="G150" i="177"/>
  <c r="E155" i="177"/>
  <c r="E201" i="177"/>
  <c r="G226" i="150"/>
  <c r="G33" i="167"/>
  <c r="G39" i="37"/>
  <c r="G174" i="1"/>
  <c r="G204" i="27"/>
  <c r="G187" i="42"/>
  <c r="E34" i="38"/>
  <c r="E54" i="38"/>
  <c r="G54" i="38"/>
  <c r="E77" i="38"/>
  <c r="E145" i="38"/>
  <c r="E158" i="38"/>
  <c r="E181" i="38"/>
  <c r="E200" i="38"/>
  <c r="G200" i="38"/>
  <c r="E31" i="177"/>
  <c r="E43" i="177"/>
  <c r="E59" i="177"/>
  <c r="E78" i="177"/>
  <c r="E114" i="177"/>
  <c r="E141" i="177"/>
  <c r="E156" i="150"/>
  <c r="G156" i="150"/>
  <c r="G147" i="84"/>
  <c r="G96" i="149"/>
  <c r="E19" i="177"/>
  <c r="G221" i="164"/>
  <c r="E49" i="31"/>
  <c r="G106" i="72"/>
  <c r="G168" i="85"/>
  <c r="G28" i="149"/>
  <c r="G177" i="27"/>
  <c r="G29" i="172"/>
  <c r="E30" i="38"/>
  <c r="E58" i="38"/>
  <c r="E140" i="38"/>
  <c r="E204" i="38"/>
  <c r="E70" i="177"/>
  <c r="E96" i="177"/>
  <c r="E194" i="177"/>
  <c r="G194" i="177"/>
  <c r="G169" i="177"/>
  <c r="G106" i="113"/>
  <c r="E118" i="177"/>
  <c r="E89" i="177"/>
  <c r="E182" i="177"/>
  <c r="G182" i="177"/>
  <c r="E186" i="177"/>
  <c r="E66" i="177"/>
  <c r="G66" i="177"/>
  <c r="G114" i="62"/>
  <c r="G192" i="176"/>
  <c r="G129" i="62"/>
  <c r="G19" i="90"/>
  <c r="G226" i="72"/>
  <c r="G110" i="92"/>
  <c r="E149" i="133"/>
  <c r="E56" i="149"/>
  <c r="G56" i="149"/>
  <c r="G219" i="149"/>
  <c r="E16" i="172"/>
  <c r="E11" i="143"/>
  <c r="E15" i="143"/>
  <c r="E19" i="143"/>
  <c r="E27" i="143"/>
  <c r="E31" i="143"/>
  <c r="E35" i="143"/>
  <c r="G35" i="143"/>
  <c r="E39" i="143"/>
  <c r="E43" i="143"/>
  <c r="E47" i="143"/>
  <c r="E51" i="143"/>
  <c r="E55" i="143"/>
  <c r="E59" i="143"/>
  <c r="G59" i="143"/>
  <c r="E66" i="143"/>
  <c r="G66" i="143"/>
  <c r="E70" i="143"/>
  <c r="E74" i="143"/>
  <c r="G74" i="143"/>
  <c r="E78" i="143"/>
  <c r="G78" i="143"/>
  <c r="E85" i="143"/>
  <c r="E89" i="143"/>
  <c r="E96" i="143"/>
  <c r="E100" i="143"/>
  <c r="G100" i="143"/>
  <c r="E107" i="143"/>
  <c r="G107" i="143"/>
  <c r="E114" i="143"/>
  <c r="E118" i="143"/>
  <c r="E126" i="143"/>
  <c r="E131" i="143"/>
  <c r="E136" i="143"/>
  <c r="E141" i="143"/>
  <c r="E146" i="143"/>
  <c r="G146" i="143"/>
  <c r="E51" i="10"/>
  <c r="E55" i="10"/>
  <c r="E59" i="10"/>
  <c r="E66" i="10"/>
  <c r="E225" i="10"/>
  <c r="G225" i="10"/>
  <c r="E27" i="87"/>
  <c r="E43" i="87"/>
  <c r="G43" i="87"/>
  <c r="E89" i="87"/>
  <c r="E107" i="87"/>
  <c r="E136" i="87"/>
  <c r="E141" i="87"/>
  <c r="G141" i="87"/>
  <c r="E205" i="87"/>
  <c r="E225" i="87"/>
  <c r="G225" i="87"/>
  <c r="E11" i="86"/>
  <c r="G11" i="86"/>
  <c r="E15" i="86"/>
  <c r="G15" i="86"/>
  <c r="E19" i="86"/>
  <c r="E190" i="86"/>
  <c r="E201" i="86"/>
  <c r="E225" i="86"/>
  <c r="E11" i="89"/>
  <c r="E19" i="89"/>
  <c r="E27" i="89"/>
  <c r="E35" i="89"/>
  <c r="E39" i="89"/>
  <c r="E47" i="89"/>
  <c r="E51" i="89"/>
  <c r="E55" i="89"/>
  <c r="G55" i="89"/>
  <c r="E59" i="89"/>
  <c r="E70" i="89"/>
  <c r="G70" i="89"/>
  <c r="E74" i="89"/>
  <c r="E78" i="89"/>
  <c r="E85" i="89"/>
  <c r="E96" i="89"/>
  <c r="E100" i="89"/>
  <c r="E118" i="89"/>
  <c r="E155" i="89"/>
  <c r="E166" i="89"/>
  <c r="G166" i="89"/>
  <c r="E174" i="89"/>
  <c r="E182" i="89"/>
  <c r="E190" i="89"/>
  <c r="E225" i="89"/>
  <c r="E11" i="69"/>
  <c r="E15" i="69"/>
  <c r="E35" i="69"/>
  <c r="E47" i="69"/>
  <c r="E55" i="69"/>
  <c r="E59" i="69"/>
  <c r="E70" i="69"/>
  <c r="E74" i="69"/>
  <c r="G74" i="69"/>
  <c r="E100" i="69"/>
  <c r="E150" i="69"/>
  <c r="E225" i="69"/>
  <c r="E11" i="142"/>
  <c r="E19" i="142"/>
  <c r="E27" i="142"/>
  <c r="E31" i="142"/>
  <c r="E43" i="142"/>
  <c r="E47" i="142"/>
  <c r="E51" i="142"/>
  <c r="E55" i="142"/>
  <c r="E70" i="142"/>
  <c r="E74" i="142"/>
  <c r="E85" i="142"/>
  <c r="E224" i="142"/>
  <c r="E11" i="92"/>
  <c r="E19" i="92"/>
  <c r="E27" i="92"/>
  <c r="E39" i="92"/>
  <c r="G39" i="92"/>
  <c r="E43" i="92"/>
  <c r="E55" i="92"/>
  <c r="E59" i="92"/>
  <c r="E70" i="92"/>
  <c r="G70" i="92"/>
  <c r="E96" i="92"/>
  <c r="E224" i="92"/>
  <c r="G224" i="92"/>
  <c r="E11" i="1"/>
  <c r="E15" i="1"/>
  <c r="E19" i="1"/>
  <c r="E27" i="1"/>
  <c r="G27" i="1"/>
  <c r="E35" i="1"/>
  <c r="E39" i="1"/>
  <c r="E43" i="1"/>
  <c r="E47" i="1"/>
  <c r="E51" i="1"/>
  <c r="E59" i="1"/>
  <c r="E70" i="1"/>
  <c r="E78" i="1"/>
  <c r="E85" i="1"/>
  <c r="G85" i="1"/>
  <c r="E89" i="1"/>
  <c r="E100" i="1"/>
  <c r="E70" i="50"/>
  <c r="E114" i="50"/>
  <c r="E126" i="50"/>
  <c r="E131" i="50"/>
  <c r="E136" i="50"/>
  <c r="E224" i="50"/>
  <c r="E11" i="95"/>
  <c r="E15" i="95"/>
  <c r="E19" i="95"/>
  <c r="E27" i="95"/>
  <c r="E11" i="38"/>
  <c r="E15" i="38"/>
  <c r="E19" i="38"/>
  <c r="E27" i="38"/>
  <c r="E31" i="38"/>
  <c r="E35" i="38"/>
  <c r="E39" i="38"/>
  <c r="E43" i="38"/>
  <c r="E47" i="38"/>
  <c r="E51" i="38"/>
  <c r="E59" i="38"/>
  <c r="E66" i="38"/>
  <c r="E70" i="38"/>
  <c r="G70" i="38"/>
  <c r="E74" i="38"/>
  <c r="G74" i="38"/>
  <c r="G78" i="38"/>
  <c r="E100" i="38"/>
  <c r="E107" i="38"/>
  <c r="E118" i="38"/>
  <c r="E190" i="38"/>
  <c r="E205" i="38"/>
  <c r="G205" i="38"/>
  <c r="E224" i="38"/>
  <c r="E25" i="150"/>
  <c r="E29" i="150"/>
  <c r="E33" i="150"/>
  <c r="G46" i="37"/>
  <c r="E219" i="106"/>
  <c r="G219" i="106"/>
  <c r="E227" i="106"/>
  <c r="E19" i="104"/>
  <c r="E39" i="104"/>
  <c r="E225" i="104"/>
  <c r="E223" i="43"/>
  <c r="G223" i="43"/>
  <c r="E52" i="84"/>
  <c r="E227" i="84"/>
  <c r="E28" i="71"/>
  <c r="G28" i="71"/>
  <c r="E226" i="71"/>
  <c r="E13" i="39"/>
  <c r="E17" i="39"/>
  <c r="E26" i="120"/>
  <c r="E42" i="120"/>
  <c r="G109" i="37"/>
  <c r="E222" i="24"/>
  <c r="E232" i="24"/>
  <c r="E232" i="141"/>
  <c r="G232" i="141"/>
  <c r="E222" i="32"/>
  <c r="G222" i="32"/>
  <c r="E232" i="32"/>
  <c r="E231" i="64"/>
  <c r="E186" i="156"/>
  <c r="E12" i="42"/>
  <c r="E16" i="42"/>
  <c r="E20" i="42"/>
  <c r="G20" i="42"/>
  <c r="E28" i="42"/>
  <c r="E32" i="42"/>
  <c r="E36" i="42"/>
  <c r="E40" i="42"/>
  <c r="E44" i="42"/>
  <c r="E48" i="42"/>
  <c r="E52" i="42"/>
  <c r="E56" i="42"/>
  <c r="G56" i="42"/>
  <c r="E60" i="42"/>
  <c r="G60" i="42"/>
  <c r="E67" i="42"/>
  <c r="E86" i="42"/>
  <c r="G86" i="42"/>
  <c r="E132" i="42"/>
  <c r="E147" i="42"/>
  <c r="E19" i="157"/>
  <c r="E27" i="157"/>
  <c r="E31" i="157"/>
  <c r="E39" i="157"/>
  <c r="E47" i="157"/>
  <c r="E59" i="157"/>
  <c r="G59" i="157"/>
  <c r="E224" i="157"/>
  <c r="E13" i="158"/>
  <c r="E37" i="158"/>
  <c r="E41" i="158"/>
  <c r="E33" i="16"/>
  <c r="E37" i="16"/>
  <c r="E45" i="16"/>
  <c r="E49" i="16"/>
  <c r="G49" i="16"/>
  <c r="E57" i="16"/>
  <c r="E64" i="16"/>
  <c r="E68" i="16"/>
  <c r="E76" i="16"/>
  <c r="E83" i="16"/>
  <c r="E87" i="16"/>
  <c r="E105" i="16"/>
  <c r="E138" i="16"/>
  <c r="E148" i="16"/>
  <c r="E220" i="16"/>
  <c r="E13" i="27"/>
  <c r="E57" i="27"/>
  <c r="E224" i="165"/>
  <c r="E15" i="55"/>
  <c r="E19" i="55"/>
  <c r="E27" i="55"/>
  <c r="E31" i="55"/>
  <c r="E35" i="55"/>
  <c r="E39" i="55"/>
  <c r="E43" i="55"/>
  <c r="E47" i="55"/>
  <c r="E51" i="55"/>
  <c r="E55" i="55"/>
  <c r="E59" i="55"/>
  <c r="E66" i="55"/>
  <c r="G66" i="55"/>
  <c r="E70" i="55"/>
  <c r="E74" i="55"/>
  <c r="E89" i="55"/>
  <c r="E100" i="55"/>
  <c r="E12" i="14"/>
  <c r="E20" i="14"/>
  <c r="E32" i="14"/>
  <c r="E48" i="14"/>
  <c r="E167" i="14"/>
  <c r="E16" i="103"/>
  <c r="E67" i="63"/>
  <c r="E71" i="63"/>
  <c r="E75" i="63"/>
  <c r="G75" i="63"/>
  <c r="E160" i="63"/>
  <c r="E28" i="62"/>
  <c r="G28" i="62"/>
  <c r="E32" i="62"/>
  <c r="E52" i="62"/>
  <c r="E18" i="53"/>
  <c r="E46" i="53"/>
  <c r="G46" i="53"/>
  <c r="E54" i="53"/>
  <c r="E73" i="53"/>
  <c r="E223" i="53"/>
  <c r="E69" i="98"/>
  <c r="E222" i="98"/>
  <c r="G222" i="98"/>
  <c r="E232" i="98"/>
  <c r="E38" i="49"/>
  <c r="E46" i="49"/>
  <c r="E54" i="49"/>
  <c r="E58" i="49"/>
  <c r="E65" i="49"/>
  <c r="E73" i="49"/>
  <c r="E87" i="49"/>
  <c r="E98" i="49"/>
  <c r="E105" i="49"/>
  <c r="E157" i="49"/>
  <c r="E124" i="83"/>
  <c r="E225" i="83"/>
  <c r="E188" i="47"/>
  <c r="E192" i="47"/>
  <c r="E14" i="43"/>
  <c r="G14" i="43"/>
  <c r="E18" i="43"/>
  <c r="E30" i="43"/>
  <c r="E42" i="43"/>
  <c r="E222" i="43"/>
  <c r="E28" i="39"/>
  <c r="E227" i="120"/>
  <c r="E232" i="90"/>
  <c r="E64" i="141"/>
  <c r="E76" i="141"/>
  <c r="E98" i="141"/>
  <c r="E105" i="141"/>
  <c r="E116" i="141"/>
  <c r="E124" i="141"/>
  <c r="E25" i="32"/>
  <c r="E45" i="32"/>
  <c r="E49" i="32"/>
  <c r="E72" i="32"/>
  <c r="G72" i="32"/>
  <c r="E83" i="32"/>
  <c r="E190" i="155"/>
  <c r="E220" i="145"/>
  <c r="E219" i="19"/>
  <c r="E27" i="15"/>
  <c r="E51" i="15"/>
  <c r="E220" i="68"/>
  <c r="E19" i="53"/>
  <c r="G19" i="53"/>
  <c r="E35" i="53"/>
  <c r="E43" i="53"/>
  <c r="E106" i="49"/>
  <c r="E221" i="49"/>
  <c r="E231" i="49"/>
  <c r="E221" i="46"/>
  <c r="E138" i="106"/>
  <c r="E231" i="25"/>
  <c r="E176" i="149"/>
  <c r="G176" i="149"/>
  <c r="E16" i="143"/>
  <c r="E32" i="143"/>
  <c r="G32" i="143"/>
  <c r="E48" i="143"/>
  <c r="E75" i="143"/>
  <c r="E156" i="143"/>
  <c r="E160" i="143"/>
  <c r="E171" i="143"/>
  <c r="E187" i="143"/>
  <c r="E195" i="143"/>
  <c r="G195" i="143"/>
  <c r="E226" i="143"/>
  <c r="E12" i="10"/>
  <c r="E20" i="10"/>
  <c r="E36" i="10"/>
  <c r="E44" i="10"/>
  <c r="E48" i="10"/>
  <c r="E67" i="10"/>
  <c r="G67" i="10"/>
  <c r="E71" i="10"/>
  <c r="E75" i="10"/>
  <c r="E90" i="10"/>
  <c r="E97" i="10"/>
  <c r="E123" i="10"/>
  <c r="E12" i="87"/>
  <c r="E16" i="87"/>
  <c r="E20" i="87"/>
  <c r="E28" i="87"/>
  <c r="E36" i="87"/>
  <c r="E44" i="87"/>
  <c r="E56" i="87"/>
  <c r="E67" i="87"/>
  <c r="E90" i="87"/>
  <c r="E97" i="87"/>
  <c r="E108" i="87"/>
  <c r="E123" i="87"/>
  <c r="E127" i="87"/>
  <c r="E137" i="87"/>
  <c r="E142" i="87"/>
  <c r="E187" i="87"/>
  <c r="E195" i="87"/>
  <c r="E202" i="87"/>
  <c r="E12" i="86"/>
  <c r="E20" i="86"/>
  <c r="E40" i="86"/>
  <c r="E48" i="86"/>
  <c r="E52" i="86"/>
  <c r="E56" i="86"/>
  <c r="E60" i="86"/>
  <c r="E67" i="86"/>
  <c r="G67" i="86"/>
  <c r="E71" i="86"/>
  <c r="E75" i="86"/>
  <c r="E86" i="86"/>
  <c r="E90" i="86"/>
  <c r="E97" i="86"/>
  <c r="E101" i="86"/>
  <c r="E115" i="86"/>
  <c r="E123" i="86"/>
  <c r="E127" i="86"/>
  <c r="E132" i="86"/>
  <c r="G132" i="86"/>
  <c r="E142" i="86"/>
  <c r="E147" i="86"/>
  <c r="E151" i="86"/>
  <c r="E156" i="86"/>
  <c r="E160" i="86"/>
  <c r="G160" i="86"/>
  <c r="E167" i="86"/>
  <c r="E171" i="86"/>
  <c r="E175" i="86"/>
  <c r="E179" i="86"/>
  <c r="E191" i="86"/>
  <c r="E195" i="86"/>
  <c r="E226" i="86"/>
  <c r="E60" i="89"/>
  <c r="E71" i="89"/>
  <c r="E82" i="89"/>
  <c r="E86" i="89"/>
  <c r="E97" i="89"/>
  <c r="E101" i="89"/>
  <c r="E108" i="89"/>
  <c r="E115" i="89"/>
  <c r="E123" i="89"/>
  <c r="E127" i="89"/>
  <c r="E137" i="89"/>
  <c r="G137" i="89"/>
  <c r="E147" i="89"/>
  <c r="E151" i="89"/>
  <c r="E156" i="89"/>
  <c r="E167" i="89"/>
  <c r="E195" i="89"/>
  <c r="G195" i="89"/>
  <c r="E226" i="89"/>
  <c r="E48" i="69"/>
  <c r="E71" i="69"/>
  <c r="E86" i="69"/>
  <c r="E97" i="69"/>
  <c r="E108" i="69"/>
  <c r="E132" i="69"/>
  <c r="E142" i="69"/>
  <c r="E167" i="69"/>
  <c r="E226" i="69"/>
  <c r="E12" i="142"/>
  <c r="E16" i="142"/>
  <c r="E20" i="142"/>
  <c r="E32" i="142"/>
  <c r="E36" i="142"/>
  <c r="E40" i="142"/>
  <c r="E52" i="142"/>
  <c r="E225" i="50"/>
  <c r="E82" i="31"/>
  <c r="E75" i="31"/>
  <c r="E71" i="31"/>
  <c r="E67" i="31"/>
  <c r="E60" i="31"/>
  <c r="E56" i="31"/>
  <c r="E52" i="31"/>
  <c r="E48" i="31"/>
  <c r="E44" i="31"/>
  <c r="E40" i="31"/>
  <c r="G40" i="31"/>
  <c r="E36" i="31"/>
  <c r="E32" i="31"/>
  <c r="E28" i="31"/>
  <c r="E20" i="31"/>
  <c r="G20" i="31"/>
  <c r="E16" i="31"/>
  <c r="E12" i="31"/>
  <c r="G12" i="31"/>
  <c r="E85" i="38"/>
  <c r="E89" i="38"/>
  <c r="E96" i="38"/>
  <c r="E131" i="38"/>
  <c r="E141" i="38"/>
  <c r="E225" i="38"/>
  <c r="E37" i="150"/>
  <c r="E41" i="150"/>
  <c r="E45" i="150"/>
  <c r="E76" i="150"/>
  <c r="E109" i="150"/>
  <c r="E116" i="150"/>
  <c r="E124" i="150"/>
  <c r="E157" i="150"/>
  <c r="E172" i="150"/>
  <c r="E176" i="150"/>
  <c r="E180" i="150"/>
  <c r="E184" i="150"/>
  <c r="E192" i="150"/>
  <c r="G192" i="150"/>
  <c r="E223" i="178"/>
  <c r="E220" i="150"/>
  <c r="E203" i="150"/>
  <c r="E232" i="155"/>
  <c r="E20" i="1"/>
  <c r="E32" i="1"/>
  <c r="E77" i="49"/>
  <c r="E46" i="83"/>
  <c r="G46" i="83"/>
  <c r="E89" i="94"/>
  <c r="E100" i="94"/>
  <c r="E73" i="63"/>
  <c r="E42" i="118"/>
  <c r="E36" i="54"/>
  <c r="E86" i="54"/>
  <c r="E97" i="54"/>
  <c r="E35" i="47"/>
  <c r="E55" i="47"/>
  <c r="E147" i="69"/>
  <c r="E160" i="69"/>
  <c r="E175" i="69"/>
  <c r="G175" i="69"/>
  <c r="E191" i="69"/>
  <c r="E187" i="92"/>
  <c r="E195" i="92"/>
  <c r="E182" i="31"/>
  <c r="E174" i="31"/>
  <c r="E170" i="31"/>
  <c r="E159" i="31"/>
  <c r="E150" i="31"/>
  <c r="E146" i="31"/>
  <c r="E100" i="31"/>
  <c r="E96" i="31"/>
  <c r="E53" i="150"/>
  <c r="E98" i="150"/>
  <c r="E148" i="94"/>
  <c r="E160" i="164"/>
  <c r="D61" i="15"/>
  <c r="E110" i="63"/>
  <c r="E46" i="62"/>
  <c r="E50" i="62"/>
  <c r="E132" i="58"/>
  <c r="E73" i="119"/>
  <c r="E77" i="119"/>
  <c r="E117" i="25"/>
  <c r="E92" i="155"/>
  <c r="E89" i="157"/>
  <c r="E100" i="157"/>
  <c r="E114" i="157"/>
  <c r="E49" i="27"/>
  <c r="E53" i="27"/>
  <c r="E124" i="27"/>
  <c r="G124" i="27"/>
  <c r="E155" i="55"/>
  <c r="E72" i="145"/>
  <c r="E83" i="145"/>
  <c r="E91" i="145"/>
  <c r="E132" i="19"/>
  <c r="G132" i="19"/>
  <c r="E195" i="19"/>
  <c r="E90" i="106"/>
  <c r="E41" i="43"/>
  <c r="E129" i="43"/>
  <c r="E89" i="39"/>
  <c r="E126" i="39"/>
  <c r="E182" i="39"/>
  <c r="G182" i="39"/>
  <c r="E91" i="90"/>
  <c r="E16" i="64"/>
  <c r="E97" i="64"/>
  <c r="E101" i="64"/>
  <c r="E71" i="28"/>
  <c r="E86" i="65"/>
  <c r="E101" i="65"/>
  <c r="E17" i="42"/>
  <c r="E73" i="103"/>
  <c r="E135" i="145"/>
  <c r="E52" i="15"/>
  <c r="E205" i="66"/>
  <c r="E53" i="58"/>
  <c r="E109" i="58"/>
  <c r="E138" i="58"/>
  <c r="E11" i="43"/>
  <c r="E39" i="43"/>
  <c r="E184" i="24"/>
  <c r="E182" i="155"/>
  <c r="E125" i="16"/>
  <c r="E38" i="150"/>
  <c r="E12" i="145"/>
  <c r="E160" i="66"/>
  <c r="E52" i="63"/>
  <c r="D119" i="152"/>
  <c r="E186" i="152"/>
  <c r="E73" i="28"/>
  <c r="E145" i="28"/>
  <c r="D79" i="65"/>
  <c r="E130" i="65"/>
  <c r="E75" i="119"/>
  <c r="D161" i="119"/>
  <c r="E183" i="119"/>
  <c r="E191" i="119"/>
  <c r="G191" i="119"/>
  <c r="E56" i="25"/>
  <c r="E86" i="25"/>
  <c r="E97" i="25"/>
  <c r="E147" i="25"/>
  <c r="G147" i="25"/>
  <c r="E27" i="158"/>
  <c r="E31" i="158"/>
  <c r="G31" i="158"/>
  <c r="E27" i="16"/>
  <c r="E177" i="86"/>
  <c r="E42" i="89"/>
  <c r="E84" i="89"/>
  <c r="E56" i="54"/>
  <c r="C119" i="145"/>
  <c r="E87" i="63"/>
  <c r="E105" i="63"/>
  <c r="E65" i="53"/>
  <c r="E88" i="53"/>
  <c r="E110" i="53"/>
  <c r="E18" i="98"/>
  <c r="E38" i="98"/>
  <c r="E42" i="98"/>
  <c r="E99" i="71"/>
  <c r="G99" i="71"/>
  <c r="E117" i="71"/>
  <c r="E108" i="133"/>
  <c r="E159" i="10"/>
  <c r="E11" i="87"/>
  <c r="E19" i="87"/>
  <c r="E31" i="87"/>
  <c r="E35" i="87"/>
  <c r="E39" i="87"/>
  <c r="E47" i="87"/>
  <c r="E51" i="87"/>
  <c r="E55" i="87"/>
  <c r="E59" i="87"/>
  <c r="E66" i="87"/>
  <c r="E70" i="87"/>
  <c r="E78" i="87"/>
  <c r="E85" i="87"/>
  <c r="E96" i="87"/>
  <c r="E100" i="87"/>
  <c r="E126" i="87"/>
  <c r="E150" i="87"/>
  <c r="E174" i="86"/>
  <c r="E182" i="86"/>
  <c r="G182" i="86"/>
  <c r="E182" i="69"/>
  <c r="E190" i="69"/>
  <c r="E13" i="31"/>
  <c r="G48" i="113"/>
  <c r="G185" i="113"/>
  <c r="G233" i="113"/>
  <c r="G96" i="113"/>
  <c r="G130" i="113"/>
  <c r="G148" i="113"/>
  <c r="G164" i="113"/>
  <c r="G179" i="113"/>
  <c r="G195" i="113"/>
  <c r="G53" i="113"/>
  <c r="G123" i="113"/>
  <c r="G158" i="113"/>
  <c r="G180" i="113"/>
  <c r="G75" i="113"/>
  <c r="G160" i="113"/>
  <c r="G157" i="113"/>
  <c r="G201" i="113"/>
  <c r="G13" i="113"/>
  <c r="G59" i="113"/>
  <c r="G84" i="113"/>
  <c r="G88" i="113"/>
  <c r="G109" i="113"/>
  <c r="E205" i="113"/>
  <c r="G149" i="113"/>
  <c r="E140" i="113"/>
  <c r="E116" i="113"/>
  <c r="E37" i="113"/>
  <c r="E78" i="113"/>
  <c r="E131" i="113"/>
  <c r="E136" i="113"/>
  <c r="G172" i="113"/>
  <c r="G124" i="113"/>
  <c r="E26" i="113"/>
  <c r="E187" i="113"/>
  <c r="E167" i="113"/>
  <c r="E219" i="113"/>
  <c r="G219" i="113"/>
  <c r="E70" i="113"/>
  <c r="G70" i="113"/>
  <c r="E194" i="113"/>
  <c r="G173" i="113"/>
  <c r="E33" i="113"/>
  <c r="G165" i="113"/>
  <c r="G171" i="113"/>
  <c r="G221" i="113"/>
  <c r="E18" i="113"/>
  <c r="E68" i="113"/>
  <c r="G68" i="113"/>
  <c r="E100" i="113"/>
  <c r="G58" i="113"/>
  <c r="G193" i="113"/>
  <c r="G83" i="113"/>
  <c r="G90" i="113"/>
  <c r="E42" i="113"/>
  <c r="E105" i="113"/>
  <c r="E224" i="113"/>
  <c r="E127" i="113"/>
  <c r="E92" i="113"/>
  <c r="E175" i="113"/>
  <c r="G55" i="62"/>
  <c r="G36" i="62"/>
  <c r="G16" i="62"/>
  <c r="K18" i="174"/>
  <c r="E43" i="174"/>
  <c r="E47" i="174"/>
  <c r="E51" i="174"/>
  <c r="E55" i="174"/>
  <c r="E59" i="174"/>
  <c r="G59" i="174"/>
  <c r="C79" i="174"/>
  <c r="E66" i="174"/>
  <c r="E70" i="174"/>
  <c r="E74" i="174"/>
  <c r="G74" i="174"/>
  <c r="E78" i="174"/>
  <c r="C93" i="174"/>
  <c r="E85" i="174"/>
  <c r="E89" i="174"/>
  <c r="C102" i="174"/>
  <c r="E100" i="174"/>
  <c r="C111" i="174"/>
  <c r="E107" i="174"/>
  <c r="C119" i="174"/>
  <c r="E114" i="174"/>
  <c r="E118" i="174"/>
  <c r="E126" i="174"/>
  <c r="E176" i="53"/>
  <c r="E180" i="53"/>
  <c r="E184" i="53"/>
  <c r="E188" i="53"/>
  <c r="E196" i="53"/>
  <c r="E221" i="53"/>
  <c r="E231" i="53"/>
  <c r="E13" i="98"/>
  <c r="D21" i="98"/>
  <c r="E17" i="98"/>
  <c r="E25" i="98"/>
  <c r="E29" i="98"/>
  <c r="E33" i="98"/>
  <c r="G33" i="98"/>
  <c r="E37" i="98"/>
  <c r="G37" i="98"/>
  <c r="E41" i="98"/>
  <c r="E45" i="98"/>
  <c r="G45" i="98"/>
  <c r="E49" i="98"/>
  <c r="E53" i="98"/>
  <c r="E57" i="98"/>
  <c r="E64" i="98"/>
  <c r="E68" i="98"/>
  <c r="E72" i="98"/>
  <c r="E76" i="98"/>
  <c r="E98" i="98"/>
  <c r="D102" i="98"/>
  <c r="E124" i="98"/>
  <c r="E129" i="98"/>
  <c r="E145" i="106"/>
  <c r="E173" i="106"/>
  <c r="E185" i="106"/>
  <c r="K208" i="57"/>
  <c r="M28" i="97"/>
  <c r="J208" i="57"/>
  <c r="L117" i="97"/>
  <c r="L203" i="97"/>
  <c r="E14" i="84"/>
  <c r="E18" i="84"/>
  <c r="E26" i="84"/>
  <c r="E50" i="84"/>
  <c r="E54" i="84"/>
  <c r="E58" i="84"/>
  <c r="G58" i="84"/>
  <c r="E65" i="84"/>
  <c r="E69" i="84"/>
  <c r="E73" i="84"/>
  <c r="C206" i="39"/>
  <c r="E200" i="39"/>
  <c r="E204" i="39"/>
  <c r="E222" i="39"/>
  <c r="E232" i="39"/>
  <c r="E11" i="133"/>
  <c r="E15" i="133"/>
  <c r="E66" i="152"/>
  <c r="E70" i="152"/>
  <c r="E78" i="152"/>
  <c r="D93" i="152"/>
  <c r="E85" i="152"/>
  <c r="E89" i="152"/>
  <c r="D102" i="152"/>
  <c r="E96" i="152"/>
  <c r="E100" i="152"/>
  <c r="G100" i="152"/>
  <c r="E107" i="152"/>
  <c r="D111" i="152"/>
  <c r="E118" i="152"/>
  <c r="E126" i="152"/>
  <c r="E131" i="152"/>
  <c r="E136" i="152"/>
  <c r="E141" i="152"/>
  <c r="E150" i="152"/>
  <c r="E155" i="152"/>
  <c r="G155" i="152"/>
  <c r="E159" i="152"/>
  <c r="G159" i="152"/>
  <c r="E166" i="152"/>
  <c r="E170" i="152"/>
  <c r="E174" i="152"/>
  <c r="E182" i="152"/>
  <c r="E190" i="152"/>
  <c r="E194" i="152"/>
  <c r="D206" i="152"/>
  <c r="E201" i="152"/>
  <c r="G201" i="152"/>
  <c r="C206" i="152"/>
  <c r="E205" i="152"/>
  <c r="E224" i="152"/>
  <c r="C228" i="152"/>
  <c r="E31" i="120"/>
  <c r="E35" i="120"/>
  <c r="E18" i="141"/>
  <c r="E26" i="141"/>
  <c r="G26" i="141"/>
  <c r="E30" i="141"/>
  <c r="E117" i="64"/>
  <c r="E125" i="64"/>
  <c r="G125" i="64"/>
  <c r="E130" i="64"/>
  <c r="E140" i="64"/>
  <c r="E145" i="64"/>
  <c r="E149" i="64"/>
  <c r="E153" i="64"/>
  <c r="E158" i="64"/>
  <c r="G158" i="64"/>
  <c r="E165" i="64"/>
  <c r="E169" i="64"/>
  <c r="G169" i="64"/>
  <c r="E181" i="64"/>
  <c r="E185" i="64"/>
  <c r="G185" i="64"/>
  <c r="E189" i="64"/>
  <c r="E193" i="64"/>
  <c r="G193" i="64"/>
  <c r="E222" i="64"/>
  <c r="G33" i="72"/>
  <c r="G39" i="72"/>
  <c r="G65" i="72"/>
  <c r="G100" i="72"/>
  <c r="G127" i="72"/>
  <c r="K208" i="72"/>
  <c r="M85" i="97"/>
  <c r="M127" i="97"/>
  <c r="G40" i="113"/>
  <c r="M12" i="113"/>
  <c r="G195" i="167"/>
  <c r="G179" i="167"/>
  <c r="G69" i="174"/>
  <c r="E203" i="53"/>
  <c r="G203" i="53"/>
  <c r="G176" i="172"/>
  <c r="G129" i="113"/>
  <c r="G233" i="10"/>
  <c r="G188" i="143"/>
  <c r="E96" i="174"/>
  <c r="G160" i="16"/>
  <c r="M140" i="97"/>
  <c r="J208" i="72"/>
  <c r="E14" i="28"/>
  <c r="G14" i="28"/>
  <c r="E18" i="28"/>
  <c r="E26" i="28"/>
  <c r="E30" i="28"/>
  <c r="E34" i="28"/>
  <c r="E38" i="28"/>
  <c r="E42" i="28"/>
  <c r="E46" i="28"/>
  <c r="G46" i="28"/>
  <c r="E50" i="28"/>
  <c r="E54" i="28"/>
  <c r="E58" i="28"/>
  <c r="E65" i="28"/>
  <c r="E69" i="28"/>
  <c r="E77" i="28"/>
  <c r="E84" i="28"/>
  <c r="E88" i="28"/>
  <c r="E92" i="28"/>
  <c r="E99" i="28"/>
  <c r="E106" i="28"/>
  <c r="E117" i="28"/>
  <c r="E125" i="28"/>
  <c r="E130" i="28"/>
  <c r="E135" i="28"/>
  <c r="E140" i="28"/>
  <c r="G140" i="28"/>
  <c r="E153" i="28"/>
  <c r="E158" i="28"/>
  <c r="E165" i="28"/>
  <c r="E185" i="28"/>
  <c r="E189" i="28"/>
  <c r="E193" i="28"/>
  <c r="G193" i="28"/>
  <c r="E204" i="28"/>
  <c r="E223" i="28"/>
  <c r="E233" i="28"/>
  <c r="E14" i="65"/>
  <c r="G14" i="65"/>
  <c r="E18" i="65"/>
  <c r="G18" i="65"/>
  <c r="E26" i="65"/>
  <c r="E30" i="65"/>
  <c r="G30" i="65"/>
  <c r="E34" i="65"/>
  <c r="E42" i="65"/>
  <c r="E50" i="65"/>
  <c r="E69" i="65"/>
  <c r="E77" i="65"/>
  <c r="E84" i="65"/>
  <c r="D93" i="65"/>
  <c r="E92" i="65"/>
  <c r="E106" i="65"/>
  <c r="E110" i="65"/>
  <c r="D119" i="65"/>
  <c r="E117" i="65"/>
  <c r="E125" i="65"/>
  <c r="D161" i="65"/>
  <c r="E140" i="65"/>
  <c r="C161" i="65"/>
  <c r="E145" i="65"/>
  <c r="E149" i="65"/>
  <c r="E153" i="65"/>
  <c r="E158" i="65"/>
  <c r="G158" i="65"/>
  <c r="E165" i="65"/>
  <c r="E169" i="65"/>
  <c r="E173" i="65"/>
  <c r="E177" i="65"/>
  <c r="E181" i="65"/>
  <c r="E185" i="65"/>
  <c r="E189" i="65"/>
  <c r="E193" i="65"/>
  <c r="C206" i="65"/>
  <c r="E204" i="65"/>
  <c r="G222" i="65"/>
  <c r="E232" i="65"/>
  <c r="G232" i="65"/>
  <c r="E233" i="65"/>
  <c r="K208" i="65"/>
  <c r="J208" i="65"/>
  <c r="L128" i="97"/>
  <c r="E12" i="119"/>
  <c r="E16" i="119"/>
  <c r="E28" i="119"/>
  <c r="E32" i="119"/>
  <c r="E44" i="119"/>
  <c r="E48" i="119"/>
  <c r="E52" i="119"/>
  <c r="E60" i="119"/>
  <c r="E67" i="119"/>
  <c r="E71" i="119"/>
  <c r="D102" i="119"/>
  <c r="D111" i="119"/>
  <c r="D119" i="119"/>
  <c r="E137" i="119"/>
  <c r="E142" i="119"/>
  <c r="E147" i="119"/>
  <c r="E151" i="119"/>
  <c r="E156" i="119"/>
  <c r="E160" i="119"/>
  <c r="E167" i="119"/>
  <c r="E171" i="119"/>
  <c r="E179" i="119"/>
  <c r="E187" i="119"/>
  <c r="E195" i="119"/>
  <c r="E202" i="119"/>
  <c r="D206" i="119"/>
  <c r="E227" i="119"/>
  <c r="G227" i="119"/>
  <c r="E12" i="25"/>
  <c r="G12" i="25"/>
  <c r="D21" i="25"/>
  <c r="E16" i="25"/>
  <c r="E20" i="25"/>
  <c r="E28" i="25"/>
  <c r="E32" i="25"/>
  <c r="E36" i="25"/>
  <c r="G36" i="25"/>
  <c r="E40" i="25"/>
  <c r="E44" i="25"/>
  <c r="E48" i="25"/>
  <c r="G48" i="25"/>
  <c r="E52" i="25"/>
  <c r="E60" i="25"/>
  <c r="E67" i="25"/>
  <c r="E71" i="25"/>
  <c r="E75" i="25"/>
  <c r="E82" i="25"/>
  <c r="E90" i="25"/>
  <c r="E101" i="25"/>
  <c r="E108" i="25"/>
  <c r="E115" i="25"/>
  <c r="E127" i="25"/>
  <c r="E132" i="25"/>
  <c r="E137" i="25"/>
  <c r="E142" i="25"/>
  <c r="E151" i="25"/>
  <c r="E160" i="25"/>
  <c r="E167" i="25"/>
  <c r="E171" i="25"/>
  <c r="E175" i="25"/>
  <c r="E179" i="25"/>
  <c r="E183" i="25"/>
  <c r="E187" i="25"/>
  <c r="E191" i="25"/>
  <c r="D111" i="155"/>
  <c r="E108" i="155"/>
  <c r="E115" i="155"/>
  <c r="D119" i="155"/>
  <c r="E127" i="155"/>
  <c r="E132" i="155"/>
  <c r="E151" i="155"/>
  <c r="E156" i="155"/>
  <c r="G156" i="155"/>
  <c r="E160" i="155"/>
  <c r="E171" i="155"/>
  <c r="E183" i="155"/>
  <c r="E187" i="155"/>
  <c r="E191" i="155"/>
  <c r="E194" i="155"/>
  <c r="E201" i="155"/>
  <c r="D206" i="155"/>
  <c r="E205" i="155"/>
  <c r="E11" i="156"/>
  <c r="E35" i="156"/>
  <c r="E38" i="156"/>
  <c r="G38" i="156"/>
  <c r="E46" i="156"/>
  <c r="E65" i="156"/>
  <c r="E69" i="156"/>
  <c r="E77" i="156"/>
  <c r="E84" i="156"/>
  <c r="E110" i="156"/>
  <c r="E117" i="156"/>
  <c r="E125" i="156"/>
  <c r="G125" i="156"/>
  <c r="E130" i="156"/>
  <c r="E135" i="156"/>
  <c r="E140" i="156"/>
  <c r="E145" i="156"/>
  <c r="E153" i="156"/>
  <c r="E169" i="156"/>
  <c r="E173" i="156"/>
  <c r="E200" i="156"/>
  <c r="G200" i="156"/>
  <c r="C206" i="156"/>
  <c r="E19" i="158"/>
  <c r="D21" i="158"/>
  <c r="E35" i="158"/>
  <c r="E39" i="158"/>
  <c r="E55" i="158"/>
  <c r="E66" i="158"/>
  <c r="E70" i="158"/>
  <c r="G70" i="158"/>
  <c r="E74" i="158"/>
  <c r="E78" i="158"/>
  <c r="D93" i="158"/>
  <c r="E85" i="158"/>
  <c r="E89" i="158"/>
  <c r="E100" i="158"/>
  <c r="G100" i="158"/>
  <c r="E107" i="158"/>
  <c r="D111" i="158"/>
  <c r="E114" i="158"/>
  <c r="D119" i="158"/>
  <c r="E118" i="158"/>
  <c r="E126" i="158"/>
  <c r="D161" i="158"/>
  <c r="E131" i="158"/>
  <c r="E136" i="158"/>
  <c r="E170" i="158"/>
  <c r="E174" i="158"/>
  <c r="E178" i="158"/>
  <c r="E186" i="158"/>
  <c r="E190" i="158"/>
  <c r="E194" i="158"/>
  <c r="E201" i="158"/>
  <c r="E205" i="158"/>
  <c r="E225" i="158"/>
  <c r="E11" i="16"/>
  <c r="E15" i="16"/>
  <c r="E19" i="16"/>
  <c r="E31" i="16"/>
  <c r="E39" i="16"/>
  <c r="E47" i="16"/>
  <c r="E51" i="16"/>
  <c r="E55" i="16"/>
  <c r="E66" i="16"/>
  <c r="D79" i="16"/>
  <c r="E74" i="16"/>
  <c r="E12" i="172"/>
  <c r="G12" i="172"/>
  <c r="D21" i="172"/>
  <c r="E45" i="113"/>
  <c r="G56" i="113"/>
  <c r="E91" i="113"/>
  <c r="E223" i="113"/>
  <c r="J208" i="113"/>
  <c r="K208" i="113"/>
  <c r="M139" i="97"/>
  <c r="F161" i="71"/>
  <c r="F208" i="71"/>
  <c r="F140" i="97"/>
  <c r="E40" i="150"/>
  <c r="E48" i="150"/>
  <c r="E52" i="150"/>
  <c r="E56" i="150"/>
  <c r="E67" i="150"/>
  <c r="E71" i="150"/>
  <c r="E75" i="150"/>
  <c r="E82" i="150"/>
  <c r="E86" i="150"/>
  <c r="E90" i="150"/>
  <c r="E97" i="150"/>
  <c r="E101" i="150"/>
  <c r="G101" i="150"/>
  <c r="C119" i="150"/>
  <c r="E115" i="150"/>
  <c r="E123" i="150"/>
  <c r="E127" i="150"/>
  <c r="E132" i="150"/>
  <c r="E137" i="150"/>
  <c r="E142" i="150"/>
  <c r="G142" i="150"/>
  <c r="E147" i="150"/>
  <c r="E151" i="150"/>
  <c r="E160" i="150"/>
  <c r="E167" i="150"/>
  <c r="C197" i="150"/>
  <c r="E171" i="150"/>
  <c r="G171" i="150"/>
  <c r="E175" i="150"/>
  <c r="E179" i="150"/>
  <c r="E183" i="150"/>
  <c r="E187" i="150"/>
  <c r="G187" i="150"/>
  <c r="E191" i="150"/>
  <c r="E195" i="150"/>
  <c r="E202" i="150"/>
  <c r="G202" i="150"/>
  <c r="C206" i="150"/>
  <c r="E70" i="16"/>
  <c r="E73" i="65"/>
  <c r="E35" i="16"/>
  <c r="E182" i="158"/>
  <c r="E56" i="119"/>
  <c r="E149" i="156"/>
  <c r="G84" i="92"/>
  <c r="E88" i="94"/>
  <c r="E92" i="94"/>
  <c r="E106" i="94"/>
  <c r="E110" i="94"/>
  <c r="E117" i="94"/>
  <c r="E125" i="94"/>
  <c r="C161" i="94"/>
  <c r="E130" i="94"/>
  <c r="E135" i="94"/>
  <c r="E140" i="94"/>
  <c r="E143" i="94"/>
  <c r="E157" i="94"/>
  <c r="E164" i="94"/>
  <c r="E168" i="94"/>
  <c r="E172" i="94"/>
  <c r="E176" i="94"/>
  <c r="E180" i="94"/>
  <c r="E184" i="94"/>
  <c r="E188" i="94"/>
  <c r="E192" i="94"/>
  <c r="E196" i="94"/>
  <c r="G196" i="94"/>
  <c r="E203" i="94"/>
  <c r="C206" i="94"/>
  <c r="E220" i="94"/>
  <c r="C228" i="94"/>
  <c r="D231" i="97"/>
  <c r="E25" i="145"/>
  <c r="E29" i="145"/>
  <c r="E123" i="145"/>
  <c r="E142" i="145"/>
  <c r="E171" i="145"/>
  <c r="E179" i="145"/>
  <c r="E133" i="66"/>
  <c r="E138" i="66"/>
  <c r="E143" i="66"/>
  <c r="E168" i="66"/>
  <c r="G168" i="66"/>
  <c r="E180" i="66"/>
  <c r="E184" i="66"/>
  <c r="E188" i="66"/>
  <c r="E192" i="66"/>
  <c r="E196" i="66"/>
  <c r="E220" i="66"/>
  <c r="C161" i="150"/>
  <c r="E200" i="65"/>
  <c r="E46" i="65"/>
  <c r="E43" i="16"/>
  <c r="E40" i="119"/>
  <c r="E43" i="158"/>
  <c r="E88" i="156"/>
  <c r="G97" i="149"/>
  <c r="G93" i="21"/>
  <c r="M93" i="21"/>
  <c r="M82" i="21"/>
  <c r="G220" i="159"/>
  <c r="G225" i="159"/>
  <c r="G226" i="159"/>
  <c r="G228" i="159"/>
  <c r="M38" i="159"/>
  <c r="E34" i="118"/>
  <c r="E38" i="118"/>
  <c r="E50" i="118"/>
  <c r="E54" i="118"/>
  <c r="E58" i="118"/>
  <c r="E69" i="118"/>
  <c r="E73" i="118"/>
  <c r="E77" i="118"/>
  <c r="E84" i="118"/>
  <c r="C93" i="118"/>
  <c r="E88" i="118"/>
  <c r="C102" i="118"/>
  <c r="E109" i="118"/>
  <c r="E116" i="118"/>
  <c r="E124" i="118"/>
  <c r="E129" i="118"/>
  <c r="E84" i="94"/>
  <c r="G84" i="94"/>
  <c r="D102" i="94"/>
  <c r="D119" i="94"/>
  <c r="E145" i="94"/>
  <c r="D197" i="94"/>
  <c r="D206" i="94"/>
  <c r="E221" i="94"/>
  <c r="E231" i="94"/>
  <c r="D21" i="145"/>
  <c r="E37" i="145"/>
  <c r="E49" i="145"/>
  <c r="G49" i="145"/>
  <c r="E53" i="145"/>
  <c r="D111" i="145"/>
  <c r="D119" i="145"/>
  <c r="E132" i="164"/>
  <c r="C161" i="164"/>
  <c r="E137" i="164"/>
  <c r="E142" i="164"/>
  <c r="E147" i="164"/>
  <c r="E156" i="164"/>
  <c r="E167" i="164"/>
  <c r="C197" i="164"/>
  <c r="E175" i="164"/>
  <c r="E179" i="164"/>
  <c r="E183" i="164"/>
  <c r="E187" i="164"/>
  <c r="E191" i="164"/>
  <c r="E195" i="164"/>
  <c r="E202" i="164"/>
  <c r="C206" i="164"/>
  <c r="E226" i="164"/>
  <c r="C228" i="164"/>
  <c r="E16" i="19"/>
  <c r="E20" i="19"/>
  <c r="E39" i="19"/>
  <c r="E70" i="19"/>
  <c r="E74" i="19"/>
  <c r="G74" i="19"/>
  <c r="E96" i="19"/>
  <c r="G96" i="19"/>
  <c r="E126" i="19"/>
  <c r="E131" i="19"/>
  <c r="E136" i="19"/>
  <c r="E141" i="19"/>
  <c r="E150" i="19"/>
  <c r="E190" i="19"/>
  <c r="D21" i="15"/>
  <c r="E18" i="15"/>
  <c r="E38" i="15"/>
  <c r="E46" i="15"/>
  <c r="C102" i="68"/>
  <c r="E114" i="68"/>
  <c r="C119" i="68"/>
  <c r="E118" i="68"/>
  <c r="E126" i="68"/>
  <c r="E131" i="68"/>
  <c r="E174" i="68"/>
  <c r="E178" i="68"/>
  <c r="G178" i="68"/>
  <c r="E182" i="68"/>
  <c r="E186" i="68"/>
  <c r="E193" i="68"/>
  <c r="E76" i="66"/>
  <c r="E83" i="66"/>
  <c r="D93" i="66"/>
  <c r="E98" i="66"/>
  <c r="E105" i="66"/>
  <c r="E109" i="66"/>
  <c r="E116" i="66"/>
  <c r="G116" i="66"/>
  <c r="D119" i="66"/>
  <c r="D102" i="65"/>
  <c r="G117" i="165"/>
  <c r="G170" i="62"/>
  <c r="D102" i="158"/>
  <c r="C197" i="94"/>
  <c r="G203" i="62"/>
  <c r="E44" i="150"/>
  <c r="E99" i="65"/>
  <c r="G49" i="102"/>
  <c r="E156" i="25"/>
  <c r="G116" i="37"/>
  <c r="G126" i="79"/>
  <c r="G19" i="155"/>
  <c r="G25" i="149"/>
  <c r="E61" i="21"/>
  <c r="G27" i="21"/>
  <c r="G35" i="21"/>
  <c r="G43" i="21"/>
  <c r="G51" i="21"/>
  <c r="G59" i="21"/>
  <c r="G27" i="159"/>
  <c r="E61" i="159"/>
  <c r="G35" i="159"/>
  <c r="G43" i="159"/>
  <c r="G51" i="159"/>
  <c r="G59" i="159"/>
  <c r="G27" i="33"/>
  <c r="G35" i="33"/>
  <c r="G43" i="33"/>
  <c r="G51" i="33"/>
  <c r="G59" i="33"/>
  <c r="G32" i="135"/>
  <c r="G40" i="135"/>
  <c r="G48" i="135"/>
  <c r="G56" i="135"/>
  <c r="G34" i="167"/>
  <c r="G55" i="167"/>
  <c r="G30" i="57"/>
  <c r="G38" i="57"/>
  <c r="G46" i="57"/>
  <c r="G54" i="57"/>
  <c r="G79" i="159"/>
  <c r="M72" i="159"/>
  <c r="E170" i="118"/>
  <c r="E200" i="118"/>
  <c r="E204" i="118"/>
  <c r="E233" i="118"/>
  <c r="E26" i="60"/>
  <c r="G26" i="60"/>
  <c r="E30" i="60"/>
  <c r="E34" i="60"/>
  <c r="E42" i="60"/>
  <c r="E46" i="60"/>
  <c r="E50" i="60"/>
  <c r="E54" i="60"/>
  <c r="G54" i="60"/>
  <c r="E58" i="60"/>
  <c r="G58" i="60"/>
  <c r="E69" i="60"/>
  <c r="G69" i="60"/>
  <c r="E77" i="60"/>
  <c r="G77" i="60"/>
  <c r="E84" i="60"/>
  <c r="G84" i="60"/>
  <c r="E88" i="60"/>
  <c r="E110" i="60"/>
  <c r="E117" i="60"/>
  <c r="E145" i="60"/>
  <c r="E149" i="60"/>
  <c r="E153" i="60"/>
  <c r="D79" i="54"/>
  <c r="E83" i="54"/>
  <c r="D93" i="54"/>
  <c r="E87" i="54"/>
  <c r="E91" i="54"/>
  <c r="E98" i="54"/>
  <c r="D102" i="54"/>
  <c r="E105" i="54"/>
  <c r="D111" i="54"/>
  <c r="E109" i="54"/>
  <c r="E89" i="15"/>
  <c r="D93" i="15"/>
  <c r="E96" i="15"/>
  <c r="D102" i="15"/>
  <c r="E100" i="15"/>
  <c r="E107" i="15"/>
  <c r="C119" i="15"/>
  <c r="E114" i="15"/>
  <c r="E131" i="15"/>
  <c r="E141" i="15"/>
  <c r="E146" i="15"/>
  <c r="E155" i="15"/>
  <c r="E170" i="15"/>
  <c r="E174" i="15"/>
  <c r="E181" i="15"/>
  <c r="E193" i="15"/>
  <c r="D206" i="15"/>
  <c r="E204" i="15"/>
  <c r="E223" i="15"/>
  <c r="C228" i="15"/>
  <c r="E232" i="15"/>
  <c r="E233" i="15"/>
  <c r="K208" i="15"/>
  <c r="M99" i="97"/>
  <c r="J208" i="15"/>
  <c r="L130" i="97"/>
  <c r="M171" i="97"/>
  <c r="J208" i="19"/>
  <c r="L85" i="97"/>
  <c r="L127" i="97"/>
  <c r="K208" i="19"/>
  <c r="M138" i="97"/>
  <c r="M169" i="97"/>
  <c r="E12" i="150"/>
  <c r="D21" i="150"/>
  <c r="E20" i="150"/>
  <c r="G20" i="150"/>
  <c r="D21" i="68"/>
  <c r="E20" i="68"/>
  <c r="G20" i="68"/>
  <c r="E28" i="68"/>
  <c r="E224" i="66"/>
  <c r="J208" i="66"/>
  <c r="L28" i="97"/>
  <c r="D21" i="119"/>
  <c r="G36" i="177"/>
  <c r="G50" i="177"/>
  <c r="E108" i="150"/>
  <c r="G204" i="167"/>
  <c r="G187" i="167"/>
  <c r="M12" i="135"/>
  <c r="G220" i="37"/>
  <c r="M141" i="21"/>
  <c r="M131" i="21"/>
  <c r="M101" i="21"/>
  <c r="M83" i="21"/>
  <c r="G79" i="21"/>
  <c r="M79" i="21"/>
  <c r="M67" i="21"/>
  <c r="G99" i="94"/>
  <c r="G173" i="50"/>
  <c r="E59" i="158"/>
  <c r="G59" i="158"/>
  <c r="G180" i="72"/>
  <c r="E123" i="25"/>
  <c r="G157" i="38"/>
  <c r="D206" i="63"/>
  <c r="E221" i="63"/>
  <c r="G221" i="63"/>
  <c r="E17" i="62"/>
  <c r="E25" i="62"/>
  <c r="E29" i="62"/>
  <c r="E37" i="62"/>
  <c r="E45" i="62"/>
  <c r="E49" i="62"/>
  <c r="E53" i="62"/>
  <c r="E64" i="62"/>
  <c r="E86" i="62"/>
  <c r="E90" i="62"/>
  <c r="G90" i="62"/>
  <c r="E101" i="62"/>
  <c r="E115" i="62"/>
  <c r="E156" i="62"/>
  <c r="E166" i="62"/>
  <c r="E190" i="62"/>
  <c r="E194" i="62"/>
  <c r="E224" i="62"/>
  <c r="C102" i="46"/>
  <c r="E205" i="62"/>
  <c r="E205" i="71"/>
  <c r="E75" i="47"/>
  <c r="G140" i="149"/>
  <c r="E164" i="133"/>
  <c r="K208" i="66"/>
  <c r="M108" i="97"/>
  <c r="L171" i="97"/>
  <c r="E55" i="63"/>
  <c r="E178" i="63"/>
  <c r="E226" i="58"/>
  <c r="G226" i="58"/>
  <c r="C93" i="47"/>
  <c r="E146" i="47"/>
  <c r="E159" i="47"/>
  <c r="E170" i="47"/>
  <c r="E178" i="47"/>
  <c r="G178" i="47"/>
  <c r="E193" i="47"/>
  <c r="E116" i="46"/>
  <c r="E129" i="46"/>
  <c r="E164" i="46"/>
  <c r="C197" i="46"/>
  <c r="E12" i="45"/>
  <c r="E32" i="45"/>
  <c r="E44" i="45"/>
  <c r="E56" i="45"/>
  <c r="E67" i="45"/>
  <c r="E75" i="45"/>
  <c r="E108" i="45"/>
  <c r="E219" i="45"/>
  <c r="C21" i="106"/>
  <c r="E64" i="106"/>
  <c r="E91" i="106"/>
  <c r="G91" i="106"/>
  <c r="E225" i="71"/>
  <c r="E16" i="39"/>
  <c r="G16" i="39"/>
  <c r="E32" i="39"/>
  <c r="E36" i="39"/>
  <c r="E40" i="39"/>
  <c r="E91" i="133"/>
  <c r="G91" i="133"/>
  <c r="E152" i="133"/>
  <c r="K17" i="178"/>
  <c r="E201" i="62"/>
  <c r="G32" i="167"/>
  <c r="G148" i="167"/>
  <c r="G158" i="27"/>
  <c r="E25" i="106"/>
  <c r="G25" i="106"/>
  <c r="E108" i="62"/>
  <c r="G108" i="62"/>
  <c r="G142" i="27"/>
  <c r="G16" i="27"/>
  <c r="E15" i="63"/>
  <c r="G223" i="104"/>
  <c r="E97" i="62"/>
  <c r="E31" i="63"/>
  <c r="E170" i="63"/>
  <c r="E86" i="47"/>
  <c r="E127" i="47"/>
  <c r="G127" i="47"/>
  <c r="E141" i="47"/>
  <c r="E174" i="47"/>
  <c r="E189" i="47"/>
  <c r="E196" i="47"/>
  <c r="E91" i="46"/>
  <c r="E124" i="46"/>
  <c r="E152" i="46"/>
  <c r="E20" i="45"/>
  <c r="E36" i="45"/>
  <c r="E48" i="45"/>
  <c r="E60" i="45"/>
  <c r="E101" i="45"/>
  <c r="E137" i="45"/>
  <c r="E151" i="45"/>
  <c r="E167" i="45"/>
  <c r="E175" i="45"/>
  <c r="E191" i="45"/>
  <c r="E227" i="45"/>
  <c r="E17" i="106"/>
  <c r="E72" i="106"/>
  <c r="E87" i="106"/>
  <c r="G87" i="106"/>
  <c r="E96" i="71"/>
  <c r="E107" i="71"/>
  <c r="K208" i="71"/>
  <c r="D21" i="39"/>
  <c r="E172" i="133"/>
  <c r="E15" i="113"/>
  <c r="E57" i="113"/>
  <c r="D197" i="47"/>
  <c r="G156" i="90"/>
  <c r="E182" i="47"/>
  <c r="G137" i="149"/>
  <c r="G222" i="87"/>
  <c r="L140" i="97"/>
  <c r="E11" i="63"/>
  <c r="E19" i="63"/>
  <c r="E35" i="63"/>
  <c r="E39" i="63"/>
  <c r="E51" i="63"/>
  <c r="E90" i="47"/>
  <c r="C102" i="47"/>
  <c r="E97" i="47"/>
  <c r="E101" i="47"/>
  <c r="E123" i="47"/>
  <c r="E131" i="47"/>
  <c r="D161" i="47"/>
  <c r="E150" i="47"/>
  <c r="E166" i="47"/>
  <c r="E220" i="47"/>
  <c r="C228" i="47"/>
  <c r="E105" i="46"/>
  <c r="C111" i="46"/>
  <c r="E157" i="46"/>
  <c r="E168" i="46"/>
  <c r="E176" i="46"/>
  <c r="E16" i="45"/>
  <c r="E28" i="45"/>
  <c r="E40" i="45"/>
  <c r="E52" i="45"/>
  <c r="E71" i="45"/>
  <c r="E97" i="45"/>
  <c r="E115" i="45"/>
  <c r="E147" i="45"/>
  <c r="E156" i="45"/>
  <c r="E183" i="45"/>
  <c r="E37" i="106"/>
  <c r="G37" i="106"/>
  <c r="E76" i="106"/>
  <c r="E83" i="106"/>
  <c r="J208" i="71"/>
  <c r="L30" i="97"/>
  <c r="L139" i="97"/>
  <c r="E168" i="133"/>
  <c r="K208" i="33"/>
  <c r="E11" i="113"/>
  <c r="E31" i="113"/>
  <c r="E82" i="47"/>
  <c r="G82" i="47"/>
  <c r="E203" i="47"/>
  <c r="E185" i="47"/>
  <c r="E155" i="47"/>
  <c r="E184" i="46"/>
  <c r="G233" i="46"/>
  <c r="F215" i="136"/>
  <c r="G57" i="102"/>
  <c r="F215" i="58"/>
  <c r="M33" i="21"/>
  <c r="M50" i="21"/>
  <c r="M124" i="21"/>
  <c r="M143" i="21"/>
  <c r="M115" i="21"/>
  <c r="M142" i="21"/>
  <c r="M38" i="21"/>
  <c r="M55" i="21"/>
  <c r="M114" i="21"/>
  <c r="M188" i="21"/>
  <c r="M105" i="21"/>
  <c r="M178" i="21"/>
  <c r="M77" i="21"/>
  <c r="M187" i="21"/>
  <c r="M88" i="21"/>
  <c r="M169" i="21"/>
  <c r="M157" i="21"/>
  <c r="H224" i="21"/>
  <c r="G235" i="111"/>
  <c r="M14" i="111"/>
  <c r="G197" i="33"/>
  <c r="G197" i="136"/>
  <c r="M39" i="21"/>
  <c r="M68" i="21"/>
  <c r="M130" i="21"/>
  <c r="M149" i="21"/>
  <c r="M204" i="21"/>
  <c r="M168" i="21"/>
  <c r="M164" i="21"/>
  <c r="M75" i="21"/>
  <c r="M151" i="21"/>
  <c r="M167" i="21"/>
  <c r="M150" i="21"/>
  <c r="M76" i="21"/>
  <c r="M181" i="21"/>
  <c r="M90" i="21"/>
  <c r="M86" i="21"/>
  <c r="G102" i="33"/>
  <c r="G227" i="33"/>
  <c r="M42" i="21"/>
  <c r="M70" i="21"/>
  <c r="M133" i="21"/>
  <c r="M69" i="21"/>
  <c r="M132" i="21"/>
  <c r="M30" i="21"/>
  <c r="M47" i="21"/>
  <c r="M66" i="21"/>
  <c r="M170" i="21"/>
  <c r="M172" i="21"/>
  <c r="M123" i="21"/>
  <c r="M29" i="21"/>
  <c r="M160" i="21"/>
  <c r="M171" i="21"/>
  <c r="M155" i="21"/>
  <c r="M26" i="21"/>
  <c r="M185" i="21"/>
  <c r="M28" i="21"/>
  <c r="M74" i="21"/>
  <c r="G232" i="135"/>
  <c r="K13" i="21"/>
  <c r="M41" i="21"/>
  <c r="M65" i="21"/>
  <c r="M108" i="21"/>
  <c r="M193" i="21"/>
  <c r="M177" i="21"/>
  <c r="M201" i="21"/>
  <c r="M106" i="21"/>
  <c r="M195" i="21"/>
  <c r="M179" i="21"/>
  <c r="M57" i="21"/>
  <c r="M87" i="21"/>
  <c r="M194" i="21"/>
  <c r="M166" i="21"/>
  <c r="M89" i="21"/>
  <c r="M158" i="21"/>
  <c r="M196" i="21"/>
  <c r="M180" i="21"/>
  <c r="M200" i="21"/>
  <c r="M190" i="21"/>
  <c r="M99" i="21"/>
  <c r="M98" i="21"/>
  <c r="M202" i="21"/>
  <c r="M34" i="21"/>
  <c r="M147" i="21"/>
  <c r="M137" i="21"/>
  <c r="M127" i="21"/>
  <c r="M73" i="21"/>
  <c r="M148" i="21"/>
  <c r="M138" i="21"/>
  <c r="M129" i="21"/>
  <c r="M78" i="21"/>
  <c r="M54" i="21"/>
  <c r="M46" i="21"/>
  <c r="H227" i="21"/>
  <c r="H225" i="21"/>
  <c r="H223" i="21"/>
  <c r="H221" i="21"/>
  <c r="M56" i="21"/>
  <c r="M64" i="21"/>
  <c r="M25" i="21"/>
  <c r="M117" i="21"/>
  <c r="M189" i="21"/>
  <c r="M173" i="21"/>
  <c r="M58" i="21"/>
  <c r="M92" i="21"/>
  <c r="M159" i="21"/>
  <c r="M191" i="21"/>
  <c r="M175" i="21"/>
  <c r="M107" i="21"/>
  <c r="M186" i="21"/>
  <c r="M109" i="21"/>
  <c r="M153" i="21"/>
  <c r="M192" i="21"/>
  <c r="M176" i="21"/>
  <c r="M118" i="21"/>
  <c r="M182" i="21"/>
  <c r="M97" i="21"/>
  <c r="M96" i="21"/>
  <c r="M203" i="21"/>
  <c r="M49" i="21"/>
  <c r="M40" i="21"/>
  <c r="M32" i="21"/>
  <c r="M145" i="21"/>
  <c r="M135" i="21"/>
  <c r="M125" i="21"/>
  <c r="M71" i="21"/>
  <c r="M146" i="21"/>
  <c r="M136" i="21"/>
  <c r="M126" i="21"/>
  <c r="M72" i="21"/>
  <c r="M52" i="21"/>
  <c r="M44" i="21"/>
  <c r="H222" i="21"/>
  <c r="H220" i="21"/>
  <c r="M119" i="21"/>
  <c r="M14" i="135"/>
  <c r="G228" i="135"/>
  <c r="M13" i="135"/>
  <c r="G93" i="57"/>
  <c r="G206" i="135"/>
  <c r="M206" i="135"/>
  <c r="M18" i="33"/>
  <c r="K17" i="42"/>
  <c r="G233" i="89"/>
  <c r="G233" i="135"/>
  <c r="F231" i="97"/>
  <c r="G102" i="21"/>
  <c r="M102" i="21"/>
  <c r="G93" i="135"/>
  <c r="M93" i="135"/>
  <c r="E228" i="21"/>
  <c r="G233" i="53"/>
  <c r="M17" i="45"/>
  <c r="G235" i="135"/>
  <c r="G228" i="33"/>
  <c r="M11" i="33"/>
  <c r="E228" i="111"/>
  <c r="G79" i="136"/>
  <c r="G161" i="33"/>
  <c r="E236" i="135"/>
  <c r="G119" i="135"/>
  <c r="G233" i="94"/>
  <c r="G161" i="57"/>
  <c r="G206" i="136"/>
  <c r="G161" i="136"/>
  <c r="G61" i="136"/>
  <c r="G206" i="33"/>
  <c r="K17" i="135"/>
  <c r="M84" i="159"/>
  <c r="G111" i="57"/>
  <c r="F208" i="10"/>
  <c r="F215" i="10"/>
  <c r="G102" i="136"/>
  <c r="G111" i="136"/>
  <c r="G222" i="136"/>
  <c r="E21" i="33"/>
  <c r="E21" i="135"/>
  <c r="G18" i="135"/>
  <c r="G15" i="45"/>
  <c r="M206" i="21"/>
  <c r="K14" i="21"/>
  <c r="G235" i="21"/>
  <c r="G220" i="136"/>
  <c r="E237" i="136"/>
  <c r="E228" i="136"/>
  <c r="F215" i="89"/>
  <c r="G233" i="38"/>
  <c r="G111" i="21"/>
  <c r="M111" i="21"/>
  <c r="G197" i="21"/>
  <c r="M197" i="21"/>
  <c r="G220" i="57"/>
  <c r="E228" i="57"/>
  <c r="G168" i="159"/>
  <c r="G192" i="159"/>
  <c r="G197" i="159"/>
  <c r="M197" i="159"/>
  <c r="E228" i="33"/>
  <c r="E235" i="21"/>
  <c r="M13" i="159"/>
  <c r="G231" i="159"/>
  <c r="E235" i="159"/>
  <c r="G228" i="111"/>
  <c r="G233" i="43"/>
  <c r="M16" i="136"/>
  <c r="G17" i="111"/>
  <c r="G161" i="21"/>
  <c r="M161" i="21"/>
  <c r="G233" i="49"/>
  <c r="G119" i="57"/>
  <c r="K18" i="39"/>
  <c r="E236" i="159"/>
  <c r="G233" i="155"/>
  <c r="G34" i="149"/>
  <c r="G37" i="21"/>
  <c r="G45" i="21"/>
  <c r="G53" i="21"/>
  <c r="G31" i="111"/>
  <c r="G39" i="111"/>
  <c r="G47" i="111"/>
  <c r="G55" i="111"/>
  <c r="F215" i="16"/>
  <c r="M15" i="135"/>
  <c r="G233" i="64"/>
  <c r="G17" i="136"/>
  <c r="E21" i="136"/>
  <c r="G17" i="21"/>
  <c r="G12" i="111"/>
  <c r="E21" i="111"/>
  <c r="K17" i="45"/>
  <c r="F208" i="150"/>
  <c r="F215" i="150"/>
  <c r="G61" i="33"/>
  <c r="M61" i="33"/>
  <c r="G233" i="104"/>
  <c r="F215" i="120"/>
  <c r="F215" i="60"/>
  <c r="G20" i="57"/>
  <c r="G233" i="68"/>
  <c r="M19" i="159"/>
  <c r="K17" i="155"/>
  <c r="M11" i="21"/>
  <c r="G19" i="33"/>
  <c r="K18" i="16"/>
  <c r="F215" i="152"/>
  <c r="M55" i="159"/>
  <c r="M11" i="159"/>
  <c r="M126" i="159"/>
  <c r="M65" i="159"/>
  <c r="M182" i="159"/>
  <c r="F215" i="172"/>
  <c r="G102" i="57"/>
  <c r="K17" i="25"/>
  <c r="M141" i="159"/>
  <c r="M201" i="159"/>
  <c r="E237" i="159"/>
  <c r="M15" i="159"/>
  <c r="G159" i="159"/>
  <c r="G161" i="159"/>
  <c r="M161" i="159"/>
  <c r="E111" i="111"/>
  <c r="E111" i="159"/>
  <c r="G106" i="159"/>
  <c r="E161" i="57"/>
  <c r="G157" i="111"/>
  <c r="G233" i="143"/>
  <c r="K17" i="145"/>
  <c r="G233" i="150"/>
  <c r="M180" i="159"/>
  <c r="F208" i="92"/>
  <c r="F215" i="92"/>
  <c r="G16" i="57"/>
  <c r="K17" i="152"/>
  <c r="G14" i="159"/>
  <c r="G21" i="159"/>
  <c r="M69" i="159"/>
  <c r="M45" i="159"/>
  <c r="M193" i="159"/>
  <c r="M90" i="159"/>
  <c r="M26" i="159"/>
  <c r="M173" i="159"/>
  <c r="M18" i="159"/>
  <c r="F215" i="83"/>
  <c r="G12" i="57"/>
  <c r="E21" i="57"/>
  <c r="K18" i="20"/>
  <c r="M131" i="159"/>
  <c r="G102" i="159"/>
  <c r="M102" i="159"/>
  <c r="M96" i="159"/>
  <c r="M28" i="159"/>
  <c r="M179" i="159"/>
  <c r="E102" i="159"/>
  <c r="G119" i="111"/>
  <c r="G11" i="111"/>
  <c r="M137" i="159"/>
  <c r="M100" i="159"/>
  <c r="M42" i="159"/>
  <c r="K18" i="157"/>
  <c r="G25" i="159"/>
  <c r="M33" i="159"/>
  <c r="G41" i="159"/>
  <c r="E61" i="33"/>
  <c r="E102" i="33"/>
  <c r="E161" i="33"/>
  <c r="E197" i="33"/>
  <c r="E208" i="33"/>
  <c r="E61" i="136"/>
  <c r="E79" i="136"/>
  <c r="E206" i="136"/>
  <c r="E208" i="136"/>
  <c r="F215" i="165"/>
  <c r="F206" i="39"/>
  <c r="F208" i="39"/>
  <c r="G88" i="111"/>
  <c r="G93" i="111"/>
  <c r="G82" i="159"/>
  <c r="E93" i="159"/>
  <c r="M116" i="159"/>
  <c r="M60" i="159"/>
  <c r="M92" i="159"/>
  <c r="E21" i="159"/>
  <c r="E17" i="158"/>
  <c r="E45" i="158"/>
  <c r="E76" i="158"/>
  <c r="E109" i="158"/>
  <c r="G109" i="158"/>
  <c r="E224" i="176"/>
  <c r="M185" i="159"/>
  <c r="F215" i="159"/>
  <c r="E93" i="111"/>
  <c r="E206" i="21"/>
  <c r="E206" i="111"/>
  <c r="F215" i="141"/>
  <c r="F215" i="118"/>
  <c r="M152" i="159"/>
  <c r="M66" i="159"/>
  <c r="M46" i="159"/>
  <c r="G233" i="164"/>
  <c r="F208" i="53"/>
  <c r="M108" i="159"/>
  <c r="M151" i="159"/>
  <c r="K17" i="159"/>
  <c r="F208" i="104"/>
  <c r="F208" i="149"/>
  <c r="F208" i="64"/>
  <c r="F208" i="37"/>
  <c r="F208" i="42"/>
  <c r="F208" i="164"/>
  <c r="F208" i="133"/>
  <c r="E27" i="45"/>
  <c r="E96" i="45"/>
  <c r="E107" i="45"/>
  <c r="E114" i="45"/>
  <c r="E166" i="45"/>
  <c r="E201" i="45"/>
  <c r="E205" i="45"/>
  <c r="C212" i="33"/>
  <c r="C215" i="33"/>
  <c r="G206" i="159"/>
  <c r="K18" i="164"/>
  <c r="E206" i="57"/>
  <c r="K17" i="167"/>
  <c r="E61" i="57"/>
  <c r="E79" i="21"/>
  <c r="E79" i="57"/>
  <c r="E161" i="111"/>
  <c r="E161" i="159"/>
  <c r="E206" i="159"/>
  <c r="F208" i="95"/>
  <c r="F208" i="69"/>
  <c r="F208" i="155"/>
  <c r="E102" i="57"/>
  <c r="E197" i="57"/>
  <c r="E208" i="57"/>
  <c r="E197" i="159"/>
  <c r="E41" i="104"/>
  <c r="E61" i="111"/>
  <c r="E208" i="111"/>
  <c r="F208" i="106"/>
  <c r="F215" i="106"/>
  <c r="F208" i="174"/>
  <c r="E32" i="165"/>
  <c r="E40" i="165"/>
  <c r="E226" i="165"/>
  <c r="G226" i="165"/>
  <c r="K18" i="178"/>
  <c r="F208" i="21"/>
  <c r="F208" i="25"/>
  <c r="F208" i="38"/>
  <c r="F208" i="158"/>
  <c r="E119" i="21"/>
  <c r="F208" i="66"/>
  <c r="K18" i="177"/>
  <c r="E36" i="172"/>
  <c r="E90" i="58"/>
  <c r="E187" i="58"/>
  <c r="E191" i="58"/>
  <c r="G191" i="58"/>
  <c r="E195" i="58"/>
  <c r="E205" i="165"/>
  <c r="D215" i="33"/>
  <c r="E82" i="45"/>
  <c r="E86" i="45"/>
  <c r="E90" i="45"/>
  <c r="E123" i="45"/>
  <c r="E127" i="45"/>
  <c r="E132" i="45"/>
  <c r="E142" i="45"/>
  <c r="E160" i="45"/>
  <c r="E171" i="45"/>
  <c r="E179" i="45"/>
  <c r="E187" i="45"/>
  <c r="E195" i="45"/>
  <c r="E202" i="45"/>
  <c r="C208" i="57"/>
  <c r="E87" i="120"/>
  <c r="E125" i="90"/>
  <c r="E69" i="27"/>
  <c r="E110" i="27"/>
  <c r="E130" i="27"/>
  <c r="G130" i="27"/>
  <c r="E123" i="176"/>
  <c r="E12" i="143"/>
  <c r="E28" i="143"/>
  <c r="E36" i="143"/>
  <c r="G36" i="143"/>
  <c r="E71" i="143"/>
  <c r="E82" i="143"/>
  <c r="G233" i="178"/>
  <c r="E75" i="49"/>
  <c r="E58" i="47"/>
  <c r="E204" i="64"/>
  <c r="F208" i="176"/>
  <c r="F215" i="176"/>
  <c r="F208" i="178"/>
  <c r="F208" i="102"/>
  <c r="E233" i="174"/>
  <c r="E77" i="53"/>
  <c r="E70" i="64"/>
  <c r="E114" i="64"/>
  <c r="F161" i="87"/>
  <c r="F164" i="97"/>
  <c r="E142" i="103"/>
  <c r="E201" i="46"/>
  <c r="E180" i="43"/>
  <c r="E140" i="71"/>
  <c r="E193" i="71"/>
  <c r="E204" i="145"/>
  <c r="E183" i="46"/>
  <c r="F200" i="97"/>
  <c r="D208" i="57"/>
  <c r="E71" i="120"/>
  <c r="E90" i="120"/>
  <c r="E115" i="120"/>
  <c r="E174" i="10"/>
  <c r="E27" i="86"/>
  <c r="E15" i="142"/>
  <c r="E35" i="142"/>
  <c r="G35" i="142"/>
  <c r="E39" i="142"/>
  <c r="E33" i="177"/>
  <c r="E45" i="177"/>
  <c r="E55" i="113"/>
  <c r="E178" i="113"/>
  <c r="G178" i="113"/>
  <c r="F208" i="167"/>
  <c r="E88" i="19"/>
  <c r="E110" i="66"/>
  <c r="E49" i="58"/>
  <c r="D215" i="57"/>
  <c r="E17" i="32"/>
  <c r="C228" i="89"/>
  <c r="E55" i="54"/>
  <c r="E164" i="54"/>
  <c r="E202" i="54"/>
  <c r="E101" i="164"/>
  <c r="E192" i="63"/>
  <c r="E27" i="53"/>
  <c r="E109" i="32"/>
  <c r="D111" i="16"/>
  <c r="E155" i="113"/>
  <c r="E12" i="54"/>
  <c r="E56" i="66"/>
  <c r="E41" i="63"/>
  <c r="E51" i="98"/>
  <c r="D206" i="98"/>
  <c r="E48" i="71"/>
  <c r="E90" i="71"/>
  <c r="E159" i="39"/>
  <c r="G159" i="39"/>
  <c r="D111" i="25"/>
  <c r="C228" i="156"/>
  <c r="E53" i="158"/>
  <c r="E64" i="158"/>
  <c r="E48" i="165"/>
  <c r="E39" i="83"/>
  <c r="E115" i="39"/>
  <c r="E176" i="113"/>
  <c r="E105" i="150"/>
  <c r="E70" i="15"/>
  <c r="E26" i="68"/>
  <c r="G26" i="68"/>
  <c r="E26" i="66"/>
  <c r="E64" i="66"/>
  <c r="E72" i="63"/>
  <c r="E109" i="63"/>
  <c r="E116" i="63"/>
  <c r="E143" i="63"/>
  <c r="G143" i="63"/>
  <c r="E152" i="63"/>
  <c r="E143" i="62"/>
  <c r="E158" i="47"/>
  <c r="E177" i="47"/>
  <c r="E132" i="133"/>
  <c r="E67" i="90"/>
  <c r="E156" i="54"/>
  <c r="E54" i="66"/>
  <c r="E58" i="63"/>
  <c r="E77" i="63"/>
  <c r="E192" i="62"/>
  <c r="E28" i="58"/>
  <c r="E36" i="58"/>
  <c r="E56" i="58"/>
  <c r="E26" i="53"/>
  <c r="E30" i="53"/>
  <c r="E165" i="49"/>
  <c r="E169" i="49"/>
  <c r="E38" i="71"/>
  <c r="E54" i="71"/>
  <c r="E58" i="71"/>
  <c r="E73" i="71"/>
  <c r="E77" i="71"/>
  <c r="E84" i="71"/>
  <c r="E141" i="25"/>
  <c r="E178" i="25"/>
  <c r="E186" i="25"/>
  <c r="E159" i="158"/>
  <c r="E196" i="92"/>
  <c r="E17" i="1"/>
  <c r="E157" i="178"/>
  <c r="G157" i="178"/>
  <c r="G145" i="20"/>
  <c r="G171" i="20"/>
  <c r="G151" i="20"/>
  <c r="G13" i="20"/>
  <c r="G64" i="20"/>
  <c r="G82" i="20"/>
  <c r="G175" i="20"/>
  <c r="G88" i="79"/>
  <c r="G145" i="79"/>
  <c r="G175" i="79"/>
  <c r="G57" i="79"/>
  <c r="G221" i="79"/>
  <c r="E30" i="86"/>
  <c r="C61" i="86"/>
  <c r="E38" i="86"/>
  <c r="E46" i="86"/>
  <c r="E50" i="86"/>
  <c r="G50" i="86"/>
  <c r="E105" i="89"/>
  <c r="E116" i="89"/>
  <c r="D119" i="89"/>
  <c r="E148" i="89"/>
  <c r="E164" i="89"/>
  <c r="E172" i="89"/>
  <c r="E180" i="89"/>
  <c r="E188" i="89"/>
  <c r="E196" i="89"/>
  <c r="G196" i="89"/>
  <c r="E13" i="69"/>
  <c r="E49" i="69"/>
  <c r="E64" i="69"/>
  <c r="E180" i="92"/>
  <c r="E188" i="92"/>
  <c r="E68" i="1"/>
  <c r="E83" i="1"/>
  <c r="E91" i="1"/>
  <c r="E98" i="1"/>
  <c r="E109" i="1"/>
  <c r="E124" i="1"/>
  <c r="E133" i="1"/>
  <c r="E143" i="1"/>
  <c r="E157" i="1"/>
  <c r="E168" i="1"/>
  <c r="E176" i="1"/>
  <c r="E184" i="1"/>
  <c r="E60" i="50"/>
  <c r="E71" i="50"/>
  <c r="E86" i="50"/>
  <c r="E97" i="50"/>
  <c r="C102" i="50"/>
  <c r="E156" i="50"/>
  <c r="E179" i="50"/>
  <c r="G179" i="50"/>
  <c r="E187" i="50"/>
  <c r="E195" i="50"/>
  <c r="E202" i="50"/>
  <c r="C206" i="50"/>
  <c r="E16" i="95"/>
  <c r="E28" i="95"/>
  <c r="C61" i="95"/>
  <c r="E40" i="95"/>
  <c r="E52" i="95"/>
  <c r="G52" i="95"/>
  <c r="E67" i="95"/>
  <c r="E75" i="95"/>
  <c r="G75" i="95"/>
  <c r="E90" i="95"/>
  <c r="E101" i="95"/>
  <c r="E115" i="95"/>
  <c r="E132" i="95"/>
  <c r="E39" i="150"/>
  <c r="E43" i="150"/>
  <c r="E47" i="150"/>
  <c r="E55" i="150"/>
  <c r="E59" i="150"/>
  <c r="E66" i="150"/>
  <c r="C79" i="150"/>
  <c r="E70" i="150"/>
  <c r="G70" i="150"/>
  <c r="E74" i="150"/>
  <c r="E78" i="150"/>
  <c r="C93" i="150"/>
  <c r="E85" i="150"/>
  <c r="E89" i="150"/>
  <c r="C102" i="150"/>
  <c r="E100" i="150"/>
  <c r="C111" i="150"/>
  <c r="E107" i="150"/>
  <c r="E117" i="150"/>
  <c r="D119" i="150"/>
  <c r="E125" i="150"/>
  <c r="D161" i="150"/>
  <c r="E130" i="150"/>
  <c r="E135" i="150"/>
  <c r="E140" i="150"/>
  <c r="E145" i="150"/>
  <c r="E149" i="150"/>
  <c r="E153" i="150"/>
  <c r="E158" i="150"/>
  <c r="E165" i="150"/>
  <c r="D197" i="150"/>
  <c r="E169" i="150"/>
  <c r="G169" i="150"/>
  <c r="E173" i="150"/>
  <c r="E177" i="150"/>
  <c r="E181" i="150"/>
  <c r="E185" i="150"/>
  <c r="E189" i="150"/>
  <c r="E193" i="150"/>
  <c r="E200" i="150"/>
  <c r="G200" i="150"/>
  <c r="D206" i="150"/>
  <c r="E204" i="150"/>
  <c r="E222" i="150"/>
  <c r="C228" i="150"/>
  <c r="E232" i="150"/>
  <c r="D111" i="89"/>
  <c r="G193" i="27"/>
  <c r="G140" i="27"/>
  <c r="G31" i="98"/>
  <c r="E37" i="69"/>
  <c r="G37" i="69"/>
  <c r="E91" i="89"/>
  <c r="G100" i="27"/>
  <c r="E34" i="86"/>
  <c r="E42" i="86"/>
  <c r="E54" i="86"/>
  <c r="E87" i="89"/>
  <c r="D93" i="89"/>
  <c r="E98" i="89"/>
  <c r="D102" i="89"/>
  <c r="E109" i="89"/>
  <c r="E124" i="89"/>
  <c r="D161" i="89"/>
  <c r="E133" i="89"/>
  <c r="E138" i="89"/>
  <c r="E143" i="89"/>
  <c r="E152" i="89"/>
  <c r="E157" i="89"/>
  <c r="E168" i="89"/>
  <c r="E176" i="89"/>
  <c r="G176" i="89"/>
  <c r="E184" i="89"/>
  <c r="E192" i="89"/>
  <c r="E203" i="89"/>
  <c r="E221" i="89"/>
  <c r="G221" i="89"/>
  <c r="E231" i="89"/>
  <c r="E17" i="69"/>
  <c r="E25" i="69"/>
  <c r="E29" i="69"/>
  <c r="E33" i="69"/>
  <c r="E41" i="69"/>
  <c r="E45" i="69"/>
  <c r="E53" i="69"/>
  <c r="E57" i="69"/>
  <c r="E176" i="92"/>
  <c r="E184" i="92"/>
  <c r="E192" i="92"/>
  <c r="E45" i="1"/>
  <c r="E87" i="1"/>
  <c r="E105" i="1"/>
  <c r="E116" i="1"/>
  <c r="E129" i="1"/>
  <c r="E138" i="1"/>
  <c r="E148" i="1"/>
  <c r="G148" i="1"/>
  <c r="E152" i="1"/>
  <c r="E164" i="1"/>
  <c r="E172" i="1"/>
  <c r="E180" i="1"/>
  <c r="E187" i="1"/>
  <c r="G187" i="1"/>
  <c r="E52" i="50"/>
  <c r="E56" i="50"/>
  <c r="E67" i="50"/>
  <c r="E75" i="50"/>
  <c r="C93" i="50"/>
  <c r="E90" i="50"/>
  <c r="E101" i="50"/>
  <c r="E151" i="50"/>
  <c r="E160" i="50"/>
  <c r="G160" i="50"/>
  <c r="E167" i="50"/>
  <c r="C197" i="50"/>
  <c r="E171" i="50"/>
  <c r="E175" i="50"/>
  <c r="E183" i="50"/>
  <c r="E191" i="50"/>
  <c r="E226" i="50"/>
  <c r="C228" i="50"/>
  <c r="E12" i="95"/>
  <c r="C21" i="95"/>
  <c r="E20" i="95"/>
  <c r="E32" i="95"/>
  <c r="E36" i="95"/>
  <c r="E44" i="95"/>
  <c r="E48" i="95"/>
  <c r="E56" i="95"/>
  <c r="E60" i="95"/>
  <c r="E71" i="95"/>
  <c r="E82" i="95"/>
  <c r="E86" i="95"/>
  <c r="E97" i="95"/>
  <c r="E108" i="95"/>
  <c r="E123" i="95"/>
  <c r="E127" i="95"/>
  <c r="E137" i="95"/>
  <c r="E142" i="95"/>
  <c r="E147" i="95"/>
  <c r="G48" i="177"/>
  <c r="C102" i="95"/>
  <c r="C79" i="50"/>
  <c r="G58" i="177"/>
  <c r="G125" i="72"/>
  <c r="G41" i="177"/>
  <c r="E51" i="150"/>
  <c r="G130" i="72"/>
  <c r="G156" i="141"/>
  <c r="G224" i="102"/>
  <c r="G106" i="177"/>
  <c r="G141" i="174"/>
  <c r="E14" i="66"/>
  <c r="E52" i="66"/>
  <c r="E67" i="66"/>
  <c r="E71" i="66"/>
  <c r="E85" i="66"/>
  <c r="G85" i="66"/>
  <c r="E89" i="66"/>
  <c r="D102" i="66"/>
  <c r="E96" i="66"/>
  <c r="E107" i="66"/>
  <c r="D111" i="66"/>
  <c r="E114" i="66"/>
  <c r="E126" i="66"/>
  <c r="E135" i="66"/>
  <c r="E140" i="66"/>
  <c r="E145" i="66"/>
  <c r="E149" i="66"/>
  <c r="E153" i="66"/>
  <c r="E158" i="66"/>
  <c r="E165" i="66"/>
  <c r="E189" i="66"/>
  <c r="E200" i="66"/>
  <c r="E203" i="66"/>
  <c r="E174" i="63"/>
  <c r="D197" i="63"/>
  <c r="E182" i="63"/>
  <c r="E186" i="63"/>
  <c r="G186" i="63"/>
  <c r="E190" i="63"/>
  <c r="E194" i="63"/>
  <c r="E201" i="63"/>
  <c r="E205" i="63"/>
  <c r="E224" i="63"/>
  <c r="C228" i="63"/>
  <c r="E11" i="62"/>
  <c r="E15" i="62"/>
  <c r="E19" i="62"/>
  <c r="E27" i="62"/>
  <c r="E31" i="62"/>
  <c r="E35" i="62"/>
  <c r="E39" i="62"/>
  <c r="E43" i="62"/>
  <c r="E47" i="62"/>
  <c r="E51" i="62"/>
  <c r="E65" i="62"/>
  <c r="G65" i="62"/>
  <c r="E68" i="62"/>
  <c r="E72" i="62"/>
  <c r="E76" i="62"/>
  <c r="E83" i="62"/>
  <c r="E105" i="62"/>
  <c r="E132" i="62"/>
  <c r="E142" i="62"/>
  <c r="G142" i="62"/>
  <c r="E46" i="58"/>
  <c r="E50" i="58"/>
  <c r="E54" i="58"/>
  <c r="E58" i="58"/>
  <c r="E65" i="58"/>
  <c r="E69" i="58"/>
  <c r="E73" i="58"/>
  <c r="E77" i="58"/>
  <c r="E84" i="58"/>
  <c r="E88" i="58"/>
  <c r="E92" i="58"/>
  <c r="E99" i="58"/>
  <c r="G99" i="58"/>
  <c r="D102" i="58"/>
  <c r="E106" i="58"/>
  <c r="D111" i="58"/>
  <c r="E110" i="58"/>
  <c r="E117" i="58"/>
  <c r="D119" i="58"/>
  <c r="E125" i="58"/>
  <c r="D161" i="58"/>
  <c r="E130" i="58"/>
  <c r="E135" i="58"/>
  <c r="E140" i="58"/>
  <c r="E149" i="58"/>
  <c r="E153" i="58"/>
  <c r="E158" i="58"/>
  <c r="E165" i="58"/>
  <c r="C197" i="58"/>
  <c r="E169" i="58"/>
  <c r="E173" i="58"/>
  <c r="E177" i="58"/>
  <c r="E181" i="58"/>
  <c r="E185" i="58"/>
  <c r="E189" i="58"/>
  <c r="G189" i="58"/>
  <c r="E193" i="58"/>
  <c r="G193" i="58"/>
  <c r="E200" i="58"/>
  <c r="C206" i="58"/>
  <c r="E75" i="174"/>
  <c r="D79" i="174"/>
  <c r="E108" i="174"/>
  <c r="E115" i="174"/>
  <c r="C161" i="174"/>
  <c r="E136" i="174"/>
  <c r="G136" i="174"/>
  <c r="E150" i="174"/>
  <c r="E155" i="174"/>
  <c r="E159" i="174"/>
  <c r="D197" i="174"/>
  <c r="E165" i="174"/>
  <c r="G165" i="174"/>
  <c r="E181" i="174"/>
  <c r="E192" i="174"/>
  <c r="E196" i="174"/>
  <c r="E203" i="174"/>
  <c r="D206" i="174"/>
  <c r="E16" i="53"/>
  <c r="D21" i="53"/>
  <c r="E20" i="53"/>
  <c r="E28" i="53"/>
  <c r="D61" i="53"/>
  <c r="E36" i="53"/>
  <c r="G36" i="53"/>
  <c r="C61" i="53"/>
  <c r="E40" i="53"/>
  <c r="E44" i="53"/>
  <c r="E48" i="53"/>
  <c r="E52" i="53"/>
  <c r="E56" i="53"/>
  <c r="E60" i="53"/>
  <c r="C79" i="53"/>
  <c r="E71" i="53"/>
  <c r="E75" i="53"/>
  <c r="E82" i="53"/>
  <c r="C93" i="53"/>
  <c r="E86" i="53"/>
  <c r="C93" i="97"/>
  <c r="E90" i="53"/>
  <c r="C100" i="97"/>
  <c r="E97" i="53"/>
  <c r="C102" i="53"/>
  <c r="E101" i="53"/>
  <c r="E108" i="53"/>
  <c r="C111" i="53"/>
  <c r="E115" i="53"/>
  <c r="C119" i="53"/>
  <c r="E123" i="53"/>
  <c r="E127" i="53"/>
  <c r="E132" i="53"/>
  <c r="E142" i="53"/>
  <c r="G142" i="53"/>
  <c r="E147" i="53"/>
  <c r="E151" i="53"/>
  <c r="G151" i="53"/>
  <c r="E156" i="53"/>
  <c r="E160" i="53"/>
  <c r="E167" i="53"/>
  <c r="E171" i="53"/>
  <c r="E178" i="53"/>
  <c r="G178" i="53"/>
  <c r="D197" i="53"/>
  <c r="E182" i="53"/>
  <c r="E186" i="53"/>
  <c r="E190" i="53"/>
  <c r="E194" i="53"/>
  <c r="D206" i="53"/>
  <c r="E205" i="53"/>
  <c r="E225" i="53"/>
  <c r="C228" i="53"/>
  <c r="E11" i="98"/>
  <c r="E19" i="98"/>
  <c r="E39" i="98"/>
  <c r="G39" i="98"/>
  <c r="E43" i="98"/>
  <c r="E47" i="98"/>
  <c r="E55" i="98"/>
  <c r="E110" i="98"/>
  <c r="E117" i="98"/>
  <c r="E125" i="98"/>
  <c r="E130" i="98"/>
  <c r="E33" i="49"/>
  <c r="G33" i="49"/>
  <c r="E15" i="46"/>
  <c r="C21" i="46"/>
  <c r="E19" i="46"/>
  <c r="G19" i="46"/>
  <c r="E27" i="46"/>
  <c r="E31" i="46"/>
  <c r="E35" i="46"/>
  <c r="E39" i="46"/>
  <c r="E43" i="46"/>
  <c r="E47" i="46"/>
  <c r="E51" i="46"/>
  <c r="E55" i="46"/>
  <c r="E66" i="46"/>
  <c r="E70" i="46"/>
  <c r="G70" i="46"/>
  <c r="E74" i="46"/>
  <c r="E78" i="46"/>
  <c r="E146" i="46"/>
  <c r="E158" i="46"/>
  <c r="E165" i="46"/>
  <c r="E169" i="46"/>
  <c r="E173" i="46"/>
  <c r="E177" i="46"/>
  <c r="E181" i="46"/>
  <c r="E192" i="46"/>
  <c r="E196" i="46"/>
  <c r="E203" i="46"/>
  <c r="E220" i="46"/>
  <c r="C228" i="46"/>
  <c r="D102" i="43"/>
  <c r="D111" i="43"/>
  <c r="E125" i="43"/>
  <c r="E135" i="43"/>
  <c r="E140" i="43"/>
  <c r="E145" i="43"/>
  <c r="E149" i="43"/>
  <c r="G149" i="43"/>
  <c r="E153" i="43"/>
  <c r="E158" i="43"/>
  <c r="E165" i="43"/>
  <c r="E169" i="43"/>
  <c r="E173" i="43"/>
  <c r="E181" i="43"/>
  <c r="E185" i="43"/>
  <c r="E188" i="43"/>
  <c r="E192" i="43"/>
  <c r="E116" i="175"/>
  <c r="C119" i="175"/>
  <c r="E148" i="175"/>
  <c r="E152" i="175"/>
  <c r="G152" i="175"/>
  <c r="E157" i="175"/>
  <c r="E184" i="175"/>
  <c r="E188" i="175"/>
  <c r="E203" i="175"/>
  <c r="C206" i="175"/>
  <c r="E220" i="175"/>
  <c r="E11" i="84"/>
  <c r="E15" i="84"/>
  <c r="E35" i="84"/>
  <c r="E39" i="84"/>
  <c r="E43" i="84"/>
  <c r="E59" i="84"/>
  <c r="G59" i="84"/>
  <c r="E66" i="84"/>
  <c r="E70" i="84"/>
  <c r="E74" i="84"/>
  <c r="E77" i="84"/>
  <c r="E84" i="84"/>
  <c r="E88" i="84"/>
  <c r="E92" i="84"/>
  <c r="E99" i="84"/>
  <c r="E124" i="84"/>
  <c r="E129" i="84"/>
  <c r="E143" i="84"/>
  <c r="E148" i="84"/>
  <c r="E152" i="84"/>
  <c r="E157" i="84"/>
  <c r="E174" i="65"/>
  <c r="E178" i="65"/>
  <c r="E57" i="25"/>
  <c r="E64" i="25"/>
  <c r="D79" i="25"/>
  <c r="E68" i="25"/>
  <c r="E72" i="25"/>
  <c r="E76" i="25"/>
  <c r="D93" i="25"/>
  <c r="E83" i="25"/>
  <c r="E87" i="25"/>
  <c r="E91" i="25"/>
  <c r="G91" i="25"/>
  <c r="D161" i="25"/>
  <c r="E124" i="25"/>
  <c r="E129" i="25"/>
  <c r="E133" i="25"/>
  <c r="E138" i="25"/>
  <c r="E143" i="25"/>
  <c r="E148" i="25"/>
  <c r="E152" i="25"/>
  <c r="G152" i="25"/>
  <c r="E157" i="25"/>
  <c r="E164" i="25"/>
  <c r="D197" i="25"/>
  <c r="E168" i="25"/>
  <c r="E172" i="25"/>
  <c r="E176" i="25"/>
  <c r="E180" i="25"/>
  <c r="E184" i="25"/>
  <c r="E195" i="25"/>
  <c r="E202" i="25"/>
  <c r="C206" i="25"/>
  <c r="E226" i="25"/>
  <c r="C228" i="25"/>
  <c r="E12" i="155"/>
  <c r="E16" i="155"/>
  <c r="E20" i="155"/>
  <c r="E28" i="155"/>
  <c r="E32" i="155"/>
  <c r="E47" i="155"/>
  <c r="E55" i="155"/>
  <c r="E181" i="155"/>
  <c r="E185" i="155"/>
  <c r="E189" i="155"/>
  <c r="E196" i="155"/>
  <c r="E220" i="155"/>
  <c r="G220" i="155"/>
  <c r="D21" i="156"/>
  <c r="E16" i="156"/>
  <c r="E20" i="156"/>
  <c r="E28" i="156"/>
  <c r="E32" i="156"/>
  <c r="E44" i="156"/>
  <c r="G44" i="156"/>
  <c r="E55" i="156"/>
  <c r="D79" i="156"/>
  <c r="E70" i="156"/>
  <c r="E74" i="156"/>
  <c r="E85" i="156"/>
  <c r="E96" i="156"/>
  <c r="G96" i="156"/>
  <c r="D102" i="156"/>
  <c r="E100" i="156"/>
  <c r="C119" i="156"/>
  <c r="E126" i="156"/>
  <c r="E131" i="156"/>
  <c r="E136" i="156"/>
  <c r="E150" i="156"/>
  <c r="E159" i="156"/>
  <c r="E170" i="156"/>
  <c r="E181" i="156"/>
  <c r="D197" i="156"/>
  <c r="E185" i="156"/>
  <c r="E189" i="156"/>
  <c r="E204" i="156"/>
  <c r="E232" i="156"/>
  <c r="G220" i="20"/>
  <c r="E11" i="42"/>
  <c r="C21" i="42"/>
  <c r="E15" i="42"/>
  <c r="G15" i="42"/>
  <c r="E19" i="42"/>
  <c r="G19" i="42"/>
  <c r="E27" i="42"/>
  <c r="C61" i="42"/>
  <c r="E31" i="42"/>
  <c r="E35" i="42"/>
  <c r="E39" i="42"/>
  <c r="E43" i="42"/>
  <c r="E47" i="42"/>
  <c r="E51" i="42"/>
  <c r="G51" i="42"/>
  <c r="E55" i="42"/>
  <c r="E59" i="42"/>
  <c r="E66" i="42"/>
  <c r="E70" i="42"/>
  <c r="E74" i="42"/>
  <c r="E78" i="42"/>
  <c r="E85" i="42"/>
  <c r="E89" i="42"/>
  <c r="E96" i="42"/>
  <c r="C102" i="42"/>
  <c r="E100" i="42"/>
  <c r="E107" i="42"/>
  <c r="E114" i="42"/>
  <c r="C119" i="42"/>
  <c r="E118" i="42"/>
  <c r="E126" i="42"/>
  <c r="E131" i="42"/>
  <c r="G131" i="42"/>
  <c r="E136" i="42"/>
  <c r="G136" i="42"/>
  <c r="E141" i="42"/>
  <c r="E150" i="42"/>
  <c r="E155" i="42"/>
  <c r="E159" i="42"/>
  <c r="E166" i="42"/>
  <c r="E170" i="42"/>
  <c r="G170" i="42"/>
  <c r="E174" i="42"/>
  <c r="E178" i="42"/>
  <c r="E182" i="42"/>
  <c r="G182" i="42"/>
  <c r="E205" i="42"/>
  <c r="G232" i="174"/>
  <c r="G100" i="172"/>
  <c r="G29" i="68"/>
  <c r="G231" i="79"/>
  <c r="E148" i="54"/>
  <c r="E152" i="54"/>
  <c r="E168" i="54"/>
  <c r="E172" i="54"/>
  <c r="E176" i="54"/>
  <c r="E180" i="54"/>
  <c r="E188" i="54"/>
  <c r="E192" i="54"/>
  <c r="G192" i="54"/>
  <c r="E195" i="54"/>
  <c r="D197" i="54"/>
  <c r="E219" i="54"/>
  <c r="E12" i="94"/>
  <c r="G12" i="94"/>
  <c r="C21" i="94"/>
  <c r="C61" i="94"/>
  <c r="E28" i="94"/>
  <c r="E32" i="94"/>
  <c r="E40" i="94"/>
  <c r="E44" i="94"/>
  <c r="E52" i="94"/>
  <c r="E56" i="94"/>
  <c r="E60" i="94"/>
  <c r="C79" i="94"/>
  <c r="E67" i="94"/>
  <c r="C93" i="94"/>
  <c r="E82" i="94"/>
  <c r="E85" i="94"/>
  <c r="D93" i="94"/>
  <c r="E96" i="94"/>
  <c r="C102" i="94"/>
  <c r="C111" i="94"/>
  <c r="E107" i="94"/>
  <c r="E114" i="94"/>
  <c r="C119" i="94"/>
  <c r="D21" i="174"/>
  <c r="E13" i="174"/>
  <c r="E17" i="174"/>
  <c r="C21" i="174"/>
  <c r="E25" i="174"/>
  <c r="E29" i="174"/>
  <c r="G29" i="174"/>
  <c r="E40" i="49"/>
  <c r="E44" i="49"/>
  <c r="E48" i="49"/>
  <c r="E52" i="49"/>
  <c r="E56" i="49"/>
  <c r="E60" i="49"/>
  <c r="E67" i="49"/>
  <c r="E71" i="49"/>
  <c r="E82" i="49"/>
  <c r="E86" i="49"/>
  <c r="E90" i="49"/>
  <c r="G90" i="49"/>
  <c r="E101" i="49"/>
  <c r="E108" i="49"/>
  <c r="G108" i="49"/>
  <c r="E115" i="49"/>
  <c r="E118" i="49"/>
  <c r="G118" i="49"/>
  <c r="E126" i="49"/>
  <c r="E131" i="49"/>
  <c r="E136" i="49"/>
  <c r="E141" i="49"/>
  <c r="G141" i="49"/>
  <c r="E146" i="49"/>
  <c r="E150" i="49"/>
  <c r="G150" i="49"/>
  <c r="E155" i="49"/>
  <c r="E166" i="49"/>
  <c r="E170" i="49"/>
  <c r="E174" i="49"/>
  <c r="E178" i="49"/>
  <c r="E200" i="49"/>
  <c r="E204" i="49"/>
  <c r="E222" i="49"/>
  <c r="E232" i="49"/>
  <c r="E109" i="83"/>
  <c r="C111" i="83"/>
  <c r="E116" i="83"/>
  <c r="E123" i="83"/>
  <c r="E127" i="83"/>
  <c r="E131" i="83"/>
  <c r="E136" i="83"/>
  <c r="E141" i="83"/>
  <c r="E146" i="83"/>
  <c r="E150" i="83"/>
  <c r="E200" i="83"/>
  <c r="C206" i="83"/>
  <c r="E222" i="83"/>
  <c r="E14" i="47"/>
  <c r="C21" i="47"/>
  <c r="E18" i="47"/>
  <c r="E30" i="47"/>
  <c r="E34" i="47"/>
  <c r="E64" i="47"/>
  <c r="E68" i="47"/>
  <c r="E28" i="16"/>
  <c r="D61" i="16"/>
  <c r="E82" i="16"/>
  <c r="C93" i="16"/>
  <c r="E86" i="16"/>
  <c r="D102" i="16"/>
  <c r="D119" i="16"/>
  <c r="D197" i="16"/>
  <c r="E194" i="16"/>
  <c r="E201" i="16"/>
  <c r="C206" i="16"/>
  <c r="E126" i="14"/>
  <c r="G126" i="14"/>
  <c r="E131" i="14"/>
  <c r="E136" i="14"/>
  <c r="E141" i="14"/>
  <c r="E155" i="14"/>
  <c r="E159" i="14"/>
  <c r="E166" i="14"/>
  <c r="D102" i="143"/>
  <c r="D111" i="143"/>
  <c r="D119" i="143"/>
  <c r="E127" i="143"/>
  <c r="E155" i="87"/>
  <c r="E159" i="87"/>
  <c r="E166" i="87"/>
  <c r="E170" i="87"/>
  <c r="E174" i="87"/>
  <c r="E178" i="87"/>
  <c r="E182" i="87"/>
  <c r="E186" i="87"/>
  <c r="E190" i="87"/>
  <c r="E194" i="87"/>
  <c r="C206" i="87"/>
  <c r="E31" i="86"/>
  <c r="E35" i="86"/>
  <c r="E39" i="86"/>
  <c r="E43" i="86"/>
  <c r="E47" i="86"/>
  <c r="G47" i="86"/>
  <c r="E51" i="86"/>
  <c r="E55" i="86"/>
  <c r="E66" i="86"/>
  <c r="C79" i="86"/>
  <c r="E74" i="86"/>
  <c r="E78" i="86"/>
  <c r="E85" i="86"/>
  <c r="E96" i="86"/>
  <c r="G96" i="86"/>
  <c r="E100" i="86"/>
  <c r="E107" i="86"/>
  <c r="C111" i="86"/>
  <c r="E114" i="86"/>
  <c r="C119" i="86"/>
  <c r="E118" i="86"/>
  <c r="E126" i="86"/>
  <c r="E131" i="86"/>
  <c r="E136" i="86"/>
  <c r="E141" i="86"/>
  <c r="E146" i="86"/>
  <c r="E150" i="86"/>
  <c r="G150" i="86"/>
  <c r="E155" i="86"/>
  <c r="E159" i="86"/>
  <c r="E166" i="86"/>
  <c r="E170" i="86"/>
  <c r="E173" i="86"/>
  <c r="E181" i="86"/>
  <c r="E185" i="86"/>
  <c r="E189" i="86"/>
  <c r="E193" i="86"/>
  <c r="E200" i="86"/>
  <c r="E204" i="86"/>
  <c r="E223" i="86"/>
  <c r="C228" i="86"/>
  <c r="E14" i="89"/>
  <c r="E18" i="89"/>
  <c r="E26" i="89"/>
  <c r="E30" i="89"/>
  <c r="E34" i="89"/>
  <c r="E38" i="89"/>
  <c r="E46" i="89"/>
  <c r="E50" i="89"/>
  <c r="E54" i="89"/>
  <c r="E58" i="89"/>
  <c r="E65" i="89"/>
  <c r="D79" i="89"/>
  <c r="E69" i="89"/>
  <c r="E73" i="89"/>
  <c r="E77" i="89"/>
  <c r="E99" i="89"/>
  <c r="E106" i="89"/>
  <c r="E110" i="89"/>
  <c r="E117" i="89"/>
  <c r="E125" i="89"/>
  <c r="E130" i="89"/>
  <c r="G130" i="89"/>
  <c r="E135" i="89"/>
  <c r="E140" i="89"/>
  <c r="E145" i="89"/>
  <c r="E149" i="89"/>
  <c r="E153" i="89"/>
  <c r="E158" i="89"/>
  <c r="E165" i="89"/>
  <c r="E169" i="89"/>
  <c r="G169" i="89"/>
  <c r="E173" i="89"/>
  <c r="E185" i="89"/>
  <c r="E189" i="89"/>
  <c r="E193" i="89"/>
  <c r="E200" i="89"/>
  <c r="D206" i="89"/>
  <c r="E204" i="89"/>
  <c r="E223" i="89"/>
  <c r="E14" i="69"/>
  <c r="E26" i="69"/>
  <c r="E16" i="38"/>
  <c r="G16" i="38"/>
  <c r="E20" i="38"/>
  <c r="E28" i="38"/>
  <c r="E32" i="38"/>
  <c r="E36" i="38"/>
  <c r="E40" i="38"/>
  <c r="E44" i="38"/>
  <c r="E48" i="38"/>
  <c r="G48" i="38"/>
  <c r="E52" i="38"/>
  <c r="E56" i="38"/>
  <c r="E60" i="38"/>
  <c r="E67" i="38"/>
  <c r="E71" i="38"/>
  <c r="G71" i="38"/>
  <c r="E75" i="38"/>
  <c r="E82" i="38"/>
  <c r="E86" i="38"/>
  <c r="E90" i="38"/>
  <c r="E97" i="38"/>
  <c r="E101" i="38"/>
  <c r="E108" i="38"/>
  <c r="E115" i="38"/>
  <c r="E123" i="38"/>
  <c r="E127" i="38"/>
  <c r="E132" i="38"/>
  <c r="E137" i="38"/>
  <c r="E147" i="38"/>
  <c r="E151" i="38"/>
  <c r="E156" i="38"/>
  <c r="E183" i="38"/>
  <c r="E187" i="38"/>
  <c r="E202" i="38"/>
  <c r="E219" i="38"/>
  <c r="E227" i="38"/>
  <c r="E17" i="177"/>
  <c r="E25" i="177"/>
  <c r="E29" i="177"/>
  <c r="E37" i="177"/>
  <c r="D190" i="97"/>
  <c r="G29" i="167"/>
  <c r="G28" i="69"/>
  <c r="E76" i="103"/>
  <c r="E83" i="103"/>
  <c r="E91" i="103"/>
  <c r="E98" i="103"/>
  <c r="G98" i="103"/>
  <c r="E109" i="103"/>
  <c r="E124" i="103"/>
  <c r="E129" i="103"/>
  <c r="E156" i="103"/>
  <c r="E167" i="103"/>
  <c r="E171" i="103"/>
  <c r="E175" i="103"/>
  <c r="E179" i="103"/>
  <c r="E187" i="103"/>
  <c r="E174" i="118"/>
  <c r="E178" i="118"/>
  <c r="E182" i="118"/>
  <c r="E186" i="118"/>
  <c r="E190" i="118"/>
  <c r="E193" i="118"/>
  <c r="E223" i="118"/>
  <c r="C226" i="97"/>
  <c r="E14" i="60"/>
  <c r="E18" i="60"/>
  <c r="D197" i="60"/>
  <c r="E180" i="60"/>
  <c r="E184" i="60"/>
  <c r="E188" i="60"/>
  <c r="E192" i="60"/>
  <c r="E195" i="60"/>
  <c r="D119" i="54"/>
  <c r="E117" i="54"/>
  <c r="E125" i="54"/>
  <c r="E140" i="54"/>
  <c r="E145" i="54"/>
  <c r="E219" i="58"/>
  <c r="E99" i="98"/>
  <c r="E133" i="98"/>
  <c r="E152" i="98"/>
  <c r="E157" i="98"/>
  <c r="E164" i="98"/>
  <c r="E168" i="98"/>
  <c r="G168" i="98"/>
  <c r="E172" i="98"/>
  <c r="E25" i="49"/>
  <c r="G25" i="49"/>
  <c r="E49" i="49"/>
  <c r="E53" i="49"/>
  <c r="E57" i="49"/>
  <c r="E64" i="49"/>
  <c r="E68" i="49"/>
  <c r="E72" i="49"/>
  <c r="E123" i="49"/>
  <c r="E127" i="49"/>
  <c r="E132" i="49"/>
  <c r="E137" i="49"/>
  <c r="E142" i="49"/>
  <c r="E147" i="49"/>
  <c r="E151" i="49"/>
  <c r="E156" i="49"/>
  <c r="E160" i="49"/>
  <c r="E167" i="49"/>
  <c r="E171" i="49"/>
  <c r="E175" i="49"/>
  <c r="E182" i="49"/>
  <c r="G182" i="49"/>
  <c r="E186" i="49"/>
  <c r="E68" i="83"/>
  <c r="E72" i="83"/>
  <c r="E76" i="83"/>
  <c r="E83" i="83"/>
  <c r="E87" i="83"/>
  <c r="E223" i="42"/>
  <c r="C228" i="42"/>
  <c r="E26" i="157"/>
  <c r="E30" i="157"/>
  <c r="E34" i="157"/>
  <c r="G34" i="157"/>
  <c r="E38" i="157"/>
  <c r="G38" i="157"/>
  <c r="E46" i="157"/>
  <c r="E50" i="157"/>
  <c r="E54" i="157"/>
  <c r="E65" i="157"/>
  <c r="E83" i="157"/>
  <c r="D102" i="157"/>
  <c r="D111" i="157"/>
  <c r="D119" i="157"/>
  <c r="E98" i="158"/>
  <c r="C102" i="158"/>
  <c r="E105" i="158"/>
  <c r="G105" i="158"/>
  <c r="C111" i="158"/>
  <c r="E116" i="158"/>
  <c r="C119" i="158"/>
  <c r="E124" i="158"/>
  <c r="E129" i="158"/>
  <c r="G129" i="158"/>
  <c r="E133" i="158"/>
  <c r="G133" i="158"/>
  <c r="E138" i="158"/>
  <c r="E148" i="158"/>
  <c r="E152" i="158"/>
  <c r="E157" i="158"/>
  <c r="E164" i="158"/>
  <c r="E172" i="158"/>
  <c r="E180" i="158"/>
  <c r="G180" i="158"/>
  <c r="E184" i="158"/>
  <c r="E203" i="158"/>
  <c r="C206" i="158"/>
  <c r="E220" i="158"/>
  <c r="E13" i="16"/>
  <c r="C21" i="16"/>
  <c r="E17" i="16"/>
  <c r="E25" i="16"/>
  <c r="G25" i="16"/>
  <c r="G201" i="72"/>
  <c r="G46" i="38"/>
  <c r="G26" i="167"/>
  <c r="G47" i="167"/>
  <c r="G107" i="20"/>
  <c r="E91" i="83"/>
  <c r="E98" i="83"/>
  <c r="E38" i="47"/>
  <c r="E65" i="47"/>
  <c r="E69" i="47"/>
  <c r="E117" i="32"/>
  <c r="C119" i="32"/>
  <c r="E124" i="32"/>
  <c r="G124" i="32"/>
  <c r="E129" i="32"/>
  <c r="G129" i="32"/>
  <c r="E133" i="32"/>
  <c r="E138" i="32"/>
  <c r="E143" i="32"/>
  <c r="C161" i="32"/>
  <c r="E152" i="32"/>
  <c r="E157" i="32"/>
  <c r="G157" i="32"/>
  <c r="E164" i="32"/>
  <c r="E168" i="32"/>
  <c r="E172" i="32"/>
  <c r="E176" i="32"/>
  <c r="E184" i="32"/>
  <c r="E188" i="32"/>
  <c r="E192" i="32"/>
  <c r="E196" i="32"/>
  <c r="E203" i="32"/>
  <c r="C206" i="32"/>
  <c r="E220" i="32"/>
  <c r="C228" i="32"/>
  <c r="E13" i="64"/>
  <c r="E17" i="64"/>
  <c r="G17" i="64"/>
  <c r="E25" i="64"/>
  <c r="E29" i="64"/>
  <c r="E37" i="64"/>
  <c r="E49" i="64"/>
  <c r="G49" i="64"/>
  <c r="E53" i="64"/>
  <c r="E57" i="64"/>
  <c r="G57" i="64"/>
  <c r="E64" i="64"/>
  <c r="E68" i="64"/>
  <c r="E71" i="64"/>
  <c r="E151" i="64"/>
  <c r="E156" i="64"/>
  <c r="E160" i="64"/>
  <c r="E167" i="64"/>
  <c r="E170" i="64"/>
  <c r="E177" i="64"/>
  <c r="E200" i="64"/>
  <c r="E15" i="28"/>
  <c r="E19" i="28"/>
  <c r="E27" i="28"/>
  <c r="E31" i="28"/>
  <c r="E59" i="28"/>
  <c r="E66" i="28"/>
  <c r="E70" i="28"/>
  <c r="E74" i="28"/>
  <c r="E78" i="28"/>
  <c r="E85" i="28"/>
  <c r="E89" i="28"/>
  <c r="E100" i="28"/>
  <c r="E107" i="28"/>
  <c r="E114" i="28"/>
  <c r="E185" i="42"/>
  <c r="E193" i="42"/>
  <c r="E200" i="42"/>
  <c r="D206" i="42"/>
  <c r="E232" i="42"/>
  <c r="G232" i="42"/>
  <c r="E14" i="157"/>
  <c r="E18" i="157"/>
  <c r="D61" i="157"/>
  <c r="E25" i="157"/>
  <c r="E29" i="157"/>
  <c r="E33" i="157"/>
  <c r="E37" i="157"/>
  <c r="E41" i="157"/>
  <c r="E45" i="157"/>
  <c r="E49" i="157"/>
  <c r="E53" i="157"/>
  <c r="E57" i="157"/>
  <c r="G57" i="157"/>
  <c r="E64" i="157"/>
  <c r="E68" i="157"/>
  <c r="E72" i="157"/>
  <c r="E82" i="157"/>
  <c r="D93" i="157"/>
  <c r="E86" i="157"/>
  <c r="E90" i="157"/>
  <c r="E97" i="157"/>
  <c r="E101" i="157"/>
  <c r="E108" i="157"/>
  <c r="E115" i="157"/>
  <c r="E123" i="157"/>
  <c r="C161" i="157"/>
  <c r="E127" i="157"/>
  <c r="E132" i="157"/>
  <c r="E137" i="157"/>
  <c r="E142" i="157"/>
  <c r="E147" i="157"/>
  <c r="E151" i="157"/>
  <c r="G151" i="157"/>
  <c r="E156" i="157"/>
  <c r="E160" i="157"/>
  <c r="E175" i="157"/>
  <c r="E179" i="157"/>
  <c r="E187" i="157"/>
  <c r="E191" i="157"/>
  <c r="E202" i="157"/>
  <c r="C206" i="157"/>
  <c r="E167" i="158"/>
  <c r="E187" i="158"/>
  <c r="E191" i="158"/>
  <c r="E202" i="158"/>
  <c r="G202" i="158"/>
  <c r="D206" i="158"/>
  <c r="E219" i="158"/>
  <c r="G219" i="158"/>
  <c r="C228" i="158"/>
  <c r="E227" i="158"/>
  <c r="E40" i="16"/>
  <c r="E56" i="16"/>
  <c r="E60" i="16"/>
  <c r="E67" i="16"/>
  <c r="C79" i="16"/>
  <c r="E71" i="16"/>
  <c r="E75" i="16"/>
  <c r="E78" i="16"/>
  <c r="E85" i="16"/>
  <c r="G85" i="16"/>
  <c r="D93" i="16"/>
  <c r="E89" i="16"/>
  <c r="E96" i="16"/>
  <c r="E100" i="16"/>
  <c r="C111" i="16"/>
  <c r="E107" i="16"/>
  <c r="C119" i="16"/>
  <c r="E118" i="16"/>
  <c r="G118" i="16"/>
  <c r="E126" i="16"/>
  <c r="E131" i="16"/>
  <c r="E136" i="16"/>
  <c r="E141" i="16"/>
  <c r="E146" i="16"/>
  <c r="E150" i="16"/>
  <c r="E155" i="16"/>
  <c r="E159" i="16"/>
  <c r="E166" i="16"/>
  <c r="C197" i="16"/>
  <c r="E170" i="16"/>
  <c r="E174" i="16"/>
  <c r="E178" i="16"/>
  <c r="E182" i="16"/>
  <c r="E186" i="16"/>
  <c r="E190" i="16"/>
  <c r="E193" i="16"/>
  <c r="E200" i="16"/>
  <c r="D206" i="16"/>
  <c r="C228" i="16"/>
  <c r="E223" i="16"/>
  <c r="G223" i="16"/>
  <c r="E14" i="27"/>
  <c r="E18" i="27"/>
  <c r="E30" i="27"/>
  <c r="E34" i="27"/>
  <c r="E38" i="27"/>
  <c r="E42" i="27"/>
  <c r="E46" i="27"/>
  <c r="E73" i="27"/>
  <c r="E77" i="27"/>
  <c r="E84" i="27"/>
  <c r="E88" i="27"/>
  <c r="E92" i="27"/>
  <c r="E98" i="27"/>
  <c r="G98" i="27"/>
  <c r="E105" i="27"/>
  <c r="E109" i="27"/>
  <c r="E116" i="27"/>
  <c r="E129" i="27"/>
  <c r="E138" i="27"/>
  <c r="E148" i="27"/>
  <c r="E152" i="27"/>
  <c r="E157" i="27"/>
  <c r="E164" i="27"/>
  <c r="G164" i="27"/>
  <c r="E168" i="27"/>
  <c r="G168" i="27"/>
  <c r="E172" i="27"/>
  <c r="E176" i="27"/>
  <c r="E180" i="27"/>
  <c r="E184" i="27"/>
  <c r="E188" i="27"/>
  <c r="E192" i="27"/>
  <c r="E196" i="27"/>
  <c r="E221" i="27"/>
  <c r="E231" i="27"/>
  <c r="D21" i="165"/>
  <c r="E27" i="165"/>
  <c r="D61" i="165"/>
  <c r="E31" i="165"/>
  <c r="E35" i="165"/>
  <c r="E39" i="165"/>
  <c r="C61" i="165"/>
  <c r="E43" i="165"/>
  <c r="E47" i="165"/>
  <c r="E51" i="165"/>
  <c r="E59" i="165"/>
  <c r="E70" i="165"/>
  <c r="G70" i="165"/>
  <c r="E74" i="165"/>
  <c r="E78" i="165"/>
  <c r="E89" i="165"/>
  <c r="E96" i="165"/>
  <c r="E100" i="165"/>
  <c r="G100" i="165"/>
  <c r="E107" i="165"/>
  <c r="G107" i="165"/>
  <c r="E114" i="165"/>
  <c r="E118" i="165"/>
  <c r="E136" i="165"/>
  <c r="E141" i="165"/>
  <c r="E146" i="165"/>
  <c r="E150" i="165"/>
  <c r="G150" i="165"/>
  <c r="E155" i="165"/>
  <c r="G155" i="165"/>
  <c r="E166" i="165"/>
  <c r="E170" i="165"/>
  <c r="E174" i="165"/>
  <c r="E178" i="165"/>
  <c r="E182" i="165"/>
  <c r="E186" i="165"/>
  <c r="E190" i="165"/>
  <c r="E194" i="165"/>
  <c r="E201" i="165"/>
  <c r="G201" i="165"/>
  <c r="C206" i="165"/>
  <c r="E177" i="14"/>
  <c r="E185" i="14"/>
  <c r="E196" i="14"/>
  <c r="E203" i="14"/>
  <c r="E221" i="14"/>
  <c r="G221" i="14"/>
  <c r="C228" i="14"/>
  <c r="E74" i="149"/>
  <c r="E78" i="149"/>
  <c r="G78" i="149"/>
  <c r="C161" i="143"/>
  <c r="E137" i="143"/>
  <c r="E147" i="143"/>
  <c r="G147" i="143"/>
  <c r="E166" i="143"/>
  <c r="C197" i="143"/>
  <c r="E170" i="143"/>
  <c r="E174" i="143"/>
  <c r="E178" i="143"/>
  <c r="E186" i="143"/>
  <c r="E194" i="143"/>
  <c r="G194" i="143"/>
  <c r="E201" i="143"/>
  <c r="G201" i="143"/>
  <c r="C206" i="143"/>
  <c r="C21" i="10"/>
  <c r="E27" i="10"/>
  <c r="C61" i="10"/>
  <c r="E31" i="10"/>
  <c r="E35" i="10"/>
  <c r="E39" i="10"/>
  <c r="E47" i="10"/>
  <c r="E78" i="10"/>
  <c r="E85" i="10"/>
  <c r="C93" i="10"/>
  <c r="E89" i="10"/>
  <c r="E100" i="10"/>
  <c r="E107" i="10"/>
  <c r="C111" i="10"/>
  <c r="C119" i="10"/>
  <c r="E118" i="10"/>
  <c r="C161" i="10"/>
  <c r="E126" i="10"/>
  <c r="E131" i="10"/>
  <c r="E136" i="10"/>
  <c r="G136" i="10"/>
  <c r="E141" i="10"/>
  <c r="E146" i="10"/>
  <c r="E150" i="10"/>
  <c r="E155" i="10"/>
  <c r="E166" i="10"/>
  <c r="C197" i="10"/>
  <c r="E170" i="10"/>
  <c r="E50" i="69"/>
  <c r="E36" i="150"/>
  <c r="D85" i="97"/>
  <c r="E225" i="178"/>
  <c r="E175" i="46"/>
  <c r="E177" i="106"/>
  <c r="E76" i="142"/>
  <c r="G222" i="16"/>
  <c r="E167" i="46"/>
  <c r="G224" i="64"/>
  <c r="G51" i="72"/>
  <c r="G14" i="149"/>
  <c r="E227" i="68"/>
  <c r="E15" i="66"/>
  <c r="E19" i="66"/>
  <c r="E171" i="66"/>
  <c r="E175" i="66"/>
  <c r="E179" i="66"/>
  <c r="E195" i="66"/>
  <c r="E115" i="47"/>
  <c r="E29" i="46"/>
  <c r="E33" i="46"/>
  <c r="E41" i="46"/>
  <c r="E45" i="46"/>
  <c r="E53" i="46"/>
  <c r="E57" i="46"/>
  <c r="G57" i="46"/>
  <c r="E64" i="46"/>
  <c r="E68" i="46"/>
  <c r="E72" i="46"/>
  <c r="E101" i="46"/>
  <c r="D102" i="46"/>
  <c r="E108" i="46"/>
  <c r="E123" i="46"/>
  <c r="E133" i="46"/>
  <c r="E138" i="46"/>
  <c r="E143" i="46"/>
  <c r="E156" i="46"/>
  <c r="G156" i="46"/>
  <c r="E160" i="46"/>
  <c r="E171" i="46"/>
  <c r="E205" i="46"/>
  <c r="E36" i="106"/>
  <c r="E56" i="106"/>
  <c r="E60" i="106"/>
  <c r="E67" i="106"/>
  <c r="G67" i="106"/>
  <c r="C79" i="106"/>
  <c r="E71" i="106"/>
  <c r="G71" i="106"/>
  <c r="E82" i="106"/>
  <c r="E86" i="106"/>
  <c r="E97" i="106"/>
  <c r="G97" i="106"/>
  <c r="C102" i="106"/>
  <c r="E100" i="106"/>
  <c r="E107" i="106"/>
  <c r="E114" i="106"/>
  <c r="E118" i="106"/>
  <c r="E131" i="106"/>
  <c r="E136" i="106"/>
  <c r="E141" i="106"/>
  <c r="E149" i="106"/>
  <c r="E153" i="106"/>
  <c r="G153" i="106"/>
  <c r="E158" i="106"/>
  <c r="E165" i="106"/>
  <c r="C197" i="106"/>
  <c r="E169" i="106"/>
  <c r="E181" i="106"/>
  <c r="E189" i="106"/>
  <c r="E193" i="106"/>
  <c r="C206" i="106"/>
  <c r="E203" i="106"/>
  <c r="E221" i="106"/>
  <c r="D21" i="104"/>
  <c r="E20" i="104"/>
  <c r="E32" i="104"/>
  <c r="E40" i="104"/>
  <c r="G40" i="104"/>
  <c r="E178" i="84"/>
  <c r="E182" i="84"/>
  <c r="E56" i="69"/>
  <c r="E60" i="69"/>
  <c r="E67" i="69"/>
  <c r="E45" i="142"/>
  <c r="E57" i="142"/>
  <c r="E64" i="142"/>
  <c r="G64" i="142"/>
  <c r="C79" i="142"/>
  <c r="E68" i="142"/>
  <c r="E72" i="142"/>
  <c r="D93" i="142"/>
  <c r="D111" i="142"/>
  <c r="D119" i="142"/>
  <c r="D161" i="142"/>
  <c r="E127" i="142"/>
  <c r="E132" i="142"/>
  <c r="E137" i="142"/>
  <c r="E142" i="142"/>
  <c r="E147" i="142"/>
  <c r="E151" i="142"/>
  <c r="E156" i="142"/>
  <c r="E160" i="142"/>
  <c r="E167" i="142"/>
  <c r="D197" i="142"/>
  <c r="E171" i="142"/>
  <c r="E175" i="142"/>
  <c r="E179" i="142"/>
  <c r="E183" i="142"/>
  <c r="G183" i="142"/>
  <c r="E187" i="142"/>
  <c r="E191" i="142"/>
  <c r="E195" i="142"/>
  <c r="E202" i="142"/>
  <c r="E219" i="142"/>
  <c r="E227" i="142"/>
  <c r="E12" i="92"/>
  <c r="G12" i="92"/>
  <c r="D21" i="92"/>
  <c r="E16" i="92"/>
  <c r="E20" i="92"/>
  <c r="E28" i="92"/>
  <c r="G28" i="92"/>
  <c r="D61" i="92"/>
  <c r="E32" i="92"/>
  <c r="E36" i="92"/>
  <c r="E40" i="92"/>
  <c r="E44" i="92"/>
  <c r="G44" i="92"/>
  <c r="E48" i="92"/>
  <c r="E52" i="92"/>
  <c r="E56" i="92"/>
  <c r="E60" i="92"/>
  <c r="G60" i="92"/>
  <c r="E67" i="92"/>
  <c r="E71" i="92"/>
  <c r="E75" i="92"/>
  <c r="G75" i="92"/>
  <c r="E82" i="92"/>
  <c r="D93" i="92"/>
  <c r="E86" i="92"/>
  <c r="E90" i="92"/>
  <c r="E97" i="92"/>
  <c r="D102" i="92"/>
  <c r="E101" i="92"/>
  <c r="E108" i="92"/>
  <c r="G108" i="92"/>
  <c r="D111" i="92"/>
  <c r="E115" i="92"/>
  <c r="D119" i="92"/>
  <c r="E123" i="92"/>
  <c r="D197" i="92"/>
  <c r="E171" i="92"/>
  <c r="E123" i="1"/>
  <c r="G123" i="1"/>
  <c r="D161" i="1"/>
  <c r="E127" i="1"/>
  <c r="E132" i="1"/>
  <c r="E137" i="1"/>
  <c r="E142" i="1"/>
  <c r="E147" i="1"/>
  <c r="E151" i="1"/>
  <c r="G151" i="1"/>
  <c r="E156" i="1"/>
  <c r="E160" i="1"/>
  <c r="E167" i="1"/>
  <c r="E171" i="1"/>
  <c r="E175" i="1"/>
  <c r="E179" i="1"/>
  <c r="E183" i="1"/>
  <c r="E186" i="1"/>
  <c r="E201" i="1"/>
  <c r="E205" i="1"/>
  <c r="E224" i="1"/>
  <c r="E15" i="50"/>
  <c r="E31" i="50"/>
  <c r="E35" i="50"/>
  <c r="E35" i="95"/>
  <c r="E39" i="95"/>
  <c r="E43" i="95"/>
  <c r="E47" i="95"/>
  <c r="E51" i="95"/>
  <c r="E55" i="95"/>
  <c r="E59" i="95"/>
  <c r="E66" i="95"/>
  <c r="C79" i="95"/>
  <c r="E70" i="95"/>
  <c r="E74" i="95"/>
  <c r="E78" i="95"/>
  <c r="E85" i="95"/>
  <c r="E96" i="95"/>
  <c r="E100" i="95"/>
  <c r="E107" i="95"/>
  <c r="C111" i="95"/>
  <c r="C119" i="95"/>
  <c r="E118" i="95"/>
  <c r="G118" i="95"/>
  <c r="E131" i="95"/>
  <c r="E136" i="95"/>
  <c r="E141" i="95"/>
  <c r="E146" i="95"/>
  <c r="E150" i="95"/>
  <c r="E155" i="95"/>
  <c r="E159" i="95"/>
  <c r="E166" i="95"/>
  <c r="E174" i="95"/>
  <c r="E190" i="95"/>
  <c r="E194" i="95"/>
  <c r="E201" i="95"/>
  <c r="G201" i="95"/>
  <c r="E224" i="95"/>
  <c r="E156" i="31"/>
  <c r="G156" i="31"/>
  <c r="E142" i="31"/>
  <c r="E137" i="31"/>
  <c r="E132" i="31"/>
  <c r="E127" i="31"/>
  <c r="E123" i="31"/>
  <c r="E115" i="31"/>
  <c r="E108" i="31"/>
  <c r="E101" i="31"/>
  <c r="E97" i="31"/>
  <c r="E90" i="31"/>
  <c r="E86" i="31"/>
  <c r="E83" i="31"/>
  <c r="E76" i="31"/>
  <c r="E72" i="31"/>
  <c r="E68" i="31"/>
  <c r="E64" i="31"/>
  <c r="E57" i="31"/>
  <c r="E53" i="31"/>
  <c r="E41" i="31"/>
  <c r="E29" i="31"/>
  <c r="G29" i="31"/>
  <c r="E25" i="31"/>
  <c r="D206" i="106"/>
  <c r="C79" i="46"/>
  <c r="E191" i="66"/>
  <c r="E17" i="46"/>
  <c r="G48" i="102"/>
  <c r="G72" i="167"/>
  <c r="G37" i="167"/>
  <c r="G75" i="64"/>
  <c r="G88" i="15"/>
  <c r="G227" i="62"/>
  <c r="G66" i="102"/>
  <c r="G14" i="25"/>
  <c r="E17" i="150"/>
  <c r="E231" i="15"/>
  <c r="E192" i="68"/>
  <c r="G192" i="68"/>
  <c r="E42" i="68"/>
  <c r="E224" i="156"/>
  <c r="E87" i="158"/>
  <c r="E219" i="164"/>
  <c r="E36" i="104"/>
  <c r="E44" i="104"/>
  <c r="E52" i="152"/>
  <c r="E115" i="145"/>
  <c r="E151" i="145"/>
  <c r="G151" i="145"/>
  <c r="E191" i="63"/>
  <c r="E12" i="62"/>
  <c r="E39" i="58"/>
  <c r="E167" i="143"/>
  <c r="E179" i="143"/>
  <c r="E183" i="143"/>
  <c r="E191" i="143"/>
  <c r="E202" i="143"/>
  <c r="G202" i="143"/>
  <c r="E59" i="86"/>
  <c r="G59" i="86"/>
  <c r="E70" i="86"/>
  <c r="E89" i="86"/>
  <c r="E51" i="103"/>
  <c r="E55" i="103"/>
  <c r="E205" i="47"/>
  <c r="E132" i="172"/>
  <c r="E225" i="172"/>
  <c r="E55" i="94"/>
  <c r="E17" i="19"/>
  <c r="G17" i="19"/>
  <c r="E29" i="19"/>
  <c r="G29" i="19"/>
  <c r="E15" i="98"/>
  <c r="E179" i="69"/>
  <c r="E195" i="69"/>
  <c r="E167" i="31"/>
  <c r="E147" i="31"/>
  <c r="E12" i="103"/>
  <c r="E48" i="54"/>
  <c r="E116" i="145"/>
  <c r="E133" i="19"/>
  <c r="E92" i="68"/>
  <c r="E153" i="62"/>
  <c r="E16" i="58"/>
  <c r="E59" i="98"/>
  <c r="E173" i="98"/>
  <c r="G173" i="98"/>
  <c r="E140" i="83"/>
  <c r="E136" i="47"/>
  <c r="E18" i="106"/>
  <c r="E190" i="39"/>
  <c r="E194" i="39"/>
  <c r="E180" i="178"/>
  <c r="E20" i="103"/>
  <c r="E101" i="60"/>
  <c r="E132" i="68"/>
  <c r="E60" i="58"/>
  <c r="E108" i="60"/>
  <c r="E106" i="19"/>
  <c r="G106" i="19"/>
  <c r="E125" i="19"/>
  <c r="E96" i="68"/>
  <c r="E17" i="66"/>
  <c r="E38" i="63"/>
  <c r="E42" i="63"/>
  <c r="E148" i="63"/>
  <c r="E123" i="58"/>
  <c r="E142" i="58"/>
  <c r="E169" i="83"/>
  <c r="E118" i="46"/>
  <c r="E153" i="46"/>
  <c r="E43" i="155"/>
  <c r="E66" i="155"/>
  <c r="E178" i="92"/>
  <c r="E186" i="92"/>
  <c r="E194" i="92"/>
  <c r="E171" i="177"/>
  <c r="E55" i="178"/>
  <c r="G55" i="178"/>
  <c r="E97" i="178"/>
  <c r="E132" i="118"/>
  <c r="E178" i="145"/>
  <c r="E174" i="19"/>
  <c r="E14" i="15"/>
  <c r="E41" i="68"/>
  <c r="G41" i="68"/>
  <c r="E45" i="68"/>
  <c r="E130" i="66"/>
  <c r="E124" i="62"/>
  <c r="E57" i="58"/>
  <c r="E64" i="58"/>
  <c r="E72" i="58"/>
  <c r="E105" i="58"/>
  <c r="E116" i="58"/>
  <c r="E124" i="58"/>
  <c r="E43" i="49"/>
  <c r="E51" i="49"/>
  <c r="E78" i="49"/>
  <c r="G78" i="49"/>
  <c r="E130" i="49"/>
  <c r="E135" i="49"/>
  <c r="E125" i="47"/>
  <c r="E83" i="46"/>
  <c r="E87" i="46"/>
  <c r="E110" i="106"/>
  <c r="E125" i="106"/>
  <c r="G125" i="106"/>
  <c r="E192" i="133"/>
  <c r="E13" i="90"/>
  <c r="E26" i="119"/>
  <c r="E46" i="119"/>
  <c r="E54" i="119"/>
  <c r="E182" i="157"/>
  <c r="E26" i="27"/>
  <c r="E127" i="92"/>
  <c r="E132" i="92"/>
  <c r="E142" i="92"/>
  <c r="G142" i="92"/>
  <c r="E147" i="92"/>
  <c r="E151" i="92"/>
  <c r="E156" i="92"/>
  <c r="E160" i="92"/>
  <c r="E167" i="92"/>
  <c r="E29" i="38"/>
  <c r="E68" i="38"/>
  <c r="E72" i="38"/>
  <c r="E67" i="178"/>
  <c r="G67" i="178"/>
  <c r="E172" i="43"/>
  <c r="E98" i="39"/>
  <c r="E40" i="28"/>
  <c r="G40" i="28"/>
  <c r="E159" i="119"/>
  <c r="E11" i="25"/>
  <c r="E15" i="25"/>
  <c r="E19" i="25"/>
  <c r="E64" i="10"/>
  <c r="E36" i="86"/>
  <c r="E140" i="178"/>
  <c r="G140" i="178"/>
  <c r="E130" i="178"/>
  <c r="E39" i="178"/>
  <c r="E177" i="43"/>
  <c r="E131" i="71"/>
  <c r="E141" i="71"/>
  <c r="E51" i="39"/>
  <c r="E70" i="39"/>
  <c r="E78" i="39"/>
  <c r="E51" i="156"/>
  <c r="E59" i="156"/>
  <c r="E186" i="55"/>
  <c r="E56" i="14"/>
  <c r="E60" i="14"/>
  <c r="E67" i="14"/>
  <c r="E82" i="14"/>
  <c r="E86" i="14"/>
  <c r="E108" i="14"/>
  <c r="E115" i="143"/>
  <c r="E123" i="143"/>
  <c r="G123" i="143"/>
  <c r="E155" i="143"/>
  <c r="E58" i="10"/>
  <c r="E73" i="10"/>
  <c r="E142" i="10"/>
  <c r="G142" i="10"/>
  <c r="E147" i="10"/>
  <c r="E151" i="10"/>
  <c r="E126" i="38"/>
  <c r="E136" i="38"/>
  <c r="E146" i="38"/>
  <c r="E150" i="38"/>
  <c r="E170" i="38"/>
  <c r="E186" i="38"/>
  <c r="E195" i="71"/>
  <c r="E176" i="133"/>
  <c r="E83" i="24"/>
  <c r="E116" i="24"/>
  <c r="E57" i="32"/>
  <c r="E170" i="65"/>
  <c r="E54" i="155"/>
  <c r="E65" i="155"/>
  <c r="G65" i="155"/>
  <c r="E17" i="27"/>
  <c r="E25" i="27"/>
  <c r="G25" i="27"/>
  <c r="E29" i="27"/>
  <c r="E33" i="27"/>
  <c r="E37" i="27"/>
  <c r="E64" i="27"/>
  <c r="E72" i="27"/>
  <c r="E83" i="27"/>
  <c r="E109" i="14"/>
  <c r="E84" i="149"/>
  <c r="E78" i="69"/>
  <c r="E85" i="69"/>
  <c r="E89" i="69"/>
  <c r="E96" i="69"/>
  <c r="E114" i="69"/>
  <c r="E28" i="142"/>
  <c r="E44" i="142"/>
  <c r="E59" i="142"/>
  <c r="E66" i="142"/>
  <c r="E53" i="1"/>
  <c r="E64" i="1"/>
  <c r="E76" i="1"/>
  <c r="E27" i="50"/>
  <c r="E66" i="50"/>
  <c r="E78" i="50"/>
  <c r="E96" i="50"/>
  <c r="E190" i="50"/>
  <c r="E31" i="95"/>
  <c r="E50" i="150"/>
  <c r="E54" i="150"/>
  <c r="E58" i="150"/>
  <c r="E65" i="150"/>
  <c r="E84" i="150"/>
  <c r="E88" i="150"/>
  <c r="E92" i="150"/>
  <c r="E99" i="150"/>
  <c r="E106" i="150"/>
  <c r="E133" i="150"/>
  <c r="E138" i="150"/>
  <c r="E143" i="150"/>
  <c r="E148" i="150"/>
  <c r="E168" i="150"/>
  <c r="G34" i="102"/>
  <c r="G53" i="102"/>
  <c r="G33" i="102"/>
  <c r="G36" i="102"/>
  <c r="G73" i="102"/>
  <c r="G222" i="102"/>
  <c r="G40" i="37"/>
  <c r="G52" i="37"/>
  <c r="E228" i="37"/>
  <c r="M19" i="37"/>
  <c r="G28" i="37"/>
  <c r="G224" i="37"/>
  <c r="G203" i="37"/>
  <c r="G177" i="37"/>
  <c r="G145" i="37"/>
  <c r="E31" i="103"/>
  <c r="E54" i="39"/>
  <c r="E77" i="39"/>
  <c r="E106" i="39"/>
  <c r="C111" i="39"/>
  <c r="E140" i="39"/>
  <c r="E29" i="133"/>
  <c r="E188" i="120"/>
  <c r="E221" i="120"/>
  <c r="E20" i="90"/>
  <c r="E44" i="90"/>
  <c r="E56" i="90"/>
  <c r="E50" i="24"/>
  <c r="E73" i="24"/>
  <c r="G73" i="24"/>
  <c r="D93" i="24"/>
  <c r="E185" i="24"/>
  <c r="E108" i="177"/>
  <c r="E132" i="177"/>
  <c r="E156" i="177"/>
  <c r="E175" i="177"/>
  <c r="E42" i="150"/>
  <c r="D45" i="97"/>
  <c r="E159" i="68"/>
  <c r="E37" i="174"/>
  <c r="G37" i="174"/>
  <c r="E40" i="98"/>
  <c r="E56" i="98"/>
  <c r="E70" i="98"/>
  <c r="E92" i="98"/>
  <c r="E108" i="98"/>
  <c r="C111" i="98"/>
  <c r="E141" i="98"/>
  <c r="E156" i="95"/>
  <c r="E171" i="95"/>
  <c r="E195" i="31"/>
  <c r="E175" i="31"/>
  <c r="E176" i="177"/>
  <c r="G41" i="118"/>
  <c r="E35" i="103"/>
  <c r="E43" i="39"/>
  <c r="E69" i="39"/>
  <c r="C102" i="39"/>
  <c r="E99" i="39"/>
  <c r="E152" i="39"/>
  <c r="E176" i="39"/>
  <c r="E202" i="39"/>
  <c r="D206" i="39"/>
  <c r="E49" i="133"/>
  <c r="E176" i="120"/>
  <c r="E16" i="90"/>
  <c r="G16" i="90"/>
  <c r="E36" i="90"/>
  <c r="E48" i="90"/>
  <c r="E71" i="90"/>
  <c r="E38" i="24"/>
  <c r="E77" i="24"/>
  <c r="E98" i="24"/>
  <c r="D102" i="24"/>
  <c r="E166" i="24"/>
  <c r="E170" i="24"/>
  <c r="E115" i="177"/>
  <c r="E187" i="177"/>
  <c r="E202" i="177"/>
  <c r="E32" i="150"/>
  <c r="G105" i="79"/>
  <c r="E127" i="68"/>
  <c r="D161" i="68"/>
  <c r="E33" i="174"/>
  <c r="D61" i="174"/>
  <c r="E32" i="98"/>
  <c r="D61" i="98"/>
  <c r="E126" i="98"/>
  <c r="E160" i="95"/>
  <c r="E175" i="95"/>
  <c r="E191" i="31"/>
  <c r="E46" i="177"/>
  <c r="E152" i="177"/>
  <c r="G152" i="177"/>
  <c r="E184" i="177"/>
  <c r="E135" i="39"/>
  <c r="E60" i="90"/>
  <c r="E27" i="103"/>
  <c r="E47" i="103"/>
  <c r="E69" i="103"/>
  <c r="E58" i="39"/>
  <c r="E84" i="39"/>
  <c r="E110" i="39"/>
  <c r="E130" i="39"/>
  <c r="E164" i="39"/>
  <c r="E184" i="39"/>
  <c r="E192" i="39"/>
  <c r="E219" i="39"/>
  <c r="C228" i="39"/>
  <c r="D21" i="133"/>
  <c r="E37" i="133"/>
  <c r="E180" i="120"/>
  <c r="E203" i="120"/>
  <c r="E32" i="90"/>
  <c r="E84" i="24"/>
  <c r="E181" i="24"/>
  <c r="E123" i="177"/>
  <c r="E137" i="177"/>
  <c r="E151" i="177"/>
  <c r="E167" i="177"/>
  <c r="E183" i="177"/>
  <c r="E195" i="177"/>
  <c r="E28" i="150"/>
  <c r="C61" i="150"/>
  <c r="E142" i="68"/>
  <c r="E44" i="174"/>
  <c r="E118" i="98"/>
  <c r="D119" i="98"/>
  <c r="E145" i="98"/>
  <c r="E169" i="98"/>
  <c r="E167" i="95"/>
  <c r="E191" i="95"/>
  <c r="E179" i="31"/>
  <c r="E49" i="177"/>
  <c r="E168" i="177"/>
  <c r="E19" i="103"/>
  <c r="E39" i="103"/>
  <c r="E160" i="83"/>
  <c r="E50" i="39"/>
  <c r="E65" i="39"/>
  <c r="E88" i="39"/>
  <c r="E117" i="39"/>
  <c r="C119" i="39"/>
  <c r="E157" i="39"/>
  <c r="E172" i="39"/>
  <c r="E196" i="39"/>
  <c r="E25" i="133"/>
  <c r="E72" i="133"/>
  <c r="E97" i="133"/>
  <c r="E173" i="120"/>
  <c r="C197" i="120"/>
  <c r="E184" i="120"/>
  <c r="E196" i="120"/>
  <c r="E12" i="90"/>
  <c r="D21" i="90"/>
  <c r="E40" i="90"/>
  <c r="E52" i="90"/>
  <c r="E34" i="24"/>
  <c r="E88" i="24"/>
  <c r="E174" i="24"/>
  <c r="E97" i="177"/>
  <c r="E127" i="177"/>
  <c r="E147" i="177"/>
  <c r="E179" i="177"/>
  <c r="E231" i="175"/>
  <c r="G231" i="175"/>
  <c r="E105" i="118"/>
  <c r="C111" i="118"/>
  <c r="E137" i="68"/>
  <c r="E41" i="174"/>
  <c r="G41" i="174"/>
  <c r="E48" i="98"/>
  <c r="E149" i="98"/>
  <c r="C197" i="98"/>
  <c r="E202" i="31"/>
  <c r="E187" i="31"/>
  <c r="E42" i="177"/>
  <c r="E53" i="177"/>
  <c r="E76" i="177"/>
  <c r="E157" i="177"/>
  <c r="E172" i="177"/>
  <c r="G175" i="167"/>
  <c r="G155" i="172"/>
  <c r="G59" i="172"/>
  <c r="G193" i="167"/>
  <c r="G195" i="85"/>
  <c r="G188" i="16"/>
  <c r="G149" i="72"/>
  <c r="E65" i="103"/>
  <c r="E156" i="83"/>
  <c r="E73" i="39"/>
  <c r="E92" i="39"/>
  <c r="D161" i="39"/>
  <c r="E148" i="39"/>
  <c r="E168" i="39"/>
  <c r="E188" i="39"/>
  <c r="E227" i="39"/>
  <c r="E41" i="133"/>
  <c r="E83" i="133"/>
  <c r="E192" i="120"/>
  <c r="E231" i="120"/>
  <c r="E28" i="90"/>
  <c r="D61" i="90"/>
  <c r="E177" i="24"/>
  <c r="E101" i="177"/>
  <c r="E160" i="177"/>
  <c r="E191" i="177"/>
  <c r="E226" i="177"/>
  <c r="E48" i="174"/>
  <c r="E36" i="98"/>
  <c r="E52" i="98"/>
  <c r="E66" i="98"/>
  <c r="E84" i="98"/>
  <c r="E115" i="98"/>
  <c r="E136" i="98"/>
  <c r="C176" i="97"/>
  <c r="E179" i="95"/>
  <c r="E183" i="31"/>
  <c r="E38" i="177"/>
  <c r="E64" i="177"/>
  <c r="E164" i="177"/>
  <c r="E180" i="177"/>
  <c r="E105" i="177"/>
  <c r="G68" i="156"/>
  <c r="G189" i="104"/>
  <c r="G59" i="62"/>
  <c r="G222" i="89"/>
  <c r="G89" i="62"/>
  <c r="G153" i="133"/>
  <c r="G71" i="167"/>
  <c r="G16" i="167"/>
  <c r="G170" i="58"/>
  <c r="G43" i="104"/>
  <c r="E78" i="68"/>
  <c r="E85" i="68"/>
  <c r="C93" i="68"/>
  <c r="E89" i="68"/>
  <c r="E106" i="68"/>
  <c r="E109" i="68"/>
  <c r="D111" i="68"/>
  <c r="D119" i="68"/>
  <c r="E124" i="68"/>
  <c r="E129" i="68"/>
  <c r="C161" i="68"/>
  <c r="E136" i="62"/>
  <c r="E141" i="62"/>
  <c r="E146" i="62"/>
  <c r="E155" i="62"/>
  <c r="E165" i="62"/>
  <c r="E169" i="62"/>
  <c r="E173" i="62"/>
  <c r="E200" i="62"/>
  <c r="E204" i="62"/>
  <c r="E222" i="62"/>
  <c r="E232" i="62"/>
  <c r="C21" i="58"/>
  <c r="C61" i="58"/>
  <c r="E29" i="58"/>
  <c r="E33" i="58"/>
  <c r="E37" i="58"/>
  <c r="E41" i="58"/>
  <c r="E45" i="58"/>
  <c r="D61" i="58"/>
  <c r="C111" i="14"/>
  <c r="E107" i="14"/>
  <c r="C119" i="14"/>
  <c r="E114" i="14"/>
  <c r="E118" i="14"/>
  <c r="E130" i="14"/>
  <c r="E135" i="14"/>
  <c r="E140" i="14"/>
  <c r="E145" i="14"/>
  <c r="E149" i="14"/>
  <c r="E158" i="14"/>
  <c r="E165" i="14"/>
  <c r="E169" i="14"/>
  <c r="E172" i="14"/>
  <c r="E176" i="14"/>
  <c r="E180" i="14"/>
  <c r="E124" i="172"/>
  <c r="E129" i="172"/>
  <c r="G129" i="172"/>
  <c r="E138" i="172"/>
  <c r="G138" i="172"/>
  <c r="E143" i="172"/>
  <c r="E151" i="172"/>
  <c r="E156" i="172"/>
  <c r="E160" i="172"/>
  <c r="G160" i="172"/>
  <c r="E167" i="172"/>
  <c r="E171" i="172"/>
  <c r="E175" i="172"/>
  <c r="E179" i="172"/>
  <c r="E183" i="172"/>
  <c r="E187" i="172"/>
  <c r="E191" i="172"/>
  <c r="E195" i="172"/>
  <c r="E202" i="172"/>
  <c r="D206" i="172"/>
  <c r="E219" i="172"/>
  <c r="C228" i="172"/>
  <c r="E227" i="172"/>
  <c r="C61" i="176"/>
  <c r="E25" i="176"/>
  <c r="D61" i="176"/>
  <c r="E28" i="176"/>
  <c r="E32" i="176"/>
  <c r="E36" i="176"/>
  <c r="E43" i="176"/>
  <c r="E46" i="176"/>
  <c r="E54" i="176"/>
  <c r="E65" i="176"/>
  <c r="D79" i="176"/>
  <c r="E69" i="176"/>
  <c r="C79" i="176"/>
  <c r="E73" i="176"/>
  <c r="E77" i="176"/>
  <c r="E83" i="176"/>
  <c r="G83" i="176"/>
  <c r="D93" i="176"/>
  <c r="E223" i="10"/>
  <c r="G223" i="10"/>
  <c r="C228" i="10"/>
  <c r="D21" i="87"/>
  <c r="E14" i="87"/>
  <c r="E18" i="87"/>
  <c r="E26" i="87"/>
  <c r="D61" i="87"/>
  <c r="E30" i="87"/>
  <c r="E34" i="87"/>
  <c r="G34" i="87"/>
  <c r="E38" i="87"/>
  <c r="E42" i="87"/>
  <c r="E46" i="87"/>
  <c r="E50" i="87"/>
  <c r="E54" i="87"/>
  <c r="E58" i="87"/>
  <c r="E65" i="87"/>
  <c r="E69" i="87"/>
  <c r="E73" i="87"/>
  <c r="D93" i="87"/>
  <c r="E88" i="87"/>
  <c r="E92" i="87"/>
  <c r="E99" i="87"/>
  <c r="D102" i="87"/>
  <c r="D111" i="87"/>
  <c r="E106" i="87"/>
  <c r="E110" i="87"/>
  <c r="E151" i="95"/>
  <c r="D161" i="95"/>
  <c r="D206" i="95"/>
  <c r="E219" i="95"/>
  <c r="E227" i="95"/>
  <c r="E225" i="31"/>
  <c r="G225" i="31"/>
  <c r="E205" i="31"/>
  <c r="E201" i="31"/>
  <c r="E194" i="31"/>
  <c r="E190" i="31"/>
  <c r="E186" i="31"/>
  <c r="E30" i="177"/>
  <c r="E193" i="178"/>
  <c r="E169" i="178"/>
  <c r="E170" i="178"/>
  <c r="G170" i="178"/>
  <c r="E150" i="178"/>
  <c r="E47" i="178"/>
  <c r="E220" i="178"/>
  <c r="G28" i="120"/>
  <c r="G117" i="84"/>
  <c r="G44" i="177"/>
  <c r="E136" i="68"/>
  <c r="E141" i="68"/>
  <c r="E146" i="68"/>
  <c r="E150" i="68"/>
  <c r="E155" i="68"/>
  <c r="E166" i="68"/>
  <c r="E170" i="68"/>
  <c r="C173" i="97"/>
  <c r="E185" i="68"/>
  <c r="E57" i="66"/>
  <c r="E68" i="66"/>
  <c r="E51" i="58"/>
  <c r="E55" i="58"/>
  <c r="E59" i="58"/>
  <c r="C79" i="58"/>
  <c r="E70" i="58"/>
  <c r="E176" i="98"/>
  <c r="E180" i="98"/>
  <c r="G180" i="98"/>
  <c r="E184" i="98"/>
  <c r="E188" i="98"/>
  <c r="E192" i="98"/>
  <c r="E196" i="98"/>
  <c r="E203" i="98"/>
  <c r="E221" i="98"/>
  <c r="G221" i="98"/>
  <c r="C228" i="98"/>
  <c r="E231" i="98"/>
  <c r="G231" i="98"/>
  <c r="E13" i="49"/>
  <c r="E17" i="49"/>
  <c r="E37" i="49"/>
  <c r="G37" i="49"/>
  <c r="E45" i="49"/>
  <c r="E13" i="83"/>
  <c r="E29" i="83"/>
  <c r="E44" i="83"/>
  <c r="E52" i="83"/>
  <c r="E60" i="83"/>
  <c r="E67" i="83"/>
  <c r="G67" i="83"/>
  <c r="E74" i="83"/>
  <c r="E78" i="83"/>
  <c r="D93" i="83"/>
  <c r="E96" i="83"/>
  <c r="G96" i="83"/>
  <c r="D102" i="83"/>
  <c r="E100" i="83"/>
  <c r="D111" i="83"/>
  <c r="E107" i="83"/>
  <c r="E114" i="83"/>
  <c r="G114" i="83"/>
  <c r="C119" i="83"/>
  <c r="E118" i="83"/>
  <c r="G118" i="83"/>
  <c r="E129" i="83"/>
  <c r="D161" i="83"/>
  <c r="E133" i="83"/>
  <c r="E138" i="83"/>
  <c r="E148" i="83"/>
  <c r="E203" i="84"/>
  <c r="E220" i="84"/>
  <c r="E114" i="71"/>
  <c r="E136" i="71"/>
  <c r="E146" i="71"/>
  <c r="E150" i="71"/>
  <c r="E155" i="71"/>
  <c r="E159" i="71"/>
  <c r="G159" i="71"/>
  <c r="E166" i="71"/>
  <c r="E186" i="71"/>
  <c r="E194" i="71"/>
  <c r="E201" i="71"/>
  <c r="E224" i="71"/>
  <c r="E12" i="39"/>
  <c r="C21" i="39"/>
  <c r="E20" i="39"/>
  <c r="E27" i="39"/>
  <c r="E39" i="39"/>
  <c r="E165" i="120"/>
  <c r="E169" i="120"/>
  <c r="E177" i="120"/>
  <c r="E185" i="120"/>
  <c r="G185" i="120"/>
  <c r="E189" i="120"/>
  <c r="E193" i="120"/>
  <c r="G193" i="120"/>
  <c r="E17" i="90"/>
  <c r="E29" i="90"/>
  <c r="E37" i="90"/>
  <c r="G37" i="90"/>
  <c r="E41" i="90"/>
  <c r="E45" i="90"/>
  <c r="E49" i="90"/>
  <c r="E68" i="90"/>
  <c r="E68" i="177"/>
  <c r="E72" i="177"/>
  <c r="E83" i="177"/>
  <c r="E87" i="177"/>
  <c r="E91" i="177"/>
  <c r="E98" i="177"/>
  <c r="E109" i="177"/>
  <c r="E116" i="177"/>
  <c r="E124" i="177"/>
  <c r="E129" i="177"/>
  <c r="E133" i="177"/>
  <c r="G133" i="177"/>
  <c r="E138" i="177"/>
  <c r="E143" i="177"/>
  <c r="E219" i="177"/>
  <c r="E227" i="177"/>
  <c r="D61" i="150"/>
  <c r="G179" i="16"/>
  <c r="G59" i="79"/>
  <c r="G223" i="24"/>
  <c r="G182" i="79"/>
  <c r="G36" i="49"/>
  <c r="G158" i="149"/>
  <c r="G106" i="149"/>
  <c r="G109" i="167"/>
  <c r="G153" i="27"/>
  <c r="G56" i="15"/>
  <c r="E56" i="83"/>
  <c r="E41" i="49"/>
  <c r="G227" i="157"/>
  <c r="G188" i="95"/>
  <c r="G28" i="157"/>
  <c r="G16" i="72"/>
  <c r="G99" i="142"/>
  <c r="G91" i="39"/>
  <c r="G192" i="167"/>
  <c r="G82" i="149"/>
  <c r="G71" i="149"/>
  <c r="G177" i="165"/>
  <c r="E235" i="143"/>
  <c r="G232" i="54"/>
  <c r="G82" i="62"/>
  <c r="G78" i="172"/>
  <c r="E36" i="68"/>
  <c r="E44" i="68"/>
  <c r="E59" i="68"/>
  <c r="E74" i="68"/>
  <c r="E100" i="68"/>
  <c r="E117" i="68"/>
  <c r="E125" i="68"/>
  <c r="E174" i="62"/>
  <c r="E182" i="62"/>
  <c r="E223" i="62"/>
  <c r="G223" i="62"/>
  <c r="E17" i="58"/>
  <c r="G49" i="87"/>
  <c r="G15" i="79"/>
  <c r="G18" i="62"/>
  <c r="E11" i="103"/>
  <c r="E15" i="103"/>
  <c r="E30" i="103"/>
  <c r="E34" i="103"/>
  <c r="E54" i="103"/>
  <c r="G54" i="103"/>
  <c r="E58" i="103"/>
  <c r="E64" i="103"/>
  <c r="E68" i="103"/>
  <c r="E72" i="103"/>
  <c r="E75" i="103"/>
  <c r="E52" i="145"/>
  <c r="E98" i="62"/>
  <c r="G51" i="10"/>
  <c r="E67" i="145"/>
  <c r="E69" i="62"/>
  <c r="E109" i="62"/>
  <c r="E116" i="62"/>
  <c r="G224" i="87"/>
  <c r="E115" i="19"/>
  <c r="E142" i="19"/>
  <c r="G142" i="19"/>
  <c r="E226" i="63"/>
  <c r="E69" i="83"/>
  <c r="E84" i="83"/>
  <c r="E99" i="83"/>
  <c r="E106" i="83"/>
  <c r="E221" i="64"/>
  <c r="E19" i="71"/>
  <c r="E153" i="98"/>
  <c r="E67" i="54"/>
  <c r="E193" i="156"/>
  <c r="E222" i="156"/>
  <c r="E56" i="165"/>
  <c r="E82" i="165"/>
  <c r="E86" i="165"/>
  <c r="G86" i="165"/>
  <c r="E90" i="165"/>
  <c r="E123" i="165"/>
  <c r="E132" i="165"/>
  <c r="E156" i="165"/>
  <c r="E160" i="165"/>
  <c r="G160" i="165"/>
  <c r="E20" i="143"/>
  <c r="E40" i="143"/>
  <c r="E44" i="143"/>
  <c r="E60" i="143"/>
  <c r="E67" i="143"/>
  <c r="G71" i="143"/>
  <c r="E150" i="143"/>
  <c r="E223" i="143"/>
  <c r="E202" i="92"/>
  <c r="E20" i="58"/>
  <c r="E40" i="58"/>
  <c r="E44" i="58"/>
  <c r="G44" i="58"/>
  <c r="E225" i="155"/>
  <c r="E27" i="156"/>
  <c r="E31" i="156"/>
  <c r="E42" i="156"/>
  <c r="E54" i="156"/>
  <c r="E58" i="156"/>
  <c r="E73" i="156"/>
  <c r="E223" i="156"/>
  <c r="E170" i="27"/>
  <c r="E44" i="14"/>
  <c r="E75" i="14"/>
  <c r="E142" i="143"/>
  <c r="E151" i="143"/>
  <c r="E159" i="143"/>
  <c r="E182" i="143"/>
  <c r="E190" i="143"/>
  <c r="E224" i="143"/>
  <c r="E43" i="10"/>
  <c r="E202" i="10"/>
  <c r="E48" i="58"/>
  <c r="E148" i="58"/>
  <c r="E157" i="58"/>
  <c r="E164" i="58"/>
  <c r="E180" i="58"/>
  <c r="E188" i="58"/>
  <c r="E71" i="54"/>
  <c r="E14" i="150"/>
  <c r="E13" i="68"/>
  <c r="G13" i="68"/>
  <c r="E17" i="68"/>
  <c r="E14" i="53"/>
  <c r="E60" i="141"/>
  <c r="E75" i="141"/>
  <c r="E41" i="27"/>
  <c r="E73" i="92"/>
  <c r="E40" i="15"/>
  <c r="D21" i="63"/>
  <c r="E179" i="87"/>
  <c r="E183" i="87"/>
  <c r="E159" i="69"/>
  <c r="E174" i="69"/>
  <c r="E48" i="142"/>
  <c r="E100" i="142"/>
  <c r="E118" i="142"/>
  <c r="E31" i="92"/>
  <c r="E35" i="92"/>
  <c r="E47" i="92"/>
  <c r="E51" i="92"/>
  <c r="E78" i="92"/>
  <c r="E107" i="92"/>
  <c r="G107" i="92"/>
  <c r="E114" i="92"/>
  <c r="E118" i="92"/>
  <c r="E194" i="1"/>
  <c r="G194" i="1"/>
  <c r="E43" i="50"/>
  <c r="E182" i="19"/>
  <c r="E186" i="19"/>
  <c r="E86" i="63"/>
  <c r="E194" i="24"/>
  <c r="E115" i="69"/>
  <c r="E96" i="145"/>
  <c r="E56" i="19"/>
  <c r="E82" i="19"/>
  <c r="E64" i="63"/>
  <c r="G64" i="63"/>
  <c r="E68" i="63"/>
  <c r="E98" i="58"/>
  <c r="E129" i="58"/>
  <c r="E133" i="58"/>
  <c r="E156" i="58"/>
  <c r="E160" i="58"/>
  <c r="E167" i="58"/>
  <c r="E171" i="58"/>
  <c r="G171" i="58"/>
  <c r="E183" i="58"/>
  <c r="E138" i="174"/>
  <c r="E148" i="98"/>
  <c r="E16" i="46"/>
  <c r="E60" i="46"/>
  <c r="E28" i="133"/>
  <c r="E36" i="133"/>
  <c r="E44" i="133"/>
  <c r="E56" i="133"/>
  <c r="E108" i="63"/>
  <c r="E88" i="62"/>
  <c r="E92" i="62"/>
  <c r="E66" i="58"/>
  <c r="E185" i="49"/>
  <c r="E82" i="120"/>
  <c r="E132" i="143"/>
  <c r="E174" i="38"/>
  <c r="E203" i="178"/>
  <c r="E44" i="103"/>
  <c r="C21" i="145"/>
  <c r="E76" i="68"/>
  <c r="E41" i="47"/>
  <c r="E152" i="47"/>
  <c r="E110" i="164"/>
  <c r="E69" i="68"/>
  <c r="E34" i="71"/>
  <c r="E42" i="25"/>
  <c r="E50" i="25"/>
  <c r="E35" i="178"/>
  <c r="E231" i="178"/>
  <c r="E235" i="178"/>
  <c r="E43" i="15"/>
  <c r="E88" i="68"/>
  <c r="E14" i="62"/>
  <c r="G14" i="62"/>
  <c r="E26" i="62"/>
  <c r="E34" i="62"/>
  <c r="E38" i="62"/>
  <c r="E42" i="62"/>
  <c r="E137" i="58"/>
  <c r="E85" i="53"/>
  <c r="E158" i="53"/>
  <c r="E41" i="106"/>
  <c r="E49" i="106"/>
  <c r="E57" i="106"/>
  <c r="E157" i="133"/>
  <c r="E91" i="24"/>
  <c r="E105" i="24"/>
  <c r="E166" i="156"/>
  <c r="E72" i="150"/>
  <c r="E87" i="150"/>
  <c r="E166" i="178"/>
  <c r="G166" i="178"/>
  <c r="E185" i="83"/>
  <c r="E38" i="106"/>
  <c r="E28" i="104"/>
  <c r="E26" i="43"/>
  <c r="E135" i="84"/>
  <c r="E141" i="39"/>
  <c r="E171" i="152"/>
  <c r="G171" i="152"/>
  <c r="E175" i="152"/>
  <c r="E183" i="152"/>
  <c r="E167" i="120"/>
  <c r="E50" i="27"/>
  <c r="G50" i="27"/>
  <c r="E54" i="27"/>
  <c r="G54" i="27"/>
  <c r="E65" i="165"/>
  <c r="E73" i="165"/>
  <c r="E84" i="165"/>
  <c r="E116" i="165"/>
  <c r="E143" i="165"/>
  <c r="E168" i="165"/>
  <c r="E30" i="14"/>
  <c r="E191" i="14"/>
  <c r="E29" i="149"/>
  <c r="E76" i="149"/>
  <c r="G76" i="149"/>
  <c r="E176" i="87"/>
  <c r="E159" i="92"/>
  <c r="E82" i="50"/>
  <c r="E89" i="95"/>
  <c r="E45" i="31"/>
  <c r="E201" i="178"/>
  <c r="E43" i="178"/>
  <c r="E67" i="39"/>
  <c r="E116" i="120"/>
  <c r="E27" i="119"/>
  <c r="E100" i="155"/>
  <c r="E72" i="158"/>
  <c r="E43" i="152"/>
  <c r="E107" i="156"/>
  <c r="E143" i="158"/>
  <c r="E44" i="55"/>
  <c r="E52" i="55"/>
  <c r="E90" i="55"/>
  <c r="G90" i="55"/>
  <c r="E142" i="55"/>
  <c r="E98" i="149"/>
  <c r="E109" i="149"/>
  <c r="E129" i="149"/>
  <c r="G129" i="149"/>
  <c r="E138" i="149"/>
  <c r="E82" i="87"/>
  <c r="E118" i="87"/>
  <c r="E141" i="178"/>
  <c r="E31" i="178"/>
  <c r="E92" i="47"/>
  <c r="E126" i="71"/>
  <c r="E31" i="39"/>
  <c r="E46" i="32"/>
  <c r="E19" i="64"/>
  <c r="C61" i="65"/>
  <c r="E88" i="65"/>
  <c r="G88" i="65"/>
  <c r="E99" i="158"/>
  <c r="E49" i="55"/>
  <c r="E180" i="149"/>
  <c r="G180" i="149"/>
  <c r="E56" i="143"/>
  <c r="G56" i="143"/>
  <c r="E83" i="10"/>
  <c r="E171" i="10"/>
  <c r="E118" i="178"/>
  <c r="G150" i="79"/>
  <c r="G87" i="79"/>
  <c r="G71" i="79"/>
  <c r="G172" i="79"/>
  <c r="G36" i="79"/>
  <c r="G84" i="79"/>
  <c r="G190" i="79"/>
  <c r="G183" i="79"/>
  <c r="G67" i="20"/>
  <c r="G25" i="20"/>
  <c r="G140" i="20"/>
  <c r="G167" i="20"/>
  <c r="G185" i="20"/>
  <c r="M17" i="20"/>
  <c r="G147" i="20"/>
  <c r="G60" i="20"/>
  <c r="G126" i="20"/>
  <c r="G224" i="20"/>
  <c r="G117" i="20"/>
  <c r="G118" i="85"/>
  <c r="G145" i="85"/>
  <c r="G159" i="85"/>
  <c r="G130" i="85"/>
  <c r="G142" i="85"/>
  <c r="G167" i="85"/>
  <c r="G57" i="85"/>
  <c r="G96" i="85"/>
  <c r="G196" i="85"/>
  <c r="G38" i="85"/>
  <c r="G37" i="85"/>
  <c r="G54" i="85"/>
  <c r="G41" i="85"/>
  <c r="G170" i="85"/>
  <c r="G174" i="85"/>
  <c r="G25" i="85"/>
  <c r="G202" i="85"/>
  <c r="G48" i="85"/>
  <c r="G195" i="72"/>
  <c r="G221" i="72"/>
  <c r="E111" i="72"/>
  <c r="G40" i="72"/>
  <c r="G124" i="72"/>
  <c r="G96" i="72"/>
  <c r="G231" i="72"/>
  <c r="G178" i="72"/>
  <c r="G222" i="86"/>
  <c r="G146" i="32"/>
  <c r="G89" i="141"/>
  <c r="G220" i="39"/>
  <c r="G190" i="167"/>
  <c r="E156" i="10"/>
  <c r="G18" i="1"/>
  <c r="G83" i="15"/>
  <c r="G35" i="167"/>
  <c r="G173" i="95"/>
  <c r="G64" i="94"/>
  <c r="G193" i="54"/>
  <c r="E167" i="10"/>
  <c r="D197" i="10"/>
  <c r="G136" i="60"/>
  <c r="G15" i="172"/>
  <c r="G126" i="167"/>
  <c r="G185" i="38"/>
  <c r="G179" i="24"/>
  <c r="E160" i="10"/>
  <c r="G231" i="38"/>
  <c r="E235" i="38"/>
  <c r="G194" i="167"/>
  <c r="G222" i="95"/>
  <c r="G194" i="58"/>
  <c r="G181" i="1"/>
  <c r="G91" i="71"/>
  <c r="G88" i="177"/>
  <c r="G135" i="60"/>
  <c r="E171" i="60"/>
  <c r="E175" i="60"/>
  <c r="E148" i="172"/>
  <c r="E152" i="172"/>
  <c r="G152" i="172"/>
  <c r="C161" i="172"/>
  <c r="E13" i="176"/>
  <c r="E17" i="176"/>
  <c r="C21" i="176"/>
  <c r="G136" i="133"/>
  <c r="G42" i="167"/>
  <c r="G115" i="38"/>
  <c r="G118" i="167"/>
  <c r="E48" i="60"/>
  <c r="E59" i="60"/>
  <c r="E66" i="60"/>
  <c r="D79" i="60"/>
  <c r="E70" i="60"/>
  <c r="E74" i="60"/>
  <c r="E78" i="60"/>
  <c r="C93" i="60"/>
  <c r="E85" i="60"/>
  <c r="C102" i="60"/>
  <c r="E99" i="60"/>
  <c r="E124" i="60"/>
  <c r="E129" i="60"/>
  <c r="G129" i="60"/>
  <c r="E143" i="60"/>
  <c r="C197" i="60"/>
  <c r="E164" i="60"/>
  <c r="E168" i="60"/>
  <c r="E169" i="68"/>
  <c r="G169" i="68"/>
  <c r="E172" i="68"/>
  <c r="E176" i="68"/>
  <c r="E180" i="68"/>
  <c r="E190" i="68"/>
  <c r="E204" i="68"/>
  <c r="E221" i="68"/>
  <c r="D21" i="66"/>
  <c r="E34" i="66"/>
  <c r="E38" i="66"/>
  <c r="E42" i="66"/>
  <c r="E46" i="66"/>
  <c r="E49" i="66"/>
  <c r="E60" i="66"/>
  <c r="E74" i="66"/>
  <c r="E77" i="66"/>
  <c r="E148" i="66"/>
  <c r="E152" i="66"/>
  <c r="E167" i="66"/>
  <c r="E181" i="66"/>
  <c r="E185" i="66"/>
  <c r="E193" i="66"/>
  <c r="E20" i="63"/>
  <c r="D23" i="97"/>
  <c r="E71" i="84"/>
  <c r="E85" i="84"/>
  <c r="G85" i="84"/>
  <c r="E89" i="84"/>
  <c r="E100" i="84"/>
  <c r="E36" i="156"/>
  <c r="E40" i="156"/>
  <c r="G40" i="156"/>
  <c r="D93" i="156"/>
  <c r="E99" i="156"/>
  <c r="C102" i="156"/>
  <c r="E106" i="156"/>
  <c r="D161" i="156"/>
  <c r="E142" i="156"/>
  <c r="E151" i="156"/>
  <c r="E156" i="156"/>
  <c r="E138" i="42"/>
  <c r="C161" i="42"/>
  <c r="E143" i="42"/>
  <c r="E152" i="42"/>
  <c r="E156" i="42"/>
  <c r="D161" i="42"/>
  <c r="E160" i="42"/>
  <c r="E167" i="42"/>
  <c r="C197" i="42"/>
  <c r="E175" i="42"/>
  <c r="D197" i="42"/>
  <c r="E186" i="42"/>
  <c r="E190" i="42"/>
  <c r="E194" i="42"/>
  <c r="C206" i="42"/>
  <c r="E201" i="42"/>
  <c r="E141" i="158"/>
  <c r="C161" i="158"/>
  <c r="E146" i="158"/>
  <c r="E150" i="158"/>
  <c r="E155" i="158"/>
  <c r="E166" i="158"/>
  <c r="C197" i="158"/>
  <c r="E169" i="158"/>
  <c r="D197" i="158"/>
  <c r="E173" i="158"/>
  <c r="E177" i="158"/>
  <c r="E181" i="158"/>
  <c r="E185" i="158"/>
  <c r="E188" i="158"/>
  <c r="E192" i="158"/>
  <c r="E196" i="158"/>
  <c r="D21" i="16"/>
  <c r="E16" i="16"/>
  <c r="E44" i="16"/>
  <c r="E48" i="16"/>
  <c r="E52" i="16"/>
  <c r="E188" i="176"/>
  <c r="E25" i="143"/>
  <c r="E29" i="143"/>
  <c r="E33" i="143"/>
  <c r="E37" i="143"/>
  <c r="E205" i="143"/>
  <c r="D206" i="143"/>
  <c r="E225" i="143"/>
  <c r="C228" i="143"/>
  <c r="E11" i="10"/>
  <c r="D21" i="10"/>
  <c r="E15" i="10"/>
  <c r="E19" i="10"/>
  <c r="D161" i="10"/>
  <c r="E148" i="10"/>
  <c r="E171" i="87"/>
  <c r="D197" i="87"/>
  <c r="E175" i="87"/>
  <c r="D161" i="86"/>
  <c r="E124" i="86"/>
  <c r="E148" i="86"/>
  <c r="C161" i="86"/>
  <c r="E19" i="69"/>
  <c r="E27" i="69"/>
  <c r="E30" i="69"/>
  <c r="E34" i="69"/>
  <c r="E38" i="69"/>
  <c r="E42" i="69"/>
  <c r="E194" i="69"/>
  <c r="D206" i="69"/>
  <c r="E201" i="69"/>
  <c r="E41" i="142"/>
  <c r="D61" i="142"/>
  <c r="C61" i="142"/>
  <c r="E53" i="142"/>
  <c r="E56" i="142"/>
  <c r="E60" i="142"/>
  <c r="E67" i="142"/>
  <c r="D79" i="142"/>
  <c r="E71" i="142"/>
  <c r="E75" i="142"/>
  <c r="E82" i="142"/>
  <c r="C93" i="142"/>
  <c r="E90" i="142"/>
  <c r="E97" i="142"/>
  <c r="C102" i="142"/>
  <c r="E101" i="142"/>
  <c r="E108" i="142"/>
  <c r="C111" i="142"/>
  <c r="E115" i="142"/>
  <c r="C119" i="142"/>
  <c r="E123" i="142"/>
  <c r="C161" i="142"/>
  <c r="E126" i="142"/>
  <c r="E131" i="142"/>
  <c r="E136" i="142"/>
  <c r="E141" i="142"/>
  <c r="E146" i="142"/>
  <c r="E150" i="142"/>
  <c r="E155" i="142"/>
  <c r="E159" i="142"/>
  <c r="C197" i="142"/>
  <c r="E166" i="142"/>
  <c r="E170" i="142"/>
  <c r="E174" i="142"/>
  <c r="E178" i="142"/>
  <c r="E182" i="142"/>
  <c r="E13" i="1"/>
  <c r="C21" i="1"/>
  <c r="C61" i="1"/>
  <c r="E25" i="1"/>
  <c r="G25" i="1"/>
  <c r="E29" i="1"/>
  <c r="E37" i="1"/>
  <c r="E41" i="1"/>
  <c r="E44" i="1"/>
  <c r="E48" i="1"/>
  <c r="E52" i="1"/>
  <c r="E56" i="1"/>
  <c r="E60" i="1"/>
  <c r="E67" i="1"/>
  <c r="D79" i="1"/>
  <c r="E71" i="1"/>
  <c r="E75" i="1"/>
  <c r="E82" i="1"/>
  <c r="C93" i="1"/>
  <c r="E86" i="1"/>
  <c r="E90" i="1"/>
  <c r="E97" i="1"/>
  <c r="C102" i="1"/>
  <c r="E101" i="1"/>
  <c r="E108" i="1"/>
  <c r="C111" i="1"/>
  <c r="E114" i="1"/>
  <c r="D119" i="1"/>
  <c r="E118" i="1"/>
  <c r="C119" i="1"/>
  <c r="C161" i="1"/>
  <c r="E126" i="1"/>
  <c r="G126" i="1"/>
  <c r="E136" i="1"/>
  <c r="E141" i="1"/>
  <c r="E177" i="1"/>
  <c r="C197" i="1"/>
  <c r="D197" i="1"/>
  <c r="E195" i="1"/>
  <c r="E202" i="1"/>
  <c r="C206" i="1"/>
  <c r="C228" i="1"/>
  <c r="E226" i="1"/>
  <c r="E12" i="50"/>
  <c r="C21" i="50"/>
  <c r="E16" i="50"/>
  <c r="E20" i="50"/>
  <c r="E28" i="50"/>
  <c r="C61" i="50"/>
  <c r="E32" i="50"/>
  <c r="E36" i="50"/>
  <c r="E40" i="50"/>
  <c r="E44" i="50"/>
  <c r="E48" i="50"/>
  <c r="E51" i="50"/>
  <c r="D61" i="50"/>
  <c r="D161" i="50"/>
  <c r="E150" i="50"/>
  <c r="E125" i="95"/>
  <c r="C161" i="95"/>
  <c r="E130" i="95"/>
  <c r="E135" i="95"/>
  <c r="E145" i="95"/>
  <c r="E157" i="95"/>
  <c r="C197" i="95"/>
  <c r="E164" i="95"/>
  <c r="E168" i="95"/>
  <c r="E172" i="95"/>
  <c r="E176" i="95"/>
  <c r="E180" i="95"/>
  <c r="G180" i="95"/>
  <c r="E183" i="95"/>
  <c r="D197" i="95"/>
  <c r="E187" i="95"/>
  <c r="E195" i="95"/>
  <c r="E202" i="95"/>
  <c r="C206" i="95"/>
  <c r="E226" i="95"/>
  <c r="C228" i="95"/>
  <c r="E226" i="31"/>
  <c r="E87" i="31"/>
  <c r="E77" i="31"/>
  <c r="G221" i="62"/>
  <c r="E86" i="142"/>
  <c r="G20" i="177"/>
  <c r="G201" i="149"/>
  <c r="D197" i="69"/>
  <c r="D161" i="172"/>
  <c r="E152" i="86"/>
  <c r="E36" i="16"/>
  <c r="E235" i="142"/>
  <c r="G231" i="142"/>
  <c r="E49" i="142"/>
  <c r="G203" i="133"/>
  <c r="G92" i="120"/>
  <c r="G173" i="133"/>
  <c r="G147" i="16"/>
  <c r="G203" i="172"/>
  <c r="G20" i="60"/>
  <c r="G180" i="46"/>
  <c r="D111" i="156"/>
  <c r="G71" i="155"/>
  <c r="G146" i="149"/>
  <c r="G184" i="167"/>
  <c r="G143" i="167"/>
  <c r="E129" i="86"/>
  <c r="E151" i="60"/>
  <c r="G151" i="60"/>
  <c r="E56" i="60"/>
  <c r="G56" i="60"/>
  <c r="G182" i="1"/>
  <c r="E146" i="1"/>
  <c r="G232" i="176"/>
  <c r="G43" i="156"/>
  <c r="E96" i="84"/>
  <c r="G222" i="19"/>
  <c r="E12" i="16"/>
  <c r="E33" i="1"/>
  <c r="E41" i="143"/>
  <c r="G169" i="92"/>
  <c r="G29" i="158"/>
  <c r="G54" i="152"/>
  <c r="G82" i="27"/>
  <c r="G68" i="89"/>
  <c r="G99" i="27"/>
  <c r="G75" i="177"/>
  <c r="G16" i="177"/>
  <c r="G205" i="94"/>
  <c r="G190" i="172"/>
  <c r="G32" i="27"/>
  <c r="E131" i="1"/>
  <c r="E140" i="95"/>
  <c r="G26" i="1"/>
  <c r="G176" i="62"/>
  <c r="G203" i="165"/>
  <c r="E78" i="103"/>
  <c r="E84" i="103"/>
  <c r="E88" i="103"/>
  <c r="E105" i="103"/>
  <c r="E108" i="103"/>
  <c r="E159" i="103"/>
  <c r="G231" i="92"/>
  <c r="E235" i="92"/>
  <c r="G168" i="167"/>
  <c r="G41" i="167"/>
  <c r="E166" i="103"/>
  <c r="E170" i="103"/>
  <c r="E174" i="103"/>
  <c r="E178" i="103"/>
  <c r="E182" i="103"/>
  <c r="E193" i="103"/>
  <c r="E204" i="103"/>
  <c r="C161" i="118"/>
  <c r="E147" i="118"/>
  <c r="E150" i="118"/>
  <c r="E155" i="118"/>
  <c r="C197" i="118"/>
  <c r="C168" i="97"/>
  <c r="E165" i="118"/>
  <c r="E168" i="118"/>
  <c r="E185" i="118"/>
  <c r="E37" i="60"/>
  <c r="E45" i="60"/>
  <c r="E183" i="71"/>
  <c r="D79" i="39"/>
  <c r="E181" i="120"/>
  <c r="E200" i="120"/>
  <c r="E204" i="120"/>
  <c r="E107" i="90"/>
  <c r="E110" i="90"/>
  <c r="D111" i="90"/>
  <c r="E117" i="90"/>
  <c r="D119" i="90"/>
  <c r="E130" i="90"/>
  <c r="G130" i="90"/>
  <c r="E140" i="90"/>
  <c r="E143" i="90"/>
  <c r="E152" i="90"/>
  <c r="E157" i="90"/>
  <c r="G157" i="90"/>
  <c r="E164" i="90"/>
  <c r="E188" i="90"/>
  <c r="E192" i="90"/>
  <c r="E20" i="24"/>
  <c r="C21" i="24"/>
  <c r="E28" i="24"/>
  <c r="E42" i="24"/>
  <c r="E46" i="24"/>
  <c r="E54" i="24"/>
  <c r="E58" i="24"/>
  <c r="E65" i="24"/>
  <c r="E69" i="24"/>
  <c r="C197" i="24"/>
  <c r="E183" i="24"/>
  <c r="E186" i="24"/>
  <c r="E190" i="24"/>
  <c r="E37" i="141"/>
  <c r="D61" i="141"/>
  <c r="E41" i="141"/>
  <c r="E45" i="141"/>
  <c r="E49" i="141"/>
  <c r="E57" i="141"/>
  <c r="E67" i="141"/>
  <c r="E71" i="141"/>
  <c r="E145" i="172"/>
  <c r="E127" i="176"/>
  <c r="E136" i="176"/>
  <c r="G136" i="176"/>
  <c r="E184" i="176"/>
  <c r="E157" i="86"/>
  <c r="E168" i="86"/>
  <c r="E176" i="86"/>
  <c r="E180" i="86"/>
  <c r="E183" i="86"/>
  <c r="E187" i="86"/>
  <c r="E12" i="89"/>
  <c r="D21" i="89"/>
  <c r="E16" i="89"/>
  <c r="E20" i="89"/>
  <c r="E28" i="89"/>
  <c r="D61" i="89"/>
  <c r="E32" i="89"/>
  <c r="E36" i="89"/>
  <c r="E40" i="89"/>
  <c r="E44" i="89"/>
  <c r="E48" i="89"/>
  <c r="E52" i="89"/>
  <c r="E56" i="89"/>
  <c r="C21" i="69"/>
  <c r="E12" i="69"/>
  <c r="E16" i="69"/>
  <c r="E20" i="69"/>
  <c r="G20" i="69"/>
  <c r="E31" i="69"/>
  <c r="E39" i="69"/>
  <c r="G39" i="69"/>
  <c r="E221" i="92"/>
  <c r="C228" i="92"/>
  <c r="D21" i="1"/>
  <c r="D61" i="1"/>
  <c r="E49" i="1"/>
  <c r="E57" i="1"/>
  <c r="E72" i="1"/>
  <c r="D93" i="1"/>
  <c r="D102" i="1"/>
  <c r="D111" i="1"/>
  <c r="E115" i="1"/>
  <c r="E108" i="50"/>
  <c r="C111" i="50"/>
  <c r="E115" i="50"/>
  <c r="C119" i="50"/>
  <c r="E123" i="50"/>
  <c r="C161" i="50"/>
  <c r="E127" i="50"/>
  <c r="E132" i="50"/>
  <c r="E137" i="50"/>
  <c r="E142" i="50"/>
  <c r="E147" i="50"/>
  <c r="E17" i="38"/>
  <c r="E25" i="38"/>
  <c r="G25" i="38"/>
  <c r="E33" i="38"/>
  <c r="E37" i="38"/>
  <c r="E41" i="38"/>
  <c r="G41" i="38"/>
  <c r="E45" i="38"/>
  <c r="E49" i="38"/>
  <c r="E53" i="38"/>
  <c r="E57" i="38"/>
  <c r="E64" i="38"/>
  <c r="E142" i="38"/>
  <c r="E160" i="38"/>
  <c r="E167" i="38"/>
  <c r="E171" i="38"/>
  <c r="E175" i="38"/>
  <c r="E179" i="38"/>
  <c r="E191" i="38"/>
  <c r="E195" i="38"/>
  <c r="G183" i="167"/>
  <c r="G132" i="167"/>
  <c r="G73" i="167"/>
  <c r="G166" i="157"/>
  <c r="G126" i="157"/>
  <c r="G110" i="149"/>
  <c r="G196" i="58"/>
  <c r="G173" i="167"/>
  <c r="G65" i="167"/>
  <c r="G192" i="165"/>
  <c r="G45" i="24"/>
  <c r="E148" i="90"/>
  <c r="G225" i="27"/>
  <c r="D161" i="118"/>
  <c r="G127" i="167"/>
  <c r="E164" i="86"/>
  <c r="G153" i="54"/>
  <c r="E33" i="60"/>
  <c r="G20" i="27"/>
  <c r="E44" i="39"/>
  <c r="G132" i="65"/>
  <c r="E53" i="141"/>
  <c r="G32" i="149"/>
  <c r="G12" i="149"/>
  <c r="G18" i="167"/>
  <c r="G178" i="24"/>
  <c r="G57" i="87"/>
  <c r="G77" i="172"/>
  <c r="G179" i="62"/>
  <c r="G92" i="15"/>
  <c r="G18" i="143"/>
  <c r="G31" i="141"/>
  <c r="G231" i="14"/>
  <c r="G232" i="143"/>
  <c r="G105" i="50"/>
  <c r="C228" i="65"/>
  <c r="E231" i="65"/>
  <c r="E20" i="119"/>
  <c r="G20" i="119"/>
  <c r="E36" i="119"/>
  <c r="E203" i="27"/>
  <c r="E220" i="27"/>
  <c r="E11" i="165"/>
  <c r="E15" i="165"/>
  <c r="E19" i="165"/>
  <c r="E46" i="165"/>
  <c r="E92" i="165"/>
  <c r="G92" i="165"/>
  <c r="E138" i="165"/>
  <c r="E152" i="165"/>
  <c r="E164" i="165"/>
  <c r="E172" i="165"/>
  <c r="E175" i="165"/>
  <c r="E179" i="165"/>
  <c r="E189" i="55"/>
  <c r="E204" i="55"/>
  <c r="E223" i="55"/>
  <c r="E14" i="14"/>
  <c r="C21" i="14"/>
  <c r="E18" i="14"/>
  <c r="E64" i="14"/>
  <c r="D79" i="14"/>
  <c r="E68" i="14"/>
  <c r="E115" i="14"/>
  <c r="E123" i="14"/>
  <c r="E148" i="149"/>
  <c r="G148" i="149"/>
  <c r="E152" i="149"/>
  <c r="E157" i="149"/>
  <c r="E164" i="149"/>
  <c r="E168" i="149"/>
  <c r="E172" i="149"/>
  <c r="E179" i="149"/>
  <c r="E186" i="149"/>
  <c r="E194" i="149"/>
  <c r="E58" i="172"/>
  <c r="E84" i="172"/>
  <c r="E97" i="172"/>
  <c r="E108" i="172"/>
  <c r="D111" i="172"/>
  <c r="E115" i="172"/>
  <c r="E136" i="172"/>
  <c r="G232" i="157"/>
  <c r="G116" i="92"/>
  <c r="C61" i="54"/>
  <c r="E43" i="54"/>
  <c r="E47" i="54"/>
  <c r="E153" i="84"/>
  <c r="E158" i="84"/>
  <c r="E172" i="84"/>
  <c r="E137" i="39"/>
  <c r="E221" i="133"/>
  <c r="C228" i="133"/>
  <c r="E58" i="152"/>
  <c r="G58" i="152"/>
  <c r="C79" i="152"/>
  <c r="E74" i="152"/>
  <c r="E106" i="64"/>
  <c r="E169" i="28"/>
  <c r="E200" i="28"/>
  <c r="E38" i="65"/>
  <c r="C93" i="65"/>
  <c r="E135" i="65"/>
  <c r="E147" i="65"/>
  <c r="E151" i="65"/>
  <c r="E156" i="65"/>
  <c r="E167" i="65"/>
  <c r="C197" i="65"/>
  <c r="G129" i="167"/>
  <c r="G106" i="167"/>
  <c r="E67" i="15"/>
  <c r="E78" i="15"/>
  <c r="E156" i="63"/>
  <c r="E184" i="63"/>
  <c r="E204" i="46"/>
  <c r="E222" i="46"/>
  <c r="E222" i="106"/>
  <c r="E13" i="104"/>
  <c r="E17" i="104"/>
  <c r="G17" i="104"/>
  <c r="E222" i="28"/>
  <c r="E220" i="65"/>
  <c r="E11" i="119"/>
  <c r="E19" i="119"/>
  <c r="E43" i="119"/>
  <c r="G43" i="119"/>
  <c r="E74" i="119"/>
  <c r="E78" i="119"/>
  <c r="G57" i="165"/>
  <c r="E90" i="54"/>
  <c r="E227" i="94"/>
  <c r="E75" i="145"/>
  <c r="E82" i="145"/>
  <c r="E108" i="145"/>
  <c r="G219" i="145"/>
  <c r="E26" i="15"/>
  <c r="E150" i="15"/>
  <c r="E219" i="15"/>
  <c r="E226" i="15"/>
  <c r="E16" i="150"/>
  <c r="E50" i="68"/>
  <c r="E58" i="68"/>
  <c r="E92" i="63"/>
  <c r="E99" i="63"/>
  <c r="E106" i="63"/>
  <c r="E71" i="58"/>
  <c r="E117" i="46"/>
  <c r="E135" i="46"/>
  <c r="E65" i="63"/>
  <c r="E91" i="63"/>
  <c r="E151" i="63"/>
  <c r="E99" i="62"/>
  <c r="E133" i="62"/>
  <c r="E147" i="62"/>
  <c r="E145" i="84"/>
  <c r="E149" i="84"/>
  <c r="E193" i="84"/>
  <c r="E16" i="71"/>
  <c r="E50" i="10"/>
  <c r="E77" i="92"/>
  <c r="E191" i="1"/>
  <c r="E11" i="50"/>
  <c r="E19" i="50"/>
  <c r="E39" i="50"/>
  <c r="E47" i="50"/>
  <c r="E55" i="50"/>
  <c r="E59" i="50"/>
  <c r="E74" i="50"/>
  <c r="E85" i="50"/>
  <c r="E232" i="50"/>
  <c r="E225" i="95"/>
  <c r="E227" i="31"/>
  <c r="E219" i="31"/>
  <c r="E157" i="31"/>
  <c r="E155" i="38"/>
  <c r="E178" i="38"/>
  <c r="E49" i="150"/>
  <c r="E57" i="150"/>
  <c r="E64" i="150"/>
  <c r="E68" i="150"/>
  <c r="E83" i="150"/>
  <c r="E91" i="150"/>
  <c r="E44" i="63"/>
  <c r="E222" i="47"/>
  <c r="E232" i="47"/>
  <c r="E25" i="46"/>
  <c r="E225" i="103"/>
  <c r="E33" i="118"/>
  <c r="G33" i="118"/>
  <c r="E137" i="54"/>
  <c r="E149" i="68"/>
  <c r="E59" i="49"/>
  <c r="E70" i="49"/>
  <c r="E89" i="49"/>
  <c r="E149" i="49"/>
  <c r="E55" i="83"/>
  <c r="E124" i="43"/>
  <c r="E30" i="84"/>
  <c r="E195" i="145"/>
  <c r="E223" i="68"/>
  <c r="E220" i="98"/>
  <c r="E181" i="49"/>
  <c r="E224" i="43"/>
  <c r="E40" i="118"/>
  <c r="E72" i="68"/>
  <c r="E30" i="66"/>
  <c r="G30" i="66"/>
  <c r="E177" i="66"/>
  <c r="E28" i="63"/>
  <c r="E32" i="63"/>
  <c r="E156" i="104"/>
  <c r="E19" i="43"/>
  <c r="E50" i="43"/>
  <c r="E58" i="43"/>
  <c r="E74" i="64"/>
  <c r="E20" i="28"/>
  <c r="E92" i="46"/>
  <c r="E158" i="83"/>
  <c r="E106" i="47"/>
  <c r="E57" i="104"/>
  <c r="E15" i="58"/>
  <c r="E68" i="58"/>
  <c r="E58" i="155"/>
  <c r="E65" i="158"/>
  <c r="E20" i="165"/>
  <c r="E55" i="165"/>
  <c r="E66" i="165"/>
  <c r="E20" i="55"/>
  <c r="E129" i="150"/>
  <c r="E152" i="150"/>
  <c r="E164" i="150"/>
  <c r="E44" i="145"/>
  <c r="E51" i="145"/>
  <c r="E187" i="63"/>
  <c r="G187" i="63"/>
  <c r="E177" i="62"/>
  <c r="E34" i="43"/>
  <c r="E38" i="43"/>
  <c r="E42" i="103"/>
  <c r="E71" i="103"/>
  <c r="E13" i="54"/>
  <c r="E137" i="62"/>
  <c r="E57" i="47"/>
  <c r="E99" i="47"/>
  <c r="E194" i="25"/>
  <c r="E118" i="156"/>
  <c r="E153" i="178"/>
  <c r="E145" i="178"/>
  <c r="E135" i="178"/>
  <c r="E88" i="178"/>
  <c r="E182" i="178"/>
  <c r="E70" i="178"/>
  <c r="E59" i="178"/>
  <c r="E15" i="178"/>
  <c r="E51" i="19"/>
  <c r="E50" i="98"/>
  <c r="E125" i="119"/>
  <c r="E221" i="54"/>
  <c r="E176" i="63"/>
  <c r="E82" i="58"/>
  <c r="E86" i="58"/>
  <c r="E126" i="58"/>
  <c r="E141" i="46"/>
  <c r="E115" i="152"/>
  <c r="E160" i="145"/>
  <c r="G160" i="145"/>
  <c r="C153" i="97"/>
  <c r="E118" i="15"/>
  <c r="E18" i="150"/>
  <c r="E25" i="58"/>
  <c r="E76" i="46"/>
  <c r="E53" i="106"/>
  <c r="E126" i="106"/>
  <c r="E15" i="43"/>
  <c r="E54" i="43"/>
  <c r="E34" i="145"/>
  <c r="E90" i="63"/>
  <c r="E46" i="106"/>
  <c r="E27" i="43"/>
  <c r="E38" i="103"/>
  <c r="E82" i="118"/>
  <c r="E60" i="54"/>
  <c r="G60" i="54"/>
  <c r="E105" i="19"/>
  <c r="E171" i="19"/>
  <c r="E11" i="15"/>
  <c r="E54" i="63"/>
  <c r="E85" i="58"/>
  <c r="E152" i="58"/>
  <c r="E172" i="58"/>
  <c r="E34" i="53"/>
  <c r="E140" i="49"/>
  <c r="E145" i="49"/>
  <c r="E92" i="83"/>
  <c r="E189" i="83"/>
  <c r="E19" i="106"/>
  <c r="E26" i="71"/>
  <c r="E30" i="71"/>
  <c r="E150" i="39"/>
  <c r="E164" i="141"/>
  <c r="E123" i="64"/>
  <c r="E143" i="27"/>
  <c r="E187" i="54"/>
  <c r="E27" i="145"/>
  <c r="E60" i="19"/>
  <c r="E58" i="66"/>
  <c r="E92" i="66"/>
  <c r="E26" i="63"/>
  <c r="E48" i="63"/>
  <c r="E83" i="63"/>
  <c r="E98" i="63"/>
  <c r="E130" i="63"/>
  <c r="E188" i="63"/>
  <c r="E58" i="62"/>
  <c r="E76" i="58"/>
  <c r="E83" i="58"/>
  <c r="E14" i="98"/>
  <c r="E30" i="98"/>
  <c r="E88" i="98"/>
  <c r="E26" i="49"/>
  <c r="E177" i="49"/>
  <c r="E85" i="83"/>
  <c r="E110" i="83"/>
  <c r="E117" i="83"/>
  <c r="E110" i="47"/>
  <c r="E116" i="47"/>
  <c r="E49" i="46"/>
  <c r="C155" i="97"/>
  <c r="E189" i="43"/>
  <c r="E35" i="71"/>
  <c r="E33" i="39"/>
  <c r="E37" i="39"/>
  <c r="E59" i="39"/>
  <c r="E66" i="39"/>
  <c r="E13" i="120"/>
  <c r="E114" i="156"/>
  <c r="E110" i="145"/>
  <c r="E158" i="145"/>
  <c r="G158" i="145"/>
  <c r="E75" i="19"/>
  <c r="E98" i="68"/>
  <c r="E140" i="68"/>
  <c r="E196" i="63"/>
  <c r="E30" i="62"/>
  <c r="G30" i="62"/>
  <c r="E74" i="58"/>
  <c r="E74" i="71"/>
  <c r="G74" i="71"/>
  <c r="E178" i="71"/>
  <c r="E181" i="71"/>
  <c r="E16" i="152"/>
  <c r="E165" i="32"/>
  <c r="E52" i="65"/>
  <c r="E53" i="10"/>
  <c r="E17" i="31"/>
  <c r="E33" i="145"/>
  <c r="E40" i="145"/>
  <c r="E107" i="145"/>
  <c r="E155" i="145"/>
  <c r="G155" i="145"/>
  <c r="E192" i="145"/>
  <c r="E40" i="19"/>
  <c r="G40" i="19"/>
  <c r="E72" i="19"/>
  <c r="E108" i="19"/>
  <c r="G108" i="19"/>
  <c r="E118" i="19"/>
  <c r="G118" i="19"/>
  <c r="C139" i="97"/>
  <c r="E189" i="19"/>
  <c r="G189" i="19"/>
  <c r="E54" i="68"/>
  <c r="E12" i="66"/>
  <c r="E33" i="66"/>
  <c r="E127" i="63"/>
  <c r="G127" i="63"/>
  <c r="E132" i="63"/>
  <c r="E142" i="63"/>
  <c r="E31" i="58"/>
  <c r="E35" i="58"/>
  <c r="E78" i="58"/>
  <c r="G78" i="58"/>
  <c r="E125" i="83"/>
  <c r="E193" i="43"/>
  <c r="E74" i="175"/>
  <c r="E40" i="71"/>
  <c r="E89" i="71"/>
  <c r="E182" i="71"/>
  <c r="E13" i="133"/>
  <c r="E12" i="28"/>
  <c r="E16" i="28"/>
  <c r="E66" i="176"/>
  <c r="E82" i="71"/>
  <c r="E96" i="39"/>
  <c r="E107" i="39"/>
  <c r="E170" i="39"/>
  <c r="E45" i="133"/>
  <c r="E64" i="133"/>
  <c r="G64" i="133"/>
  <c r="E183" i="64"/>
  <c r="E155" i="25"/>
  <c r="E45" i="27"/>
  <c r="E34" i="10"/>
  <c r="E46" i="10"/>
  <c r="E26" i="142"/>
  <c r="E185" i="178"/>
  <c r="E177" i="178"/>
  <c r="E117" i="178"/>
  <c r="G117" i="178"/>
  <c r="E32" i="71"/>
  <c r="E47" i="71"/>
  <c r="E35" i="39"/>
  <c r="E132" i="119"/>
  <c r="E51" i="155"/>
  <c r="E150" i="155"/>
  <c r="C79" i="157"/>
  <c r="E28" i="14"/>
  <c r="E13" i="149"/>
  <c r="E13" i="89"/>
  <c r="E190" i="178"/>
  <c r="E226" i="178"/>
  <c r="E143" i="175"/>
  <c r="G143" i="175"/>
  <c r="E36" i="71"/>
  <c r="E97" i="71"/>
  <c r="E165" i="71"/>
  <c r="E186" i="39"/>
  <c r="E129" i="120"/>
  <c r="E116" i="90"/>
  <c r="E174" i="155"/>
  <c r="E135" i="10"/>
  <c r="E26" i="149"/>
  <c r="G26" i="149"/>
  <c r="E172" i="92"/>
  <c r="E186" i="178"/>
  <c r="E66" i="178"/>
  <c r="G66" i="178"/>
  <c r="E56" i="178"/>
  <c r="E78" i="156"/>
  <c r="E58" i="27"/>
  <c r="E65" i="27"/>
  <c r="E50" i="149"/>
  <c r="E69" i="149"/>
  <c r="E143" i="149"/>
  <c r="E174" i="25"/>
  <c r="E182" i="25"/>
  <c r="E183" i="157"/>
  <c r="E160" i="14"/>
  <c r="E92" i="149"/>
  <c r="E187" i="176"/>
  <c r="G187" i="176"/>
  <c r="E37" i="31"/>
  <c r="E148" i="177"/>
  <c r="E96" i="178"/>
  <c r="G96" i="178"/>
  <c r="E138" i="178"/>
  <c r="F208" i="72"/>
  <c r="E45" i="72"/>
  <c r="E57" i="72"/>
  <c r="E72" i="72"/>
  <c r="E14" i="72"/>
  <c r="E86" i="72"/>
  <c r="G15" i="72"/>
  <c r="E227" i="72"/>
  <c r="G192" i="72"/>
  <c r="G55" i="72"/>
  <c r="G74" i="72"/>
  <c r="G145" i="72"/>
  <c r="E158" i="72"/>
  <c r="E165" i="72"/>
  <c r="E169" i="72"/>
  <c r="G109" i="72"/>
  <c r="E49" i="72"/>
  <c r="E64" i="72"/>
  <c r="E101" i="72"/>
  <c r="G50" i="72"/>
  <c r="G224" i="72"/>
  <c r="G31" i="72"/>
  <c r="G225" i="72"/>
  <c r="E34" i="72"/>
  <c r="E153" i="72"/>
  <c r="G153" i="72"/>
  <c r="E53" i="72"/>
  <c r="E68" i="72"/>
  <c r="E97" i="72"/>
  <c r="G87" i="72"/>
  <c r="G123" i="72"/>
  <c r="G83" i="72"/>
  <c r="E38" i="72"/>
  <c r="G18" i="72"/>
  <c r="G189" i="72"/>
  <c r="G91" i="72"/>
  <c r="E42" i="72"/>
  <c r="G204" i="72"/>
  <c r="E219" i="72"/>
  <c r="E233" i="72"/>
  <c r="G85" i="72"/>
  <c r="E114" i="72"/>
  <c r="E118" i="72"/>
  <c r="E126" i="72"/>
  <c r="G131" i="72"/>
  <c r="E136" i="72"/>
  <c r="E146" i="72"/>
  <c r="G185" i="72"/>
  <c r="G37" i="72"/>
  <c r="G108" i="72"/>
  <c r="E188" i="72"/>
  <c r="E92" i="72"/>
  <c r="G92" i="72"/>
  <c r="E17" i="72"/>
  <c r="E190" i="72"/>
  <c r="E89" i="72"/>
  <c r="E90" i="72"/>
  <c r="E164" i="72"/>
  <c r="E184" i="72"/>
  <c r="E13" i="72"/>
  <c r="G60" i="72"/>
  <c r="E59" i="72"/>
  <c r="E220" i="72"/>
  <c r="E69" i="72"/>
  <c r="G32" i="72"/>
  <c r="E168" i="72"/>
  <c r="E202" i="72"/>
  <c r="G115" i="72"/>
  <c r="E232" i="72"/>
  <c r="E11" i="72"/>
  <c r="G11" i="72"/>
  <c r="E193" i="72"/>
  <c r="E157" i="72"/>
  <c r="E41" i="72"/>
  <c r="E166" i="72"/>
  <c r="E194" i="72"/>
  <c r="F208" i="79"/>
  <c r="G48" i="79"/>
  <c r="G141" i="79"/>
  <c r="G40" i="79"/>
  <c r="G224" i="79"/>
  <c r="E125" i="79"/>
  <c r="E189" i="79"/>
  <c r="E193" i="79"/>
  <c r="E196" i="79"/>
  <c r="E56" i="79"/>
  <c r="G56" i="79"/>
  <c r="E70" i="79"/>
  <c r="E74" i="79"/>
  <c r="E114" i="79"/>
  <c r="G203" i="79"/>
  <c r="G67" i="79"/>
  <c r="G19" i="79"/>
  <c r="G130" i="79"/>
  <c r="G17" i="79"/>
  <c r="E25" i="79"/>
  <c r="E45" i="79"/>
  <c r="G60" i="79"/>
  <c r="E75" i="79"/>
  <c r="E107" i="79"/>
  <c r="E179" i="79"/>
  <c r="E200" i="79"/>
  <c r="G222" i="79"/>
  <c r="G129" i="79"/>
  <c r="G166" i="79"/>
  <c r="G226" i="79"/>
  <c r="E14" i="79"/>
  <c r="E18" i="79"/>
  <c r="E26" i="79"/>
  <c r="G34" i="79"/>
  <c r="E38" i="79"/>
  <c r="G65" i="79"/>
  <c r="E124" i="79"/>
  <c r="G146" i="79"/>
  <c r="E158" i="79"/>
  <c r="E180" i="79"/>
  <c r="E194" i="79"/>
  <c r="G232" i="79"/>
  <c r="G92" i="79"/>
  <c r="E72" i="79"/>
  <c r="G78" i="79"/>
  <c r="G108" i="79"/>
  <c r="E219" i="79"/>
  <c r="E11" i="79"/>
  <c r="G43" i="79"/>
  <c r="G51" i="79"/>
  <c r="E109" i="79"/>
  <c r="E82" i="79"/>
  <c r="E204" i="79"/>
  <c r="E233" i="79"/>
  <c r="G157" i="79"/>
  <c r="G101" i="79"/>
  <c r="G165" i="79"/>
  <c r="E99" i="79"/>
  <c r="E187" i="79"/>
  <c r="E173" i="79"/>
  <c r="E117" i="79"/>
  <c r="G32" i="79"/>
  <c r="G55" i="79"/>
  <c r="E83" i="79"/>
  <c r="E76" i="79"/>
  <c r="E39" i="79"/>
  <c r="E118" i="79"/>
  <c r="G178" i="79"/>
  <c r="E171" i="79"/>
  <c r="E220" i="79"/>
  <c r="E135" i="79"/>
  <c r="F215" i="37"/>
  <c r="G193" i="37"/>
  <c r="G82" i="37"/>
  <c r="E26" i="37"/>
  <c r="G26" i="37"/>
  <c r="E30" i="37"/>
  <c r="E34" i="37"/>
  <c r="E37" i="37"/>
  <c r="E41" i="37"/>
  <c r="E57" i="37"/>
  <c r="E64" i="37"/>
  <c r="G64" i="37"/>
  <c r="E75" i="37"/>
  <c r="E90" i="37"/>
  <c r="G90" i="37"/>
  <c r="E97" i="37"/>
  <c r="E101" i="37"/>
  <c r="G147" i="37"/>
  <c r="G142" i="37"/>
  <c r="E186" i="37"/>
  <c r="G190" i="37"/>
  <c r="E200" i="37"/>
  <c r="E204" i="37"/>
  <c r="E231" i="37"/>
  <c r="G18" i="37"/>
  <c r="E143" i="37"/>
  <c r="E151" i="37"/>
  <c r="E156" i="37"/>
  <c r="E160" i="37"/>
  <c r="E175" i="37"/>
  <c r="E179" i="37"/>
  <c r="G233" i="37"/>
  <c r="G225" i="37"/>
  <c r="E110" i="37"/>
  <c r="G27" i="37"/>
  <c r="E125" i="37"/>
  <c r="G49" i="37"/>
  <c r="G45" i="37"/>
  <c r="G48" i="37"/>
  <c r="G13" i="37"/>
  <c r="E17" i="37"/>
  <c r="E20" i="37"/>
  <c r="E32" i="37"/>
  <c r="E36" i="37"/>
  <c r="E43" i="37"/>
  <c r="E47" i="37"/>
  <c r="E51" i="37"/>
  <c r="E70" i="37"/>
  <c r="G74" i="37"/>
  <c r="E78" i="37"/>
  <c r="E85" i="37"/>
  <c r="E89" i="37"/>
  <c r="G96" i="37"/>
  <c r="E100" i="37"/>
  <c r="E140" i="37"/>
  <c r="G58" i="37"/>
  <c r="G184" i="37"/>
  <c r="E106" i="37"/>
  <c r="G106" i="37"/>
  <c r="E183" i="37"/>
  <c r="G232" i="37"/>
  <c r="G141" i="37"/>
  <c r="G60" i="37"/>
  <c r="E114" i="37"/>
  <c r="G71" i="37"/>
  <c r="E117" i="37"/>
  <c r="E108" i="37"/>
  <c r="E138" i="37"/>
  <c r="E56" i="37"/>
  <c r="E107" i="37"/>
  <c r="E172" i="37"/>
  <c r="E157" i="37"/>
  <c r="E205" i="37"/>
  <c r="G176" i="37"/>
  <c r="G164" i="37"/>
  <c r="E201" i="37"/>
  <c r="E181" i="37"/>
  <c r="G152" i="37"/>
  <c r="F208" i="85"/>
  <c r="F215" i="85"/>
  <c r="G27" i="85"/>
  <c r="G19" i="85"/>
  <c r="G114" i="85"/>
  <c r="G16" i="85"/>
  <c r="G89" i="85"/>
  <c r="E223" i="85"/>
  <c r="G100" i="85"/>
  <c r="G201" i="85"/>
  <c r="E200" i="85"/>
  <c r="E65" i="85"/>
  <c r="G65" i="85"/>
  <c r="G14" i="85"/>
  <c r="G226" i="85"/>
  <c r="G143" i="85"/>
  <c r="G180" i="85"/>
  <c r="G116" i="85"/>
  <c r="G175" i="85"/>
  <c r="G35" i="85"/>
  <c r="G42" i="85"/>
  <c r="G220" i="85"/>
  <c r="G108" i="85"/>
  <c r="E84" i="85"/>
  <c r="E93" i="85"/>
  <c r="E70" i="85"/>
  <c r="E51" i="85"/>
  <c r="G74" i="85"/>
  <c r="G92" i="85"/>
  <c r="E190" i="85"/>
  <c r="E231" i="85"/>
  <c r="E20" i="85"/>
  <c r="G44" i="85"/>
  <c r="E232" i="85"/>
  <c r="G40" i="85"/>
  <c r="E187" i="85"/>
  <c r="G160" i="85"/>
  <c r="E58" i="85"/>
  <c r="E186" i="85"/>
  <c r="G172" i="85"/>
  <c r="G60" i="85"/>
  <c r="G29" i="85"/>
  <c r="E183" i="85"/>
  <c r="G50" i="85"/>
  <c r="E66" i="85"/>
  <c r="E194" i="85"/>
  <c r="E222" i="85"/>
  <c r="G12" i="85"/>
  <c r="E28" i="85"/>
  <c r="E36" i="85"/>
  <c r="G85" i="85"/>
  <c r="E98" i="85"/>
  <c r="G219" i="85"/>
  <c r="G158" i="85"/>
  <c r="G47" i="85"/>
  <c r="E43" i="85"/>
  <c r="G31" i="85"/>
  <c r="E39" i="85"/>
  <c r="G151" i="85"/>
  <c r="G68" i="85"/>
  <c r="G90" i="85"/>
  <c r="E127" i="85"/>
  <c r="E137" i="85"/>
  <c r="E141" i="85"/>
  <c r="E146" i="85"/>
  <c r="E173" i="85"/>
  <c r="E107" i="85"/>
  <c r="E138" i="85"/>
  <c r="E69" i="85"/>
  <c r="E157" i="85"/>
  <c r="E181" i="85"/>
  <c r="E13" i="85"/>
  <c r="E99" i="85"/>
  <c r="G52" i="85"/>
  <c r="E205" i="85"/>
  <c r="E182" i="85"/>
  <c r="F208" i="20"/>
  <c r="G14" i="20"/>
  <c r="E38" i="20"/>
  <c r="G38" i="20"/>
  <c r="E19" i="20"/>
  <c r="E35" i="20"/>
  <c r="E59" i="20"/>
  <c r="G159" i="20"/>
  <c r="G57" i="20"/>
  <c r="E150" i="20"/>
  <c r="G40" i="20"/>
  <c r="G223" i="20"/>
  <c r="E164" i="20"/>
  <c r="E168" i="20"/>
  <c r="E172" i="20"/>
  <c r="E176" i="20"/>
  <c r="E180" i="20"/>
  <c r="E188" i="20"/>
  <c r="E192" i="20"/>
  <c r="E196" i="20"/>
  <c r="E203" i="20"/>
  <c r="E219" i="20"/>
  <c r="E226" i="20"/>
  <c r="G166" i="20"/>
  <c r="G46" i="20"/>
  <c r="E146" i="20"/>
  <c r="G156" i="20"/>
  <c r="G187" i="20"/>
  <c r="G135" i="20"/>
  <c r="E68" i="20"/>
  <c r="E76" i="20"/>
  <c r="E97" i="20"/>
  <c r="G97" i="20"/>
  <c r="E101" i="20"/>
  <c r="E108" i="20"/>
  <c r="E115" i="20"/>
  <c r="G115" i="20"/>
  <c r="E123" i="20"/>
  <c r="E127" i="20"/>
  <c r="E131" i="20"/>
  <c r="E136" i="20"/>
  <c r="E141" i="20"/>
  <c r="E153" i="20"/>
  <c r="G153" i="20"/>
  <c r="E158" i="20"/>
  <c r="E173" i="20"/>
  <c r="G173" i="20"/>
  <c r="E177" i="20"/>
  <c r="E189" i="20"/>
  <c r="G193" i="20"/>
  <c r="E200" i="20"/>
  <c r="E227" i="20"/>
  <c r="E50" i="20"/>
  <c r="E69" i="20"/>
  <c r="E132" i="20"/>
  <c r="E27" i="20"/>
  <c r="E43" i="20"/>
  <c r="E105" i="20"/>
  <c r="E42" i="20"/>
  <c r="G66" i="20"/>
  <c r="G83" i="20"/>
  <c r="G190" i="20"/>
  <c r="G152" i="20"/>
  <c r="G178" i="20"/>
  <c r="G90" i="20"/>
  <c r="E65" i="20"/>
  <c r="G28" i="20"/>
  <c r="G36" i="20"/>
  <c r="G52" i="20"/>
  <c r="E109" i="20"/>
  <c r="E11" i="20"/>
  <c r="G55" i="20"/>
  <c r="G84" i="20"/>
  <c r="G157" i="20"/>
  <c r="G88" i="20"/>
  <c r="G53" i="20"/>
  <c r="E58" i="20"/>
  <c r="E54" i="20"/>
  <c r="E73" i="20"/>
  <c r="E77" i="20"/>
  <c r="E98" i="20"/>
  <c r="E155" i="20"/>
  <c r="G39" i="20"/>
  <c r="E15" i="20"/>
  <c r="E31" i="20"/>
  <c r="G31" i="20"/>
  <c r="G137" i="20"/>
  <c r="G165" i="20"/>
  <c r="G92" i="20"/>
  <c r="G174" i="20"/>
  <c r="E12" i="20"/>
  <c r="G143" i="20"/>
  <c r="G32" i="20"/>
  <c r="G110" i="20"/>
  <c r="E99" i="20"/>
  <c r="G194" i="20"/>
  <c r="E233" i="20"/>
  <c r="E204" i="20"/>
  <c r="E231" i="20"/>
  <c r="G231" i="20"/>
  <c r="G182" i="20"/>
  <c r="E74" i="20"/>
  <c r="G170" i="20"/>
  <c r="G195" i="20"/>
  <c r="E129" i="20"/>
  <c r="E124" i="20"/>
  <c r="F215" i="102"/>
  <c r="G60" i="102"/>
  <c r="G176" i="102"/>
  <c r="G37" i="102"/>
  <c r="E126" i="102"/>
  <c r="D129" i="97"/>
  <c r="E131" i="102"/>
  <c r="D134" i="97"/>
  <c r="G173" i="102"/>
  <c r="G74" i="102"/>
  <c r="G64" i="102"/>
  <c r="E101" i="102"/>
  <c r="E115" i="102"/>
  <c r="E123" i="102"/>
  <c r="G123" i="102"/>
  <c r="G188" i="102"/>
  <c r="G30" i="102"/>
  <c r="E87" i="102"/>
  <c r="E200" i="102"/>
  <c r="E221" i="102"/>
  <c r="G118" i="102"/>
  <c r="E50" i="102"/>
  <c r="E65" i="102"/>
  <c r="E69" i="102"/>
  <c r="G171" i="102"/>
  <c r="E178" i="102"/>
  <c r="E182" i="102"/>
  <c r="E186" i="102"/>
  <c r="E190" i="102"/>
  <c r="G13" i="102"/>
  <c r="G76" i="102"/>
  <c r="E90" i="102"/>
  <c r="E193" i="102"/>
  <c r="E204" i="102"/>
  <c r="E231" i="102"/>
  <c r="G16" i="102"/>
  <c r="E31" i="102"/>
  <c r="C38" i="97"/>
  <c r="C42" i="97"/>
  <c r="G51" i="102"/>
  <c r="E175" i="102"/>
  <c r="E135" i="102"/>
  <c r="G195" i="102"/>
  <c r="G107" i="102"/>
  <c r="G52" i="102"/>
  <c r="E11" i="102"/>
  <c r="E15" i="102"/>
  <c r="E145" i="102"/>
  <c r="G153" i="102"/>
  <c r="E164" i="102"/>
  <c r="E168" i="102"/>
  <c r="E172" i="102"/>
  <c r="E125" i="102"/>
  <c r="E177" i="102"/>
  <c r="G174" i="102"/>
  <c r="E166" i="102"/>
  <c r="E194" i="102"/>
  <c r="E17" i="102"/>
  <c r="D203" i="97"/>
  <c r="E26" i="102"/>
  <c r="E71" i="102"/>
  <c r="E130" i="102"/>
  <c r="E192" i="102"/>
  <c r="E72" i="102"/>
  <c r="E142" i="102"/>
  <c r="G42" i="102"/>
  <c r="E86" i="102"/>
  <c r="G187" i="102"/>
  <c r="G114" i="102"/>
  <c r="G96" i="102"/>
  <c r="E179" i="102"/>
  <c r="C23" i="97"/>
  <c r="E225" i="102"/>
  <c r="E233" i="102"/>
  <c r="E56" i="102"/>
  <c r="C61" i="97"/>
  <c r="E54" i="102"/>
  <c r="G41" i="102"/>
  <c r="G84" i="102"/>
  <c r="E232" i="102"/>
  <c r="E20" i="102"/>
  <c r="E25" i="102"/>
  <c r="E92" i="102"/>
  <c r="E180" i="102"/>
  <c r="E201" i="19"/>
  <c r="E180" i="19"/>
  <c r="E149" i="19"/>
  <c r="D197" i="97"/>
  <c r="E187" i="19"/>
  <c r="C20" i="97"/>
  <c r="E172" i="19"/>
  <c r="E145" i="19"/>
  <c r="G145" i="19"/>
  <c r="E116" i="19"/>
  <c r="D93" i="97"/>
  <c r="E42" i="19"/>
  <c r="E123" i="19"/>
  <c r="E194" i="19"/>
  <c r="E47" i="19"/>
  <c r="E185" i="19"/>
  <c r="E184" i="19"/>
  <c r="G184" i="19"/>
  <c r="E83" i="19"/>
  <c r="E181" i="19"/>
  <c r="E92" i="19"/>
  <c r="E205" i="19"/>
  <c r="E33" i="19"/>
  <c r="E202" i="19"/>
  <c r="E159" i="19"/>
  <c r="E64" i="19"/>
  <c r="E15" i="19"/>
  <c r="E67" i="19"/>
  <c r="E191" i="19"/>
  <c r="E135" i="19"/>
  <c r="E107" i="19"/>
  <c r="E13" i="19"/>
  <c r="E192" i="19"/>
  <c r="G192" i="19"/>
  <c r="E173" i="19"/>
  <c r="E155" i="19"/>
  <c r="G155" i="19"/>
  <c r="E85" i="19"/>
  <c r="D20" i="97"/>
  <c r="C148" i="97"/>
  <c r="F208" i="19"/>
  <c r="F215" i="19"/>
  <c r="E49" i="19"/>
  <c r="C52" i="97"/>
  <c r="G158" i="19"/>
  <c r="E87" i="19"/>
  <c r="E97" i="19"/>
  <c r="E196" i="19"/>
  <c r="E14" i="19"/>
  <c r="E18" i="19"/>
  <c r="E34" i="19"/>
  <c r="E37" i="19"/>
  <c r="E45" i="19"/>
  <c r="E48" i="19"/>
  <c r="E55" i="19"/>
  <c r="E58" i="19"/>
  <c r="E65" i="19"/>
  <c r="E69" i="19"/>
  <c r="E76" i="19"/>
  <c r="E91" i="19"/>
  <c r="E98" i="19"/>
  <c r="C101" i="97"/>
  <c r="E66" i="19"/>
  <c r="E177" i="19"/>
  <c r="E166" i="19"/>
  <c r="E178" i="19"/>
  <c r="E221" i="19"/>
  <c r="E38" i="19"/>
  <c r="E90" i="19"/>
  <c r="E227" i="19"/>
  <c r="E110" i="19"/>
  <c r="E117" i="19"/>
  <c r="E138" i="19"/>
  <c r="E143" i="19"/>
  <c r="E147" i="19"/>
  <c r="G147" i="19"/>
  <c r="E52" i="19"/>
  <c r="E59" i="19"/>
  <c r="C76" i="97"/>
  <c r="E73" i="19"/>
  <c r="E84" i="19"/>
  <c r="E26" i="19"/>
  <c r="E203" i="19"/>
  <c r="E220" i="19"/>
  <c r="E77" i="19"/>
  <c r="E170" i="19"/>
  <c r="D173" i="97"/>
  <c r="E151" i="19"/>
  <c r="E30" i="19"/>
  <c r="E41" i="19"/>
  <c r="E167" i="19"/>
  <c r="D103" i="97"/>
  <c r="E100" i="19"/>
  <c r="G100" i="19"/>
  <c r="C110" i="97"/>
  <c r="D120" i="97"/>
  <c r="D146" i="97"/>
  <c r="E148" i="19"/>
  <c r="E46" i="19"/>
  <c r="E114" i="19"/>
  <c r="D151" i="97"/>
  <c r="E137" i="19"/>
  <c r="E130" i="19"/>
  <c r="D78" i="97"/>
  <c r="E146" i="19"/>
  <c r="E233" i="19"/>
  <c r="E25" i="19"/>
  <c r="E169" i="19"/>
  <c r="E27" i="19"/>
  <c r="E224" i="19"/>
  <c r="E165" i="19"/>
  <c r="E204" i="19"/>
  <c r="E176" i="19"/>
  <c r="E127" i="19"/>
  <c r="F215" i="149"/>
  <c r="G223" i="149"/>
  <c r="G185" i="149"/>
  <c r="E17" i="149"/>
  <c r="E233" i="149"/>
  <c r="E227" i="149"/>
  <c r="E58" i="149"/>
  <c r="E99" i="149"/>
  <c r="E203" i="149"/>
  <c r="G205" i="149"/>
  <c r="G145" i="149"/>
  <c r="G117" i="149"/>
  <c r="G40" i="149"/>
  <c r="E86" i="28"/>
  <c r="E116" i="149"/>
  <c r="E124" i="149"/>
  <c r="E193" i="149"/>
  <c r="E48" i="28"/>
  <c r="E67" i="28"/>
  <c r="G67" i="28"/>
  <c r="E70" i="27"/>
  <c r="E133" i="27"/>
  <c r="D57" i="97"/>
  <c r="F208" i="28"/>
  <c r="F215" i="28"/>
  <c r="E36" i="28"/>
  <c r="G158" i="175"/>
  <c r="F208" i="175"/>
  <c r="F215" i="175"/>
  <c r="F208" i="62"/>
  <c r="F215" i="62"/>
  <c r="E123" i="62"/>
  <c r="C71" i="97"/>
  <c r="C86" i="97"/>
  <c r="C208" i="97"/>
  <c r="D14" i="97"/>
  <c r="C28" i="97"/>
  <c r="D31" i="97"/>
  <c r="F208" i="177"/>
  <c r="G60" i="177"/>
  <c r="E142" i="177"/>
  <c r="E196" i="177"/>
  <c r="E57" i="177"/>
  <c r="E11" i="177"/>
  <c r="D111" i="97"/>
  <c r="E159" i="177"/>
  <c r="D102" i="97"/>
  <c r="M16" i="33"/>
  <c r="M15" i="33"/>
  <c r="G21" i="33"/>
  <c r="F215" i="145"/>
  <c r="G152" i="145"/>
  <c r="G221" i="145"/>
  <c r="D102" i="145"/>
  <c r="E118" i="145"/>
  <c r="E78" i="145"/>
  <c r="E43" i="145"/>
  <c r="E200" i="145"/>
  <c r="G200" i="145"/>
  <c r="D197" i="145"/>
  <c r="E141" i="145"/>
  <c r="D79" i="145"/>
  <c r="E181" i="145"/>
  <c r="E153" i="145"/>
  <c r="C75" i="97"/>
  <c r="E183" i="145"/>
  <c r="E147" i="145"/>
  <c r="E131" i="145"/>
  <c r="E157" i="145"/>
  <c r="E109" i="145"/>
  <c r="E68" i="145"/>
  <c r="E26" i="145"/>
  <c r="E65" i="145"/>
  <c r="E231" i="145"/>
  <c r="E87" i="145"/>
  <c r="E36" i="145"/>
  <c r="D58" i="97"/>
  <c r="C126" i="97"/>
  <c r="C93" i="145"/>
  <c r="C228" i="145"/>
  <c r="E194" i="145"/>
  <c r="E170" i="145"/>
  <c r="E70" i="145"/>
  <c r="E89" i="145"/>
  <c r="D163" i="97"/>
  <c r="C160" i="97"/>
  <c r="E167" i="145"/>
  <c r="E196" i="145"/>
  <c r="E124" i="145"/>
  <c r="G124" i="145"/>
  <c r="E98" i="145"/>
  <c r="E175" i="145"/>
  <c r="E54" i="145"/>
  <c r="E186" i="145"/>
  <c r="E126" i="145"/>
  <c r="E85" i="145"/>
  <c r="E66" i="145"/>
  <c r="E31" i="145"/>
  <c r="E165" i="145"/>
  <c r="E190" i="145"/>
  <c r="E202" i="145"/>
  <c r="D178" i="97"/>
  <c r="C79" i="97"/>
  <c r="E188" i="145"/>
  <c r="E58" i="145"/>
  <c r="E13" i="145"/>
  <c r="C206" i="145"/>
  <c r="F215" i="167"/>
  <c r="E228" i="167"/>
  <c r="G181" i="167"/>
  <c r="G150" i="167"/>
  <c r="G232" i="167"/>
  <c r="G225" i="167"/>
  <c r="G85" i="167"/>
  <c r="E119" i="167"/>
  <c r="G96" i="167"/>
  <c r="E21" i="167"/>
  <c r="G11" i="167"/>
  <c r="E197" i="167"/>
  <c r="G224" i="167"/>
  <c r="G155" i="167"/>
  <c r="G200" i="167"/>
  <c r="G137" i="167"/>
  <c r="E93" i="167"/>
  <c r="G145" i="167"/>
  <c r="G114" i="167"/>
  <c r="G36" i="167"/>
  <c r="G149" i="167"/>
  <c r="E79" i="167"/>
  <c r="G115" i="167"/>
  <c r="G138" i="167"/>
  <c r="G88" i="167"/>
  <c r="G205" i="167"/>
  <c r="G189" i="167"/>
  <c r="G117" i="167"/>
  <c r="E61" i="167"/>
  <c r="G171" i="167"/>
  <c r="G219" i="167"/>
  <c r="E111" i="167"/>
  <c r="G125" i="167"/>
  <c r="G130" i="167"/>
  <c r="G174" i="167"/>
  <c r="G169" i="167"/>
  <c r="G69" i="167"/>
  <c r="G172" i="167"/>
  <c r="G203" i="167"/>
  <c r="G12" i="177"/>
  <c r="E167" i="24"/>
  <c r="E75" i="32"/>
  <c r="C79" i="32"/>
  <c r="E171" i="32"/>
  <c r="C197" i="32"/>
  <c r="E175" i="32"/>
  <c r="E33" i="79"/>
  <c r="G33" i="79"/>
  <c r="E37" i="79"/>
  <c r="E85" i="79"/>
  <c r="E106" i="79"/>
  <c r="E116" i="79"/>
  <c r="E132" i="79"/>
  <c r="E142" i="79"/>
  <c r="E147" i="79"/>
  <c r="E159" i="79"/>
  <c r="E169" i="79"/>
  <c r="E26" i="64"/>
  <c r="E30" i="64"/>
  <c r="E183" i="178"/>
  <c r="C186" i="97"/>
  <c r="E175" i="178"/>
  <c r="E127" i="178"/>
  <c r="E105" i="178"/>
  <c r="G105" i="178"/>
  <c r="D111" i="178"/>
  <c r="E50" i="32"/>
  <c r="C61" i="32"/>
  <c r="E53" i="32"/>
  <c r="E60" i="32"/>
  <c r="E88" i="32"/>
  <c r="C93" i="32"/>
  <c r="E186" i="32"/>
  <c r="E29" i="79"/>
  <c r="E41" i="79"/>
  <c r="E89" i="79"/>
  <c r="E110" i="79"/>
  <c r="E137" i="79"/>
  <c r="E151" i="79"/>
  <c r="E155" i="79"/>
  <c r="E34" i="64"/>
  <c r="E191" i="178"/>
  <c r="C194" i="97"/>
  <c r="E167" i="178"/>
  <c r="C159" i="97"/>
  <c r="C140" i="97"/>
  <c r="D94" i="97"/>
  <c r="D79" i="178"/>
  <c r="D67" i="97"/>
  <c r="E36" i="103"/>
  <c r="C39" i="97"/>
  <c r="E40" i="103"/>
  <c r="E43" i="103"/>
  <c r="D46" i="97"/>
  <c r="E118" i="103"/>
  <c r="E125" i="103"/>
  <c r="D128" i="97"/>
  <c r="E227" i="103"/>
  <c r="C230" i="97"/>
  <c r="E16" i="118"/>
  <c r="E37" i="118"/>
  <c r="C61" i="118"/>
  <c r="E59" i="118"/>
  <c r="D61" i="118"/>
  <c r="E66" i="118"/>
  <c r="C79" i="118"/>
  <c r="C69" i="97"/>
  <c r="E192" i="118"/>
  <c r="D197" i="118"/>
  <c r="E195" i="118"/>
  <c r="D206" i="118"/>
  <c r="E202" i="118"/>
  <c r="E219" i="118"/>
  <c r="C222" i="97"/>
  <c r="C228" i="118"/>
  <c r="E227" i="118"/>
  <c r="E12" i="60"/>
  <c r="C21" i="60"/>
  <c r="E16" i="60"/>
  <c r="G16" i="60"/>
  <c r="E27" i="60"/>
  <c r="C61" i="60"/>
  <c r="E49" i="60"/>
  <c r="D61" i="60"/>
  <c r="E57" i="60"/>
  <c r="E60" i="60"/>
  <c r="D63" i="97"/>
  <c r="E67" i="60"/>
  <c r="C79" i="60"/>
  <c r="D111" i="60"/>
  <c r="D108" i="97"/>
  <c r="E105" i="60"/>
  <c r="C112" i="97"/>
  <c r="E109" i="60"/>
  <c r="C111" i="60"/>
  <c r="E115" i="60"/>
  <c r="C118" i="97"/>
  <c r="C119" i="60"/>
  <c r="D119" i="60"/>
  <c r="E118" i="60"/>
  <c r="E125" i="60"/>
  <c r="D161" i="60"/>
  <c r="E130" i="60"/>
  <c r="C161" i="60"/>
  <c r="E133" i="60"/>
  <c r="D136" i="97"/>
  <c r="E138" i="60"/>
  <c r="E126" i="54"/>
  <c r="C161" i="54"/>
  <c r="E130" i="54"/>
  <c r="D161" i="54"/>
  <c r="D133" i="97"/>
  <c r="E135" i="54"/>
  <c r="G100" i="141"/>
  <c r="E192" i="15"/>
  <c r="C206" i="97"/>
  <c r="E203" i="15"/>
  <c r="C206" i="15"/>
  <c r="E33" i="68"/>
  <c r="D61" i="68"/>
  <c r="E37" i="68"/>
  <c r="E40" i="68"/>
  <c r="E99" i="66"/>
  <c r="C102" i="66"/>
  <c r="E29" i="63"/>
  <c r="D61" i="63"/>
  <c r="C61" i="63"/>
  <c r="E16" i="43"/>
  <c r="G16" i="43"/>
  <c r="D19" i="97"/>
  <c r="D21" i="43"/>
  <c r="E28" i="43"/>
  <c r="C31" i="97"/>
  <c r="C61" i="43"/>
  <c r="E32" i="43"/>
  <c r="C35" i="97"/>
  <c r="E35" i="43"/>
  <c r="D38" i="97"/>
  <c r="D61" i="43"/>
  <c r="E47" i="43"/>
  <c r="E51" i="43"/>
  <c r="C54" i="97"/>
  <c r="E59" i="43"/>
  <c r="E65" i="43"/>
  <c r="D79" i="43"/>
  <c r="E69" i="43"/>
  <c r="E73" i="43"/>
  <c r="C79" i="43"/>
  <c r="D119" i="43"/>
  <c r="E116" i="43"/>
  <c r="E137" i="43"/>
  <c r="E142" i="43"/>
  <c r="E151" i="43"/>
  <c r="E160" i="43"/>
  <c r="C197" i="43"/>
  <c r="E167" i="43"/>
  <c r="E171" i="43"/>
  <c r="E175" i="43"/>
  <c r="E178" i="43"/>
  <c r="D197" i="43"/>
  <c r="E225" i="43"/>
  <c r="C228" i="97"/>
  <c r="C228" i="43"/>
  <c r="E132" i="175"/>
  <c r="E137" i="175"/>
  <c r="E142" i="175"/>
  <c r="E147" i="175"/>
  <c r="E156" i="175"/>
  <c r="E159" i="175"/>
  <c r="E195" i="175"/>
  <c r="E12" i="84"/>
  <c r="E16" i="84"/>
  <c r="G16" i="84"/>
  <c r="E19" i="84"/>
  <c r="E27" i="84"/>
  <c r="D30" i="97"/>
  <c r="C34" i="97"/>
  <c r="E31" i="84"/>
  <c r="E34" i="84"/>
  <c r="E38" i="84"/>
  <c r="E42" i="84"/>
  <c r="E46" i="84"/>
  <c r="E49" i="84"/>
  <c r="E67" i="84"/>
  <c r="E106" i="84"/>
  <c r="E109" i="84"/>
  <c r="E126" i="84"/>
  <c r="E130" i="84"/>
  <c r="E133" i="84"/>
  <c r="E138" i="84"/>
  <c r="E142" i="84"/>
  <c r="D179" i="97"/>
  <c r="E176" i="84"/>
  <c r="E180" i="84"/>
  <c r="E186" i="84"/>
  <c r="E190" i="84"/>
  <c r="E137" i="133"/>
  <c r="E141" i="133"/>
  <c r="E146" i="133"/>
  <c r="E150" i="133"/>
  <c r="E155" i="133"/>
  <c r="E159" i="133"/>
  <c r="E166" i="133"/>
  <c r="C197" i="133"/>
  <c r="E25" i="37"/>
  <c r="E11" i="90"/>
  <c r="C21" i="90"/>
  <c r="E38" i="90"/>
  <c r="E42" i="90"/>
  <c r="E46" i="90"/>
  <c r="C61" i="90"/>
  <c r="E50" i="90"/>
  <c r="E53" i="90"/>
  <c r="E57" i="90"/>
  <c r="E64" i="90"/>
  <c r="C79" i="90"/>
  <c r="E78" i="90"/>
  <c r="D79" i="90"/>
  <c r="E92" i="90"/>
  <c r="D93" i="90"/>
  <c r="E99" i="90"/>
  <c r="C102" i="90"/>
  <c r="C111" i="90"/>
  <c r="E105" i="90"/>
  <c r="E108" i="90"/>
  <c r="E115" i="90"/>
  <c r="C119" i="90"/>
  <c r="C161" i="90"/>
  <c r="E123" i="90"/>
  <c r="E127" i="90"/>
  <c r="E132" i="90"/>
  <c r="E56" i="24"/>
  <c r="C61" i="24"/>
  <c r="E92" i="24"/>
  <c r="E106" i="24"/>
  <c r="C111" i="24"/>
  <c r="E109" i="24"/>
  <c r="D111" i="24"/>
  <c r="E152" i="24"/>
  <c r="D161" i="24"/>
  <c r="E157" i="24"/>
  <c r="E164" i="24"/>
  <c r="D197" i="24"/>
  <c r="E13" i="141"/>
  <c r="D21" i="141"/>
  <c r="E17" i="141"/>
  <c r="C21" i="141"/>
  <c r="C61" i="141"/>
  <c r="E55" i="141"/>
  <c r="E91" i="141"/>
  <c r="C93" i="141"/>
  <c r="E109" i="141"/>
  <c r="C111" i="141"/>
  <c r="E115" i="141"/>
  <c r="D119" i="141"/>
  <c r="C161" i="141"/>
  <c r="E123" i="141"/>
  <c r="E137" i="141"/>
  <c r="E141" i="141"/>
  <c r="D161" i="141"/>
  <c r="E146" i="141"/>
  <c r="E150" i="141"/>
  <c r="E153" i="141"/>
  <c r="E165" i="141"/>
  <c r="D197" i="141"/>
  <c r="E169" i="141"/>
  <c r="C197" i="141"/>
  <c r="E194" i="141"/>
  <c r="C206" i="141"/>
  <c r="E201" i="141"/>
  <c r="G201" i="141"/>
  <c r="E205" i="141"/>
  <c r="E224" i="141"/>
  <c r="C228" i="141"/>
  <c r="E20" i="32"/>
  <c r="D21" i="32"/>
  <c r="E28" i="32"/>
  <c r="D61" i="32"/>
  <c r="E105" i="32"/>
  <c r="D111" i="32"/>
  <c r="E115" i="32"/>
  <c r="D119" i="32"/>
  <c r="E118" i="32"/>
  <c r="E126" i="32"/>
  <c r="D161" i="32"/>
  <c r="E148" i="32"/>
  <c r="E160" i="32"/>
  <c r="E167" i="32"/>
  <c r="D197" i="32"/>
  <c r="E223" i="64"/>
  <c r="E173" i="72"/>
  <c r="E177" i="72"/>
  <c r="E181" i="72"/>
  <c r="E196" i="72"/>
  <c r="E203" i="72"/>
  <c r="E17" i="28"/>
  <c r="E35" i="28"/>
  <c r="E39" i="28"/>
  <c r="E43" i="28"/>
  <c r="G43" i="28"/>
  <c r="E51" i="28"/>
  <c r="E101" i="28"/>
  <c r="E108" i="28"/>
  <c r="E115" i="28"/>
  <c r="E118" i="28"/>
  <c r="E126" i="28"/>
  <c r="E131" i="28"/>
  <c r="E136" i="28"/>
  <c r="E141" i="28"/>
  <c r="E146" i="28"/>
  <c r="E203" i="176"/>
  <c r="E221" i="176"/>
  <c r="C228" i="176"/>
  <c r="E231" i="176"/>
  <c r="E45" i="143"/>
  <c r="G45" i="143"/>
  <c r="D61" i="143"/>
  <c r="E53" i="143"/>
  <c r="E57" i="143"/>
  <c r="E64" i="143"/>
  <c r="D79" i="143"/>
  <c r="E68" i="143"/>
  <c r="E72" i="143"/>
  <c r="E76" i="143"/>
  <c r="E86" i="143"/>
  <c r="D93" i="143"/>
  <c r="E90" i="143"/>
  <c r="C93" i="143"/>
  <c r="E97" i="143"/>
  <c r="C102" i="143"/>
  <c r="E101" i="143"/>
  <c r="E108" i="143"/>
  <c r="G108" i="143"/>
  <c r="C111" i="143"/>
  <c r="E185" i="143"/>
  <c r="D197" i="143"/>
  <c r="E189" i="143"/>
  <c r="E133" i="87"/>
  <c r="D161" i="87"/>
  <c r="E138" i="87"/>
  <c r="E143" i="87"/>
  <c r="C161" i="87"/>
  <c r="E147" i="87"/>
  <c r="E151" i="87"/>
  <c r="E156" i="87"/>
  <c r="E160" i="87"/>
  <c r="E167" i="87"/>
  <c r="C197" i="87"/>
  <c r="E192" i="86"/>
  <c r="D197" i="86"/>
  <c r="C197" i="86"/>
  <c r="E196" i="86"/>
  <c r="E202" i="86"/>
  <c r="C206" i="86"/>
  <c r="E171" i="89"/>
  <c r="D197" i="89"/>
  <c r="E175" i="89"/>
  <c r="E179" i="89"/>
  <c r="E183" i="89"/>
  <c r="E187" i="89"/>
  <c r="E191" i="89"/>
  <c r="E18" i="69"/>
  <c r="D21" i="69"/>
  <c r="E32" i="69"/>
  <c r="D61" i="69"/>
  <c r="E36" i="69"/>
  <c r="E40" i="69"/>
  <c r="E51" i="69"/>
  <c r="C61" i="69"/>
  <c r="E54" i="69"/>
  <c r="E58" i="69"/>
  <c r="D79" i="69"/>
  <c r="E65" i="69"/>
  <c r="G178" i="150"/>
  <c r="G231" i="177"/>
  <c r="E235" i="177"/>
  <c r="G223" i="102"/>
  <c r="G15" i="174"/>
  <c r="G99" i="174"/>
  <c r="G195" i="43"/>
  <c r="G143" i="72"/>
  <c r="G50" i="15"/>
  <c r="C192" i="97"/>
  <c r="E189" i="15"/>
  <c r="D51" i="97"/>
  <c r="E48" i="68"/>
  <c r="E193" i="49"/>
  <c r="D199" i="97"/>
  <c r="E196" i="49"/>
  <c r="D206" i="97"/>
  <c r="E203" i="49"/>
  <c r="E220" i="49"/>
  <c r="C223" i="97"/>
  <c r="E15" i="83"/>
  <c r="G15" i="83"/>
  <c r="D21" i="83"/>
  <c r="C21" i="83"/>
  <c r="E19" i="83"/>
  <c r="E27" i="83"/>
  <c r="D185" i="97"/>
  <c r="E182" i="83"/>
  <c r="E224" i="83"/>
  <c r="C227" i="97"/>
  <c r="C228" i="83"/>
  <c r="E11" i="47"/>
  <c r="E26" i="47"/>
  <c r="D79" i="47"/>
  <c r="E67" i="47"/>
  <c r="G67" i="47"/>
  <c r="E74" i="47"/>
  <c r="E78" i="47"/>
  <c r="C79" i="47"/>
  <c r="C81" i="97"/>
  <c r="E166" i="46"/>
  <c r="D197" i="46"/>
  <c r="E129" i="102"/>
  <c r="E133" i="102"/>
  <c r="C136" i="97"/>
  <c r="E137" i="102"/>
  <c r="E141" i="102"/>
  <c r="E150" i="102"/>
  <c r="E155" i="102"/>
  <c r="E158" i="102"/>
  <c r="D161" i="97"/>
  <c r="D16" i="97"/>
  <c r="D21" i="106"/>
  <c r="E40" i="106"/>
  <c r="C61" i="106"/>
  <c r="E44" i="106"/>
  <c r="E48" i="106"/>
  <c r="E52" i="106"/>
  <c r="D61" i="106"/>
  <c r="E55" i="106"/>
  <c r="E59" i="106"/>
  <c r="E65" i="106"/>
  <c r="D79" i="106"/>
  <c r="C91" i="97"/>
  <c r="E88" i="106"/>
  <c r="C93" i="106"/>
  <c r="E92" i="106"/>
  <c r="G92" i="106"/>
  <c r="D102" i="106"/>
  <c r="E109" i="106"/>
  <c r="C111" i="106"/>
  <c r="C119" i="106"/>
  <c r="E116" i="106"/>
  <c r="E124" i="106"/>
  <c r="C161" i="106"/>
  <c r="E137" i="106"/>
  <c r="D161" i="106"/>
  <c r="C206" i="104"/>
  <c r="E203" i="104"/>
  <c r="E219" i="104"/>
  <c r="C228" i="104"/>
  <c r="E227" i="104"/>
  <c r="E13" i="43"/>
  <c r="C21" i="43"/>
  <c r="E44" i="43"/>
  <c r="E55" i="43"/>
  <c r="E77" i="43"/>
  <c r="D93" i="43"/>
  <c r="E88" i="43"/>
  <c r="E92" i="43"/>
  <c r="C93" i="43"/>
  <c r="E99" i="43"/>
  <c r="C102" i="43"/>
  <c r="C111" i="43"/>
  <c r="E106" i="43"/>
  <c r="E110" i="43"/>
  <c r="C113" i="97"/>
  <c r="E117" i="43"/>
  <c r="C119" i="43"/>
  <c r="E130" i="43"/>
  <c r="C161" i="43"/>
  <c r="D161" i="43"/>
  <c r="E133" i="43"/>
  <c r="C93" i="175"/>
  <c r="E85" i="175"/>
  <c r="D93" i="175"/>
  <c r="E88" i="175"/>
  <c r="E106" i="175"/>
  <c r="C111" i="175"/>
  <c r="E110" i="175"/>
  <c r="E129" i="175"/>
  <c r="E133" i="175"/>
  <c r="E138" i="175"/>
  <c r="E171" i="175"/>
  <c r="E175" i="175"/>
  <c r="E178" i="175"/>
  <c r="E182" i="175"/>
  <c r="E185" i="175"/>
  <c r="E189" i="175"/>
  <c r="E192" i="175"/>
  <c r="E41" i="71"/>
  <c r="E67" i="71"/>
  <c r="E71" i="71"/>
  <c r="E75" i="71"/>
  <c r="E105" i="71"/>
  <c r="E109" i="71"/>
  <c r="E115" i="71"/>
  <c r="E137" i="71"/>
  <c r="E142" i="71"/>
  <c r="E147" i="71"/>
  <c r="E38" i="39"/>
  <c r="C61" i="39"/>
  <c r="E41" i="39"/>
  <c r="E45" i="39"/>
  <c r="E49" i="39"/>
  <c r="E52" i="39"/>
  <c r="E56" i="39"/>
  <c r="E60" i="39"/>
  <c r="C93" i="39"/>
  <c r="E57" i="133"/>
  <c r="E60" i="133"/>
  <c r="E41" i="120"/>
  <c r="E45" i="120"/>
  <c r="E49" i="120"/>
  <c r="E53" i="120"/>
  <c r="E56" i="120"/>
  <c r="E59" i="120"/>
  <c r="E66" i="120"/>
  <c r="D79" i="120"/>
  <c r="E70" i="120"/>
  <c r="E74" i="120"/>
  <c r="E96" i="120"/>
  <c r="E100" i="120"/>
  <c r="E107" i="120"/>
  <c r="C111" i="120"/>
  <c r="E114" i="120"/>
  <c r="C119" i="120"/>
  <c r="E118" i="120"/>
  <c r="E131" i="120"/>
  <c r="C161" i="120"/>
  <c r="E149" i="120"/>
  <c r="E153" i="120"/>
  <c r="G153" i="120"/>
  <c r="E158" i="120"/>
  <c r="D197" i="120"/>
  <c r="E202" i="120"/>
  <c r="C206" i="120"/>
  <c r="E205" i="120"/>
  <c r="D206" i="120"/>
  <c r="E225" i="120"/>
  <c r="C228" i="120"/>
  <c r="E14" i="37"/>
  <c r="G26" i="58"/>
  <c r="G150" i="62"/>
  <c r="G84" i="177"/>
  <c r="G118" i="24"/>
  <c r="E57" i="145"/>
  <c r="C79" i="145"/>
  <c r="E64" i="145"/>
  <c r="E127" i="145"/>
  <c r="E132" i="145"/>
  <c r="E159" i="145"/>
  <c r="E180" i="145"/>
  <c r="C197" i="145"/>
  <c r="C183" i="97"/>
  <c r="E184" i="145"/>
  <c r="E187" i="145"/>
  <c r="E159" i="15"/>
  <c r="E166" i="15"/>
  <c r="D197" i="15"/>
  <c r="C189" i="97"/>
  <c r="E186" i="15"/>
  <c r="C197" i="15"/>
  <c r="D192" i="97"/>
  <c r="C21" i="68"/>
  <c r="E19" i="68"/>
  <c r="E27" i="68"/>
  <c r="E34" i="68"/>
  <c r="E38" i="68"/>
  <c r="E173" i="68"/>
  <c r="D197" i="68"/>
  <c r="C197" i="68"/>
  <c r="E177" i="68"/>
  <c r="E194" i="68"/>
  <c r="C197" i="97"/>
  <c r="C206" i="68"/>
  <c r="E200" i="68"/>
  <c r="C203" i="97"/>
  <c r="E226" i="68"/>
  <c r="C229" i="97"/>
  <c r="C228" i="68"/>
  <c r="E11" i="66"/>
  <c r="C21" i="66"/>
  <c r="E32" i="66"/>
  <c r="E48" i="66"/>
  <c r="C61" i="66"/>
  <c r="E51" i="66"/>
  <c r="E55" i="66"/>
  <c r="E65" i="66"/>
  <c r="D79" i="66"/>
  <c r="E69" i="66"/>
  <c r="C79" i="66"/>
  <c r="C127" i="97"/>
  <c r="E124" i="66"/>
  <c r="C161" i="66"/>
  <c r="C132" i="97"/>
  <c r="E132" i="66"/>
  <c r="D135" i="97"/>
  <c r="D161" i="66"/>
  <c r="E137" i="66"/>
  <c r="D79" i="63"/>
  <c r="E66" i="63"/>
  <c r="D69" i="97"/>
  <c r="E70" i="63"/>
  <c r="E84" i="63"/>
  <c r="C93" i="63"/>
  <c r="E131" i="63"/>
  <c r="E77" i="62"/>
  <c r="E87" i="62"/>
  <c r="E91" i="62"/>
  <c r="E178" i="62"/>
  <c r="E181" i="62"/>
  <c r="E185" i="62"/>
  <c r="E188" i="62"/>
  <c r="E191" i="62"/>
  <c r="D194" i="97"/>
  <c r="E195" i="62"/>
  <c r="E226" i="62"/>
  <c r="E153" i="49"/>
  <c r="E158" i="49"/>
  <c r="C161" i="97"/>
  <c r="E168" i="49"/>
  <c r="D171" i="97"/>
  <c r="E172" i="49"/>
  <c r="D197" i="83"/>
  <c r="E166" i="83"/>
  <c r="E172" i="83"/>
  <c r="C197" i="83"/>
  <c r="E179" i="83"/>
  <c r="E148" i="46"/>
  <c r="C161" i="46"/>
  <c r="D154" i="97"/>
  <c r="E151" i="46"/>
  <c r="D161" i="46"/>
  <c r="E78" i="102"/>
  <c r="D81" i="97"/>
  <c r="E85" i="102"/>
  <c r="C88" i="97"/>
  <c r="E88" i="102"/>
  <c r="D91" i="97"/>
  <c r="E147" i="102"/>
  <c r="E151" i="102"/>
  <c r="E48" i="104"/>
  <c r="D61" i="104"/>
  <c r="D55" i="97"/>
  <c r="E70" i="104"/>
  <c r="D79" i="104"/>
  <c r="E74" i="104"/>
  <c r="E78" i="104"/>
  <c r="E85" i="104"/>
  <c r="G85" i="104"/>
  <c r="D88" i="97"/>
  <c r="D93" i="104"/>
  <c r="E96" i="104"/>
  <c r="C102" i="104"/>
  <c r="E100" i="104"/>
  <c r="G100" i="104"/>
  <c r="D111" i="104"/>
  <c r="D113" i="97"/>
  <c r="E110" i="104"/>
  <c r="E117" i="104"/>
  <c r="C119" i="104"/>
  <c r="E124" i="104"/>
  <c r="C161" i="104"/>
  <c r="E127" i="104"/>
  <c r="E131" i="104"/>
  <c r="D161" i="104"/>
  <c r="D139" i="97"/>
  <c r="E136" i="104"/>
  <c r="E149" i="104"/>
  <c r="C197" i="104"/>
  <c r="E164" i="104"/>
  <c r="D197" i="104"/>
  <c r="E167" i="104"/>
  <c r="E171" i="104"/>
  <c r="E175" i="104"/>
  <c r="C185" i="97"/>
  <c r="E182" i="104"/>
  <c r="E186" i="104"/>
  <c r="D206" i="104"/>
  <c r="E220" i="104"/>
  <c r="D34" i="97"/>
  <c r="E31" i="71"/>
  <c r="E92" i="152"/>
  <c r="C93" i="152"/>
  <c r="E99" i="152"/>
  <c r="C102" i="152"/>
  <c r="E106" i="152"/>
  <c r="C111" i="152"/>
  <c r="E124" i="152"/>
  <c r="D161" i="152"/>
  <c r="E142" i="152"/>
  <c r="E146" i="152"/>
  <c r="E165" i="152"/>
  <c r="E169" i="152"/>
  <c r="E173" i="152"/>
  <c r="E180" i="152"/>
  <c r="E11" i="120"/>
  <c r="D21" i="120"/>
  <c r="E15" i="120"/>
  <c r="C21" i="120"/>
  <c r="E19" i="120"/>
  <c r="E30" i="120"/>
  <c r="C61" i="120"/>
  <c r="E38" i="120"/>
  <c r="E141" i="120"/>
  <c r="D161" i="120"/>
  <c r="E76" i="37"/>
  <c r="E83" i="37"/>
  <c r="E87" i="37"/>
  <c r="E91" i="37"/>
  <c r="E131" i="37"/>
  <c r="E149" i="37"/>
  <c r="E153" i="37"/>
  <c r="E158" i="37"/>
  <c r="G158" i="37"/>
  <c r="E165" i="37"/>
  <c r="E169" i="37"/>
  <c r="E173" i="37"/>
  <c r="G173" i="37"/>
  <c r="E180" i="37"/>
  <c r="E187" i="37"/>
  <c r="E191" i="37"/>
  <c r="E195" i="37"/>
  <c r="E202" i="37"/>
  <c r="E141" i="90"/>
  <c r="D161" i="90"/>
  <c r="E150" i="90"/>
  <c r="E155" i="90"/>
  <c r="G155" i="90"/>
  <c r="E159" i="90"/>
  <c r="E166" i="90"/>
  <c r="C197" i="90"/>
  <c r="D197" i="90"/>
  <c r="E177" i="90"/>
  <c r="E181" i="90"/>
  <c r="E202" i="90"/>
  <c r="D206" i="90"/>
  <c r="E226" i="90"/>
  <c r="C228" i="90"/>
  <c r="E48" i="24"/>
  <c r="D61" i="24"/>
  <c r="E52" i="24"/>
  <c r="E60" i="24"/>
  <c r="E74" i="24"/>
  <c r="C79" i="24"/>
  <c r="E78" i="24"/>
  <c r="C93" i="24"/>
  <c r="E85" i="24"/>
  <c r="E30" i="79"/>
  <c r="E46" i="79"/>
  <c r="E50" i="79"/>
  <c r="E54" i="79"/>
  <c r="E58" i="79"/>
  <c r="E64" i="79"/>
  <c r="E68" i="79"/>
  <c r="E86" i="79"/>
  <c r="E90" i="79"/>
  <c r="E97" i="79"/>
  <c r="E100" i="79"/>
  <c r="E133" i="79"/>
  <c r="G133" i="79"/>
  <c r="E138" i="79"/>
  <c r="E152" i="79"/>
  <c r="E156" i="79"/>
  <c r="E160" i="79"/>
  <c r="E167" i="79"/>
  <c r="E174" i="79"/>
  <c r="E177" i="79"/>
  <c r="E184" i="79"/>
  <c r="E39" i="64"/>
  <c r="E42" i="64"/>
  <c r="E50" i="64"/>
  <c r="E54" i="64"/>
  <c r="E58" i="64"/>
  <c r="E135" i="64"/>
  <c r="E152" i="64"/>
  <c r="E157" i="64"/>
  <c r="E182" i="64"/>
  <c r="E190" i="64"/>
  <c r="E194" i="64"/>
  <c r="E201" i="64"/>
  <c r="E126" i="165"/>
  <c r="C161" i="165"/>
  <c r="E131" i="165"/>
  <c r="D161" i="165"/>
  <c r="E135" i="165"/>
  <c r="E153" i="165"/>
  <c r="E165" i="165"/>
  <c r="C197" i="165"/>
  <c r="E169" i="165"/>
  <c r="E173" i="165"/>
  <c r="E176" i="165"/>
  <c r="D197" i="165"/>
  <c r="E180" i="165"/>
  <c r="E183" i="165"/>
  <c r="E187" i="165"/>
  <c r="E84" i="55"/>
  <c r="E88" i="55"/>
  <c r="E92" i="55"/>
  <c r="E99" i="55"/>
  <c r="E106" i="55"/>
  <c r="E110" i="55"/>
  <c r="E171" i="55"/>
  <c r="E175" i="55"/>
  <c r="E179" i="55"/>
  <c r="E183" i="55"/>
  <c r="E187" i="55"/>
  <c r="E190" i="55"/>
  <c r="E85" i="14"/>
  <c r="D93" i="14"/>
  <c r="E115" i="85"/>
  <c r="E123" i="85"/>
  <c r="E165" i="85"/>
  <c r="E188" i="149"/>
  <c r="E169" i="172"/>
  <c r="D197" i="172"/>
  <c r="E173" i="172"/>
  <c r="E177" i="172"/>
  <c r="C197" i="172"/>
  <c r="E181" i="172"/>
  <c r="E185" i="172"/>
  <c r="E189" i="172"/>
  <c r="E15" i="176"/>
  <c r="D21" i="176"/>
  <c r="C161" i="176"/>
  <c r="E147" i="176"/>
  <c r="E151" i="176"/>
  <c r="D161" i="176"/>
  <c r="E155" i="176"/>
  <c r="E176" i="176"/>
  <c r="C197" i="176"/>
  <c r="D197" i="176"/>
  <c r="E179" i="176"/>
  <c r="E183" i="176"/>
  <c r="E190" i="176"/>
  <c r="E193" i="176"/>
  <c r="D206" i="176"/>
  <c r="E200" i="176"/>
  <c r="G205" i="102"/>
  <c r="G165" i="176"/>
  <c r="K14" i="143"/>
  <c r="G200" i="103"/>
  <c r="G175" i="90"/>
  <c r="G15" i="37"/>
  <c r="E54" i="37"/>
  <c r="E190" i="104"/>
  <c r="G73" i="142"/>
  <c r="G232" i="87"/>
  <c r="D61" i="145"/>
  <c r="E38" i="145"/>
  <c r="D41" i="97"/>
  <c r="E42" i="145"/>
  <c r="C45" i="97"/>
  <c r="C61" i="145"/>
  <c r="C48" i="97"/>
  <c r="E45" i="145"/>
  <c r="E140" i="19"/>
  <c r="E152" i="19"/>
  <c r="D155" i="97"/>
  <c r="E157" i="19"/>
  <c r="D167" i="97"/>
  <c r="E164" i="19"/>
  <c r="C171" i="97"/>
  <c r="E168" i="19"/>
  <c r="C182" i="97"/>
  <c r="E179" i="19"/>
  <c r="E15" i="15"/>
  <c r="C18" i="97"/>
  <c r="C21" i="15"/>
  <c r="E152" i="15"/>
  <c r="D161" i="15"/>
  <c r="E166" i="66"/>
  <c r="C197" i="66"/>
  <c r="E169" i="66"/>
  <c r="D197" i="66"/>
  <c r="C179" i="97"/>
  <c r="E176" i="66"/>
  <c r="E183" i="66"/>
  <c r="D186" i="97"/>
  <c r="E187" i="66"/>
  <c r="C206" i="66"/>
  <c r="E201" i="66"/>
  <c r="E221" i="66"/>
  <c r="C228" i="66"/>
  <c r="C224" i="97"/>
  <c r="E227" i="66"/>
  <c r="E57" i="63"/>
  <c r="C103" i="97"/>
  <c r="C102" i="63"/>
  <c r="E100" i="63"/>
  <c r="C197" i="63"/>
  <c r="E193" i="63"/>
  <c r="E203" i="63"/>
  <c r="C206" i="63"/>
  <c r="E40" i="62"/>
  <c r="E44" i="62"/>
  <c r="E54" i="62"/>
  <c r="E57" i="62"/>
  <c r="E60" i="62"/>
  <c r="E69" i="133"/>
  <c r="G69" i="133"/>
  <c r="E73" i="133"/>
  <c r="E77" i="133"/>
  <c r="E84" i="133"/>
  <c r="E87" i="133"/>
  <c r="E33" i="152"/>
  <c r="D61" i="152"/>
  <c r="D79" i="152"/>
  <c r="E64" i="152"/>
  <c r="E67" i="152"/>
  <c r="E71" i="152"/>
  <c r="E75" i="152"/>
  <c r="E12" i="120"/>
  <c r="E16" i="120"/>
  <c r="E20" i="120"/>
  <c r="E27" i="120"/>
  <c r="D61" i="120"/>
  <c r="E38" i="37"/>
  <c r="E69" i="37"/>
  <c r="E77" i="37"/>
  <c r="E84" i="37"/>
  <c r="E98" i="37"/>
  <c r="E105" i="37"/>
  <c r="E132" i="37"/>
  <c r="E136" i="37"/>
  <c r="E181" i="28"/>
  <c r="E184" i="28"/>
  <c r="E188" i="28"/>
  <c r="E19" i="65"/>
  <c r="D21" i="65"/>
  <c r="E27" i="65"/>
  <c r="D61" i="65"/>
  <c r="E35" i="65"/>
  <c r="E39" i="65"/>
  <c r="E43" i="65"/>
  <c r="E54" i="65"/>
  <c r="E58" i="65"/>
  <c r="E65" i="65"/>
  <c r="E51" i="119"/>
  <c r="D61" i="119"/>
  <c r="E55" i="119"/>
  <c r="C61" i="119"/>
  <c r="E58" i="119"/>
  <c r="E65" i="119"/>
  <c r="D79" i="119"/>
  <c r="E69" i="119"/>
  <c r="C79" i="119"/>
  <c r="E76" i="119"/>
  <c r="E82" i="119"/>
  <c r="D93" i="119"/>
  <c r="E86" i="119"/>
  <c r="C93" i="119"/>
  <c r="E90" i="119"/>
  <c r="E97" i="119"/>
  <c r="C102" i="119"/>
  <c r="E101" i="119"/>
  <c r="E108" i="119"/>
  <c r="C111" i="119"/>
  <c r="E115" i="119"/>
  <c r="C119" i="119"/>
  <c r="E123" i="119"/>
  <c r="C161" i="119"/>
  <c r="E127" i="119"/>
  <c r="E165" i="119"/>
  <c r="E169" i="119"/>
  <c r="E173" i="119"/>
  <c r="E196" i="119"/>
  <c r="E219" i="119"/>
  <c r="C228" i="119"/>
  <c r="E226" i="119"/>
  <c r="G226" i="119"/>
  <c r="E98" i="25"/>
  <c r="D102" i="25"/>
  <c r="E105" i="25"/>
  <c r="E109" i="25"/>
  <c r="E116" i="25"/>
  <c r="D119" i="25"/>
  <c r="E109" i="156"/>
  <c r="C111" i="156"/>
  <c r="E146" i="156"/>
  <c r="C161" i="156"/>
  <c r="E158" i="156"/>
  <c r="E165" i="156"/>
  <c r="C197" i="156"/>
  <c r="E189" i="42"/>
  <c r="E56" i="157"/>
  <c r="C61" i="157"/>
  <c r="E60" i="157"/>
  <c r="E67" i="157"/>
  <c r="C102" i="157"/>
  <c r="E99" i="157"/>
  <c r="E106" i="157"/>
  <c r="C111" i="157"/>
  <c r="E110" i="157"/>
  <c r="E117" i="157"/>
  <c r="C119" i="157"/>
  <c r="E129" i="157"/>
  <c r="D161" i="157"/>
  <c r="E133" i="157"/>
  <c r="E188" i="157"/>
  <c r="C197" i="157"/>
  <c r="E192" i="157"/>
  <c r="E195" i="157"/>
  <c r="D197" i="157"/>
  <c r="E36" i="158"/>
  <c r="D61" i="158"/>
  <c r="E40" i="158"/>
  <c r="E47" i="158"/>
  <c r="E51" i="158"/>
  <c r="E69" i="158"/>
  <c r="D79" i="158"/>
  <c r="E115" i="158"/>
  <c r="E20" i="16"/>
  <c r="E32" i="16"/>
  <c r="C61" i="16"/>
  <c r="E59" i="16"/>
  <c r="E124" i="16"/>
  <c r="C161" i="16"/>
  <c r="E129" i="16"/>
  <c r="E133" i="16"/>
  <c r="C214" i="97"/>
  <c r="E195" i="178"/>
  <c r="C198" i="97"/>
  <c r="E187" i="178"/>
  <c r="E179" i="178"/>
  <c r="E171" i="178"/>
  <c r="C163" i="97"/>
  <c r="E132" i="178"/>
  <c r="E109" i="178"/>
  <c r="E98" i="178"/>
  <c r="G98" i="178"/>
  <c r="D79" i="97"/>
  <c r="D71" i="97"/>
  <c r="G109" i="174"/>
  <c r="G226" i="102"/>
  <c r="E31" i="65"/>
  <c r="G204" i="176"/>
  <c r="C161" i="63"/>
  <c r="G54" i="19"/>
  <c r="G90" i="90"/>
  <c r="G110" i="62"/>
  <c r="E155" i="156"/>
  <c r="G74" i="49"/>
  <c r="E52" i="104"/>
  <c r="G46" i="85"/>
  <c r="G25" i="72"/>
  <c r="G168" i="62"/>
  <c r="G151" i="27"/>
  <c r="G86" i="27"/>
  <c r="G28" i="27"/>
  <c r="G27" i="79"/>
  <c r="G186" i="72"/>
  <c r="G141" i="72"/>
  <c r="G70" i="72"/>
  <c r="G91" i="102"/>
  <c r="G125" i="20"/>
  <c r="G67" i="62"/>
  <c r="G106" i="20"/>
  <c r="G203" i="85"/>
  <c r="G157" i="54"/>
  <c r="G167" i="149"/>
  <c r="G156" i="85"/>
  <c r="G190" i="157"/>
  <c r="G156" i="102"/>
  <c r="G98" i="38"/>
  <c r="G105" i="95"/>
  <c r="G99" i="37"/>
  <c r="G178" i="37"/>
  <c r="G115" i="104"/>
  <c r="G29" i="102"/>
  <c r="G44" i="37"/>
  <c r="G232" i="63"/>
  <c r="G76" i="27"/>
  <c r="G15" i="141"/>
  <c r="G13" i="172"/>
  <c r="G44" i="79"/>
  <c r="G226" i="16"/>
  <c r="G149" i="79"/>
  <c r="G118" i="94"/>
  <c r="G16" i="158"/>
  <c r="G222" i="38"/>
  <c r="G181" i="177"/>
  <c r="G222" i="20"/>
  <c r="G32" i="102"/>
  <c r="G55" i="37"/>
  <c r="G221" i="55"/>
  <c r="G116" i="38"/>
  <c r="G223" i="19"/>
  <c r="G127" i="149"/>
  <c r="G88" i="120"/>
  <c r="G151" i="38"/>
  <c r="G223" i="177"/>
  <c r="G37" i="156"/>
  <c r="G59" i="85"/>
  <c r="G231" i="87"/>
  <c r="G115" i="79"/>
  <c r="G223" i="27"/>
  <c r="G16" i="37"/>
  <c r="G226" i="94"/>
  <c r="G221" i="20"/>
  <c r="G225" i="19"/>
  <c r="E97" i="145"/>
  <c r="G43" i="72"/>
  <c r="G107" i="72"/>
  <c r="E28" i="145"/>
  <c r="E97" i="15"/>
  <c r="G100" i="20"/>
  <c r="E17" i="145"/>
  <c r="E83" i="164"/>
  <c r="E32" i="19"/>
  <c r="E36" i="19"/>
  <c r="G222" i="72"/>
  <c r="E73" i="60"/>
  <c r="E147" i="60"/>
  <c r="E160" i="60"/>
  <c r="E20" i="54"/>
  <c r="E220" i="54"/>
  <c r="E225" i="54"/>
  <c r="G78" i="43"/>
  <c r="E101" i="118"/>
  <c r="E71" i="19"/>
  <c r="E60" i="63"/>
  <c r="E14" i="102"/>
  <c r="E67" i="102"/>
  <c r="E75" i="102"/>
  <c r="E82" i="102"/>
  <c r="G116" i="72"/>
  <c r="E46" i="63"/>
  <c r="E140" i="98"/>
  <c r="E27" i="102"/>
  <c r="E34" i="106"/>
  <c r="G85" i="143"/>
  <c r="E126" i="15"/>
  <c r="E222" i="68"/>
  <c r="E13" i="66"/>
  <c r="E129" i="63"/>
  <c r="E172" i="63"/>
  <c r="E41" i="62"/>
  <c r="E40" i="63"/>
  <c r="E108" i="58"/>
  <c r="E145" i="83"/>
  <c r="E173" i="83"/>
  <c r="E156" i="145"/>
  <c r="E20" i="164"/>
  <c r="E47" i="39"/>
  <c r="E148" i="62"/>
  <c r="E60" i="145"/>
  <c r="E225" i="15"/>
  <c r="E64" i="68"/>
  <c r="E172" i="66"/>
  <c r="E30" i="83"/>
  <c r="E73" i="83"/>
  <c r="E77" i="83"/>
  <c r="E123" i="54"/>
  <c r="E90" i="145"/>
  <c r="G90" i="145"/>
  <c r="E16" i="66"/>
  <c r="E157" i="66"/>
  <c r="E180" i="63"/>
  <c r="E43" i="58"/>
  <c r="E78" i="71"/>
  <c r="E174" i="71"/>
  <c r="E171" i="157"/>
  <c r="E202" i="89"/>
  <c r="E54" i="83"/>
  <c r="G54" i="83"/>
  <c r="E83" i="60"/>
  <c r="E26" i="46"/>
  <c r="E97" i="46"/>
  <c r="E53" i="63"/>
  <c r="E71" i="60"/>
  <c r="E82" i="54"/>
  <c r="E12" i="19"/>
  <c r="E101" i="19"/>
  <c r="E175" i="19"/>
  <c r="E12" i="15"/>
  <c r="E36" i="66"/>
  <c r="E12" i="63"/>
  <c r="E13" i="62"/>
  <c r="E47" i="58"/>
  <c r="E173" i="49"/>
  <c r="E115" i="46"/>
  <c r="E58" i="102"/>
  <c r="E13" i="106"/>
  <c r="E12" i="104"/>
  <c r="E16" i="104"/>
  <c r="E179" i="104"/>
  <c r="E74" i="43"/>
  <c r="E157" i="43"/>
  <c r="E43" i="71"/>
  <c r="G43" i="71"/>
  <c r="E179" i="71"/>
  <c r="E68" i="32"/>
  <c r="E18" i="103"/>
  <c r="E169" i="145"/>
  <c r="E44" i="19"/>
  <c r="E50" i="66"/>
  <c r="E164" i="63"/>
  <c r="E125" i="62"/>
  <c r="E129" i="49"/>
  <c r="E145" i="71"/>
  <c r="E85" i="39"/>
  <c r="E129" i="37"/>
  <c r="E20" i="94"/>
  <c r="E14" i="63"/>
  <c r="E118" i="71"/>
  <c r="E26" i="103"/>
  <c r="E19" i="15"/>
  <c r="E116" i="68"/>
  <c r="E18" i="63"/>
  <c r="E56" i="63"/>
  <c r="E33" i="62"/>
  <c r="E13" i="58"/>
  <c r="E165" i="102"/>
  <c r="E56" i="104"/>
  <c r="E137" i="53"/>
  <c r="E175" i="53"/>
  <c r="E84" i="47"/>
  <c r="E37" i="46"/>
  <c r="E127" i="46"/>
  <c r="E18" i="102"/>
  <c r="E85" i="43"/>
  <c r="E89" i="43"/>
  <c r="E69" i="71"/>
  <c r="G69" i="71"/>
  <c r="E153" i="71"/>
  <c r="E158" i="71"/>
  <c r="E169" i="71"/>
  <c r="E190" i="71"/>
  <c r="E55" i="39"/>
  <c r="E75" i="58"/>
  <c r="E175" i="58"/>
  <c r="E179" i="58"/>
  <c r="E15" i="53"/>
  <c r="E19" i="102"/>
  <c r="E110" i="102"/>
  <c r="E117" i="102"/>
  <c r="E33" i="106"/>
  <c r="E98" i="106"/>
  <c r="E151" i="106"/>
  <c r="E170" i="71"/>
  <c r="E177" i="71"/>
  <c r="E136" i="39"/>
  <c r="E187" i="39"/>
  <c r="E53" i="133"/>
  <c r="E146" i="58"/>
  <c r="E135" i="174"/>
  <c r="E153" i="83"/>
  <c r="E181" i="83"/>
  <c r="E33" i="47"/>
  <c r="E45" i="102"/>
  <c r="E77" i="102"/>
  <c r="E149" i="102"/>
  <c r="E51" i="106"/>
  <c r="E105" i="106"/>
  <c r="G105" i="106"/>
  <c r="E152" i="106"/>
  <c r="E82" i="104"/>
  <c r="E37" i="43"/>
  <c r="E76" i="43"/>
  <c r="E147" i="43"/>
  <c r="E100" i="71"/>
  <c r="E125" i="71"/>
  <c r="E151" i="71"/>
  <c r="E156" i="71"/>
  <c r="E25" i="39"/>
  <c r="E174" i="39"/>
  <c r="E29" i="120"/>
  <c r="E68" i="37"/>
  <c r="E72" i="37"/>
  <c r="E49" i="143"/>
  <c r="E13" i="10"/>
  <c r="E105" i="98"/>
  <c r="E34" i="83"/>
  <c r="E130" i="83"/>
  <c r="E19" i="47"/>
  <c r="E54" i="47"/>
  <c r="E135" i="47"/>
  <c r="E126" i="46"/>
  <c r="E68" i="102"/>
  <c r="E184" i="102"/>
  <c r="E45" i="106"/>
  <c r="G45" i="106"/>
  <c r="E68" i="106"/>
  <c r="E84" i="43"/>
  <c r="E91" i="43"/>
  <c r="E108" i="71"/>
  <c r="E130" i="71"/>
  <c r="E114" i="39"/>
  <c r="E146" i="39"/>
  <c r="E68" i="133"/>
  <c r="E76" i="133"/>
  <c r="E129" i="133"/>
  <c r="E98" i="120"/>
  <c r="E68" i="24"/>
  <c r="E11" i="64"/>
  <c r="E15" i="64"/>
  <c r="E35" i="155"/>
  <c r="E15" i="27"/>
  <c r="E26" i="10"/>
  <c r="E83" i="90"/>
  <c r="E37" i="20"/>
  <c r="E34" i="14"/>
  <c r="E142" i="72"/>
  <c r="E29" i="55"/>
  <c r="E16" i="14"/>
  <c r="E177" i="32"/>
  <c r="E187" i="72"/>
  <c r="E191" i="72"/>
  <c r="E107" i="27"/>
  <c r="E40" i="14"/>
  <c r="E17" i="10"/>
  <c r="E150" i="25"/>
  <c r="E118" i="55"/>
  <c r="G118" i="55"/>
  <c r="E137" i="14"/>
  <c r="E225" i="176"/>
  <c r="E25" i="87"/>
  <c r="E125" i="14"/>
  <c r="E178" i="14"/>
  <c r="E106" i="10"/>
  <c r="E172" i="178"/>
  <c r="E155" i="155"/>
  <c r="E36" i="14"/>
  <c r="E196" i="178"/>
  <c r="E188" i="178"/>
  <c r="E164" i="178"/>
  <c r="G164" i="178"/>
  <c r="E152" i="178"/>
  <c r="E143" i="178"/>
  <c r="E87" i="178"/>
  <c r="D61" i="178"/>
  <c r="E193" i="85"/>
  <c r="E110" i="178"/>
  <c r="E77" i="178"/>
  <c r="G77" i="178"/>
  <c r="E58" i="178"/>
  <c r="E50" i="178"/>
  <c r="E42" i="178"/>
  <c r="E34" i="178"/>
  <c r="G34" i="178"/>
  <c r="E26" i="178"/>
  <c r="E174" i="178"/>
  <c r="D197" i="178"/>
  <c r="E114" i="178"/>
  <c r="E51" i="178"/>
  <c r="E96" i="10"/>
  <c r="E157" i="10"/>
  <c r="E175" i="10"/>
  <c r="E108" i="178"/>
  <c r="G108" i="178"/>
  <c r="E168" i="87"/>
  <c r="E92" i="89"/>
  <c r="E159" i="178"/>
  <c r="E131" i="178"/>
  <c r="G131" i="178"/>
  <c r="E148" i="178"/>
  <c r="C111" i="178"/>
  <c r="C102" i="178"/>
  <c r="E18" i="50"/>
  <c r="E200" i="178"/>
  <c r="G200" i="178"/>
  <c r="E205" i="178"/>
  <c r="E89" i="178"/>
  <c r="E71" i="178"/>
  <c r="G71" i="178"/>
  <c r="E16" i="178"/>
  <c r="F215" i="57"/>
  <c r="F209" i="97"/>
  <c r="F208" i="55"/>
  <c r="D95" i="97"/>
  <c r="G69" i="47"/>
  <c r="D161" i="98"/>
  <c r="E123" i="98"/>
  <c r="E127" i="98"/>
  <c r="C161" i="98"/>
  <c r="E131" i="98"/>
  <c r="E135" i="98"/>
  <c r="E37" i="83"/>
  <c r="D61" i="83"/>
  <c r="E41" i="83"/>
  <c r="C61" i="83"/>
  <c r="C44" i="97"/>
  <c r="E47" i="83"/>
  <c r="D50" i="97"/>
  <c r="D53" i="97"/>
  <c r="E57" i="83"/>
  <c r="D60" i="97"/>
  <c r="C79" i="83"/>
  <c r="E64" i="83"/>
  <c r="D73" i="97"/>
  <c r="E70" i="83"/>
  <c r="D79" i="83"/>
  <c r="E135" i="83"/>
  <c r="C161" i="83"/>
  <c r="G52" i="149"/>
  <c r="G36" i="149"/>
  <c r="G16" i="149"/>
  <c r="G131" i="85"/>
  <c r="G181" i="165"/>
  <c r="G149" i="62"/>
  <c r="G84" i="68"/>
  <c r="G46" i="149"/>
  <c r="G129" i="85"/>
  <c r="G29" i="72"/>
  <c r="G88" i="37"/>
  <c r="G225" i="150"/>
  <c r="G78" i="20"/>
  <c r="G67" i="27"/>
  <c r="G30" i="176"/>
  <c r="G222" i="165"/>
  <c r="G96" i="47"/>
  <c r="E60" i="71"/>
  <c r="C63" i="97"/>
  <c r="E38" i="133"/>
  <c r="C41" i="97"/>
  <c r="E92" i="133"/>
  <c r="C95" i="97"/>
  <c r="D101" i="97"/>
  <c r="D102" i="133"/>
  <c r="E105" i="133"/>
  <c r="C111" i="133"/>
  <c r="C108" i="97"/>
  <c r="E116" i="133"/>
  <c r="C119" i="133"/>
  <c r="E131" i="133"/>
  <c r="C161" i="133"/>
  <c r="D206" i="133"/>
  <c r="E204" i="133"/>
  <c r="E177" i="28"/>
  <c r="C180" i="97"/>
  <c r="E186" i="28"/>
  <c r="E29" i="156"/>
  <c r="E39" i="156"/>
  <c r="E89" i="156"/>
  <c r="C93" i="156"/>
  <c r="E92" i="156"/>
  <c r="E169" i="20"/>
  <c r="D172" i="97"/>
  <c r="D187" i="97"/>
  <c r="E184" i="20"/>
  <c r="E141" i="27"/>
  <c r="C144" i="97"/>
  <c r="D148" i="97"/>
  <c r="E145" i="27"/>
  <c r="E175" i="27"/>
  <c r="E178" i="27"/>
  <c r="D184" i="97"/>
  <c r="E181" i="27"/>
  <c r="E185" i="27"/>
  <c r="C188" i="97"/>
  <c r="E83" i="165"/>
  <c r="D93" i="165"/>
  <c r="E87" i="165"/>
  <c r="C93" i="165"/>
  <c r="E91" i="165"/>
  <c r="E97" i="165"/>
  <c r="D100" i="97"/>
  <c r="D102" i="165"/>
  <c r="C104" i="97"/>
  <c r="E101" i="165"/>
  <c r="C102" i="165"/>
  <c r="E108" i="165"/>
  <c r="C111" i="165"/>
  <c r="E201" i="14"/>
  <c r="D206" i="14"/>
  <c r="G96" i="79"/>
  <c r="G125" i="90"/>
  <c r="G108" i="102"/>
  <c r="D141" i="97"/>
  <c r="E138" i="98"/>
  <c r="E143" i="98"/>
  <c r="C146" i="97"/>
  <c r="E151" i="98"/>
  <c r="D158" i="97"/>
  <c r="E155" i="98"/>
  <c r="C162" i="97"/>
  <c r="E159" i="98"/>
  <c r="D168" i="97"/>
  <c r="D197" i="98"/>
  <c r="E165" i="98"/>
  <c r="E14" i="49"/>
  <c r="E18" i="49"/>
  <c r="C21" i="97"/>
  <c r="E29" i="47"/>
  <c r="D32" i="97"/>
  <c r="D61" i="47"/>
  <c r="C40" i="97"/>
  <c r="C61" i="47"/>
  <c r="E37" i="47"/>
  <c r="E43" i="47"/>
  <c r="E46" i="47"/>
  <c r="C49" i="97"/>
  <c r="E49" i="47"/>
  <c r="D52" i="97"/>
  <c r="E77" i="175"/>
  <c r="E168" i="175"/>
  <c r="C175" i="97"/>
  <c r="E172" i="175"/>
  <c r="C36" i="97"/>
  <c r="E33" i="84"/>
  <c r="E40" i="84"/>
  <c r="D43" i="97"/>
  <c r="E48" i="84"/>
  <c r="E51" i="84"/>
  <c r="D54" i="97"/>
  <c r="E55" i="84"/>
  <c r="C58" i="97"/>
  <c r="E15" i="71"/>
  <c r="E53" i="71"/>
  <c r="C56" i="97"/>
  <c r="E30" i="133"/>
  <c r="D61" i="133"/>
  <c r="D33" i="97"/>
  <c r="E34" i="133"/>
  <c r="D37" i="97"/>
  <c r="E67" i="133"/>
  <c r="D79" i="133"/>
  <c r="E75" i="133"/>
  <c r="C78" i="97"/>
  <c r="E89" i="133"/>
  <c r="D111" i="133"/>
  <c r="E109" i="133"/>
  <c r="D119" i="97"/>
  <c r="D119" i="133"/>
  <c r="E124" i="133"/>
  <c r="D161" i="133"/>
  <c r="E127" i="133"/>
  <c r="D130" i="97"/>
  <c r="C170" i="97"/>
  <c r="E167" i="152"/>
  <c r="D176" i="97"/>
  <c r="E173" i="28"/>
  <c r="C197" i="119"/>
  <c r="E192" i="119"/>
  <c r="E45" i="25"/>
  <c r="D61" i="25"/>
  <c r="D48" i="97"/>
  <c r="E53" i="25"/>
  <c r="C61" i="25"/>
  <c r="C152" i="97"/>
  <c r="E149" i="155"/>
  <c r="E177" i="155"/>
  <c r="E26" i="156"/>
  <c r="C61" i="156"/>
  <c r="E67" i="156"/>
  <c r="C70" i="97"/>
  <c r="C79" i="156"/>
  <c r="E29" i="20"/>
  <c r="E33" i="20"/>
  <c r="E41" i="20"/>
  <c r="E44" i="20"/>
  <c r="E47" i="20"/>
  <c r="E51" i="20"/>
  <c r="E72" i="20"/>
  <c r="D75" i="97"/>
  <c r="E86" i="20"/>
  <c r="E89" i="20"/>
  <c r="E96" i="20"/>
  <c r="D99" i="97"/>
  <c r="E171" i="27"/>
  <c r="D174" i="97"/>
  <c r="E182" i="27"/>
  <c r="E69" i="165"/>
  <c r="D79" i="165"/>
  <c r="D72" i="97"/>
  <c r="E77" i="165"/>
  <c r="C79" i="165"/>
  <c r="C161" i="14"/>
  <c r="E150" i="14"/>
  <c r="E153" i="14"/>
  <c r="C156" i="97"/>
  <c r="D197" i="14"/>
  <c r="E174" i="14"/>
  <c r="D177" i="97"/>
  <c r="E181" i="14"/>
  <c r="C187" i="97"/>
  <c r="E184" i="14"/>
  <c r="E187" i="14"/>
  <c r="C190" i="97"/>
  <c r="E192" i="14"/>
  <c r="E202" i="14"/>
  <c r="C206" i="14"/>
  <c r="G57" i="164"/>
  <c r="G126" i="62"/>
  <c r="G170" i="167"/>
  <c r="G65" i="149"/>
  <c r="G136" i="85"/>
  <c r="G191" i="16"/>
  <c r="G71" i="20"/>
  <c r="G16" i="20"/>
  <c r="G232" i="38"/>
  <c r="G26" i="177"/>
  <c r="G123" i="167"/>
  <c r="E161" i="167"/>
  <c r="G98" i="69"/>
  <c r="D112" i="97"/>
  <c r="E109" i="98"/>
  <c r="C119" i="98"/>
  <c r="E116" i="98"/>
  <c r="E201" i="43"/>
  <c r="C204" i="97"/>
  <c r="C206" i="43"/>
  <c r="E204" i="43"/>
  <c r="E231" i="43"/>
  <c r="E58" i="175"/>
  <c r="C79" i="175"/>
  <c r="C68" i="97"/>
  <c r="E65" i="175"/>
  <c r="E71" i="175"/>
  <c r="D74" i="97"/>
  <c r="D79" i="175"/>
  <c r="E155" i="175"/>
  <c r="C158" i="97"/>
  <c r="E165" i="175"/>
  <c r="D197" i="175"/>
  <c r="D175" i="97"/>
  <c r="E12" i="71"/>
  <c r="E57" i="71"/>
  <c r="C60" i="97"/>
  <c r="E185" i="71"/>
  <c r="E188" i="71"/>
  <c r="C191" i="97"/>
  <c r="C29" i="97"/>
  <c r="E26" i="39"/>
  <c r="E29" i="39"/>
  <c r="D61" i="39"/>
  <c r="C128" i="97"/>
  <c r="C161" i="39"/>
  <c r="E125" i="39"/>
  <c r="C174" i="97"/>
  <c r="E171" i="39"/>
  <c r="C197" i="39"/>
  <c r="D181" i="97"/>
  <c r="D197" i="39"/>
  <c r="E12" i="133"/>
  <c r="C21" i="133"/>
  <c r="C22" i="97"/>
  <c r="E19" i="133"/>
  <c r="C61" i="133"/>
  <c r="E27" i="133"/>
  <c r="C30" i="97"/>
  <c r="C79" i="133"/>
  <c r="E71" i="133"/>
  <c r="E82" i="133"/>
  <c r="D93" i="133"/>
  <c r="E86" i="133"/>
  <c r="C93" i="133"/>
  <c r="C109" i="97"/>
  <c r="E106" i="133"/>
  <c r="D117" i="97"/>
  <c r="E114" i="152"/>
  <c r="E125" i="152"/>
  <c r="C161" i="152"/>
  <c r="E153" i="152"/>
  <c r="E164" i="152"/>
  <c r="C167" i="97"/>
  <c r="C197" i="152"/>
  <c r="D197" i="152"/>
  <c r="E178" i="152"/>
  <c r="E185" i="152"/>
  <c r="D188" i="97"/>
  <c r="C195" i="97"/>
  <c r="E192" i="152"/>
  <c r="E123" i="79"/>
  <c r="E131" i="79"/>
  <c r="D143" i="97"/>
  <c r="E140" i="79"/>
  <c r="C151" i="97"/>
  <c r="E148" i="79"/>
  <c r="E191" i="79"/>
  <c r="E201" i="79"/>
  <c r="D17" i="97"/>
  <c r="E14" i="64"/>
  <c r="E18" i="64"/>
  <c r="E33" i="64"/>
  <c r="D36" i="97"/>
  <c r="E41" i="64"/>
  <c r="E44" i="64"/>
  <c r="D47" i="97"/>
  <c r="E47" i="64"/>
  <c r="E83" i="64"/>
  <c r="E116" i="64"/>
  <c r="E202" i="64"/>
  <c r="C205" i="97"/>
  <c r="E205" i="64"/>
  <c r="D208" i="97"/>
  <c r="E232" i="64"/>
  <c r="C235" i="97"/>
  <c r="E36" i="72"/>
  <c r="D39" i="97"/>
  <c r="E47" i="28"/>
  <c r="E149" i="28"/>
  <c r="E167" i="28"/>
  <c r="D170" i="97"/>
  <c r="E171" i="28"/>
  <c r="E188" i="119"/>
  <c r="D197" i="119"/>
  <c r="D61" i="155"/>
  <c r="E45" i="155"/>
  <c r="E70" i="155"/>
  <c r="C79" i="155"/>
  <c r="C73" i="97"/>
  <c r="E73" i="155"/>
  <c r="D76" i="97"/>
  <c r="D79" i="155"/>
  <c r="E96" i="155"/>
  <c r="C102" i="155"/>
  <c r="C99" i="97"/>
  <c r="C102" i="97"/>
  <c r="E99" i="155"/>
  <c r="D161" i="155"/>
  <c r="E137" i="155"/>
  <c r="C161" i="155"/>
  <c r="E142" i="155"/>
  <c r="E146" i="155"/>
  <c r="E167" i="155"/>
  <c r="D197" i="155"/>
  <c r="C197" i="155"/>
  <c r="E175" i="155"/>
  <c r="E178" i="155"/>
  <c r="C181" i="97"/>
  <c r="D183" i="97"/>
  <c r="E180" i="155"/>
  <c r="C207" i="97"/>
  <c r="E204" i="155"/>
  <c r="C206" i="155"/>
  <c r="E222" i="155"/>
  <c r="C225" i="97"/>
  <c r="C228" i="155"/>
  <c r="E231" i="155"/>
  <c r="E13" i="156"/>
  <c r="C21" i="156"/>
  <c r="C16" i="97"/>
  <c r="E19" i="156"/>
  <c r="D29" i="97"/>
  <c r="D61" i="156"/>
  <c r="E26" i="20"/>
  <c r="E30" i="20"/>
  <c r="C33" i="97"/>
  <c r="E34" i="20"/>
  <c r="E48" i="20"/>
  <c r="E146" i="14"/>
  <c r="D161" i="14"/>
  <c r="E175" i="14"/>
  <c r="C197" i="14"/>
  <c r="C193" i="97"/>
  <c r="E190" i="14"/>
  <c r="E193" i="14"/>
  <c r="C196" i="97"/>
  <c r="E195" i="14"/>
  <c r="D198" i="97"/>
  <c r="G97" i="167"/>
  <c r="G223" i="145"/>
  <c r="G53" i="47"/>
  <c r="G221" i="118"/>
  <c r="D93" i="98"/>
  <c r="E83" i="98"/>
  <c r="D86" i="97"/>
  <c r="E87" i="98"/>
  <c r="E91" i="98"/>
  <c r="C93" i="98"/>
  <c r="C94" i="97"/>
  <c r="D111" i="98"/>
  <c r="D109" i="97"/>
  <c r="D204" i="97"/>
  <c r="D206" i="43"/>
  <c r="D61" i="175"/>
  <c r="E42" i="175"/>
  <c r="E46" i="175"/>
  <c r="C61" i="175"/>
  <c r="E56" i="175"/>
  <c r="E59" i="175"/>
  <c r="C161" i="175"/>
  <c r="E151" i="175"/>
  <c r="D161" i="175"/>
  <c r="C172" i="97"/>
  <c r="E169" i="175"/>
  <c r="C197" i="175"/>
  <c r="G53" i="60"/>
  <c r="G188" i="167"/>
  <c r="G157" i="167"/>
  <c r="G158" i="62"/>
  <c r="G194" i="38"/>
  <c r="G85" i="20"/>
  <c r="G164" i="145"/>
  <c r="G88" i="85"/>
  <c r="G130" i="165"/>
  <c r="G13" i="79"/>
  <c r="G89" i="167"/>
  <c r="G54" i="149"/>
  <c r="G83" i="85"/>
  <c r="G135" i="27"/>
  <c r="G70" i="20"/>
  <c r="G132" i="158"/>
  <c r="E46" i="71"/>
  <c r="D49" i="97"/>
  <c r="E50" i="71"/>
  <c r="C53" i="97"/>
  <c r="G186" i="89"/>
  <c r="G145" i="62"/>
  <c r="G158" i="50"/>
  <c r="G193" i="106"/>
  <c r="G169" i="47"/>
  <c r="G127" i="79"/>
  <c r="G57" i="65"/>
  <c r="G73" i="85"/>
  <c r="G12" i="79"/>
  <c r="G26" i="92"/>
  <c r="G91" i="20"/>
  <c r="G110" i="38"/>
  <c r="G28" i="39"/>
  <c r="G166" i="85"/>
  <c r="G73" i="120"/>
  <c r="G166" i="176"/>
  <c r="G49" i="79"/>
  <c r="G126" i="152"/>
  <c r="G46" i="72"/>
  <c r="G87" i="20"/>
  <c r="G200" i="84"/>
  <c r="G223" i="157"/>
  <c r="G87" i="38"/>
  <c r="G118" i="84"/>
  <c r="G142" i="158"/>
  <c r="G220" i="172"/>
  <c r="G219" i="62"/>
  <c r="E206" i="167"/>
  <c r="G135" i="72"/>
  <c r="G82" i="32"/>
  <c r="G192" i="38"/>
  <c r="G181" i="20"/>
  <c r="G26" i="106"/>
  <c r="G50" i="37"/>
  <c r="G33" i="87"/>
  <c r="E149" i="94"/>
  <c r="D161" i="94"/>
  <c r="D152" i="97"/>
  <c r="C102" i="145"/>
  <c r="D160" i="97"/>
  <c r="D161" i="145"/>
  <c r="G202" i="102"/>
  <c r="G148" i="27"/>
  <c r="G188" i="38"/>
  <c r="G109" i="95"/>
  <c r="G15" i="85"/>
  <c r="G221" i="50"/>
  <c r="G153" i="155"/>
  <c r="G165" i="25"/>
  <c r="G39" i="119"/>
  <c r="G232" i="177"/>
  <c r="E102" i="167"/>
  <c r="G91" i="16"/>
  <c r="G225" i="79"/>
  <c r="E133" i="103"/>
  <c r="E137" i="103"/>
  <c r="D144" i="97"/>
  <c r="E141" i="103"/>
  <c r="E146" i="103"/>
  <c r="D149" i="97"/>
  <c r="E150" i="103"/>
  <c r="E12" i="118"/>
  <c r="C15" i="97"/>
  <c r="C21" i="118"/>
  <c r="E15" i="118"/>
  <c r="D18" i="97"/>
  <c r="D21" i="118"/>
  <c r="C92" i="97"/>
  <c r="E89" i="118"/>
  <c r="C120" i="97"/>
  <c r="C119" i="118"/>
  <c r="C130" i="97"/>
  <c r="E127" i="118"/>
  <c r="C134" i="97"/>
  <c r="G89" i="90"/>
  <c r="G222" i="37"/>
  <c r="G160" i="20"/>
  <c r="G20" i="20"/>
  <c r="G31" i="79"/>
  <c r="G46" i="133"/>
  <c r="G143" i="43"/>
  <c r="G223" i="174"/>
  <c r="G223" i="79"/>
  <c r="E77" i="103"/>
  <c r="C80" i="97"/>
  <c r="D89" i="97"/>
  <c r="E86" i="103"/>
  <c r="E130" i="103"/>
  <c r="C133" i="97"/>
  <c r="E138" i="103"/>
  <c r="C141" i="97"/>
  <c r="E147" i="103"/>
  <c r="C150" i="97"/>
  <c r="C154" i="97"/>
  <c r="E151" i="103"/>
  <c r="G65" i="95"/>
  <c r="G105" i="47"/>
  <c r="E74" i="103"/>
  <c r="D80" i="97"/>
  <c r="C90" i="97"/>
  <c r="E87" i="103"/>
  <c r="E123" i="103"/>
  <c r="E135" i="103"/>
  <c r="C138" i="97"/>
  <c r="D145" i="97"/>
  <c r="E67" i="98"/>
  <c r="D79" i="98"/>
  <c r="E71" i="98"/>
  <c r="E74" i="98"/>
  <c r="G231" i="167"/>
  <c r="E235" i="167"/>
  <c r="G227" i="167"/>
  <c r="G33" i="86"/>
  <c r="G126" i="85"/>
  <c r="G136" i="167"/>
  <c r="D77" i="97"/>
  <c r="C119" i="97"/>
  <c r="D196" i="97"/>
  <c r="D62" i="97"/>
  <c r="E59" i="164"/>
  <c r="E66" i="164"/>
  <c r="C79" i="164"/>
  <c r="E84" i="66"/>
  <c r="E129" i="66"/>
  <c r="D132" i="97"/>
  <c r="D21" i="97"/>
  <c r="E129" i="174"/>
  <c r="C135" i="97"/>
  <c r="E132" i="174"/>
  <c r="E129" i="53"/>
  <c r="C161" i="53"/>
  <c r="E133" i="53"/>
  <c r="E141" i="53"/>
  <c r="C149" i="97"/>
  <c r="E44" i="98"/>
  <c r="C61" i="98"/>
  <c r="C47" i="97"/>
  <c r="C50" i="97"/>
  <c r="E54" i="98"/>
  <c r="C79" i="98"/>
  <c r="G98" i="167"/>
  <c r="G200" i="95"/>
  <c r="G114" i="141"/>
  <c r="C169" i="97"/>
  <c r="C178" i="97"/>
  <c r="D59" i="97"/>
  <c r="D87" i="97"/>
  <c r="C111" i="66"/>
  <c r="C111" i="97"/>
  <c r="E27" i="63"/>
  <c r="D40" i="97"/>
  <c r="E117" i="63"/>
  <c r="D161" i="63"/>
  <c r="D127" i="97"/>
  <c r="C121" i="97"/>
  <c r="C119" i="58"/>
  <c r="E147" i="58"/>
  <c r="C161" i="58"/>
  <c r="E151" i="58"/>
  <c r="E222" i="58"/>
  <c r="C228" i="58"/>
  <c r="C61" i="174"/>
  <c r="E27" i="174"/>
  <c r="E116" i="174"/>
  <c r="D119" i="174"/>
  <c r="D161" i="174"/>
  <c r="D126" i="97"/>
  <c r="E124" i="53"/>
  <c r="D161" i="53"/>
  <c r="C238" i="97"/>
  <c r="E152" i="94"/>
  <c r="E175" i="94"/>
  <c r="C161" i="145"/>
  <c r="D169" i="97"/>
  <c r="C61" i="68"/>
  <c r="C55" i="97"/>
  <c r="E52" i="68"/>
  <c r="E55" i="68"/>
  <c r="D61" i="97"/>
  <c r="E65" i="68"/>
  <c r="C79" i="68"/>
  <c r="D102" i="68"/>
  <c r="E105" i="68"/>
  <c r="C111" i="68"/>
  <c r="C43" i="97"/>
  <c r="E40" i="66"/>
  <c r="E53" i="66"/>
  <c r="D56" i="97"/>
  <c r="D61" i="66"/>
  <c r="E72" i="66"/>
  <c r="E75" i="66"/>
  <c r="G16" i="87"/>
  <c r="E226" i="54"/>
  <c r="E38" i="94"/>
  <c r="E45" i="94"/>
  <c r="E11" i="46"/>
  <c r="C14" i="97"/>
  <c r="E188" i="46"/>
  <c r="E109" i="102"/>
  <c r="E127" i="102"/>
  <c r="E155" i="106"/>
  <c r="G70" i="32"/>
  <c r="G107" i="24"/>
  <c r="E227" i="54"/>
  <c r="E106" i="102"/>
  <c r="G60" i="149"/>
  <c r="G151" i="72"/>
  <c r="E192" i="53"/>
  <c r="E20" i="98"/>
  <c r="E86" i="98"/>
  <c r="E158" i="98"/>
  <c r="E29" i="49"/>
  <c r="E83" i="49"/>
  <c r="E138" i="118"/>
  <c r="E25" i="60"/>
  <c r="E29" i="60"/>
  <c r="E86" i="60"/>
  <c r="E172" i="60"/>
  <c r="E176" i="60"/>
  <c r="E16" i="94"/>
  <c r="E87" i="66"/>
  <c r="E91" i="66"/>
  <c r="E222" i="63"/>
  <c r="E231" i="63"/>
  <c r="E74" i="62"/>
  <c r="E84" i="62"/>
  <c r="E145" i="53"/>
  <c r="E149" i="53"/>
  <c r="E60" i="98"/>
  <c r="E73" i="98"/>
  <c r="E77" i="98"/>
  <c r="E97" i="98"/>
  <c r="E106" i="98"/>
  <c r="E147" i="98"/>
  <c r="E100" i="102"/>
  <c r="E75" i="106"/>
  <c r="E78" i="106"/>
  <c r="E85" i="106"/>
  <c r="E127" i="106"/>
  <c r="G136" i="102"/>
  <c r="E48" i="145"/>
  <c r="E18" i="66"/>
  <c r="E34" i="63"/>
  <c r="E87" i="58"/>
  <c r="E97" i="58"/>
  <c r="E101" i="58"/>
  <c r="E143" i="58"/>
  <c r="E202" i="58"/>
  <c r="E46" i="102"/>
  <c r="G12" i="102"/>
  <c r="E32" i="145"/>
  <c r="E39" i="15"/>
  <c r="E82" i="15"/>
  <c r="E85" i="15"/>
  <c r="E46" i="68"/>
  <c r="E232" i="66"/>
  <c r="E13" i="63"/>
  <c r="E17" i="63"/>
  <c r="E25" i="63"/>
  <c r="E28" i="15"/>
  <c r="E47" i="15"/>
  <c r="E219" i="66"/>
  <c r="E13" i="46"/>
  <c r="E35" i="102"/>
  <c r="E39" i="102"/>
  <c r="E56" i="118"/>
  <c r="E56" i="145"/>
  <c r="E71" i="145"/>
  <c r="E31" i="15"/>
  <c r="E44" i="15"/>
  <c r="E85" i="47"/>
  <c r="E28" i="102"/>
  <c r="E43" i="102"/>
  <c r="E106" i="103"/>
  <c r="E127" i="60"/>
  <c r="E101" i="54"/>
  <c r="E16" i="145"/>
  <c r="E20" i="145"/>
  <c r="E30" i="68"/>
  <c r="E12" i="58"/>
  <c r="E91" i="58"/>
  <c r="E115" i="58"/>
  <c r="E131" i="58"/>
  <c r="E38" i="83"/>
  <c r="E50" i="47"/>
  <c r="E118" i="39"/>
  <c r="E18" i="20"/>
  <c r="G49" i="104"/>
  <c r="E52" i="103"/>
  <c r="E156" i="60"/>
  <c r="E28" i="54"/>
  <c r="E110" i="68"/>
  <c r="E223" i="49"/>
  <c r="E152" i="102"/>
  <c r="E32" i="54"/>
  <c r="E178" i="15"/>
  <c r="E135" i="68"/>
  <c r="E50" i="63"/>
  <c r="E123" i="63"/>
  <c r="E133" i="63"/>
  <c r="E138" i="63"/>
  <c r="E189" i="49"/>
  <c r="E177" i="83"/>
  <c r="E232" i="83"/>
  <c r="E84" i="46"/>
  <c r="E99" i="102"/>
  <c r="E28" i="60"/>
  <c r="E48" i="94"/>
  <c r="E12" i="164"/>
  <c r="E68" i="68"/>
  <c r="E16" i="63"/>
  <c r="E30" i="63"/>
  <c r="E33" i="63"/>
  <c r="E37" i="63"/>
  <c r="E124" i="63"/>
  <c r="E88" i="47"/>
  <c r="E56" i="71"/>
  <c r="E173" i="71"/>
  <c r="G70" i="25"/>
  <c r="E127" i="62"/>
  <c r="E46" i="43"/>
  <c r="E137" i="145"/>
  <c r="E165" i="83"/>
  <c r="E193" i="83"/>
  <c r="E168" i="37"/>
  <c r="E71" i="15"/>
  <c r="E11" i="53"/>
  <c r="E97" i="49"/>
  <c r="E32" i="47"/>
  <c r="E42" i="47"/>
  <c r="E72" i="47"/>
  <c r="E183" i="104"/>
  <c r="E41" i="24"/>
  <c r="E52" i="60"/>
  <c r="E52" i="54"/>
  <c r="E101" i="94"/>
  <c r="E86" i="145"/>
  <c r="E101" i="145"/>
  <c r="E55" i="15"/>
  <c r="E203" i="68"/>
  <c r="E189" i="102"/>
  <c r="E52" i="143"/>
  <c r="E60" i="15"/>
  <c r="E145" i="63"/>
  <c r="E27" i="58"/>
  <c r="E143" i="102"/>
  <c r="E33" i="133"/>
  <c r="E29" i="37"/>
  <c r="E36" i="63"/>
  <c r="E11" i="58"/>
  <c r="E88" i="83"/>
  <c r="E83" i="102"/>
  <c r="E101" i="43"/>
  <c r="E55" i="71"/>
  <c r="E65" i="71"/>
  <c r="E123" i="15"/>
  <c r="E137" i="63"/>
  <c r="E50" i="83"/>
  <c r="E105" i="102"/>
  <c r="E140" i="102"/>
  <c r="E147" i="104"/>
  <c r="E60" i="43"/>
  <c r="E108" i="39"/>
  <c r="E178" i="39"/>
  <c r="E98" i="133"/>
  <c r="E164" i="10"/>
  <c r="E44" i="71"/>
  <c r="E48" i="39"/>
  <c r="E155" i="39"/>
  <c r="E17" i="133"/>
  <c r="E60" i="64"/>
  <c r="E190" i="25"/>
  <c r="E47" i="156"/>
  <c r="E177" i="85"/>
  <c r="E27" i="71"/>
  <c r="E110" i="71"/>
  <c r="E135" i="71"/>
  <c r="E189" i="71"/>
  <c r="E100" i="39"/>
  <c r="E118" i="155"/>
  <c r="E13" i="55"/>
  <c r="E52" i="71"/>
  <c r="E92" i="71"/>
  <c r="E97" i="39"/>
  <c r="E166" i="39"/>
  <c r="E180" i="39"/>
  <c r="E68" i="120"/>
  <c r="E18" i="85"/>
  <c r="E110" i="85"/>
  <c r="E89" i="176"/>
  <c r="E57" i="10"/>
  <c r="E42" i="71"/>
  <c r="E149" i="71"/>
  <c r="E12" i="72"/>
  <c r="E186" i="155"/>
  <c r="E133" i="37"/>
  <c r="E146" i="25"/>
  <c r="E39" i="155"/>
  <c r="E142" i="14"/>
  <c r="E182" i="176"/>
  <c r="E192" i="37"/>
  <c r="E130" i="32"/>
  <c r="E133" i="133"/>
  <c r="E13" i="32"/>
  <c r="E159" i="25"/>
  <c r="E66" i="156"/>
  <c r="E140" i="85"/>
  <c r="E188" i="10"/>
  <c r="E53" i="37"/>
  <c r="E116" i="55"/>
  <c r="E14" i="38"/>
  <c r="E202" i="178"/>
  <c r="C206" i="178"/>
  <c r="E68" i="10"/>
  <c r="E105" i="10"/>
  <c r="E125" i="10"/>
  <c r="E148" i="42"/>
  <c r="E98" i="55"/>
  <c r="E34" i="85"/>
  <c r="E65" i="10"/>
  <c r="E180" i="10"/>
  <c r="E129" i="89"/>
  <c r="E37" i="10"/>
  <c r="E76" i="87"/>
  <c r="E46" i="69"/>
  <c r="C129" i="97"/>
  <c r="E227" i="178"/>
  <c r="E219" i="178"/>
  <c r="C228" i="178"/>
  <c r="E84" i="178"/>
  <c r="E158" i="178"/>
  <c r="E149" i="178"/>
  <c r="E19" i="178"/>
  <c r="C21" i="178"/>
  <c r="E11" i="178"/>
  <c r="E100" i="178"/>
  <c r="E53" i="178"/>
  <c r="E45" i="178"/>
  <c r="E37" i="178"/>
  <c r="E29" i="178"/>
  <c r="E192" i="178"/>
  <c r="E184" i="178"/>
  <c r="E176" i="178"/>
  <c r="E168" i="178"/>
  <c r="E92" i="178"/>
  <c r="E73" i="178"/>
  <c r="E65" i="178"/>
  <c r="E54" i="178"/>
  <c r="E46" i="178"/>
  <c r="E38" i="178"/>
  <c r="E30" i="178"/>
  <c r="E88" i="89"/>
  <c r="E42" i="92"/>
  <c r="E76" i="178"/>
  <c r="E117" i="38"/>
  <c r="C161" i="178"/>
  <c r="E68" i="178"/>
  <c r="E57" i="178"/>
  <c r="E49" i="178"/>
  <c r="E41" i="178"/>
  <c r="G33" i="178"/>
  <c r="C61" i="178"/>
  <c r="E25" i="178"/>
  <c r="D119" i="178"/>
  <c r="E83" i="178"/>
  <c r="D21" i="178"/>
  <c r="E221" i="178"/>
  <c r="E126" i="178"/>
  <c r="D93" i="178"/>
  <c r="E72" i="178"/>
  <c r="E18" i="178"/>
  <c r="E178" i="178"/>
  <c r="C197" i="178"/>
  <c r="E189" i="178"/>
  <c r="E181" i="178"/>
  <c r="E173" i="178"/>
  <c r="E165" i="178"/>
  <c r="E155" i="178"/>
  <c r="E146" i="178"/>
  <c r="E136" i="178"/>
  <c r="C119" i="178"/>
  <c r="E91" i="178"/>
  <c r="C79" i="178"/>
  <c r="E64" i="178"/>
  <c r="E17" i="178"/>
  <c r="D161" i="178"/>
  <c r="E99" i="178"/>
  <c r="C143" i="97"/>
  <c r="E125" i="178"/>
  <c r="E101" i="178"/>
  <c r="E90" i="178"/>
  <c r="E82" i="178"/>
  <c r="C93" i="178"/>
  <c r="E60" i="178"/>
  <c r="E52" i="178"/>
  <c r="E44" i="178"/>
  <c r="E36" i="178"/>
  <c r="E28" i="178"/>
  <c r="E69" i="178"/>
  <c r="E27" i="178"/>
  <c r="E194" i="178"/>
  <c r="E14" i="178"/>
  <c r="E133" i="178"/>
  <c r="E124" i="178"/>
  <c r="E78" i="178"/>
  <c r="D102" i="178"/>
  <c r="E204" i="178"/>
  <c r="E160" i="178"/>
  <c r="E151" i="178"/>
  <c r="E142" i="178"/>
  <c r="E123" i="178"/>
  <c r="E156" i="178"/>
  <c r="E147" i="178"/>
  <c r="E137" i="178"/>
  <c r="E116" i="178"/>
  <c r="E74" i="178"/>
  <c r="E115" i="178"/>
  <c r="E106" i="178"/>
  <c r="E86" i="178"/>
  <c r="E48" i="178"/>
  <c r="E40" i="178"/>
  <c r="E32" i="178"/>
  <c r="E13" i="178"/>
  <c r="D206" i="178"/>
  <c r="E129" i="178"/>
  <c r="E107" i="178"/>
  <c r="E224" i="178"/>
  <c r="E232" i="178"/>
  <c r="E85" i="178"/>
  <c r="E20" i="178"/>
  <c r="E12" i="178"/>
  <c r="F215" i="111"/>
  <c r="F24" i="97"/>
  <c r="F215" i="113"/>
  <c r="G226" i="113"/>
  <c r="E14" i="113"/>
  <c r="C17" i="97"/>
  <c r="E16" i="113"/>
  <c r="C19" i="97"/>
  <c r="C46" i="97"/>
  <c r="E43" i="113"/>
  <c r="D180" i="97"/>
  <c r="E177" i="113"/>
  <c r="D182" i="97"/>
  <c r="E200" i="113"/>
  <c r="E202" i="113"/>
  <c r="D205" i="97"/>
  <c r="D207" i="97"/>
  <c r="E225" i="113"/>
  <c r="E231" i="113"/>
  <c r="C234" i="97"/>
  <c r="G89" i="113"/>
  <c r="D15" i="97"/>
  <c r="E30" i="113"/>
  <c r="D35" i="97"/>
  <c r="C37" i="97"/>
  <c r="E34" i="113"/>
  <c r="E36" i="113"/>
  <c r="E39" i="113"/>
  <c r="D42" i="97"/>
  <c r="E41" i="113"/>
  <c r="D44" i="97"/>
  <c r="D118" i="97"/>
  <c r="D121" i="97"/>
  <c r="E118" i="113"/>
  <c r="E135" i="113"/>
  <c r="D138" i="97"/>
  <c r="E137" i="113"/>
  <c r="D140" i="97"/>
  <c r="C145" i="97"/>
  <c r="E142" i="113"/>
  <c r="E145" i="113"/>
  <c r="E147" i="113"/>
  <c r="D150" i="97"/>
  <c r="E150" i="113"/>
  <c r="D153" i="97"/>
  <c r="E153" i="113"/>
  <c r="D156" i="97"/>
  <c r="E156" i="113"/>
  <c r="D159" i="97"/>
  <c r="D162" i="97"/>
  <c r="E159" i="113"/>
  <c r="E166" i="113"/>
  <c r="E170" i="113"/>
  <c r="E174" i="113"/>
  <c r="C177" i="97"/>
  <c r="E196" i="113"/>
  <c r="C199" i="97"/>
  <c r="G126" i="113"/>
  <c r="E27" i="113"/>
  <c r="C32" i="97"/>
  <c r="E29" i="113"/>
  <c r="D90" i="97"/>
  <c r="E87" i="113"/>
  <c r="D92" i="97"/>
  <c r="E99" i="113"/>
  <c r="D104" i="97"/>
  <c r="E101" i="113"/>
  <c r="D110" i="97"/>
  <c r="E107" i="113"/>
  <c r="E111" i="113"/>
  <c r="C117" i="97"/>
  <c r="E184" i="113"/>
  <c r="D189" i="97"/>
  <c r="E186" i="113"/>
  <c r="D191" i="97"/>
  <c r="E188" i="113"/>
  <c r="E190" i="113"/>
  <c r="D193" i="97"/>
  <c r="D195" i="97"/>
  <c r="G35" i="113"/>
  <c r="G114" i="113"/>
  <c r="G182" i="113"/>
  <c r="E17" i="113"/>
  <c r="E19" i="113"/>
  <c r="D22" i="97"/>
  <c r="E25" i="113"/>
  <c r="D28" i="97"/>
  <c r="E46" i="113"/>
  <c r="C51" i="97"/>
  <c r="E50" i="113"/>
  <c r="E52" i="113"/>
  <c r="C57" i="97"/>
  <c r="E54" i="113"/>
  <c r="C59" i="97"/>
  <c r="C62" i="97"/>
  <c r="C67" i="97"/>
  <c r="E64" i="113"/>
  <c r="E65" i="113"/>
  <c r="D68" i="97"/>
  <c r="E67" i="113"/>
  <c r="D70" i="97"/>
  <c r="C72" i="97"/>
  <c r="E71" i="113"/>
  <c r="C74" i="97"/>
  <c r="E74" i="113"/>
  <c r="C77" i="97"/>
  <c r="E77" i="113"/>
  <c r="C85" i="97"/>
  <c r="E82" i="113"/>
  <c r="C87" i="97"/>
  <c r="C89" i="97"/>
  <c r="E86" i="113"/>
  <c r="C184" i="97"/>
  <c r="E181" i="113"/>
  <c r="E183" i="113"/>
  <c r="E66" i="113"/>
  <c r="G66" i="113"/>
  <c r="E85" i="113"/>
  <c r="G232" i="113"/>
  <c r="G192" i="113"/>
  <c r="G115" i="113"/>
  <c r="G76" i="113"/>
  <c r="G51" i="113"/>
  <c r="G143" i="113"/>
  <c r="G47" i="113"/>
  <c r="E146" i="113"/>
  <c r="F114" i="97"/>
  <c r="F96" i="97"/>
  <c r="F82" i="97"/>
  <c r="F215" i="38"/>
  <c r="F208" i="84"/>
  <c r="F64" i="97"/>
  <c r="G77" i="55"/>
  <c r="G59" i="71"/>
  <c r="G132" i="46"/>
  <c r="G75" i="178"/>
  <c r="G91" i="68"/>
  <c r="G147" i="165"/>
  <c r="G224" i="24"/>
  <c r="G88" i="95"/>
  <c r="G155" i="119"/>
  <c r="G181" i="87"/>
  <c r="G175" i="176"/>
  <c r="G123" i="42"/>
  <c r="G224" i="32"/>
  <c r="G99" i="69"/>
  <c r="G123" i="172"/>
  <c r="G193" i="31"/>
  <c r="G159" i="83"/>
  <c r="G181" i="47"/>
  <c r="G83" i="50"/>
  <c r="G18" i="92"/>
  <c r="G202" i="60"/>
  <c r="G60" i="152"/>
  <c r="G60" i="172"/>
  <c r="E235" i="39"/>
  <c r="G185" i="92"/>
  <c r="G87" i="142"/>
  <c r="G110" i="118"/>
  <c r="G189" i="69"/>
  <c r="G226" i="47"/>
  <c r="G173" i="32"/>
  <c r="G18" i="164"/>
  <c r="G65" i="164"/>
  <c r="G118" i="43"/>
  <c r="G200" i="92"/>
  <c r="G171" i="133"/>
  <c r="G219" i="141"/>
  <c r="G204" i="165"/>
  <c r="G159" i="165"/>
  <c r="G189" i="157"/>
  <c r="G140" i="31"/>
  <c r="G187" i="64"/>
  <c r="G16" i="86"/>
  <c r="G220" i="143"/>
  <c r="G49" i="176"/>
  <c r="G69" i="86"/>
  <c r="G188" i="156"/>
  <c r="G176" i="158"/>
  <c r="G138" i="69"/>
  <c r="G126" i="83"/>
  <c r="G114" i="119"/>
  <c r="G183" i="83"/>
  <c r="G157" i="172"/>
  <c r="G29" i="89"/>
  <c r="G87" i="176"/>
  <c r="G45" i="87"/>
  <c r="G33" i="176"/>
  <c r="G165" i="31"/>
  <c r="G196" i="150"/>
  <c r="G67" i="158"/>
  <c r="G75" i="86"/>
  <c r="G11" i="152"/>
  <c r="G195" i="16"/>
  <c r="G73" i="157"/>
  <c r="G142" i="172"/>
  <c r="G222" i="120"/>
  <c r="G109" i="150"/>
  <c r="G56" i="32"/>
  <c r="G68" i="86"/>
  <c r="G166" i="155"/>
  <c r="G145" i="157"/>
  <c r="G38" i="64"/>
  <c r="G155" i="69"/>
  <c r="G137" i="25"/>
  <c r="G180" i="69"/>
  <c r="G223" i="87"/>
  <c r="G132" i="104"/>
  <c r="G25" i="50"/>
  <c r="G118" i="64"/>
  <c r="G192" i="143"/>
  <c r="G58" i="54"/>
  <c r="G66" i="53"/>
  <c r="G87" i="53"/>
  <c r="G118" i="62"/>
  <c r="G185" i="95"/>
  <c r="G33" i="95"/>
  <c r="G205" i="95"/>
  <c r="G227" i="50"/>
  <c r="G204" i="50"/>
  <c r="G232" i="1"/>
  <c r="G196" i="142"/>
  <c r="G233" i="142"/>
  <c r="G77" i="69"/>
  <c r="G222" i="69"/>
  <c r="G140" i="69"/>
  <c r="G110" i="69"/>
  <c r="G107" i="69"/>
  <c r="G138" i="86"/>
  <c r="G137" i="86"/>
  <c r="G87" i="86"/>
  <c r="G109" i="86"/>
  <c r="G88" i="86"/>
  <c r="G190" i="86"/>
  <c r="G13" i="87"/>
  <c r="G98" i="87"/>
  <c r="G117" i="10"/>
  <c r="G194" i="10"/>
  <c r="G231" i="10"/>
  <c r="G50" i="143"/>
  <c r="G12" i="176"/>
  <c r="G96" i="172"/>
  <c r="G180" i="172"/>
  <c r="G200" i="172"/>
  <c r="G82" i="172"/>
  <c r="G54" i="172"/>
  <c r="G33" i="172"/>
  <c r="G174" i="149"/>
  <c r="G41" i="14"/>
  <c r="E237" i="14"/>
  <c r="G177" i="55"/>
  <c r="G83" i="55"/>
  <c r="G34" i="55"/>
  <c r="G124" i="55"/>
  <c r="G158" i="165"/>
  <c r="M18" i="111"/>
  <c r="G111" i="111"/>
  <c r="G79" i="111"/>
  <c r="M79" i="111"/>
  <c r="G197" i="111"/>
  <c r="M197" i="111"/>
  <c r="M15" i="111"/>
  <c r="G102" i="111"/>
  <c r="M102" i="111"/>
  <c r="G161" i="111"/>
  <c r="G108" i="16"/>
  <c r="G137" i="16"/>
  <c r="G156" i="16"/>
  <c r="G233" i="16"/>
  <c r="G91" i="158"/>
  <c r="G90" i="158"/>
  <c r="G168" i="158"/>
  <c r="G226" i="158"/>
  <c r="G147" i="158"/>
  <c r="G151" i="158"/>
  <c r="G233" i="158"/>
  <c r="G174" i="157"/>
  <c r="G77" i="157"/>
  <c r="G49" i="157"/>
  <c r="G18" i="42"/>
  <c r="G135" i="42"/>
  <c r="G98" i="156"/>
  <c r="G91" i="155"/>
  <c r="G107" i="25"/>
  <c r="G27" i="25"/>
  <c r="G85" i="25"/>
  <c r="G89" i="25"/>
  <c r="G130" i="119"/>
  <c r="G205" i="119"/>
  <c r="G143" i="65"/>
  <c r="E235" i="65"/>
  <c r="G67" i="65"/>
  <c r="G76" i="28"/>
  <c r="G96" i="28"/>
  <c r="G82" i="28"/>
  <c r="G231" i="28"/>
  <c r="K14" i="28"/>
  <c r="G137" i="64"/>
  <c r="G132" i="64"/>
  <c r="G100" i="64"/>
  <c r="G20" i="64"/>
  <c r="G86" i="64"/>
  <c r="G40" i="64"/>
  <c r="G191" i="64"/>
  <c r="G15" i="31"/>
  <c r="G78" i="31"/>
  <c r="G223" i="31"/>
  <c r="G118" i="31"/>
  <c r="G131" i="32"/>
  <c r="G202" i="32"/>
  <c r="G77" i="32"/>
  <c r="G32" i="32"/>
  <c r="G85" i="141"/>
  <c r="G131" i="24"/>
  <c r="G202" i="24"/>
  <c r="G16" i="24"/>
  <c r="M16" i="24"/>
  <c r="G187" i="90"/>
  <c r="G195" i="90"/>
  <c r="G82" i="90"/>
  <c r="G43" i="120"/>
  <c r="G201" i="120"/>
  <c r="G158" i="152"/>
  <c r="G158" i="133"/>
  <c r="G18" i="133"/>
  <c r="G66" i="133"/>
  <c r="G74" i="133"/>
  <c r="G181" i="133"/>
  <c r="G161" i="135"/>
  <c r="M11" i="135"/>
  <c r="G197" i="135"/>
  <c r="G79" i="135"/>
  <c r="G102" i="135"/>
  <c r="G152" i="71"/>
  <c r="G149" i="175"/>
  <c r="G170" i="43"/>
  <c r="G101" i="104"/>
  <c r="G114" i="49"/>
  <c r="G27" i="49"/>
  <c r="G170" i="83"/>
  <c r="G166" i="98"/>
  <c r="G233" i="98"/>
  <c r="G131" i="53"/>
  <c r="E235" i="174"/>
  <c r="G110" i="174"/>
  <c r="G45" i="63"/>
  <c r="G156" i="68"/>
  <c r="G138" i="68"/>
  <c r="G184" i="68"/>
  <c r="G99" i="15"/>
  <c r="G17" i="15"/>
  <c r="G195" i="15"/>
  <c r="G131" i="164"/>
  <c r="G48" i="164"/>
  <c r="G184" i="164"/>
  <c r="G57" i="94"/>
  <c r="G165" i="94"/>
  <c r="G158" i="94"/>
  <c r="G33" i="94"/>
  <c r="G181" i="94"/>
  <c r="G101" i="69"/>
  <c r="G136" i="66"/>
  <c r="G19" i="174"/>
  <c r="G223" i="66"/>
  <c r="G160" i="158"/>
  <c r="G68" i="165"/>
  <c r="G187" i="53"/>
  <c r="G201" i="164"/>
  <c r="G52" i="69"/>
  <c r="G35" i="118"/>
  <c r="G205" i="150"/>
  <c r="G141" i="55"/>
  <c r="G31" i="53"/>
  <c r="G42" i="58"/>
  <c r="G159" i="66"/>
  <c r="G177" i="164"/>
  <c r="G151" i="94"/>
  <c r="G26" i="54"/>
  <c r="G40" i="60"/>
  <c r="G116" i="95"/>
  <c r="G148" i="50"/>
  <c r="G192" i="69"/>
  <c r="G231" i="83"/>
  <c r="G235" i="83"/>
  <c r="E235" i="83"/>
  <c r="G131" i="174"/>
  <c r="G182" i="174"/>
  <c r="G36" i="32"/>
  <c r="G164" i="176"/>
  <c r="G165" i="157"/>
  <c r="G147" i="90"/>
  <c r="G193" i="174"/>
  <c r="G225" i="46"/>
  <c r="G71" i="55"/>
  <c r="G225" i="49"/>
  <c r="G222" i="25"/>
  <c r="G107" i="133"/>
  <c r="G72" i="15"/>
  <c r="G99" i="54"/>
  <c r="G55" i="133"/>
  <c r="G31" i="118"/>
  <c r="G141" i="176"/>
  <c r="G27" i="176"/>
  <c r="G153" i="158"/>
  <c r="G71" i="42"/>
  <c r="G49" i="83"/>
  <c r="G149" i="141"/>
  <c r="G138" i="142"/>
  <c r="G225" i="42"/>
  <c r="G32" i="28"/>
  <c r="G222" i="152"/>
  <c r="G223" i="60"/>
  <c r="G37" i="176"/>
  <c r="G202" i="141"/>
  <c r="G138" i="95"/>
  <c r="G165" i="142"/>
  <c r="G39" i="152"/>
  <c r="G196" i="176"/>
  <c r="G204" i="31"/>
  <c r="G92" i="157"/>
  <c r="G146" i="174"/>
  <c r="G224" i="90"/>
  <c r="G186" i="27"/>
  <c r="G96" i="31"/>
  <c r="G195" i="92"/>
  <c r="G189" i="177"/>
  <c r="G20" i="62"/>
  <c r="G15" i="157"/>
  <c r="G183" i="92"/>
  <c r="G227" i="89"/>
  <c r="G45" i="55"/>
  <c r="G51" i="71"/>
  <c r="G192" i="1"/>
  <c r="G166" i="92"/>
  <c r="G221" i="95"/>
  <c r="G42" i="174"/>
  <c r="G164" i="174"/>
  <c r="G194" i="94"/>
  <c r="G74" i="53"/>
  <c r="G96" i="14"/>
  <c r="G179" i="39"/>
  <c r="G131" i="90"/>
  <c r="G225" i="24"/>
  <c r="G125" i="158"/>
  <c r="G186" i="86"/>
  <c r="G185" i="90"/>
  <c r="G187" i="46"/>
  <c r="G146" i="50"/>
  <c r="G107" i="50"/>
  <c r="G225" i="92"/>
  <c r="G223" i="176"/>
  <c r="G75" i="69"/>
  <c r="G11" i="19"/>
  <c r="G189" i="24"/>
  <c r="G92" i="175"/>
  <c r="G45" i="176"/>
  <c r="G97" i="176"/>
  <c r="G53" i="92"/>
  <c r="G25" i="142"/>
  <c r="G184" i="10"/>
  <c r="G83" i="143"/>
  <c r="G186" i="14"/>
  <c r="G232" i="133"/>
  <c r="G29" i="95"/>
  <c r="G171" i="174"/>
  <c r="G106" i="66"/>
  <c r="G156" i="14"/>
  <c r="G110" i="49"/>
  <c r="G150" i="94"/>
  <c r="G133" i="69"/>
  <c r="G220" i="94"/>
  <c r="M12" i="94"/>
  <c r="G15" i="90"/>
  <c r="G135" i="152"/>
  <c r="G115" i="133"/>
  <c r="G106" i="15"/>
  <c r="G15" i="60"/>
  <c r="G38" i="25"/>
  <c r="G50" i="175"/>
  <c r="G138" i="53"/>
  <c r="G157" i="68"/>
  <c r="G57" i="68"/>
  <c r="G32" i="164"/>
  <c r="G132" i="94"/>
  <c r="G54" i="94"/>
  <c r="G149" i="54"/>
  <c r="G14" i="54"/>
  <c r="G106" i="60"/>
  <c r="E235" i="172"/>
  <c r="G231" i="172"/>
  <c r="G145" i="142"/>
  <c r="G109" i="31"/>
  <c r="G82" i="164"/>
  <c r="G133" i="31"/>
  <c r="G117" i="172"/>
  <c r="G30" i="172"/>
  <c r="G74" i="157"/>
  <c r="G66" i="64"/>
  <c r="G27" i="32"/>
  <c r="G51" i="141"/>
  <c r="G155" i="83"/>
  <c r="G88" i="164"/>
  <c r="G195" i="94"/>
  <c r="G156" i="94"/>
  <c r="G177" i="118"/>
  <c r="G140" i="87"/>
  <c r="G227" i="150"/>
  <c r="G30" i="95"/>
  <c r="G69" i="92"/>
  <c r="G158" i="69"/>
  <c r="G148" i="176"/>
  <c r="G149" i="157"/>
  <c r="G12" i="32"/>
  <c r="G174" i="120"/>
  <c r="G85" i="120"/>
  <c r="G55" i="152"/>
  <c r="G31" i="152"/>
  <c r="G132" i="71"/>
  <c r="G34" i="175"/>
  <c r="G190" i="43"/>
  <c r="G150" i="43"/>
  <c r="G187" i="104"/>
  <c r="G143" i="106"/>
  <c r="G150" i="120"/>
  <c r="G227" i="83"/>
  <c r="G50" i="53"/>
  <c r="G177" i="174"/>
  <c r="G147" i="24"/>
  <c r="G222" i="31"/>
  <c r="G50" i="104"/>
  <c r="G39" i="47"/>
  <c r="G55" i="28"/>
  <c r="G42" i="49"/>
  <c r="G227" i="53"/>
  <c r="G200" i="174"/>
  <c r="G181" i="155"/>
  <c r="G92" i="42"/>
  <c r="G204" i="14"/>
  <c r="G20" i="47"/>
  <c r="G83" i="65"/>
  <c r="G53" i="174"/>
  <c r="G86" i="39"/>
  <c r="G73" i="141"/>
  <c r="G96" i="150"/>
  <c r="G13" i="92"/>
  <c r="G129" i="142"/>
  <c r="G143" i="69"/>
  <c r="G133" i="10"/>
  <c r="G133" i="143"/>
  <c r="G133" i="95"/>
  <c r="G55" i="14"/>
  <c r="G225" i="68"/>
  <c r="G184" i="149"/>
  <c r="G98" i="50"/>
  <c r="G41" i="176"/>
  <c r="G54" i="164"/>
  <c r="G51" i="32"/>
  <c r="G167" i="156"/>
  <c r="G136" i="90"/>
  <c r="G191" i="27"/>
  <c r="G86" i="149"/>
  <c r="G27" i="149"/>
  <c r="G226" i="149"/>
  <c r="G32" i="15"/>
  <c r="G68" i="55"/>
  <c r="G66" i="92"/>
  <c r="G74" i="10"/>
  <c r="G99" i="64"/>
  <c r="G145" i="32"/>
  <c r="G69" i="32"/>
  <c r="G99" i="141"/>
  <c r="G54" i="95"/>
  <c r="G149" i="142"/>
  <c r="G116" i="172"/>
  <c r="G123" i="16"/>
  <c r="G48" i="158"/>
  <c r="G181" i="157"/>
  <c r="G38" i="164"/>
  <c r="G205" i="83"/>
  <c r="G49" i="89"/>
  <c r="G76" i="69"/>
  <c r="G65" i="55"/>
  <c r="G50" i="165"/>
  <c r="G117" i="133"/>
  <c r="G224" i="104"/>
  <c r="G125" i="155"/>
  <c r="G159" i="65"/>
  <c r="G223" i="32"/>
  <c r="G226" i="141"/>
  <c r="E228" i="149"/>
  <c r="G225" i="28"/>
  <c r="G175" i="158"/>
  <c r="G43" i="83"/>
  <c r="G125" i="86"/>
  <c r="G114" i="43"/>
  <c r="G183" i="16"/>
  <c r="G129" i="92"/>
  <c r="G49" i="92"/>
  <c r="G224" i="69"/>
  <c r="G129" i="10"/>
  <c r="G97" i="120"/>
  <c r="G169" i="16"/>
  <c r="G70" i="71"/>
  <c r="G45" i="47"/>
  <c r="G29" i="106"/>
  <c r="G84" i="69"/>
  <c r="G75" i="39"/>
  <c r="G32" i="64"/>
  <c r="G132" i="32"/>
  <c r="G187" i="156"/>
  <c r="G27" i="104"/>
  <c r="G231" i="24"/>
  <c r="G235" i="24"/>
  <c r="G17" i="165"/>
  <c r="G73" i="68"/>
  <c r="G25" i="53"/>
  <c r="G142" i="141"/>
  <c r="G42" i="50"/>
  <c r="G46" i="50"/>
  <c r="G28" i="64"/>
  <c r="G187" i="28"/>
  <c r="G50" i="54"/>
  <c r="G110" i="54"/>
  <c r="G49" i="54"/>
  <c r="G185" i="54"/>
  <c r="G191" i="60"/>
  <c r="G231" i="60"/>
  <c r="G89" i="60"/>
  <c r="E235" i="60"/>
  <c r="G185" i="60"/>
  <c r="G32" i="103"/>
  <c r="E235" i="118"/>
  <c r="G75" i="15"/>
  <c r="G221" i="120"/>
  <c r="G90" i="172"/>
  <c r="G100" i="25"/>
  <c r="G168" i="92"/>
  <c r="G106" i="69"/>
  <c r="G150" i="106"/>
  <c r="G116" i="54"/>
  <c r="G153" i="164"/>
  <c r="G90" i="176"/>
  <c r="G98" i="28"/>
  <c r="G70" i="14"/>
  <c r="G138" i="64"/>
  <c r="G132" i="120"/>
  <c r="G77" i="1"/>
  <c r="G152" i="142"/>
  <c r="G117" i="118"/>
  <c r="G156" i="176"/>
  <c r="G76" i="89"/>
  <c r="G172" i="155"/>
  <c r="G176" i="10"/>
  <c r="G72" i="60"/>
  <c r="G40" i="10"/>
  <c r="G105" i="174"/>
  <c r="G205" i="32"/>
  <c r="G43" i="14"/>
  <c r="G137" i="24"/>
  <c r="G232" i="10"/>
  <c r="G184" i="95"/>
  <c r="G64" i="172"/>
  <c r="G222" i="15"/>
  <c r="G67" i="172"/>
  <c r="G127" i="64"/>
  <c r="G83" i="53"/>
  <c r="G89" i="83"/>
  <c r="G169" i="143"/>
  <c r="G158" i="172"/>
  <c r="G17" i="92"/>
  <c r="G192" i="155"/>
  <c r="G205" i="106"/>
  <c r="G114" i="104"/>
  <c r="G133" i="142"/>
  <c r="G73" i="55"/>
  <c r="G192" i="50"/>
  <c r="G151" i="69"/>
  <c r="G115" i="54"/>
  <c r="E235" i="46"/>
  <c r="G44" i="165"/>
  <c r="G40" i="174"/>
  <c r="G189" i="142"/>
  <c r="G47" i="49"/>
  <c r="G183" i="90"/>
  <c r="G159" i="24"/>
  <c r="G123" i="58"/>
  <c r="G97" i="90"/>
  <c r="G205" i="174"/>
  <c r="G68" i="53"/>
  <c r="G76" i="145"/>
  <c r="G227" i="156"/>
  <c r="G220" i="1"/>
  <c r="G45" i="92"/>
  <c r="G91" i="10"/>
  <c r="G177" i="143"/>
  <c r="G99" i="32"/>
  <c r="G84" i="175"/>
  <c r="G125" i="31"/>
  <c r="G91" i="156"/>
  <c r="G137" i="176"/>
  <c r="G224" i="68"/>
  <c r="G78" i="65"/>
  <c r="G116" i="86"/>
  <c r="G172" i="143"/>
  <c r="G225" i="63"/>
  <c r="G157" i="87"/>
  <c r="G231" i="32"/>
  <c r="G151" i="68"/>
  <c r="G180" i="143"/>
  <c r="G193" i="92"/>
  <c r="G227" i="176"/>
  <c r="G132" i="152"/>
  <c r="G159" i="158"/>
  <c r="G41" i="86"/>
  <c r="G107" i="53"/>
  <c r="G117" i="55"/>
  <c r="G14" i="55"/>
  <c r="G196" i="133"/>
  <c r="G157" i="69"/>
  <c r="G201" i="24"/>
  <c r="G116" i="50"/>
  <c r="G155" i="64"/>
  <c r="G98" i="92"/>
  <c r="G75" i="28"/>
  <c r="G98" i="164"/>
  <c r="G135" i="141"/>
  <c r="G186" i="66"/>
  <c r="G31" i="155"/>
  <c r="G182" i="156"/>
  <c r="G97" i="152"/>
  <c r="G190" i="66"/>
  <c r="G133" i="47"/>
  <c r="G29" i="10"/>
  <c r="G25" i="66"/>
  <c r="G87" i="95"/>
  <c r="G226" i="98"/>
  <c r="G11" i="104"/>
  <c r="G140" i="143"/>
  <c r="G147" i="172"/>
  <c r="G41" i="15"/>
  <c r="G27" i="14"/>
  <c r="G52" i="157"/>
  <c r="G25" i="86"/>
  <c r="G117" i="1"/>
  <c r="G150" i="92"/>
  <c r="G110" i="120"/>
  <c r="G96" i="49"/>
  <c r="G185" i="31"/>
  <c r="G29" i="87"/>
  <c r="G51" i="64"/>
  <c r="G54" i="32"/>
  <c r="G220" i="176"/>
  <c r="G205" i="156"/>
  <c r="G174" i="104"/>
  <c r="G168" i="164"/>
  <c r="G51" i="152"/>
  <c r="G149" i="55"/>
  <c r="G64" i="15"/>
  <c r="G41" i="87"/>
  <c r="G85" i="103"/>
  <c r="G169" i="103"/>
  <c r="G50" i="103"/>
  <c r="G143" i="103"/>
  <c r="G59" i="176"/>
  <c r="G155" i="164"/>
  <c r="G14" i="155"/>
  <c r="G18" i="119"/>
  <c r="G185" i="69"/>
  <c r="G176" i="55"/>
  <c r="G123" i="94"/>
  <c r="G45" i="50"/>
  <c r="G164" i="143"/>
  <c r="G109" i="143"/>
  <c r="G34" i="165"/>
  <c r="G231" i="158"/>
  <c r="K14" i="158"/>
  <c r="G188" i="155"/>
  <c r="G173" i="174"/>
  <c r="G202" i="104"/>
  <c r="G71" i="32"/>
  <c r="G127" i="16"/>
  <c r="G196" i="1"/>
  <c r="G99" i="95"/>
  <c r="G132" i="141"/>
  <c r="G191" i="32"/>
  <c r="G178" i="174"/>
  <c r="G84" i="50"/>
  <c r="G52" i="176"/>
  <c r="G98" i="176"/>
  <c r="G123" i="158"/>
  <c r="G231" i="50"/>
  <c r="G172" i="106"/>
  <c r="G30" i="1"/>
  <c r="G83" i="42"/>
  <c r="G30" i="90"/>
  <c r="G29" i="64"/>
  <c r="G140" i="83"/>
  <c r="G179" i="156"/>
  <c r="G176" i="175"/>
  <c r="G73" i="90"/>
  <c r="G124" i="158"/>
  <c r="G65" i="90"/>
  <c r="G203" i="119"/>
  <c r="G192" i="64"/>
  <c r="G147" i="68"/>
  <c r="G90" i="89"/>
  <c r="G40" i="87"/>
  <c r="G179" i="68"/>
  <c r="M17" i="85"/>
  <c r="G132" i="83"/>
  <c r="G195" i="28"/>
  <c r="G222" i="53"/>
  <c r="G158" i="68"/>
  <c r="G76" i="15"/>
  <c r="G45" i="15"/>
  <c r="G59" i="83"/>
  <c r="G78" i="98"/>
  <c r="G195" i="120"/>
  <c r="G83" i="95"/>
  <c r="G76" i="95"/>
  <c r="G73" i="28"/>
  <c r="G147" i="42"/>
  <c r="G28" i="42"/>
  <c r="G148" i="141"/>
  <c r="G187" i="120"/>
  <c r="G108" i="43"/>
  <c r="G33" i="104"/>
  <c r="G172" i="104"/>
  <c r="G136" i="103"/>
  <c r="G38" i="32"/>
  <c r="G165" i="54"/>
  <c r="G89" i="10"/>
  <c r="G96" i="158"/>
  <c r="E235" i="158"/>
  <c r="G14" i="142"/>
  <c r="G17" i="89"/>
  <c r="G64" i="104"/>
  <c r="E235" i="50"/>
  <c r="G224" i="150"/>
  <c r="G171" i="83"/>
  <c r="G60" i="68"/>
  <c r="G190" i="60"/>
  <c r="G82" i="156"/>
  <c r="G173" i="66"/>
  <c r="G133" i="94"/>
  <c r="G43" i="63"/>
  <c r="G108" i="42"/>
  <c r="G105" i="53"/>
  <c r="G27" i="64"/>
  <c r="G152" i="174"/>
  <c r="G90" i="60"/>
  <c r="G132" i="16"/>
  <c r="G137" i="94"/>
  <c r="G166" i="63"/>
  <c r="G168" i="31"/>
  <c r="G153" i="69"/>
  <c r="G232" i="172"/>
  <c r="G55" i="32"/>
  <c r="G232" i="94"/>
  <c r="G151" i="24"/>
  <c r="G108" i="24"/>
  <c r="G44" i="24"/>
  <c r="G227" i="71"/>
  <c r="G168" i="106"/>
  <c r="G56" i="176"/>
  <c r="G31" i="119"/>
  <c r="G54" i="120"/>
  <c r="G194" i="50"/>
  <c r="G184" i="50"/>
  <c r="G157" i="92"/>
  <c r="G76" i="92"/>
  <c r="G41" i="89"/>
  <c r="G172" i="86"/>
  <c r="G148" i="143"/>
  <c r="G42" i="176"/>
  <c r="G71" i="172"/>
  <c r="G193" i="55"/>
  <c r="G173" i="55"/>
  <c r="G106" i="165"/>
  <c r="G146" i="42"/>
  <c r="G110" i="152"/>
  <c r="G204" i="174"/>
  <c r="G153" i="174"/>
  <c r="G169" i="60"/>
  <c r="G97" i="164"/>
  <c r="G50" i="31"/>
  <c r="G173" i="31"/>
  <c r="G13" i="95"/>
  <c r="G105" i="92"/>
  <c r="G29" i="92"/>
  <c r="G168" i="69"/>
  <c r="G68" i="69"/>
  <c r="G220" i="89"/>
  <c r="G116" i="143"/>
  <c r="G164" i="155"/>
  <c r="G166" i="175"/>
  <c r="E235" i="47"/>
  <c r="G231" i="47"/>
  <c r="G165" i="164"/>
  <c r="G46" i="94"/>
  <c r="G106" i="174"/>
  <c r="G36" i="155"/>
  <c r="G75" i="60"/>
  <c r="G91" i="176"/>
  <c r="G223" i="172"/>
  <c r="G75" i="176"/>
  <c r="G170" i="14"/>
  <c r="G168" i="10"/>
  <c r="G200" i="158"/>
  <c r="G149" i="152"/>
  <c r="G165" i="87"/>
  <c r="G204" i="53"/>
  <c r="G170" i="60"/>
  <c r="G107" i="103"/>
  <c r="G180" i="164"/>
  <c r="G98" i="142"/>
  <c r="G83" i="68"/>
  <c r="G193" i="94"/>
  <c r="G140" i="60"/>
  <c r="G165" i="172"/>
  <c r="G86" i="32"/>
  <c r="G219" i="83"/>
  <c r="G193" i="98"/>
  <c r="G173" i="53"/>
  <c r="G165" i="53"/>
  <c r="G140" i="53"/>
  <c r="G148" i="174"/>
  <c r="G31" i="174"/>
  <c r="G231" i="58"/>
  <c r="G235" i="58"/>
  <c r="E235" i="58"/>
  <c r="G87" i="50"/>
  <c r="G172" i="142"/>
  <c r="G205" i="10"/>
  <c r="G129" i="156"/>
  <c r="G140" i="120"/>
  <c r="G189" i="46"/>
  <c r="G47" i="14"/>
  <c r="G203" i="86"/>
  <c r="G203" i="155"/>
  <c r="G220" i="106"/>
  <c r="G224" i="14"/>
  <c r="G177" i="157"/>
  <c r="G44" i="164"/>
  <c r="G66" i="66"/>
  <c r="G203" i="50"/>
  <c r="G89" i="89"/>
  <c r="G114" i="10"/>
  <c r="G115" i="175"/>
  <c r="G66" i="54"/>
  <c r="G191" i="42"/>
  <c r="G39" i="106"/>
  <c r="G91" i="69"/>
  <c r="G123" i="55"/>
  <c r="G133" i="55"/>
  <c r="G67" i="55"/>
  <c r="G166" i="55"/>
  <c r="G130" i="55"/>
  <c r="E235" i="55"/>
  <c r="E237" i="55"/>
  <c r="G131" i="55"/>
  <c r="G78" i="55"/>
  <c r="G233" i="55"/>
  <c r="G92" i="155"/>
  <c r="G36" i="142"/>
  <c r="G220" i="177"/>
  <c r="G17" i="25"/>
  <c r="G148" i="64"/>
  <c r="G59" i="119"/>
  <c r="G55" i="120"/>
  <c r="G72" i="86"/>
  <c r="G172" i="176"/>
  <c r="G20" i="141"/>
  <c r="G110" i="46"/>
  <c r="G115" i="176"/>
  <c r="G42" i="165"/>
  <c r="G35" i="1"/>
  <c r="G88" i="60"/>
  <c r="G30" i="60"/>
  <c r="G89" i="158"/>
  <c r="G53" i="98"/>
  <c r="G178" i="86"/>
  <c r="G50" i="14"/>
  <c r="G124" i="71"/>
  <c r="G56" i="174"/>
  <c r="G184" i="58"/>
  <c r="G149" i="63"/>
  <c r="G221" i="103"/>
  <c r="G159" i="60"/>
  <c r="G26" i="176"/>
  <c r="G45" i="174"/>
  <c r="G221" i="87"/>
  <c r="G37" i="53"/>
  <c r="G40" i="157"/>
  <c r="G115" i="42"/>
  <c r="G14" i="141"/>
  <c r="G135" i="175"/>
  <c r="G58" i="25"/>
  <c r="G205" i="28"/>
  <c r="G38" i="175"/>
  <c r="G68" i="43"/>
  <c r="G31" i="106"/>
  <c r="G29" i="94"/>
  <c r="G170" i="176"/>
  <c r="G150" i="55"/>
  <c r="G152" i="120"/>
  <c r="G98" i="86"/>
  <c r="G57" i="86"/>
  <c r="G29" i="86"/>
  <c r="E235" i="87"/>
  <c r="G150" i="119"/>
  <c r="G223" i="65"/>
  <c r="G195" i="65"/>
  <c r="G179" i="28"/>
  <c r="G123" i="28"/>
  <c r="G44" i="28"/>
  <c r="G226" i="64"/>
  <c r="G178" i="83"/>
  <c r="G91" i="31"/>
  <c r="G77" i="95"/>
  <c r="G50" i="95"/>
  <c r="G26" i="95"/>
  <c r="G189" i="50"/>
  <c r="G117" i="50"/>
  <c r="G73" i="50"/>
  <c r="G34" i="50"/>
  <c r="G223" i="1"/>
  <c r="G193" i="1"/>
  <c r="G153" i="1"/>
  <c r="G145" i="1"/>
  <c r="G88" i="1"/>
  <c r="G14" i="1"/>
  <c r="G92" i="92"/>
  <c r="G58" i="92"/>
  <c r="G181" i="142"/>
  <c r="G169" i="142"/>
  <c r="G140" i="142"/>
  <c r="G169" i="69"/>
  <c r="G125" i="69"/>
  <c r="G88" i="69"/>
  <c r="G227" i="86"/>
  <c r="G158" i="86"/>
  <c r="G149" i="86"/>
  <c r="G73" i="86"/>
  <c r="G58" i="86"/>
  <c r="G14" i="86"/>
  <c r="G77" i="87"/>
  <c r="G177" i="10"/>
  <c r="G145" i="143"/>
  <c r="G110" i="143"/>
  <c r="G92" i="143"/>
  <c r="G77" i="143"/>
  <c r="G69" i="143"/>
  <c r="G58" i="143"/>
  <c r="G34" i="143"/>
  <c r="G227" i="14"/>
  <c r="G184" i="16"/>
  <c r="G143" i="16"/>
  <c r="G83" i="158"/>
  <c r="G33" i="158"/>
  <c r="G150" i="157"/>
  <c r="G131" i="157"/>
  <c r="G70" i="157"/>
  <c r="G43" i="157"/>
  <c r="G55" i="64"/>
  <c r="G194" i="32"/>
  <c r="G150" i="32"/>
  <c r="G100" i="32"/>
  <c r="G220" i="90"/>
  <c r="G194" i="43"/>
  <c r="G155" i="43"/>
  <c r="G160" i="104"/>
  <c r="E235" i="106"/>
  <c r="G231" i="106"/>
  <c r="G235" i="106"/>
  <c r="G27" i="47"/>
  <c r="G85" i="49"/>
  <c r="G42" i="164"/>
  <c r="G72" i="172"/>
  <c r="G99" i="143"/>
  <c r="G127" i="164"/>
  <c r="G56" i="54"/>
  <c r="G118" i="89"/>
  <c r="G116" i="42"/>
  <c r="G202" i="156"/>
  <c r="K14" i="46"/>
  <c r="G192" i="83"/>
  <c r="G29" i="53"/>
  <c r="G98" i="174"/>
  <c r="G174" i="133"/>
  <c r="G82" i="158"/>
  <c r="G231" i="69"/>
  <c r="G231" i="95"/>
  <c r="E235" i="95"/>
  <c r="G86" i="71"/>
  <c r="G38" i="98"/>
  <c r="G221" i="1"/>
  <c r="G74" i="145"/>
  <c r="G226" i="27"/>
  <c r="G172" i="158"/>
  <c r="G70" i="87"/>
  <c r="G97" i="25"/>
  <c r="G59" i="69"/>
  <c r="G172" i="119"/>
  <c r="G73" i="150"/>
  <c r="G72" i="119"/>
  <c r="G151" i="152"/>
  <c r="G124" i="49"/>
  <c r="G186" i="174"/>
  <c r="G48" i="176"/>
  <c r="G72" i="176"/>
  <c r="G36" i="24"/>
  <c r="G200" i="55"/>
  <c r="G174" i="178"/>
  <c r="G156" i="95"/>
  <c r="G115" i="62"/>
  <c r="G58" i="50"/>
  <c r="G146" i="175"/>
  <c r="G47" i="104"/>
  <c r="G182" i="46"/>
  <c r="G31" i="90"/>
  <c r="G124" i="65"/>
  <c r="G168" i="90"/>
  <c r="G87" i="149"/>
  <c r="G40" i="1"/>
  <c r="G19" i="54"/>
  <c r="G74" i="118"/>
  <c r="G194" i="103"/>
  <c r="G138" i="62"/>
  <c r="G155" i="94"/>
  <c r="G28" i="28"/>
  <c r="G200" i="1"/>
  <c r="G30" i="143"/>
  <c r="G191" i="104"/>
  <c r="G155" i="46"/>
  <c r="G71" i="24"/>
  <c r="G82" i="24"/>
  <c r="G147" i="89"/>
  <c r="G153" i="86"/>
  <c r="G172" i="46"/>
  <c r="G30" i="50"/>
  <c r="G11" i="27"/>
  <c r="G83" i="120"/>
  <c r="G33" i="155"/>
  <c r="G110" i="50"/>
  <c r="G13" i="25"/>
  <c r="G118" i="133"/>
  <c r="G105" i="31"/>
  <c r="G85" i="133"/>
  <c r="G200" i="87"/>
  <c r="G101" i="141"/>
  <c r="G194" i="174"/>
  <c r="G204" i="172"/>
  <c r="G185" i="176"/>
  <c r="G18" i="172"/>
  <c r="G27" i="155"/>
  <c r="G224" i="175"/>
  <c r="G107" i="98"/>
  <c r="G108" i="164"/>
  <c r="G116" i="87"/>
  <c r="G202" i="176"/>
  <c r="G43" i="175"/>
  <c r="G68" i="98"/>
  <c r="M12" i="37"/>
  <c r="E237" i="58"/>
  <c r="G185" i="32"/>
  <c r="G124" i="176"/>
  <c r="G223" i="120"/>
  <c r="G187" i="47"/>
  <c r="G169" i="15"/>
  <c r="G224" i="49"/>
  <c r="G31" i="172"/>
  <c r="G90" i="174"/>
  <c r="G136" i="150"/>
  <c r="G89" i="32"/>
  <c r="G135" i="87"/>
  <c r="G86" i="24"/>
  <c r="G26" i="25"/>
  <c r="G135" i="32"/>
  <c r="G165" i="69"/>
  <c r="G30" i="10"/>
  <c r="G39" i="141"/>
  <c r="G90" i="164"/>
  <c r="G205" i="65"/>
  <c r="G106" i="53"/>
  <c r="G66" i="47"/>
  <c r="G200" i="46"/>
  <c r="G60" i="164"/>
  <c r="G203" i="142"/>
  <c r="G158" i="174"/>
  <c r="G225" i="66"/>
  <c r="G58" i="142"/>
  <c r="G172" i="69"/>
  <c r="G221" i="10"/>
  <c r="G172" i="164"/>
  <c r="G49" i="164"/>
  <c r="G87" i="60"/>
  <c r="G219" i="98"/>
  <c r="G190" i="141"/>
  <c r="G31" i="14"/>
  <c r="G164" i="50"/>
  <c r="G105" i="69"/>
  <c r="G180" i="87"/>
  <c r="G203" i="143"/>
  <c r="G195" i="176"/>
  <c r="G194" i="98"/>
  <c r="G192" i="95"/>
  <c r="G76" i="50"/>
  <c r="G160" i="90"/>
  <c r="G25" i="156"/>
  <c r="G133" i="120"/>
  <c r="G38" i="152"/>
  <c r="G141" i="63"/>
  <c r="G182" i="119"/>
  <c r="G92" i="95"/>
  <c r="G38" i="50"/>
  <c r="G65" i="1"/>
  <c r="G145" i="86"/>
  <c r="G182" i="32"/>
  <c r="G90" i="104"/>
  <c r="G99" i="164"/>
  <c r="G152" i="95"/>
  <c r="G191" i="176"/>
  <c r="G220" i="50"/>
  <c r="G176" i="142"/>
  <c r="G193" i="165"/>
  <c r="G194" i="157"/>
  <c r="G191" i="28"/>
  <c r="G91" i="142"/>
  <c r="G172" i="10"/>
  <c r="G194" i="156"/>
  <c r="G190" i="175"/>
  <c r="G221" i="47"/>
  <c r="G32" i="24"/>
  <c r="G205" i="98"/>
  <c r="G125" i="157"/>
  <c r="G178" i="66"/>
  <c r="G232" i="142"/>
  <c r="G68" i="175"/>
  <c r="G157" i="95"/>
  <c r="G68" i="95"/>
  <c r="G96" i="15"/>
  <c r="G78" i="64"/>
  <c r="G35" i="15"/>
  <c r="G224" i="10"/>
  <c r="G60" i="158"/>
  <c r="G225" i="14"/>
  <c r="G130" i="46"/>
  <c r="G42" i="89"/>
  <c r="G109" i="165"/>
  <c r="G183" i="98"/>
  <c r="G188" i="103"/>
  <c r="G186" i="50"/>
  <c r="G194" i="142"/>
  <c r="G107" i="142"/>
  <c r="G141" i="89"/>
  <c r="G181" i="176"/>
  <c r="G57" i="50"/>
  <c r="G56" i="68"/>
  <c r="G151" i="42"/>
  <c r="G146" i="66"/>
  <c r="G178" i="55"/>
  <c r="G183" i="103"/>
  <c r="G45" i="10"/>
  <c r="G73" i="172"/>
  <c r="G130" i="164"/>
  <c r="G177" i="94"/>
  <c r="G153" i="94"/>
  <c r="G164" i="16"/>
  <c r="G170" i="32"/>
  <c r="G74" i="141"/>
  <c r="G35" i="141"/>
  <c r="G181" i="39"/>
  <c r="G182" i="98"/>
  <c r="G114" i="98"/>
  <c r="G200" i="164"/>
  <c r="G73" i="94"/>
  <c r="G181" i="143"/>
  <c r="G88" i="42"/>
  <c r="G173" i="141"/>
  <c r="G224" i="120"/>
  <c r="G39" i="120"/>
  <c r="G205" i="133"/>
  <c r="G20" i="175"/>
  <c r="G201" i="106"/>
  <c r="G164" i="106"/>
  <c r="G129" i="106"/>
  <c r="G58" i="46"/>
  <c r="G151" i="164"/>
  <c r="G33" i="50"/>
  <c r="G87" i="92"/>
  <c r="G129" i="69"/>
  <c r="G105" i="87"/>
  <c r="G192" i="10"/>
  <c r="G49" i="10"/>
  <c r="G176" i="143"/>
  <c r="G82" i="176"/>
  <c r="G40" i="176"/>
  <c r="G58" i="165"/>
  <c r="G35" i="25"/>
  <c r="G185" i="46"/>
  <c r="G173" i="54"/>
  <c r="G49" i="95"/>
  <c r="G13" i="50"/>
  <c r="G152" i="69"/>
  <c r="G184" i="87"/>
  <c r="G220" i="156"/>
  <c r="G136" i="69"/>
  <c r="G170" i="175"/>
  <c r="G167" i="176"/>
  <c r="G226" i="55"/>
  <c r="E235" i="16"/>
  <c r="G73" i="174"/>
  <c r="G47" i="120"/>
  <c r="G16" i="141"/>
  <c r="G58" i="47"/>
  <c r="G138" i="15"/>
  <c r="G193" i="69"/>
  <c r="G57" i="172"/>
  <c r="G193" i="157"/>
  <c r="G42" i="31"/>
  <c r="G66" i="14"/>
  <c r="G176" i="69"/>
  <c r="G196" i="69"/>
  <c r="G231" i="150"/>
  <c r="G235" i="150"/>
  <c r="G225" i="64"/>
  <c r="G52" i="141"/>
  <c r="G225" i="174"/>
  <c r="G37" i="14"/>
  <c r="G18" i="158"/>
  <c r="M18" i="158"/>
  <c r="G78" i="157"/>
  <c r="G203" i="90"/>
  <c r="G20" i="172"/>
  <c r="G44" i="32"/>
  <c r="G153" i="10"/>
  <c r="G97" i="63"/>
  <c r="G200" i="94"/>
  <c r="G224" i="42"/>
  <c r="G180" i="53"/>
  <c r="G182" i="106"/>
  <c r="G28" i="158"/>
  <c r="G110" i="42"/>
  <c r="G56" i="64"/>
  <c r="G77" i="174"/>
  <c r="G138" i="176"/>
  <c r="G44" i="118"/>
  <c r="G73" i="69"/>
  <c r="G145" i="164"/>
  <c r="G76" i="60"/>
  <c r="G143" i="71"/>
  <c r="G204" i="94"/>
  <c r="G69" i="157"/>
  <c r="G181" i="69"/>
  <c r="G58" i="174"/>
  <c r="G201" i="174"/>
  <c r="G101" i="32"/>
  <c r="G37" i="92"/>
  <c r="G106" i="16"/>
  <c r="G42" i="95"/>
  <c r="G69" i="69"/>
  <c r="G223" i="14"/>
  <c r="G176" i="31"/>
  <c r="G29" i="50"/>
  <c r="E119" i="69"/>
  <c r="G124" i="155"/>
  <c r="G159" i="164"/>
  <c r="G53" i="89"/>
  <c r="G88" i="165"/>
  <c r="G191" i="55"/>
  <c r="G14" i="143"/>
  <c r="G152" i="92"/>
  <c r="G12" i="68"/>
  <c r="G219" i="53"/>
  <c r="G38" i="53"/>
  <c r="G52" i="10"/>
  <c r="G29" i="24"/>
  <c r="G220" i="43"/>
  <c r="G13" i="143"/>
  <c r="G142" i="28"/>
  <c r="G38" i="95"/>
  <c r="G65" i="50"/>
  <c r="G177" i="69"/>
  <c r="G181" i="89"/>
  <c r="G193" i="143"/>
  <c r="E235" i="165"/>
  <c r="G170" i="157"/>
  <c r="G159" i="64"/>
  <c r="G174" i="32"/>
  <c r="G190" i="90"/>
  <c r="G75" i="104"/>
  <c r="G100" i="47"/>
  <c r="G35" i="49"/>
  <c r="G125" i="49"/>
  <c r="G181" i="98"/>
  <c r="G185" i="53"/>
  <c r="G192" i="42"/>
  <c r="G159" i="94"/>
  <c r="G152" i="176"/>
  <c r="G98" i="175"/>
  <c r="G114" i="103"/>
  <c r="G191" i="165"/>
  <c r="G189" i="94"/>
  <c r="G118" i="65"/>
  <c r="G147" i="39"/>
  <c r="G165" i="92"/>
  <c r="G53" i="145"/>
  <c r="G221" i="16"/>
  <c r="G38" i="165"/>
  <c r="G87" i="143"/>
  <c r="G231" i="86"/>
  <c r="G235" i="86"/>
  <c r="G57" i="120"/>
  <c r="G35" i="64"/>
  <c r="G227" i="16"/>
  <c r="G106" i="92"/>
  <c r="G126" i="64"/>
  <c r="G172" i="156"/>
  <c r="G158" i="155"/>
  <c r="G200" i="60"/>
  <c r="G166" i="64"/>
  <c r="G58" i="16"/>
  <c r="G84" i="14"/>
  <c r="G178" i="58"/>
  <c r="G35" i="150"/>
  <c r="G187" i="175"/>
  <c r="G203" i="145"/>
  <c r="G53" i="53"/>
  <c r="G147" i="14"/>
  <c r="G82" i="42"/>
  <c r="G129" i="47"/>
  <c r="G74" i="14"/>
  <c r="G184" i="69"/>
  <c r="G17" i="86"/>
  <c r="G74" i="176"/>
  <c r="G47" i="25"/>
  <c r="G39" i="174"/>
  <c r="G196" i="68"/>
  <c r="G69" i="164"/>
  <c r="G222" i="94"/>
  <c r="G167" i="54"/>
  <c r="G181" i="92"/>
  <c r="G191" i="90"/>
  <c r="G189" i="31"/>
  <c r="G148" i="95"/>
  <c r="G202" i="94"/>
  <c r="G153" i="15"/>
  <c r="G226" i="155"/>
  <c r="G173" i="1"/>
  <c r="G42" i="10"/>
  <c r="G176" i="16"/>
  <c r="G100" i="98"/>
  <c r="G222" i="143"/>
  <c r="G201" i="53"/>
  <c r="G78" i="141"/>
  <c r="G48" i="172"/>
  <c r="G135" i="55"/>
  <c r="G164" i="92"/>
  <c r="G182" i="14"/>
  <c r="G205" i="43"/>
  <c r="G41" i="10"/>
  <c r="G36" i="157"/>
  <c r="G182" i="28"/>
  <c r="G183" i="141"/>
  <c r="G98" i="25"/>
  <c r="G35" i="103"/>
  <c r="G58" i="15"/>
  <c r="G26" i="31"/>
  <c r="G187" i="15"/>
  <c r="G37" i="142"/>
  <c r="E235" i="156"/>
  <c r="E237" i="156"/>
  <c r="G147" i="28"/>
  <c r="G142" i="176"/>
  <c r="G171" i="90"/>
  <c r="G99" i="50"/>
  <c r="G35" i="104"/>
  <c r="E235" i="150"/>
  <c r="G70" i="66"/>
  <c r="G153" i="175"/>
  <c r="G110" i="32"/>
  <c r="E237" i="42"/>
  <c r="G127" i="141"/>
  <c r="G29" i="142"/>
  <c r="G188" i="31"/>
  <c r="G53" i="176"/>
  <c r="G196" i="38"/>
  <c r="G91" i="38"/>
  <c r="G184" i="38"/>
  <c r="G152" i="38"/>
  <c r="M13" i="167"/>
  <c r="M14" i="167"/>
  <c r="M18" i="167"/>
  <c r="M15" i="167"/>
  <c r="G183" i="84"/>
  <c r="G136" i="84"/>
  <c r="G231" i="84"/>
  <c r="G57" i="84"/>
  <c r="G201" i="84"/>
  <c r="G75" i="84"/>
  <c r="G189" i="84"/>
  <c r="E235" i="84"/>
  <c r="K14" i="84"/>
  <c r="G14" i="172"/>
  <c r="G149" i="174"/>
  <c r="G25" i="89"/>
  <c r="G160" i="65"/>
  <c r="G205" i="104"/>
  <c r="G84" i="174"/>
  <c r="G116" i="142"/>
  <c r="G201" i="119"/>
  <c r="G179" i="94"/>
  <c r="G203" i="150"/>
  <c r="G183" i="143"/>
  <c r="G222" i="1"/>
  <c r="G133" i="65"/>
  <c r="G71" i="158"/>
  <c r="G140" i="104"/>
  <c r="G54" i="1"/>
  <c r="G188" i="152"/>
  <c r="G37" i="15"/>
  <c r="G29" i="38"/>
  <c r="G196" i="172"/>
  <c r="G138" i="38"/>
  <c r="G41" i="25"/>
  <c r="G35" i="174"/>
  <c r="G12" i="141"/>
  <c r="G73" i="31"/>
  <c r="G123" i="46"/>
  <c r="G116" i="65"/>
  <c r="G140" i="1"/>
  <c r="G203" i="55"/>
  <c r="G235" i="46"/>
  <c r="K15" i="46"/>
  <c r="G157" i="133"/>
  <c r="G47" i="47"/>
  <c r="G165" i="68"/>
  <c r="G149" i="172"/>
  <c r="G222" i="178"/>
  <c r="G135" i="172"/>
  <c r="G108" i="64"/>
  <c r="G138" i="92"/>
  <c r="G221" i="60"/>
  <c r="G193" i="172"/>
  <c r="G168" i="68"/>
  <c r="G46" i="103"/>
  <c r="G60" i="165"/>
  <c r="G196" i="90"/>
  <c r="G124" i="50"/>
  <c r="G149" i="31"/>
  <c r="G109" i="87"/>
  <c r="G152" i="143"/>
  <c r="G167" i="118"/>
  <c r="G77" i="164"/>
  <c r="G46" i="120"/>
  <c r="G176" i="150"/>
  <c r="E111" i="64"/>
  <c r="G87" i="118"/>
  <c r="G225" i="156"/>
  <c r="G221" i="71"/>
  <c r="G222" i="55"/>
  <c r="G180" i="16"/>
  <c r="G84" i="1"/>
  <c r="G222" i="50"/>
  <c r="G182" i="95"/>
  <c r="G54" i="165"/>
  <c r="G117" i="174"/>
  <c r="G126" i="104"/>
  <c r="G220" i="60"/>
  <c r="G131" i="176"/>
  <c r="G172" i="172"/>
  <c r="G77" i="152"/>
  <c r="G169" i="55"/>
  <c r="G109" i="58"/>
  <c r="G232" i="86"/>
  <c r="G171" i="106"/>
  <c r="G78" i="120"/>
  <c r="G125" i="120"/>
  <c r="G64" i="164"/>
  <c r="G83" i="28"/>
  <c r="G41" i="94"/>
  <c r="G131" i="119"/>
  <c r="G219" i="32"/>
  <c r="G142" i="54"/>
  <c r="G89" i="14"/>
  <c r="G26" i="104"/>
  <c r="G224" i="174"/>
  <c r="G71" i="176"/>
  <c r="G226" i="176"/>
  <c r="G232" i="95"/>
  <c r="G72" i="92"/>
  <c r="G28" i="106"/>
  <c r="G136" i="24"/>
  <c r="G34" i="98"/>
  <c r="G49" i="14"/>
  <c r="G49" i="31"/>
  <c r="G185" i="55"/>
  <c r="G89" i="120"/>
  <c r="G109" i="69"/>
  <c r="G11" i="174"/>
  <c r="G164" i="142"/>
  <c r="G184" i="155"/>
  <c r="G109" i="92"/>
  <c r="G176" i="103"/>
  <c r="G196" i="31"/>
  <c r="G76" i="49"/>
  <c r="G194" i="104"/>
  <c r="G67" i="32"/>
  <c r="G44" i="172"/>
  <c r="G203" i="87"/>
  <c r="G11" i="55"/>
  <c r="G178" i="69"/>
  <c r="G54" i="133"/>
  <c r="G30" i="175"/>
  <c r="G222" i="133"/>
  <c r="G223" i="63"/>
  <c r="G167" i="16"/>
  <c r="G146" i="98"/>
  <c r="G184" i="54"/>
  <c r="G51" i="175"/>
  <c r="G72" i="10"/>
  <c r="G50" i="176"/>
  <c r="G124" i="92"/>
  <c r="G25" i="92"/>
  <c r="G65" i="172"/>
  <c r="G124" i="87"/>
  <c r="G86" i="176"/>
  <c r="G232" i="165"/>
  <c r="G106" i="31"/>
  <c r="G26" i="165"/>
  <c r="G133" i="50"/>
  <c r="G226" i="106"/>
  <c r="G34" i="49"/>
  <c r="G156" i="28"/>
  <c r="G176" i="38"/>
  <c r="G64" i="50"/>
  <c r="G41" i="50"/>
  <c r="G57" i="89"/>
  <c r="G184" i="86"/>
  <c r="G192" i="87"/>
  <c r="G83" i="87"/>
  <c r="G220" i="10"/>
  <c r="G25" i="10"/>
  <c r="G42" i="55"/>
  <c r="G41" i="156"/>
  <c r="G101" i="176"/>
  <c r="G124" i="38"/>
  <c r="G105" i="38"/>
  <c r="G88" i="31"/>
  <c r="G110" i="31"/>
  <c r="G153" i="31"/>
  <c r="G129" i="95"/>
  <c r="G53" i="50"/>
  <c r="G57" i="92"/>
  <c r="G168" i="142"/>
  <c r="G51" i="14"/>
  <c r="G18" i="55"/>
  <c r="G189" i="165"/>
  <c r="G118" i="119"/>
  <c r="G183" i="65"/>
  <c r="G137" i="65"/>
  <c r="G183" i="28"/>
  <c r="G117" i="120"/>
  <c r="G149" i="46"/>
  <c r="G125" i="174"/>
  <c r="G69" i="31"/>
  <c r="G181" i="31"/>
  <c r="G143" i="92"/>
  <c r="G124" i="142"/>
  <c r="G109" i="142"/>
  <c r="G181" i="55"/>
  <c r="G140" i="55"/>
  <c r="G221" i="158"/>
  <c r="G201" i="25"/>
  <c r="G186" i="119"/>
  <c r="G175" i="28"/>
  <c r="G224" i="15"/>
  <c r="G219" i="94"/>
  <c r="G227" i="60"/>
  <c r="G171" i="65"/>
  <c r="G91" i="15"/>
  <c r="G17" i="142"/>
  <c r="G84" i="31"/>
  <c r="G192" i="142"/>
  <c r="G149" i="176"/>
  <c r="G194" i="14"/>
  <c r="G226" i="65"/>
  <c r="G127" i="65"/>
  <c r="G137" i="28"/>
  <c r="G60" i="28"/>
  <c r="G130" i="133"/>
  <c r="G171" i="54"/>
  <c r="G98" i="143"/>
  <c r="G33" i="156"/>
  <c r="G175" i="54"/>
  <c r="G14" i="118"/>
  <c r="G83" i="1"/>
  <c r="G66" i="69"/>
  <c r="G140" i="141"/>
  <c r="G69" i="145"/>
  <c r="G49" i="53"/>
  <c r="G140" i="32"/>
  <c r="G68" i="19"/>
  <c r="G231" i="174"/>
  <c r="K14" i="174"/>
  <c r="G165" i="90"/>
  <c r="G16" i="65"/>
  <c r="G136" i="32"/>
  <c r="G226" i="49"/>
  <c r="G196" i="65"/>
  <c r="G123" i="175"/>
  <c r="G179" i="54"/>
  <c r="G201" i="15"/>
  <c r="G188" i="86"/>
  <c r="G165" i="158"/>
  <c r="G168" i="155"/>
  <c r="G126" i="69"/>
  <c r="G193" i="10"/>
  <c r="G101" i="172"/>
  <c r="G33" i="10"/>
  <c r="D208" i="164"/>
  <c r="G97" i="28"/>
  <c r="G66" i="49"/>
  <c r="G189" i="174"/>
  <c r="G172" i="38"/>
  <c r="G34" i="31"/>
  <c r="G203" i="95"/>
  <c r="G170" i="50"/>
  <c r="G83" i="92"/>
  <c r="G143" i="142"/>
  <c r="G124" i="69"/>
  <c r="G87" i="87"/>
  <c r="G152" i="10"/>
  <c r="G39" i="14"/>
  <c r="G153" i="55"/>
  <c r="G38" i="55"/>
  <c r="G125" i="165"/>
  <c r="G126" i="155"/>
  <c r="G205" i="25"/>
  <c r="G70" i="119"/>
  <c r="G187" i="106"/>
  <c r="G123" i="164"/>
  <c r="G133" i="38"/>
  <c r="G33" i="142"/>
  <c r="G196" i="87"/>
  <c r="G76" i="10"/>
  <c r="G132" i="176"/>
  <c r="G67" i="176"/>
  <c r="G223" i="58"/>
  <c r="G231" i="68"/>
  <c r="G165" i="55"/>
  <c r="G53" i="95"/>
  <c r="G49" i="50"/>
  <c r="G224" i="86"/>
  <c r="G105" i="86"/>
  <c r="G143" i="143"/>
  <c r="G171" i="176"/>
  <c r="G232" i="152"/>
  <c r="G196" i="50"/>
  <c r="G109" i="50"/>
  <c r="G83" i="89"/>
  <c r="G91" i="86"/>
  <c r="G53" i="15"/>
  <c r="G129" i="38"/>
  <c r="G203" i="69"/>
  <c r="G109" i="10"/>
  <c r="G38" i="176"/>
  <c r="G131" i="25"/>
  <c r="G191" i="65"/>
  <c r="G184" i="143"/>
  <c r="G145" i="55"/>
  <c r="G145" i="165"/>
  <c r="G87" i="156"/>
  <c r="G130" i="120"/>
  <c r="G38" i="28"/>
  <c r="G168" i="133"/>
  <c r="G194" i="175"/>
  <c r="G184" i="1"/>
  <c r="G160" i="15"/>
  <c r="G127" i="87"/>
  <c r="G46" i="15"/>
  <c r="G174" i="16"/>
  <c r="G124" i="119"/>
  <c r="G32" i="118"/>
  <c r="G12" i="145"/>
  <c r="G129" i="145"/>
  <c r="E102" i="172"/>
  <c r="G42" i="1"/>
  <c r="G30" i="104"/>
  <c r="G114" i="53"/>
  <c r="G164" i="69"/>
  <c r="G179" i="120"/>
  <c r="G185" i="47"/>
  <c r="G97" i="65"/>
  <c r="E119" i="53"/>
  <c r="G181" i="64"/>
  <c r="G39" i="27"/>
  <c r="G136" i="164"/>
  <c r="G202" i="28"/>
  <c r="G33" i="14"/>
  <c r="G28" i="47"/>
  <c r="G220" i="31"/>
  <c r="G180" i="31"/>
  <c r="G222" i="174"/>
  <c r="G220" i="86"/>
  <c r="G72" i="89"/>
  <c r="G185" i="157"/>
  <c r="G220" i="14"/>
  <c r="G180" i="38"/>
  <c r="G76" i="38"/>
  <c r="G148" i="92"/>
  <c r="G64" i="92"/>
  <c r="G157" i="142"/>
  <c r="G148" i="87"/>
  <c r="G106" i="176"/>
  <c r="G205" i="14"/>
  <c r="G59" i="14"/>
  <c r="G35" i="14"/>
  <c r="G15" i="14"/>
  <c r="G30" i="165"/>
  <c r="G201" i="156"/>
  <c r="G85" i="155"/>
  <c r="G127" i="28"/>
  <c r="G225" i="90"/>
  <c r="G55" i="53"/>
  <c r="G140" i="174"/>
  <c r="G88" i="174"/>
  <c r="G141" i="155"/>
  <c r="G220" i="38"/>
  <c r="G109" i="38"/>
  <c r="G176" i="50"/>
  <c r="G168" i="50"/>
  <c r="G68" i="50"/>
  <c r="G53" i="86"/>
  <c r="G164" i="87"/>
  <c r="G152" i="87"/>
  <c r="G91" i="87"/>
  <c r="G129" i="143"/>
  <c r="G26" i="55"/>
  <c r="G180" i="50"/>
  <c r="G72" i="50"/>
  <c r="G188" i="1"/>
  <c r="G203" i="92"/>
  <c r="G133" i="86"/>
  <c r="G45" i="86"/>
  <c r="G129" i="87"/>
  <c r="G224" i="155"/>
  <c r="G146" i="119"/>
  <c r="G232" i="46"/>
  <c r="G223" i="94"/>
  <c r="G184" i="49"/>
  <c r="G167" i="62"/>
  <c r="G145" i="103"/>
  <c r="G124" i="175"/>
  <c r="G159" i="58"/>
  <c r="G89" i="164"/>
  <c r="G182" i="60"/>
  <c r="G196" i="165"/>
  <c r="G72" i="71"/>
  <c r="G159" i="54"/>
  <c r="G138" i="71"/>
  <c r="G187" i="98"/>
  <c r="G74" i="164"/>
  <c r="G181" i="32"/>
  <c r="G173" i="25"/>
  <c r="G196" i="118"/>
  <c r="G171" i="16"/>
  <c r="G149" i="143"/>
  <c r="G76" i="176"/>
  <c r="G205" i="157"/>
  <c r="G96" i="64"/>
  <c r="G19" i="32"/>
  <c r="G107" i="141"/>
  <c r="G70" i="141"/>
  <c r="G150" i="24"/>
  <c r="G221" i="84"/>
  <c r="G157" i="83"/>
  <c r="G201" i="98"/>
  <c r="G150" i="98"/>
  <c r="G27" i="98"/>
  <c r="G159" i="63"/>
  <c r="G84" i="164"/>
  <c r="G90" i="94"/>
  <c r="G173" i="60"/>
  <c r="G123" i="60"/>
  <c r="G181" i="118"/>
  <c r="G125" i="118"/>
  <c r="G165" i="143"/>
  <c r="G152" i="31"/>
  <c r="G145" i="50"/>
  <c r="G165" i="10"/>
  <c r="G57" i="176"/>
  <c r="G109" i="172"/>
  <c r="G184" i="55"/>
  <c r="G151" i="16"/>
  <c r="G195" i="32"/>
  <c r="G127" i="32"/>
  <c r="G195" i="141"/>
  <c r="G171" i="141"/>
  <c r="G56" i="141"/>
  <c r="G156" i="24"/>
  <c r="G115" i="24"/>
  <c r="G179" i="90"/>
  <c r="G86" i="90"/>
  <c r="G186" i="120"/>
  <c r="G59" i="152"/>
  <c r="G224" i="133"/>
  <c r="G190" i="133"/>
  <c r="G78" i="133"/>
  <c r="G51" i="133"/>
  <c r="G31" i="133"/>
  <c r="G160" i="71"/>
  <c r="G188" i="84"/>
  <c r="G68" i="84"/>
  <c r="G28" i="175"/>
  <c r="G195" i="104"/>
  <c r="G123" i="104"/>
  <c r="G180" i="106"/>
  <c r="G133" i="106"/>
  <c r="G73" i="46"/>
  <c r="G173" i="47"/>
  <c r="G92" i="53"/>
  <c r="G42" i="53"/>
  <c r="G231" i="54"/>
  <c r="G86" i="10"/>
  <c r="G87" i="84"/>
  <c r="G126" i="32"/>
  <c r="G127" i="69"/>
  <c r="G115" i="83"/>
  <c r="G170" i="98"/>
  <c r="G107" i="65"/>
  <c r="G156" i="47"/>
  <c r="M11" i="37"/>
  <c r="G106" i="172"/>
  <c r="G184" i="133"/>
  <c r="G231" i="164"/>
  <c r="G29" i="150"/>
  <c r="G183" i="32"/>
  <c r="E235" i="54"/>
  <c r="G15" i="94"/>
  <c r="G152" i="16"/>
  <c r="G90" i="16"/>
  <c r="G17" i="84"/>
  <c r="G182" i="133"/>
  <c r="G37" i="66"/>
  <c r="G31" i="66"/>
  <c r="G96" i="27"/>
  <c r="G117" i="24"/>
  <c r="G14" i="133"/>
  <c r="G200" i="50"/>
  <c r="G195" i="24"/>
  <c r="G205" i="86"/>
  <c r="G182" i="92"/>
  <c r="G108" i="141"/>
  <c r="G183" i="47"/>
  <c r="G188" i="150"/>
  <c r="G59" i="64"/>
  <c r="G25" i="47"/>
  <c r="G109" i="53"/>
  <c r="G158" i="141"/>
  <c r="G225" i="119"/>
  <c r="G141" i="24"/>
  <c r="G50" i="50"/>
  <c r="G137" i="84"/>
  <c r="G16" i="83"/>
  <c r="G46" i="118"/>
  <c r="G232" i="104"/>
  <c r="G92" i="14"/>
  <c r="G25" i="71"/>
  <c r="G141" i="94"/>
  <c r="G87" i="119"/>
  <c r="G193" i="39"/>
  <c r="G85" i="54"/>
  <c r="G70" i="118"/>
  <c r="G59" i="103"/>
  <c r="G186" i="150"/>
  <c r="G166" i="94"/>
  <c r="G182" i="54"/>
  <c r="G151" i="28"/>
  <c r="G137" i="118"/>
  <c r="G200" i="104"/>
  <c r="G168" i="172"/>
  <c r="G33" i="103"/>
  <c r="G117" i="95"/>
  <c r="G204" i="60"/>
  <c r="G54" i="10"/>
  <c r="G201" i="49"/>
  <c r="G179" i="158"/>
  <c r="G231" i="45"/>
  <c r="E235" i="45"/>
  <c r="G186" i="157"/>
  <c r="G85" i="157"/>
  <c r="G131" i="64"/>
  <c r="G178" i="32"/>
  <c r="G114" i="32"/>
  <c r="G126" i="24"/>
  <c r="G96" i="90"/>
  <c r="G25" i="84"/>
  <c r="G152" i="83"/>
  <c r="G96" i="98"/>
  <c r="G145" i="58"/>
  <c r="G222" i="164"/>
  <c r="G204" i="54"/>
  <c r="G88" i="54"/>
  <c r="G34" i="54"/>
  <c r="G158" i="60"/>
  <c r="G149" i="118"/>
  <c r="G70" i="65"/>
  <c r="G231" i="31"/>
  <c r="E235" i="31"/>
  <c r="G232" i="89"/>
  <c r="G135" i="143"/>
  <c r="G125" i="42"/>
  <c r="G195" i="64"/>
  <c r="G82" i="64"/>
  <c r="G44" i="141"/>
  <c r="G171" i="24"/>
  <c r="G142" i="24"/>
  <c r="G101" i="24"/>
  <c r="G194" i="120"/>
  <c r="G178" i="120"/>
  <c r="G136" i="120"/>
  <c r="G116" i="84"/>
  <c r="G71" i="104"/>
  <c r="G196" i="106"/>
  <c r="G69" i="53"/>
  <c r="G75" i="158"/>
  <c r="G174" i="43"/>
  <c r="G159" i="120"/>
  <c r="G58" i="1"/>
  <c r="G67" i="120"/>
  <c r="G65" i="94"/>
  <c r="G109" i="16"/>
  <c r="G129" i="176"/>
  <c r="G221" i="172"/>
  <c r="G173" i="64"/>
  <c r="G194" i="28"/>
  <c r="G196" i="84"/>
  <c r="G201" i="103"/>
  <c r="G170" i="47"/>
  <c r="G127" i="158"/>
  <c r="G138" i="55"/>
  <c r="G137" i="90"/>
  <c r="G46" i="172"/>
  <c r="G20" i="46"/>
  <c r="G76" i="84"/>
  <c r="G75" i="165"/>
  <c r="G164" i="103"/>
  <c r="G52" i="164"/>
  <c r="G167" i="84"/>
  <c r="G40" i="120"/>
  <c r="G51" i="164"/>
  <c r="G194" i="54"/>
  <c r="G150" i="60"/>
  <c r="G75" i="87"/>
  <c r="G57" i="24"/>
  <c r="G174" i="84"/>
  <c r="G116" i="152"/>
  <c r="G185" i="10"/>
  <c r="G201" i="83"/>
  <c r="G26" i="94"/>
  <c r="G34" i="1"/>
  <c r="G203" i="16"/>
  <c r="G129" i="31"/>
  <c r="G140" i="172"/>
  <c r="G75" i="172"/>
  <c r="G196" i="16"/>
  <c r="G31" i="64"/>
  <c r="G96" i="32"/>
  <c r="G35" i="32"/>
  <c r="G136" i="141"/>
  <c r="G96" i="141"/>
  <c r="G59" i="141"/>
  <c r="G90" i="39"/>
  <c r="G100" i="53"/>
  <c r="G171" i="164"/>
  <c r="G160" i="94"/>
  <c r="G73" i="54"/>
  <c r="G193" i="60"/>
  <c r="G204" i="1"/>
  <c r="G158" i="92"/>
  <c r="G69" i="142"/>
  <c r="G99" i="86"/>
  <c r="G157" i="176"/>
  <c r="G158" i="157"/>
  <c r="G171" i="64"/>
  <c r="G108" i="32"/>
  <c r="G52" i="32"/>
  <c r="G175" i="141"/>
  <c r="G160" i="141"/>
  <c r="G86" i="141"/>
  <c r="G187" i="24"/>
  <c r="G132" i="24"/>
  <c r="G12" i="24"/>
  <c r="G170" i="120"/>
  <c r="G51" i="120"/>
  <c r="G170" i="133"/>
  <c r="G70" i="133"/>
  <c r="G41" i="84"/>
  <c r="G159" i="43"/>
  <c r="G148" i="106"/>
  <c r="G99" i="53"/>
  <c r="G58" i="53"/>
  <c r="G32" i="158"/>
  <c r="E102" i="64"/>
  <c r="G186" i="103"/>
  <c r="E119" i="24"/>
  <c r="G142" i="86"/>
  <c r="G166" i="84"/>
  <c r="G204" i="98"/>
  <c r="G173" i="39"/>
  <c r="G136" i="157"/>
  <c r="G85" i="165"/>
  <c r="G129" i="103"/>
  <c r="G168" i="157"/>
  <c r="G201" i="175"/>
  <c r="G35" i="152"/>
  <c r="G188" i="106"/>
  <c r="G38" i="86"/>
  <c r="G137" i="158"/>
  <c r="G69" i="46"/>
  <c r="G179" i="164"/>
  <c r="G171" i="158"/>
  <c r="G46" i="62"/>
  <c r="G42" i="118"/>
  <c r="G116" i="94"/>
  <c r="G42" i="54"/>
  <c r="G187" i="174"/>
  <c r="G100" i="119"/>
  <c r="G40" i="65"/>
  <c r="G82" i="55"/>
  <c r="G231" i="149"/>
  <c r="K14" i="149"/>
  <c r="G137" i="92"/>
  <c r="G53" i="175"/>
  <c r="G181" i="84"/>
  <c r="G202" i="133"/>
  <c r="G110" i="84"/>
  <c r="G168" i="58"/>
  <c r="G125" i="63"/>
  <c r="G69" i="63"/>
  <c r="G41" i="103"/>
  <c r="G41" i="172"/>
  <c r="G131" i="66"/>
  <c r="G43" i="66"/>
  <c r="G188" i="49"/>
  <c r="G188" i="174"/>
  <c r="G176" i="83"/>
  <c r="G68" i="174"/>
  <c r="G148" i="133"/>
  <c r="G110" i="64"/>
  <c r="G193" i="141"/>
  <c r="G88" i="141"/>
  <c r="G123" i="118"/>
  <c r="G75" i="118"/>
  <c r="G232" i="119"/>
  <c r="G84" i="104"/>
  <c r="G178" i="106"/>
  <c r="G126" i="43"/>
  <c r="G66" i="157"/>
  <c r="G178" i="176"/>
  <c r="E235" i="1"/>
  <c r="G76" i="86"/>
  <c r="G17" i="87"/>
  <c r="G196" i="10"/>
  <c r="G91" i="143"/>
  <c r="G132" i="28"/>
  <c r="G107" i="49"/>
  <c r="G107" i="47"/>
  <c r="G149" i="95"/>
  <c r="G84" i="95"/>
  <c r="G73" i="95"/>
  <c r="G18" i="95"/>
  <c r="G223" i="50"/>
  <c r="G185" i="50"/>
  <c r="G77" i="50"/>
  <c r="G158" i="1"/>
  <c r="G149" i="1"/>
  <c r="G106" i="1"/>
  <c r="G46" i="1"/>
  <c r="G38" i="1"/>
  <c r="G149" i="92"/>
  <c r="G65" i="92"/>
  <c r="G46" i="92"/>
  <c r="G130" i="142"/>
  <c r="G46" i="142"/>
  <c r="G38" i="142"/>
  <c r="G173" i="69"/>
  <c r="G130" i="69"/>
  <c r="G117" i="69"/>
  <c r="G26" i="86"/>
  <c r="G227" i="10"/>
  <c r="G200" i="143"/>
  <c r="G65" i="143"/>
  <c r="G54" i="143"/>
  <c r="G46" i="143"/>
  <c r="G38" i="143"/>
  <c r="G34" i="172"/>
  <c r="G192" i="16"/>
  <c r="G157" i="16"/>
  <c r="G57" i="158"/>
  <c r="G25" i="158"/>
  <c r="G159" i="157"/>
  <c r="G55" i="157"/>
  <c r="G159" i="32"/>
  <c r="G141" i="32"/>
  <c r="G66" i="32"/>
  <c r="G174" i="141"/>
  <c r="G166" i="141"/>
  <c r="G155" i="141"/>
  <c r="G27" i="141"/>
  <c r="G142" i="104"/>
  <c r="G157" i="106"/>
  <c r="G126" i="47"/>
  <c r="G89" i="47"/>
  <c r="G194" i="83"/>
  <c r="G174" i="83"/>
  <c r="G159" i="49"/>
  <c r="G100" i="49"/>
  <c r="G30" i="54"/>
  <c r="G183" i="94"/>
  <c r="G116" i="31"/>
  <c r="G68" i="176"/>
  <c r="G28" i="164"/>
  <c r="G222" i="142"/>
  <c r="G91" i="172"/>
  <c r="G200" i="142"/>
  <c r="G173" i="94"/>
  <c r="G135" i="118"/>
  <c r="G184" i="31"/>
  <c r="G203" i="31"/>
  <c r="G185" i="1"/>
  <c r="G69" i="10"/>
  <c r="G137" i="172"/>
  <c r="G141" i="64"/>
  <c r="G66" i="141"/>
  <c r="G100" i="24"/>
  <c r="G30" i="164"/>
  <c r="G200" i="54"/>
  <c r="G181" i="95"/>
  <c r="G147" i="64"/>
  <c r="G115" i="64"/>
  <c r="G151" i="32"/>
  <c r="G123" i="32"/>
  <c r="G48" i="32"/>
  <c r="G48" i="141"/>
  <c r="G40" i="141"/>
  <c r="G123" i="24"/>
  <c r="G101" i="90"/>
  <c r="G47" i="133"/>
  <c r="G219" i="71"/>
  <c r="G153" i="47"/>
  <c r="G92" i="49"/>
  <c r="G84" i="49"/>
  <c r="G227" i="98"/>
  <c r="G185" i="98"/>
  <c r="G65" i="98"/>
  <c r="G26" i="98"/>
  <c r="G174" i="174"/>
  <c r="G166" i="174"/>
  <c r="E111" i="142"/>
  <c r="E206" i="83"/>
  <c r="E237" i="45"/>
  <c r="E102" i="141"/>
  <c r="G181" i="10"/>
  <c r="G155" i="32"/>
  <c r="G189" i="95"/>
  <c r="G177" i="142"/>
  <c r="G173" i="87"/>
  <c r="G49" i="172"/>
  <c r="G17" i="172"/>
  <c r="G115" i="16"/>
  <c r="G52" i="158"/>
  <c r="G227" i="64"/>
  <c r="G143" i="176"/>
  <c r="G164" i="31"/>
  <c r="G232" i="175"/>
  <c r="G54" i="50"/>
  <c r="G30" i="92"/>
  <c r="G226" i="172"/>
  <c r="G110" i="172"/>
  <c r="G225" i="65"/>
  <c r="G178" i="64"/>
  <c r="G146" i="64"/>
  <c r="G47" i="32"/>
  <c r="G59" i="47"/>
  <c r="G185" i="164"/>
  <c r="G56" i="164"/>
  <c r="G40" i="164"/>
  <c r="G34" i="164"/>
  <c r="G140" i="92"/>
  <c r="G46" i="95"/>
  <c r="G50" i="142"/>
  <c r="G232" i="69"/>
  <c r="G200" i="69"/>
  <c r="G204" i="87"/>
  <c r="G222" i="10"/>
  <c r="G179" i="64"/>
  <c r="G48" i="64"/>
  <c r="G12" i="64"/>
  <c r="G16" i="32"/>
  <c r="G97" i="141"/>
  <c r="G219" i="90"/>
  <c r="G201" i="133"/>
  <c r="G221" i="39"/>
  <c r="G165" i="47"/>
  <c r="G149" i="47"/>
  <c r="G140" i="47"/>
  <c r="G88" i="49"/>
  <c r="G69" i="49"/>
  <c r="G58" i="98"/>
  <c r="G193" i="53"/>
  <c r="G177" i="53"/>
  <c r="G153" i="53"/>
  <c r="G190" i="174"/>
  <c r="E206" i="94"/>
  <c r="G30" i="58"/>
  <c r="G183" i="54"/>
  <c r="G115" i="94"/>
  <c r="G14" i="10"/>
  <c r="G99" i="92"/>
  <c r="G189" i="87"/>
  <c r="G172" i="31"/>
  <c r="G86" i="164"/>
  <c r="G222" i="172"/>
  <c r="G88" i="172"/>
  <c r="G40" i="172"/>
  <c r="G26" i="172"/>
  <c r="G155" i="157"/>
  <c r="G223" i="119"/>
  <c r="G150" i="64"/>
  <c r="G85" i="32"/>
  <c r="G131" i="141"/>
  <c r="G146" i="24"/>
  <c r="G29" i="84"/>
  <c r="G70" i="47"/>
  <c r="G31" i="47"/>
  <c r="G115" i="164"/>
  <c r="G77" i="94"/>
  <c r="G108" i="54"/>
  <c r="G77" i="54"/>
  <c r="G165" i="60"/>
  <c r="G137" i="60"/>
  <c r="G97" i="60"/>
  <c r="G145" i="118"/>
  <c r="G180" i="176"/>
  <c r="G88" i="50"/>
  <c r="G88" i="142"/>
  <c r="G125" i="87"/>
  <c r="G133" i="176"/>
  <c r="G133" i="172"/>
  <c r="G68" i="172"/>
  <c r="G175" i="16"/>
  <c r="G44" i="158"/>
  <c r="G20" i="158"/>
  <c r="G204" i="157"/>
  <c r="G179" i="32"/>
  <c r="G179" i="141"/>
  <c r="G167" i="141"/>
  <c r="G151" i="141"/>
  <c r="G90" i="141"/>
  <c r="G175" i="24"/>
  <c r="G97" i="24"/>
  <c r="G167" i="90"/>
  <c r="G75" i="90"/>
  <c r="G190" i="120"/>
  <c r="G182" i="120"/>
  <c r="G166" i="120"/>
  <c r="G155" i="120"/>
  <c r="G126" i="120"/>
  <c r="G47" i="152"/>
  <c r="G186" i="133"/>
  <c r="G96" i="133"/>
  <c r="G35" i="133"/>
  <c r="G143" i="39"/>
  <c r="G192" i="84"/>
  <c r="G105" i="84"/>
  <c r="G91" i="84"/>
  <c r="G83" i="84"/>
  <c r="G45" i="84"/>
  <c r="G137" i="104"/>
  <c r="G86" i="104"/>
  <c r="G192" i="106"/>
  <c r="G176" i="106"/>
  <c r="G84" i="53"/>
  <c r="G86" i="53"/>
  <c r="G158" i="150"/>
  <c r="G75" i="156"/>
  <c r="G226" i="142"/>
  <c r="G150" i="58"/>
  <c r="G166" i="60"/>
  <c r="G91" i="14"/>
  <c r="G67" i="165"/>
  <c r="G117" i="16"/>
  <c r="G180" i="28"/>
  <c r="G168" i="103"/>
  <c r="G34" i="156"/>
  <c r="G193" i="19"/>
  <c r="G181" i="119"/>
  <c r="G232" i="31"/>
  <c r="G166" i="42"/>
  <c r="G115" i="55"/>
  <c r="G41" i="157"/>
  <c r="G43" i="86"/>
  <c r="G178" i="49"/>
  <c r="G136" i="49"/>
  <c r="G160" i="143"/>
  <c r="G231" i="49"/>
  <c r="G116" i="141"/>
  <c r="G64" i="141"/>
  <c r="G204" i="38"/>
  <c r="G148" i="165"/>
  <c r="G124" i="165"/>
  <c r="G33" i="165"/>
  <c r="G64" i="156"/>
  <c r="G99" i="24"/>
  <c r="E102" i="24"/>
  <c r="G117" i="14"/>
  <c r="G25" i="55"/>
  <c r="G188" i="165"/>
  <c r="G225" i="94"/>
  <c r="G60" i="174"/>
  <c r="G50" i="174"/>
  <c r="G14" i="174"/>
  <c r="G204" i="63"/>
  <c r="G177" i="63"/>
  <c r="G174" i="94"/>
  <c r="G109" i="94"/>
  <c r="G141" i="43"/>
  <c r="G135" i="176"/>
  <c r="G34" i="25"/>
  <c r="G147" i="15"/>
  <c r="G44" i="157"/>
  <c r="G50" i="156"/>
  <c r="G130" i="155"/>
  <c r="G33" i="53"/>
  <c r="G19" i="103"/>
  <c r="G71" i="16"/>
  <c r="G123" i="157"/>
  <c r="G50" i="157"/>
  <c r="G190" i="62"/>
  <c r="G147" i="150"/>
  <c r="G129" i="14"/>
  <c r="G58" i="158"/>
  <c r="G152" i="28"/>
  <c r="G225" i="84"/>
  <c r="G12" i="157"/>
  <c r="G97" i="42"/>
  <c r="G28" i="10"/>
  <c r="G54" i="175"/>
  <c r="G49" i="65"/>
  <c r="G138" i="14"/>
  <c r="G164" i="28"/>
  <c r="G226" i="39"/>
  <c r="G59" i="98"/>
  <c r="G172" i="28"/>
  <c r="G203" i="177"/>
  <c r="G52" i="156"/>
  <c r="G109" i="155"/>
  <c r="G17" i="155"/>
  <c r="G192" i="25"/>
  <c r="G98" i="64"/>
  <c r="G30" i="24"/>
  <c r="G189" i="90"/>
  <c r="G123" i="152"/>
  <c r="G57" i="175"/>
  <c r="G12" i="43"/>
  <c r="G135" i="106"/>
  <c r="G151" i="31"/>
  <c r="G203" i="156"/>
  <c r="G76" i="156"/>
  <c r="G164" i="120"/>
  <c r="G158" i="39"/>
  <c r="G14" i="39"/>
  <c r="G28" i="49"/>
  <c r="G28" i="98"/>
  <c r="G157" i="15"/>
  <c r="G224" i="94"/>
  <c r="G47" i="118"/>
  <c r="G86" i="87"/>
  <c r="E111" i="176"/>
  <c r="G85" i="46"/>
  <c r="G183" i="53"/>
  <c r="G195" i="63"/>
  <c r="G127" i="66"/>
  <c r="G172" i="15"/>
  <c r="G105" i="15"/>
  <c r="G69" i="15"/>
  <c r="G39" i="164"/>
  <c r="G174" i="145"/>
  <c r="G118" i="54"/>
  <c r="G109" i="64"/>
  <c r="G16" i="175"/>
  <c r="G183" i="42"/>
  <c r="G33" i="83"/>
  <c r="G25" i="64"/>
  <c r="G149" i="150"/>
  <c r="G45" i="158"/>
  <c r="G136" i="19"/>
  <c r="G182" i="150"/>
  <c r="G12" i="38"/>
  <c r="G43" i="94"/>
  <c r="G126" i="60"/>
  <c r="G159" i="118"/>
  <c r="G56" i="55"/>
  <c r="G50" i="158"/>
  <c r="G167" i="157"/>
  <c r="G51" i="176"/>
  <c r="G88" i="118"/>
  <c r="E228" i="94"/>
  <c r="G84" i="172"/>
  <c r="G192" i="39"/>
  <c r="G225" i="38"/>
  <c r="G12" i="86"/>
  <c r="M12" i="86"/>
  <c r="G56" i="62"/>
  <c r="G177" i="38"/>
  <c r="G180" i="90"/>
  <c r="G160" i="120"/>
  <c r="G123" i="120"/>
  <c r="G152" i="152"/>
  <c r="G68" i="152"/>
  <c r="G17" i="152"/>
  <c r="G118" i="104"/>
  <c r="G167" i="106"/>
  <c r="G150" i="46"/>
  <c r="G38" i="46"/>
  <c r="G190" i="47"/>
  <c r="G168" i="63"/>
  <c r="G49" i="63"/>
  <c r="G18" i="118"/>
  <c r="G203" i="42"/>
  <c r="G68" i="119"/>
  <c r="G180" i="32"/>
  <c r="G26" i="24"/>
  <c r="G204" i="71"/>
  <c r="G52" i="43"/>
  <c r="G221" i="104"/>
  <c r="G133" i="104"/>
  <c r="G130" i="106"/>
  <c r="G29" i="155"/>
  <c r="G30" i="150"/>
  <c r="G221" i="42"/>
  <c r="G124" i="42"/>
  <c r="G29" i="25"/>
  <c r="G135" i="90"/>
  <c r="G142" i="120"/>
  <c r="G56" i="152"/>
  <c r="G86" i="43"/>
  <c r="G48" i="43"/>
  <c r="G196" i="104"/>
  <c r="G157" i="104"/>
  <c r="G201" i="38"/>
  <c r="G155" i="50"/>
  <c r="G131" i="92"/>
  <c r="G225" i="142"/>
  <c r="G107" i="89"/>
  <c r="G31" i="89"/>
  <c r="G150" i="172"/>
  <c r="G114" i="172"/>
  <c r="G55" i="172"/>
  <c r="G35" i="172"/>
  <c r="G19" i="172"/>
  <c r="G155" i="63"/>
  <c r="G231" i="152"/>
  <c r="E235" i="152"/>
  <c r="E237" i="152"/>
  <c r="G171" i="15"/>
  <c r="G110" i="119"/>
  <c r="G58" i="32"/>
  <c r="G203" i="43"/>
  <c r="G169" i="25"/>
  <c r="G135" i="25"/>
  <c r="G185" i="119"/>
  <c r="G11" i="28"/>
  <c r="G145" i="141"/>
  <c r="G204" i="90"/>
  <c r="E119" i="84"/>
  <c r="G99" i="104"/>
  <c r="G14" i="104"/>
  <c r="G53" i="19"/>
  <c r="G53" i="54"/>
  <c r="G195" i="103"/>
  <c r="G114" i="65"/>
  <c r="G224" i="28"/>
  <c r="G155" i="28"/>
  <c r="G146" i="84"/>
  <c r="G153" i="104"/>
  <c r="G43" i="106"/>
  <c r="G16" i="174"/>
  <c r="G97" i="118"/>
  <c r="G97" i="103"/>
  <c r="G30" i="155"/>
  <c r="G177" i="25"/>
  <c r="G50" i="119"/>
  <c r="G194" i="65"/>
  <c r="G181" i="175"/>
  <c r="G196" i="43"/>
  <c r="G106" i="104"/>
  <c r="G17" i="164"/>
  <c r="G67" i="118"/>
  <c r="G152" i="53"/>
  <c r="G64" i="53"/>
  <c r="G83" i="174"/>
  <c r="G14" i="103"/>
  <c r="G38" i="92"/>
  <c r="G188" i="68"/>
  <c r="G42" i="94"/>
  <c r="G153" i="103"/>
  <c r="G16" i="164"/>
  <c r="G166" i="53"/>
  <c r="G223" i="142"/>
  <c r="G226" i="32"/>
  <c r="G50" i="92"/>
  <c r="G169" i="54"/>
  <c r="G39" i="49"/>
  <c r="G174" i="53"/>
  <c r="G160" i="54"/>
  <c r="G65" i="118"/>
  <c r="E102" i="14"/>
  <c r="G232" i="53"/>
  <c r="G11" i="176"/>
  <c r="G188" i="87"/>
  <c r="G100" i="14"/>
  <c r="G11" i="155"/>
  <c r="G126" i="25"/>
  <c r="G59" i="25"/>
  <c r="G141" i="119"/>
  <c r="G85" i="119"/>
  <c r="G227" i="65"/>
  <c r="G187" i="65"/>
  <c r="G123" i="65"/>
  <c r="G32" i="65"/>
  <c r="G160" i="28"/>
  <c r="G142" i="64"/>
  <c r="G205" i="49"/>
  <c r="G143" i="31"/>
  <c r="G193" i="95"/>
  <c r="G169" i="95"/>
  <c r="G58" i="95"/>
  <c r="G14" i="50"/>
  <c r="G223" i="92"/>
  <c r="G135" i="92"/>
  <c r="G117" i="92"/>
  <c r="G88" i="92"/>
  <c r="G54" i="92"/>
  <c r="G14" i="92"/>
  <c r="G185" i="142"/>
  <c r="G173" i="142"/>
  <c r="G106" i="142"/>
  <c r="G169" i="86"/>
  <c r="G130" i="86"/>
  <c r="G77" i="86"/>
  <c r="G185" i="87"/>
  <c r="G169" i="87"/>
  <c r="G149" i="87"/>
  <c r="G117" i="87"/>
  <c r="G169" i="10"/>
  <c r="G149" i="10"/>
  <c r="G130" i="10"/>
  <c r="G18" i="10"/>
  <c r="G153" i="143"/>
  <c r="G125" i="143"/>
  <c r="G106" i="143"/>
  <c r="G88" i="143"/>
  <c r="G73" i="143"/>
  <c r="G118" i="157"/>
  <c r="G223" i="25"/>
  <c r="G89" i="64"/>
  <c r="G201" i="32"/>
  <c r="G118" i="90"/>
  <c r="G186" i="43"/>
  <c r="G232" i="58"/>
  <c r="G232" i="164"/>
  <c r="G14" i="94"/>
  <c r="G106" i="54"/>
  <c r="G226" i="60"/>
  <c r="G65" i="60"/>
  <c r="G178" i="119"/>
  <c r="G89" i="119"/>
  <c r="G43" i="64"/>
  <c r="G78" i="53"/>
  <c r="G49" i="68"/>
  <c r="G193" i="164"/>
  <c r="G167" i="94"/>
  <c r="G108" i="94"/>
  <c r="G183" i="60"/>
  <c r="G220" i="63"/>
  <c r="G13" i="15"/>
  <c r="G69" i="54"/>
  <c r="G15" i="119"/>
  <c r="G54" i="54"/>
  <c r="E111" i="149"/>
  <c r="G92" i="60"/>
  <c r="G147" i="94"/>
  <c r="G186" i="47"/>
  <c r="G92" i="103"/>
  <c r="G226" i="42"/>
  <c r="G219" i="65"/>
  <c r="G124" i="39"/>
  <c r="G190" i="83"/>
  <c r="G89" i="98"/>
  <c r="G224" i="31"/>
  <c r="G92" i="86"/>
  <c r="G189" i="10"/>
  <c r="G146" i="43"/>
  <c r="G170" i="53"/>
  <c r="G159" i="53"/>
  <c r="G118" i="53"/>
  <c r="G96" i="53"/>
  <c r="G59" i="53"/>
  <c r="G59" i="63"/>
  <c r="G25" i="68"/>
  <c r="G75" i="164"/>
  <c r="G171" i="94"/>
  <c r="G30" i="94"/>
  <c r="G158" i="54"/>
  <c r="G84" i="54"/>
  <c r="G142" i="60"/>
  <c r="G226" i="118"/>
  <c r="G130" i="118"/>
  <c r="G136" i="119"/>
  <c r="G28" i="65"/>
  <c r="G98" i="15"/>
  <c r="G190" i="49"/>
  <c r="G89" i="53"/>
  <c r="G51" i="53"/>
  <c r="G39" i="53"/>
  <c r="G38" i="58"/>
  <c r="G164" i="68"/>
  <c r="G117" i="164"/>
  <c r="G67" i="164"/>
  <c r="G189" i="60"/>
  <c r="G132" i="60"/>
  <c r="G32" i="60"/>
  <c r="G224" i="98"/>
  <c r="G92" i="54"/>
  <c r="G98" i="10"/>
  <c r="G87" i="10"/>
  <c r="G136" i="25"/>
  <c r="G66" i="119"/>
  <c r="G179" i="65"/>
  <c r="G48" i="65"/>
  <c r="G220" i="103"/>
  <c r="G118" i="47"/>
  <c r="G153" i="95"/>
  <c r="G106" i="95"/>
  <c r="G177" i="50"/>
  <c r="G149" i="50"/>
  <c r="G106" i="50"/>
  <c r="G169" i="1"/>
  <c r="G177" i="92"/>
  <c r="G153" i="92"/>
  <c r="G145" i="92"/>
  <c r="G117" i="142"/>
  <c r="G54" i="142"/>
  <c r="G42" i="142"/>
  <c r="G140" i="86"/>
  <c r="G117" i="86"/>
  <c r="G193" i="87"/>
  <c r="G158" i="87"/>
  <c r="G145" i="87"/>
  <c r="G130" i="87"/>
  <c r="G200" i="10"/>
  <c r="G158" i="10"/>
  <c r="G140" i="10"/>
  <c r="G92" i="10"/>
  <c r="G38" i="10"/>
  <c r="G204" i="143"/>
  <c r="G173" i="143"/>
  <c r="G158" i="143"/>
  <c r="G130" i="143"/>
  <c r="G26" i="143"/>
  <c r="G99" i="172"/>
  <c r="G219" i="14"/>
  <c r="G168" i="16"/>
  <c r="G72" i="16"/>
  <c r="G223" i="155"/>
  <c r="G186" i="64"/>
  <c r="G136" i="64"/>
  <c r="G85" i="64"/>
  <c r="G11" i="32"/>
  <c r="G205" i="24"/>
  <c r="G131" i="46"/>
  <c r="G186" i="83"/>
  <c r="G149" i="164"/>
  <c r="G135" i="164"/>
  <c r="G106" i="164"/>
  <c r="G179" i="60"/>
  <c r="G232" i="103"/>
  <c r="G110" i="103"/>
  <c r="G109" i="19"/>
  <c r="G153" i="19"/>
  <c r="K14" i="19"/>
  <c r="G28" i="19"/>
  <c r="G223" i="54"/>
  <c r="G20" i="66"/>
  <c r="G137" i="49"/>
  <c r="G167" i="174"/>
  <c r="G108" i="172"/>
  <c r="G158" i="28"/>
  <c r="G30" i="106"/>
  <c r="G74" i="54"/>
  <c r="G173" i="90"/>
  <c r="G107" i="71"/>
  <c r="G55" i="141"/>
  <c r="G88" i="71"/>
  <c r="G227" i="69"/>
  <c r="G223" i="39"/>
  <c r="G226" i="14"/>
  <c r="G175" i="39"/>
  <c r="G40" i="43"/>
  <c r="E228" i="90"/>
  <c r="G84" i="28"/>
  <c r="G98" i="53"/>
  <c r="G192" i="55"/>
  <c r="G133" i="155"/>
  <c r="G114" i="60"/>
  <c r="G50" i="145"/>
  <c r="G133" i="145"/>
  <c r="G141" i="19"/>
  <c r="G150" i="149"/>
  <c r="G130" i="141"/>
  <c r="G127" i="39"/>
  <c r="G168" i="15"/>
  <c r="E119" i="87"/>
  <c r="G179" i="92"/>
  <c r="G202" i="175"/>
  <c r="G177" i="84"/>
  <c r="G126" i="66"/>
  <c r="G29" i="104"/>
  <c r="G101" i="133"/>
  <c r="G202" i="98"/>
  <c r="G97" i="43"/>
  <c r="G101" i="63"/>
  <c r="E111" i="118"/>
  <c r="G172" i="55"/>
  <c r="G116" i="16"/>
  <c r="G129" i="104"/>
  <c r="G191" i="103"/>
  <c r="G167" i="39"/>
  <c r="G148" i="119"/>
  <c r="G42" i="14"/>
  <c r="E206" i="142"/>
  <c r="G41" i="16"/>
  <c r="G232" i="158"/>
  <c r="G226" i="157"/>
  <c r="G47" i="119"/>
  <c r="G56" i="28"/>
  <c r="G223" i="83"/>
  <c r="G137" i="142"/>
  <c r="G55" i="92"/>
  <c r="G194" i="158"/>
  <c r="G87" i="104"/>
  <c r="G76" i="150"/>
  <c r="G98" i="49"/>
  <c r="G31" i="31"/>
  <c r="G226" i="120"/>
  <c r="M18" i="120"/>
  <c r="G219" i="133"/>
  <c r="G118" i="66"/>
  <c r="G101" i="92"/>
  <c r="G17" i="98"/>
  <c r="G124" i="24"/>
  <c r="G13" i="53"/>
  <c r="G74" i="172"/>
  <c r="G98" i="43"/>
  <c r="G109" i="55"/>
  <c r="G226" i="92"/>
  <c r="G100" i="58"/>
  <c r="G118" i="25"/>
  <c r="G222" i="175"/>
  <c r="G180" i="175"/>
  <c r="G60" i="87"/>
  <c r="G179" i="10"/>
  <c r="G52" i="14"/>
  <c r="E237" i="10"/>
  <c r="G59" i="65"/>
  <c r="E102" i="164"/>
  <c r="G45" i="83"/>
  <c r="E206" i="60"/>
  <c r="G20" i="65"/>
  <c r="G117" i="103"/>
  <c r="G15" i="55"/>
  <c r="G170" i="165"/>
  <c r="G19" i="19"/>
  <c r="G107" i="84"/>
  <c r="G85" i="65"/>
  <c r="G50" i="106"/>
  <c r="G36" i="47"/>
  <c r="G51" i="118"/>
  <c r="G178" i="60"/>
  <c r="E119" i="118"/>
  <c r="G71" i="156"/>
  <c r="G73" i="14"/>
  <c r="G203" i="25"/>
  <c r="C208" i="89"/>
  <c r="G222" i="158"/>
  <c r="G84" i="37"/>
  <c r="G186" i="152"/>
  <c r="G180" i="118"/>
  <c r="G108" i="66"/>
  <c r="G76" i="47"/>
  <c r="G145" i="155"/>
  <c r="G179" i="15"/>
  <c r="G168" i="174"/>
  <c r="G146" i="63"/>
  <c r="G204" i="141"/>
  <c r="G25" i="54"/>
  <c r="G53" i="164"/>
  <c r="G151" i="14"/>
  <c r="G114" i="145"/>
  <c r="G190" i="164"/>
  <c r="G52" i="28"/>
  <c r="G182" i="66"/>
  <c r="G46" i="155"/>
  <c r="G129" i="152"/>
  <c r="G69" i="175"/>
  <c r="G90" i="118"/>
  <c r="G136" i="65"/>
  <c r="G189" i="141"/>
  <c r="G77" i="27"/>
  <c r="G125" i="37"/>
  <c r="G166" i="69"/>
  <c r="E206" i="92"/>
  <c r="G25" i="155"/>
  <c r="G153" i="32"/>
  <c r="G77" i="141"/>
  <c r="G201" i="142"/>
  <c r="G86" i="94"/>
  <c r="G146" i="87"/>
  <c r="G205" i="92"/>
  <c r="G33" i="54"/>
  <c r="G16" i="172"/>
  <c r="G107" i="104"/>
  <c r="G195" i="106"/>
  <c r="G53" i="16"/>
  <c r="G203" i="24"/>
  <c r="G225" i="25"/>
  <c r="G90" i="14"/>
  <c r="G195" i="42"/>
  <c r="G151" i="39"/>
  <c r="G200" i="24"/>
  <c r="G13" i="164"/>
  <c r="G177" i="141"/>
  <c r="G117" i="119"/>
  <c r="G137" i="152"/>
  <c r="G18" i="46"/>
  <c r="G157" i="47"/>
  <c r="G147" i="27"/>
  <c r="G150" i="84"/>
  <c r="G171" i="14"/>
  <c r="G142" i="119"/>
  <c r="G13" i="47"/>
  <c r="G175" i="106"/>
  <c r="G204" i="104"/>
  <c r="G59" i="66"/>
  <c r="G196" i="71"/>
  <c r="G100" i="149"/>
  <c r="G108" i="60"/>
  <c r="G59" i="55"/>
  <c r="G57" i="155"/>
  <c r="G193" i="25"/>
  <c r="G53" i="118"/>
  <c r="E206" i="103"/>
  <c r="G151" i="165"/>
  <c r="G52" i="165"/>
  <c r="G92" i="68"/>
  <c r="G167" i="165"/>
  <c r="E237" i="68"/>
  <c r="G44" i="175"/>
  <c r="G159" i="47"/>
  <c r="G148" i="104"/>
  <c r="G35" i="68"/>
  <c r="G37" i="28"/>
  <c r="G179" i="98"/>
  <c r="G27" i="31"/>
  <c r="G32" i="120"/>
  <c r="G76" i="157"/>
  <c r="G219" i="28"/>
  <c r="G74" i="63"/>
  <c r="G142" i="39"/>
  <c r="G114" i="63"/>
  <c r="G97" i="14"/>
  <c r="G177" i="156"/>
  <c r="E235" i="133"/>
  <c r="G156" i="15"/>
  <c r="G146" i="55"/>
  <c r="G201" i="55"/>
  <c r="G89" i="63"/>
  <c r="G164" i="53"/>
  <c r="G221" i="174"/>
  <c r="G118" i="63"/>
  <c r="G227" i="15"/>
  <c r="G140" i="155"/>
  <c r="G48" i="157"/>
  <c r="G87" i="174"/>
  <c r="G141" i="66"/>
  <c r="G88" i="64"/>
  <c r="G181" i="141"/>
  <c r="G169" i="32"/>
  <c r="G149" i="25"/>
  <c r="G11" i="65"/>
  <c r="G98" i="152"/>
  <c r="G170" i="106"/>
  <c r="G65" i="25"/>
  <c r="G131" i="65"/>
  <c r="G25" i="152"/>
  <c r="G47" i="84"/>
  <c r="G117" i="175"/>
  <c r="G109" i="43"/>
  <c r="G173" i="104"/>
  <c r="G191" i="118"/>
  <c r="G92" i="104"/>
  <c r="G18" i="155"/>
  <c r="G182" i="65"/>
  <c r="G15" i="65"/>
  <c r="G172" i="152"/>
  <c r="G169" i="104"/>
  <c r="G72" i="164"/>
  <c r="G171" i="118"/>
  <c r="G48" i="118"/>
  <c r="G105" i="28"/>
  <c r="G176" i="145"/>
  <c r="G182" i="164"/>
  <c r="G131" i="94"/>
  <c r="G194" i="55"/>
  <c r="G96" i="55"/>
  <c r="G110" i="141"/>
  <c r="G193" i="119"/>
  <c r="G141" i="65"/>
  <c r="G166" i="28"/>
  <c r="G141" i="84"/>
  <c r="G194" i="106"/>
  <c r="G99" i="25"/>
  <c r="G153" i="119"/>
  <c r="G66" i="65"/>
  <c r="G86" i="118"/>
  <c r="G27" i="16"/>
  <c r="G91" i="152"/>
  <c r="G135" i="63"/>
  <c r="G86" i="46"/>
  <c r="G156" i="39"/>
  <c r="G143" i="47"/>
  <c r="G150" i="63"/>
  <c r="G172" i="120"/>
  <c r="G35" i="106"/>
  <c r="G189" i="25"/>
  <c r="G220" i="164"/>
  <c r="G71" i="118"/>
  <c r="G137" i="15"/>
  <c r="G52" i="58"/>
  <c r="G11" i="172"/>
  <c r="G151" i="156"/>
  <c r="G195" i="155"/>
  <c r="G114" i="150"/>
  <c r="G151" i="55"/>
  <c r="G101" i="155"/>
  <c r="G219" i="16"/>
  <c r="G130" i="25"/>
  <c r="G189" i="63"/>
  <c r="G34" i="32"/>
  <c r="G60" i="118"/>
  <c r="G177" i="119"/>
  <c r="G92" i="141"/>
  <c r="G16" i="133"/>
  <c r="G123" i="106"/>
  <c r="G44" i="120"/>
  <c r="G40" i="16"/>
  <c r="G166" i="38"/>
  <c r="G116" i="32"/>
  <c r="G175" i="47"/>
  <c r="G182" i="38"/>
  <c r="G175" i="157"/>
  <c r="G220" i="53"/>
  <c r="G74" i="42"/>
  <c r="E228" i="83"/>
  <c r="G72" i="83"/>
  <c r="G30" i="32"/>
  <c r="G51" i="68"/>
  <c r="G132" i="43"/>
  <c r="G196" i="83"/>
  <c r="G141" i="104"/>
  <c r="G226" i="152"/>
  <c r="G49" i="43"/>
  <c r="G145" i="25"/>
  <c r="G53" i="43"/>
  <c r="G51" i="55"/>
  <c r="G127" i="165"/>
  <c r="G100" i="145"/>
  <c r="G178" i="149"/>
  <c r="G90" i="42"/>
  <c r="G37" i="24"/>
  <c r="G29" i="16"/>
  <c r="G87" i="32"/>
  <c r="G222" i="141"/>
  <c r="G76" i="53"/>
  <c r="G200" i="14"/>
  <c r="G184" i="71"/>
  <c r="G174" i="60"/>
  <c r="G70" i="94"/>
  <c r="G176" i="164"/>
  <c r="G181" i="63"/>
  <c r="G187" i="118"/>
  <c r="G116" i="103"/>
  <c r="G100" i="43"/>
  <c r="G153" i="25"/>
  <c r="G194" i="66"/>
  <c r="G132" i="14"/>
  <c r="G150" i="66"/>
  <c r="G100" i="66"/>
  <c r="G53" i="83"/>
  <c r="G34" i="141"/>
  <c r="G142" i="118"/>
  <c r="G200" i="25"/>
  <c r="G84" i="119"/>
  <c r="G26" i="175"/>
  <c r="G159" i="106"/>
  <c r="G224" i="65"/>
  <c r="G42" i="141"/>
  <c r="G193" i="104"/>
  <c r="G125" i="104"/>
  <c r="G42" i="104"/>
  <c r="E21" i="172"/>
  <c r="G68" i="90"/>
  <c r="G108" i="152"/>
  <c r="G71" i="157"/>
  <c r="G173" i="63"/>
  <c r="G177" i="176"/>
  <c r="G15" i="156"/>
  <c r="G195" i="39"/>
  <c r="G202" i="15"/>
  <c r="G72" i="53"/>
  <c r="G183" i="15"/>
  <c r="G82" i="39"/>
  <c r="G92" i="25"/>
  <c r="G125" i="32"/>
  <c r="G203" i="152"/>
  <c r="G177" i="175"/>
  <c r="G193" i="32"/>
  <c r="G125" i="141"/>
  <c r="G145" i="175"/>
  <c r="G29" i="14"/>
  <c r="G107" i="68"/>
  <c r="G75" i="83"/>
  <c r="G159" i="50"/>
  <c r="G225" i="102"/>
  <c r="G54" i="86"/>
  <c r="G69" i="42"/>
  <c r="G45" i="119"/>
  <c r="G117" i="158"/>
  <c r="G33" i="120"/>
  <c r="G172" i="53"/>
  <c r="G78" i="63"/>
  <c r="G143" i="53"/>
  <c r="G11" i="71"/>
  <c r="G87" i="47"/>
  <c r="G124" i="174"/>
  <c r="G71" i="39"/>
  <c r="G149" i="119"/>
  <c r="G165" i="104"/>
  <c r="G106" i="32"/>
  <c r="G77" i="25"/>
  <c r="G200" i="141"/>
  <c r="G175" i="92"/>
  <c r="G27" i="42"/>
  <c r="G227" i="42"/>
  <c r="G68" i="28"/>
  <c r="G177" i="16"/>
  <c r="G195" i="55"/>
  <c r="G26" i="158"/>
  <c r="G146" i="16"/>
  <c r="G78" i="60"/>
  <c r="G225" i="106"/>
  <c r="G42" i="38"/>
  <c r="G138" i="149"/>
  <c r="G156" i="19"/>
  <c r="G76" i="141"/>
  <c r="G66" i="71"/>
  <c r="G221" i="119"/>
  <c r="G11" i="68"/>
  <c r="E119" i="176"/>
  <c r="E206" i="32"/>
  <c r="G75" i="49"/>
  <c r="G34" i="104"/>
  <c r="G193" i="145"/>
  <c r="G172" i="157"/>
  <c r="G138" i="157"/>
  <c r="G133" i="39"/>
  <c r="G59" i="24"/>
  <c r="G109" i="28"/>
  <c r="G152" i="155"/>
  <c r="G203" i="103"/>
  <c r="G164" i="164"/>
  <c r="G138" i="164"/>
  <c r="G87" i="94"/>
  <c r="G172" i="103"/>
  <c r="M14" i="31"/>
  <c r="G142" i="42"/>
  <c r="G85" i="71"/>
  <c r="G115" i="15"/>
  <c r="G85" i="55"/>
  <c r="G106" i="119"/>
  <c r="G49" i="152"/>
  <c r="G130" i="104"/>
  <c r="G204" i="119"/>
  <c r="G135" i="104"/>
  <c r="G17" i="37"/>
  <c r="G86" i="19"/>
  <c r="G195" i="19"/>
  <c r="G97" i="55"/>
  <c r="G96" i="43"/>
  <c r="G19" i="150"/>
  <c r="G180" i="83"/>
  <c r="G45" i="152"/>
  <c r="G101" i="103"/>
  <c r="G77" i="64"/>
  <c r="G202" i="103"/>
  <c r="G84" i="155"/>
  <c r="G45" i="69"/>
  <c r="E102" i="149"/>
  <c r="G19" i="149"/>
  <c r="G184" i="83"/>
  <c r="G117" i="42"/>
  <c r="G110" i="133"/>
  <c r="G12" i="106"/>
  <c r="G91" i="49"/>
  <c r="G194" i="118"/>
  <c r="G46" i="16"/>
  <c r="G153" i="176"/>
  <c r="G78" i="66"/>
  <c r="G221" i="43"/>
  <c r="G82" i="103"/>
  <c r="G204" i="32"/>
  <c r="G169" i="63"/>
  <c r="G194" i="84"/>
  <c r="G73" i="32"/>
  <c r="G203" i="60"/>
  <c r="G74" i="113"/>
  <c r="G43" i="178"/>
  <c r="G14" i="98"/>
  <c r="M14" i="98"/>
  <c r="G39" i="65"/>
  <c r="E228" i="106"/>
  <c r="E228" i="55"/>
  <c r="G49" i="71"/>
  <c r="G84" i="64"/>
  <c r="G18" i="175"/>
  <c r="M18" i="175"/>
  <c r="G175" i="84"/>
  <c r="G89" i="172"/>
  <c r="G184" i="156"/>
  <c r="G157" i="120"/>
  <c r="G178" i="104"/>
  <c r="G28" i="152"/>
  <c r="G176" i="64"/>
  <c r="G174" i="28"/>
  <c r="G108" i="68"/>
  <c r="G131" i="118"/>
  <c r="G195" i="68"/>
  <c r="E228" i="60"/>
  <c r="E119" i="54"/>
  <c r="G110" i="25"/>
  <c r="G174" i="119"/>
  <c r="G126" i="55"/>
  <c r="G39" i="66"/>
  <c r="G168" i="47"/>
  <c r="G168" i="83"/>
  <c r="G136" i="63"/>
  <c r="G175" i="15"/>
  <c r="G183" i="14"/>
  <c r="G20" i="157"/>
  <c r="G138" i="47"/>
  <c r="G157" i="174"/>
  <c r="G47" i="63"/>
  <c r="G39" i="68"/>
  <c r="G101" i="14"/>
  <c r="G182" i="55"/>
  <c r="G47" i="66"/>
  <c r="G15" i="68"/>
  <c r="G132" i="15"/>
  <c r="G170" i="55"/>
  <c r="G75" i="42"/>
  <c r="G83" i="47"/>
  <c r="G172" i="174"/>
  <c r="G155" i="66"/>
  <c r="G11" i="150"/>
  <c r="G189" i="119"/>
  <c r="G38" i="104"/>
  <c r="G92" i="119"/>
  <c r="G55" i="65"/>
  <c r="G46" i="104"/>
  <c r="G130" i="175"/>
  <c r="G181" i="25"/>
  <c r="G38" i="119"/>
  <c r="G150" i="65"/>
  <c r="G184" i="152"/>
  <c r="G76" i="152"/>
  <c r="G14" i="175"/>
  <c r="G181" i="104"/>
  <c r="G77" i="104"/>
  <c r="G17" i="54"/>
  <c r="G51" i="65"/>
  <c r="G204" i="24"/>
  <c r="G177" i="104"/>
  <c r="G83" i="94"/>
  <c r="G183" i="118"/>
  <c r="G90" i="103"/>
  <c r="C208" i="92"/>
  <c r="C212" i="92"/>
  <c r="G136" i="43"/>
  <c r="G43" i="43"/>
  <c r="G34" i="155"/>
  <c r="G34" i="119"/>
  <c r="G175" i="65"/>
  <c r="G91" i="174"/>
  <c r="G70" i="68"/>
  <c r="G223" i="175"/>
  <c r="G127" i="58"/>
  <c r="G220" i="83"/>
  <c r="G137" i="42"/>
  <c r="G108" i="118"/>
  <c r="G185" i="25"/>
  <c r="G88" i="25"/>
  <c r="G186" i="65"/>
  <c r="G157" i="152"/>
  <c r="G145" i="104"/>
  <c r="G18" i="104"/>
  <c r="G146" i="106"/>
  <c r="G101" i="15"/>
  <c r="G175" i="118"/>
  <c r="G36" i="118"/>
  <c r="G145" i="119"/>
  <c r="G14" i="119"/>
  <c r="G160" i="118"/>
  <c r="G132" i="103"/>
  <c r="G201" i="65"/>
  <c r="G54" i="141"/>
  <c r="G65" i="64"/>
  <c r="G158" i="32"/>
  <c r="G185" i="141"/>
  <c r="G223" i="90"/>
  <c r="G223" i="71"/>
  <c r="E206" i="54"/>
  <c r="G131" i="43"/>
  <c r="G31" i="43"/>
  <c r="G30" i="119"/>
  <c r="G98" i="47"/>
  <c r="G203" i="83"/>
  <c r="G180" i="174"/>
  <c r="G171" i="42"/>
  <c r="G165" i="155"/>
  <c r="G174" i="66"/>
  <c r="G201" i="68"/>
  <c r="G127" i="15"/>
  <c r="G179" i="14"/>
  <c r="G183" i="39"/>
  <c r="G96" i="63"/>
  <c r="G47" i="68"/>
  <c r="G191" i="15"/>
  <c r="G193" i="155"/>
  <c r="G205" i="55"/>
  <c r="G73" i="64"/>
  <c r="G149" i="32"/>
  <c r="G26" i="32"/>
  <c r="G50" i="141"/>
  <c r="G190" i="28"/>
  <c r="G69" i="155"/>
  <c r="G222" i="119"/>
  <c r="G155" i="65"/>
  <c r="G89" i="65"/>
  <c r="G201" i="28"/>
  <c r="G72" i="152"/>
  <c r="G155" i="84"/>
  <c r="G152" i="43"/>
  <c r="G73" i="104"/>
  <c r="G66" i="106"/>
  <c r="G11" i="106"/>
  <c r="G110" i="155"/>
  <c r="G190" i="65"/>
  <c r="G178" i="28"/>
  <c r="G117" i="141"/>
  <c r="G37" i="120"/>
  <c r="G143" i="133"/>
  <c r="G99" i="175"/>
  <c r="G87" i="43"/>
  <c r="G174" i="106"/>
  <c r="G140" i="25"/>
  <c r="G47" i="65"/>
  <c r="G96" i="65"/>
  <c r="G148" i="152"/>
  <c r="G57" i="43"/>
  <c r="G89" i="106"/>
  <c r="G151" i="118"/>
  <c r="E111" i="53"/>
  <c r="G107" i="43"/>
  <c r="G18" i="83"/>
  <c r="G51" i="25"/>
  <c r="G115" i="65"/>
  <c r="G90" i="28"/>
  <c r="G123" i="39"/>
  <c r="G91" i="53"/>
  <c r="G85" i="63"/>
  <c r="G91" i="47"/>
  <c r="G164" i="47"/>
  <c r="G202" i="42"/>
  <c r="G76" i="174"/>
  <c r="G101" i="39"/>
  <c r="G135" i="155"/>
  <c r="G150" i="28"/>
  <c r="G143" i="152"/>
  <c r="G143" i="54"/>
  <c r="G156" i="118"/>
  <c r="G127" i="103"/>
  <c r="G193" i="24"/>
  <c r="G125" i="25"/>
  <c r="G140" i="119"/>
  <c r="G46" i="64"/>
  <c r="G65" i="32"/>
  <c r="G38" i="141"/>
  <c r="G204" i="175"/>
  <c r="G189" i="32"/>
  <c r="G158" i="104"/>
  <c r="G58" i="141"/>
  <c r="G41" i="54"/>
  <c r="G219" i="103"/>
  <c r="G31" i="25"/>
  <c r="G30" i="25"/>
  <c r="G32" i="174"/>
  <c r="G12" i="174"/>
  <c r="G158" i="63"/>
  <c r="G231" i="103"/>
  <c r="E235" i="103"/>
  <c r="E102" i="113"/>
  <c r="G15" i="113"/>
  <c r="G58" i="68"/>
  <c r="G131" i="49"/>
  <c r="E235" i="32"/>
  <c r="G190" i="152"/>
  <c r="G77" i="63"/>
  <c r="E206" i="24"/>
  <c r="E102" i="32"/>
  <c r="G71" i="62"/>
  <c r="G40" i="42"/>
  <c r="G56" i="155"/>
  <c r="G155" i="71"/>
  <c r="G42" i="42"/>
  <c r="C208" i="172"/>
  <c r="C212" i="172"/>
  <c r="G108" i="150"/>
  <c r="G34" i="39"/>
  <c r="E93" i="155"/>
  <c r="G43" i="174"/>
  <c r="G13" i="27"/>
  <c r="G138" i="119"/>
  <c r="G46" i="158"/>
  <c r="G19" i="31"/>
  <c r="G155" i="149"/>
  <c r="G49" i="69"/>
  <c r="G124" i="89"/>
  <c r="G231" i="42"/>
  <c r="K14" i="42"/>
  <c r="G171" i="25"/>
  <c r="G191" i="152"/>
  <c r="G138" i="43"/>
  <c r="G160" i="133"/>
  <c r="G64" i="175"/>
  <c r="G183" i="175"/>
  <c r="G108" i="86"/>
  <c r="G75" i="157"/>
  <c r="E21" i="174"/>
  <c r="G188" i="164"/>
  <c r="G152" i="62"/>
  <c r="G109" i="46"/>
  <c r="G186" i="175"/>
  <c r="G97" i="175"/>
  <c r="G149" i="24"/>
  <c r="G78" i="164"/>
  <c r="E102" i="174"/>
  <c r="G132" i="89"/>
  <c r="G106" i="14"/>
  <c r="G90" i="65"/>
  <c r="G30" i="156"/>
  <c r="G38" i="174"/>
  <c r="G30" i="174"/>
  <c r="G26" i="174"/>
  <c r="G185" i="63"/>
  <c r="G165" i="63"/>
  <c r="G222" i="66"/>
  <c r="G73" i="66"/>
  <c r="G20" i="15"/>
  <c r="G72" i="54"/>
  <c r="G29" i="54"/>
  <c r="G13" i="103"/>
  <c r="G46" i="174"/>
  <c r="G20" i="174"/>
  <c r="G176" i="58"/>
  <c r="G200" i="63"/>
  <c r="G204" i="66"/>
  <c r="G67" i="25"/>
  <c r="G83" i="104"/>
  <c r="G141" i="58"/>
  <c r="G145" i="14"/>
  <c r="G44" i="150"/>
  <c r="G194" i="176"/>
  <c r="G35" i="38"/>
  <c r="G201" i="50"/>
  <c r="G50" i="42"/>
  <c r="G109" i="49"/>
  <c r="G74" i="150"/>
  <c r="E119" i="149"/>
  <c r="G70" i="31"/>
  <c r="G187" i="133"/>
  <c r="G47" i="145"/>
  <c r="G27" i="94"/>
  <c r="G200" i="90"/>
  <c r="G155" i="58"/>
  <c r="G99" i="42"/>
  <c r="G98" i="157"/>
  <c r="G74" i="92"/>
  <c r="G235" i="133"/>
  <c r="G221" i="175"/>
  <c r="G220" i="58"/>
  <c r="G107" i="54"/>
  <c r="E102" i="25"/>
  <c r="G64" i="32"/>
  <c r="E119" i="164"/>
  <c r="E111" i="119"/>
  <c r="G170" i="25"/>
  <c r="G75" i="65"/>
  <c r="G225" i="98"/>
  <c r="G224" i="58"/>
  <c r="G125" i="66"/>
  <c r="G145" i="68"/>
  <c r="G90" i="15"/>
  <c r="G196" i="164"/>
  <c r="G157" i="164"/>
  <c r="G133" i="164"/>
  <c r="G124" i="164"/>
  <c r="G109" i="164"/>
  <c r="G87" i="164"/>
  <c r="G45" i="164"/>
  <c r="G37" i="164"/>
  <c r="G138" i="94"/>
  <c r="G124" i="94"/>
  <c r="G91" i="94"/>
  <c r="G76" i="94"/>
  <c r="G68" i="94"/>
  <c r="G53" i="94"/>
  <c r="G17" i="94"/>
  <c r="G203" i="54"/>
  <c r="G138" i="54"/>
  <c r="G129" i="54"/>
  <c r="G76" i="54"/>
  <c r="G68" i="54"/>
  <c r="G157" i="60"/>
  <c r="G148" i="60"/>
  <c r="G91" i="60"/>
  <c r="G41" i="60"/>
  <c r="G13" i="60"/>
  <c r="G188" i="118"/>
  <c r="G152" i="118"/>
  <c r="G143" i="118"/>
  <c r="G98" i="118"/>
  <c r="G72" i="118"/>
  <c r="G64" i="118"/>
  <c r="G184" i="103"/>
  <c r="G53" i="103"/>
  <c r="G37" i="103"/>
  <c r="G25" i="103"/>
  <c r="G44" i="65"/>
  <c r="G54" i="174"/>
  <c r="G28" i="174"/>
  <c r="G45" i="54"/>
  <c r="G115" i="145"/>
  <c r="G71" i="87"/>
  <c r="G64" i="98"/>
  <c r="G192" i="32"/>
  <c r="G71" i="63"/>
  <c r="G75" i="38"/>
  <c r="G224" i="118"/>
  <c r="G219" i="1"/>
  <c r="G106" i="83"/>
  <c r="G124" i="118"/>
  <c r="G143" i="14"/>
  <c r="G13" i="150"/>
  <c r="M13" i="150"/>
  <c r="E119" i="62"/>
  <c r="G227" i="165"/>
  <c r="G33" i="90"/>
  <c r="G49" i="155"/>
  <c r="G35" i="94"/>
  <c r="G159" i="38"/>
  <c r="G176" i="28"/>
  <c r="G59" i="38"/>
  <c r="G124" i="83"/>
  <c r="G114" i="87"/>
  <c r="G143" i="119"/>
  <c r="G188" i="64"/>
  <c r="G45" i="71"/>
  <c r="G73" i="16"/>
  <c r="E237" i="69"/>
  <c r="G127" i="42"/>
  <c r="G18" i="25"/>
  <c r="G221" i="83"/>
  <c r="G153" i="68"/>
  <c r="G130" i="68"/>
  <c r="G190" i="15"/>
  <c r="G86" i="15"/>
  <c r="G57" i="19"/>
  <c r="G192" i="164"/>
  <c r="G148" i="164"/>
  <c r="G129" i="164"/>
  <c r="G116" i="164"/>
  <c r="G91" i="164"/>
  <c r="G68" i="164"/>
  <c r="G41" i="164"/>
  <c r="G33" i="164"/>
  <c r="G25" i="164"/>
  <c r="G129" i="94"/>
  <c r="G49" i="94"/>
  <c r="G37" i="94"/>
  <c r="G25" i="94"/>
  <c r="G13" i="94"/>
  <c r="G196" i="54"/>
  <c r="G133" i="54"/>
  <c r="G64" i="54"/>
  <c r="G37" i="54"/>
  <c r="G196" i="60"/>
  <c r="G98" i="60"/>
  <c r="G68" i="60"/>
  <c r="G184" i="118"/>
  <c r="G176" i="118"/>
  <c r="G157" i="118"/>
  <c r="G133" i="118"/>
  <c r="G91" i="118"/>
  <c r="G76" i="118"/>
  <c r="G68" i="118"/>
  <c r="G57" i="118"/>
  <c r="G49" i="118"/>
  <c r="G25" i="118"/>
  <c r="G13" i="118"/>
  <c r="G192" i="103"/>
  <c r="G57" i="103"/>
  <c r="G39" i="145"/>
  <c r="G166" i="145"/>
  <c r="G25" i="177"/>
  <c r="G34" i="177"/>
  <c r="G35" i="177"/>
  <c r="G51" i="177"/>
  <c r="G126" i="177"/>
  <c r="E21" i="177"/>
  <c r="G92" i="177"/>
  <c r="G231" i="62"/>
  <c r="G235" i="62"/>
  <c r="G237" i="62"/>
  <c r="G140" i="62"/>
  <c r="E235" i="62"/>
  <c r="G67" i="175"/>
  <c r="G75" i="175"/>
  <c r="G101" i="175"/>
  <c r="E228" i="175"/>
  <c r="G167" i="175"/>
  <c r="G47" i="175"/>
  <c r="G52" i="175"/>
  <c r="G48" i="175"/>
  <c r="G40" i="175"/>
  <c r="G19" i="175"/>
  <c r="G127" i="175"/>
  <c r="G82" i="175"/>
  <c r="G36" i="175"/>
  <c r="G179" i="175"/>
  <c r="G86" i="175"/>
  <c r="G35" i="175"/>
  <c r="G39" i="178"/>
  <c r="G187" i="27"/>
  <c r="G137" i="27"/>
  <c r="G166" i="27"/>
  <c r="G125" i="27"/>
  <c r="G70" i="149"/>
  <c r="G39" i="149"/>
  <c r="G109" i="149"/>
  <c r="G68" i="149"/>
  <c r="G183" i="149"/>
  <c r="G35" i="149"/>
  <c r="G26" i="145"/>
  <c r="G141" i="133"/>
  <c r="G194" i="64"/>
  <c r="G85" i="24"/>
  <c r="G87" i="25"/>
  <c r="G148" i="84"/>
  <c r="G181" i="43"/>
  <c r="G173" i="46"/>
  <c r="G185" i="58"/>
  <c r="G43" i="53"/>
  <c r="M12" i="167"/>
  <c r="G110" i="24"/>
  <c r="G68" i="155"/>
  <c r="G98" i="42"/>
  <c r="G138" i="155"/>
  <c r="G25" i="119"/>
  <c r="G46" i="150"/>
  <c r="G188" i="42"/>
  <c r="G12" i="156"/>
  <c r="G49" i="25"/>
  <c r="G82" i="152"/>
  <c r="G179" i="133"/>
  <c r="G232" i="71"/>
  <c r="G115" i="43"/>
  <c r="G36" i="43"/>
  <c r="G160" i="31"/>
  <c r="G200" i="152"/>
  <c r="G202" i="106"/>
  <c r="G49" i="156"/>
  <c r="G222" i="104"/>
  <c r="G11" i="31"/>
  <c r="G51" i="31"/>
  <c r="G114" i="31"/>
  <c r="G136" i="31"/>
  <c r="E237" i="50"/>
  <c r="G219" i="50"/>
  <c r="G219" i="92"/>
  <c r="G227" i="87"/>
  <c r="G227" i="63"/>
  <c r="G225" i="118"/>
  <c r="G166" i="172"/>
  <c r="G182" i="50"/>
  <c r="G190" i="142"/>
  <c r="G146" i="69"/>
  <c r="G194" i="89"/>
  <c r="G159" i="89"/>
  <c r="G136" i="89"/>
  <c r="G15" i="87"/>
  <c r="G70" i="10"/>
  <c r="G14" i="176"/>
  <c r="G141" i="172"/>
  <c r="G107" i="172"/>
  <c r="G85" i="172"/>
  <c r="E79" i="172"/>
  <c r="G185" i="39"/>
  <c r="G226" i="10"/>
  <c r="G115" i="10"/>
  <c r="G133" i="165"/>
  <c r="G202" i="174"/>
  <c r="G182" i="58"/>
  <c r="G70" i="164"/>
  <c r="G178" i="54"/>
  <c r="G51" i="54"/>
  <c r="G47" i="60"/>
  <c r="G90" i="69"/>
  <c r="G44" i="69"/>
  <c r="G82" i="86"/>
  <c r="G187" i="10"/>
  <c r="G60" i="10"/>
  <c r="G33" i="32"/>
  <c r="G20" i="83"/>
  <c r="G191" i="98"/>
  <c r="G16" i="98"/>
  <c r="G118" i="58"/>
  <c r="G183" i="63"/>
  <c r="G147" i="66"/>
  <c r="G160" i="68"/>
  <c r="G133" i="15"/>
  <c r="G224" i="164"/>
  <c r="G126" i="164"/>
  <c r="G19" i="164"/>
  <c r="G224" i="60"/>
  <c r="G67" i="174"/>
  <c r="G156" i="174"/>
  <c r="E102" i="176"/>
  <c r="G96" i="176"/>
  <c r="G56" i="47"/>
  <c r="G132" i="98"/>
  <c r="G179" i="174"/>
  <c r="G166" i="58"/>
  <c r="G82" i="63"/>
  <c r="G86" i="66"/>
  <c r="G16" i="68"/>
  <c r="G73" i="15"/>
  <c r="G96" i="164"/>
  <c r="G35" i="54"/>
  <c r="G174" i="172"/>
  <c r="G75" i="89"/>
  <c r="G191" i="10"/>
  <c r="G32" i="10"/>
  <c r="G180" i="71"/>
  <c r="G179" i="63"/>
  <c r="G71" i="68"/>
  <c r="G89" i="19"/>
  <c r="G150" i="164"/>
  <c r="G85" i="164"/>
  <c r="G96" i="54"/>
  <c r="G146" i="60"/>
  <c r="G188" i="14"/>
  <c r="G152" i="14"/>
  <c r="G133" i="14"/>
  <c r="G108" i="55"/>
  <c r="G12" i="55"/>
  <c r="G195" i="165"/>
  <c r="G223" i="158"/>
  <c r="G219" i="25"/>
  <c r="G192" i="65"/>
  <c r="G176" i="65"/>
  <c r="G157" i="65"/>
  <c r="G129" i="65"/>
  <c r="G98" i="65"/>
  <c r="E102" i="65"/>
  <c r="G41" i="65"/>
  <c r="G192" i="28"/>
  <c r="G168" i="28"/>
  <c r="G124" i="28"/>
  <c r="G57" i="28"/>
  <c r="G153" i="71"/>
  <c r="G89" i="178"/>
  <c r="G189" i="89"/>
  <c r="G66" i="86"/>
  <c r="G109" i="118"/>
  <c r="G191" i="150"/>
  <c r="G67" i="150"/>
  <c r="G40" i="150"/>
  <c r="G225" i="47"/>
  <c r="M17" i="47"/>
  <c r="E111" i="172"/>
  <c r="G137" i="39"/>
  <c r="G72" i="165"/>
  <c r="G51" i="24"/>
  <c r="G105" i="65"/>
  <c r="G91" i="28"/>
  <c r="G59" i="15"/>
  <c r="G141" i="10"/>
  <c r="G137" i="157"/>
  <c r="G107" i="28"/>
  <c r="G68" i="64"/>
  <c r="G146" i="145"/>
  <c r="G184" i="66"/>
  <c r="G42" i="46"/>
  <c r="G203" i="64"/>
  <c r="G68" i="141"/>
  <c r="G12" i="152"/>
  <c r="G75" i="46"/>
  <c r="G227" i="152"/>
  <c r="G201" i="39"/>
  <c r="G227" i="43"/>
  <c r="G137" i="46"/>
  <c r="G35" i="31"/>
  <c r="G67" i="89"/>
  <c r="G47" i="87"/>
  <c r="G150" i="178"/>
  <c r="G201" i="176"/>
  <c r="G90" i="152"/>
  <c r="G181" i="120"/>
  <c r="G142" i="145"/>
  <c r="G219" i="43"/>
  <c r="G116" i="119"/>
  <c r="G46" i="25"/>
  <c r="G195" i="145"/>
  <c r="G59" i="49"/>
  <c r="G174" i="54"/>
  <c r="G33" i="58"/>
  <c r="G96" i="118"/>
  <c r="G41" i="175"/>
  <c r="G171" i="142"/>
  <c r="G141" i="106"/>
  <c r="G143" i="15"/>
  <c r="G66" i="172"/>
  <c r="G69" i="90"/>
  <c r="G171" i="120"/>
  <c r="G20" i="43"/>
  <c r="G168" i="104"/>
  <c r="G116" i="104"/>
  <c r="G45" i="104"/>
  <c r="G52" i="46"/>
  <c r="G156" i="157"/>
  <c r="G88" i="145"/>
  <c r="G224" i="145"/>
  <c r="E228" i="145"/>
  <c r="G220" i="66"/>
  <c r="G164" i="94"/>
  <c r="G132" i="47"/>
  <c r="G116" i="49"/>
  <c r="G231" i="141"/>
  <c r="E235" i="141"/>
  <c r="G109" i="42"/>
  <c r="G159" i="172"/>
  <c r="G186" i="58"/>
  <c r="E102" i="118"/>
  <c r="G169" i="156"/>
  <c r="G149" i="120"/>
  <c r="G72" i="141"/>
  <c r="G57" i="66"/>
  <c r="G200" i="118"/>
  <c r="G34" i="28"/>
  <c r="G175" i="119"/>
  <c r="G83" i="43"/>
  <c r="G170" i="95"/>
  <c r="G129" i="55"/>
  <c r="G53" i="55"/>
  <c r="G174" i="92"/>
  <c r="G118" i="172"/>
  <c r="G89" i="50"/>
  <c r="G159" i="1"/>
  <c r="G141" i="92"/>
  <c r="G96" i="142"/>
  <c r="G100" i="176"/>
  <c r="G175" i="83"/>
  <c r="G187" i="68"/>
  <c r="G66" i="103"/>
  <c r="G166" i="164"/>
  <c r="G42" i="39"/>
  <c r="G232" i="84"/>
  <c r="G131" i="103"/>
  <c r="G48" i="87"/>
  <c r="G89" i="46"/>
  <c r="G187" i="83"/>
  <c r="G51" i="94"/>
  <c r="G146" i="118"/>
  <c r="G43" i="118"/>
  <c r="G142" i="66"/>
  <c r="G83" i="14"/>
  <c r="G75" i="55"/>
  <c r="G173" i="16"/>
  <c r="G26" i="16"/>
  <c r="G226" i="156"/>
  <c r="G68" i="65"/>
  <c r="G226" i="43"/>
  <c r="G47" i="172"/>
  <c r="G223" i="178"/>
  <c r="E111" i="158"/>
  <c r="E111" i="16"/>
  <c r="G78" i="19"/>
  <c r="G77" i="15"/>
  <c r="G19" i="95"/>
  <c r="G156" i="98"/>
  <c r="G146" i="94"/>
  <c r="G26" i="118"/>
  <c r="G171" i="49"/>
  <c r="G187" i="25"/>
  <c r="G18" i="16"/>
  <c r="G41" i="145"/>
  <c r="E111" i="86"/>
  <c r="E235" i="119"/>
  <c r="E102" i="175"/>
  <c r="E111" i="65"/>
  <c r="G150" i="145"/>
  <c r="G183" i="10"/>
  <c r="G147" i="156"/>
  <c r="G180" i="15"/>
  <c r="G20" i="118"/>
  <c r="G190" i="1"/>
  <c r="G158" i="24"/>
  <c r="G117" i="155"/>
  <c r="G39" i="31"/>
  <c r="G36" i="1"/>
  <c r="G46" i="14"/>
  <c r="G219" i="63"/>
  <c r="G169" i="176"/>
  <c r="G178" i="50"/>
  <c r="G89" i="92"/>
  <c r="G205" i="142"/>
  <c r="G186" i="142"/>
  <c r="G131" i="89"/>
  <c r="G201" i="10"/>
  <c r="G43" i="172"/>
  <c r="G101" i="87"/>
  <c r="G195" i="10"/>
  <c r="G56" i="10"/>
  <c r="G82" i="98"/>
  <c r="G182" i="94"/>
  <c r="G11" i="94"/>
  <c r="G107" i="118"/>
  <c r="G137" i="10"/>
  <c r="G226" i="53"/>
  <c r="G174" i="58"/>
  <c r="G107" i="58"/>
  <c r="G167" i="63"/>
  <c r="G196" i="15"/>
  <c r="G43" i="19"/>
  <c r="G194" i="164"/>
  <c r="G100" i="164"/>
  <c r="G74" i="94"/>
  <c r="G148" i="15"/>
  <c r="G164" i="71"/>
  <c r="G132" i="87"/>
  <c r="G159" i="176"/>
  <c r="G12" i="98"/>
  <c r="G160" i="174"/>
  <c r="G202" i="63"/>
  <c r="G202" i="66"/>
  <c r="G97" i="68"/>
  <c r="G221" i="15"/>
  <c r="G54" i="15"/>
  <c r="G15" i="54"/>
  <c r="G186" i="54"/>
  <c r="G16" i="10"/>
  <c r="G177" i="39"/>
  <c r="G18" i="39"/>
  <c r="G167" i="68"/>
  <c r="G32" i="68"/>
  <c r="G35" i="164"/>
  <c r="G170" i="94"/>
  <c r="G155" i="54"/>
  <c r="G201" i="60"/>
  <c r="G96" i="103"/>
  <c r="G148" i="14"/>
  <c r="G105" i="14"/>
  <c r="G101" i="55"/>
  <c r="G77" i="16"/>
  <c r="G42" i="16"/>
  <c r="G60" i="155"/>
  <c r="G188" i="65"/>
  <c r="G148" i="65"/>
  <c r="G138" i="28"/>
  <c r="G220" i="64"/>
  <c r="G219" i="69"/>
  <c r="G178" i="10"/>
  <c r="G224" i="172"/>
  <c r="G159" i="150"/>
  <c r="G13" i="24"/>
  <c r="G46" i="39"/>
  <c r="G78" i="94"/>
  <c r="G155" i="150"/>
  <c r="G171" i="69"/>
  <c r="G98" i="71"/>
  <c r="G32" i="49"/>
  <c r="G176" i="90"/>
  <c r="G17" i="71"/>
  <c r="G178" i="94"/>
  <c r="G187" i="69"/>
  <c r="G222" i="84"/>
  <c r="G100" i="46"/>
  <c r="G12" i="53"/>
  <c r="G19" i="118"/>
  <c r="G53" i="14"/>
  <c r="G204" i="158"/>
  <c r="G110" i="158"/>
  <c r="G220" i="42"/>
  <c r="G40" i="155"/>
  <c r="C208" i="53"/>
  <c r="C215" i="53"/>
  <c r="G166" i="150"/>
  <c r="E235" i="28"/>
  <c r="G41" i="32"/>
  <c r="E206" i="90"/>
  <c r="G31" i="54"/>
  <c r="G25" i="43"/>
  <c r="G43" i="164"/>
  <c r="G231" i="119"/>
  <c r="E206" i="164"/>
  <c r="G130" i="65"/>
  <c r="G77" i="145"/>
  <c r="G174" i="46"/>
  <c r="G100" i="92"/>
  <c r="G155" i="31"/>
  <c r="G219" i="87"/>
  <c r="G235" i="16"/>
  <c r="K14" i="16"/>
  <c r="G186" i="95"/>
  <c r="G205" i="50"/>
  <c r="G155" i="1"/>
  <c r="G170" i="92"/>
  <c r="G136" i="92"/>
  <c r="G89" i="142"/>
  <c r="G43" i="69"/>
  <c r="G150" i="89"/>
  <c r="G15" i="89"/>
  <c r="G34" i="176"/>
  <c r="G27" i="172"/>
  <c r="G194" i="150"/>
  <c r="G118" i="150"/>
  <c r="G31" i="176"/>
  <c r="G124" i="90"/>
  <c r="G30" i="39"/>
  <c r="G226" i="66"/>
  <c r="G171" i="68"/>
  <c r="G67" i="68"/>
  <c r="G224" i="54"/>
  <c r="G27" i="54"/>
  <c r="G156" i="69"/>
  <c r="G168" i="55"/>
  <c r="G138" i="90"/>
  <c r="G203" i="71"/>
  <c r="G167" i="83"/>
  <c r="G12" i="49"/>
  <c r="G151" i="174"/>
  <c r="G97" i="174"/>
  <c r="G194" i="60"/>
  <c r="G57" i="174"/>
  <c r="G201" i="145"/>
  <c r="G150" i="150"/>
  <c r="G32" i="87"/>
  <c r="G157" i="55"/>
  <c r="G72" i="55"/>
  <c r="G168" i="71"/>
  <c r="G15" i="164"/>
  <c r="G205" i="60"/>
  <c r="G141" i="60"/>
  <c r="G126" i="118"/>
  <c r="G27" i="118"/>
  <c r="G76" i="24"/>
  <c r="G190" i="150"/>
  <c r="G226" i="83"/>
  <c r="G17" i="14"/>
  <c r="G219" i="55"/>
  <c r="G167" i="55"/>
  <c r="G137" i="55"/>
  <c r="G219" i="165"/>
  <c r="G171" i="165"/>
  <c r="G142" i="165"/>
  <c r="G28" i="165"/>
  <c r="G185" i="16"/>
  <c r="G149" i="16"/>
  <c r="G99" i="16"/>
  <c r="G38" i="16"/>
  <c r="G149" i="158"/>
  <c r="G77" i="158"/>
  <c r="G14" i="158"/>
  <c r="G87" i="65"/>
  <c r="G116" i="28"/>
  <c r="G53" i="28"/>
  <c r="G25" i="28"/>
  <c r="G53" i="68"/>
  <c r="G89" i="31"/>
  <c r="G166" i="31"/>
  <c r="G26" i="14"/>
  <c r="G67" i="58"/>
  <c r="G178" i="89"/>
  <c r="G137" i="174"/>
  <c r="G131" i="60"/>
  <c r="G101" i="10"/>
  <c r="G147" i="83"/>
  <c r="G109" i="15"/>
  <c r="G65" i="15"/>
  <c r="G136" i="54"/>
  <c r="G203" i="65"/>
  <c r="G109" i="65"/>
  <c r="G53" i="65"/>
  <c r="G157" i="28"/>
  <c r="G72" i="28"/>
  <c r="E228" i="87"/>
  <c r="G19" i="39"/>
  <c r="G29" i="28"/>
  <c r="G13" i="157"/>
  <c r="G60" i="69"/>
  <c r="G35" i="60"/>
  <c r="E119" i="172"/>
  <c r="G188" i="94"/>
  <c r="G82" i="174"/>
  <c r="G90" i="155"/>
  <c r="G219" i="143"/>
  <c r="G97" i="54"/>
  <c r="E206" i="55"/>
  <c r="G224" i="16"/>
  <c r="G151" i="133"/>
  <c r="G150" i="176"/>
  <c r="G147" i="63"/>
  <c r="G69" i="152"/>
  <c r="G89" i="54"/>
  <c r="G43" i="60"/>
  <c r="G19" i="49"/>
  <c r="G166" i="54"/>
  <c r="E111" i="174"/>
  <c r="G135" i="16"/>
  <c r="G205" i="164"/>
  <c r="G12" i="47"/>
  <c r="G187" i="49"/>
  <c r="G146" i="89"/>
  <c r="G171" i="63"/>
  <c r="G174" i="164"/>
  <c r="G205" i="54"/>
  <c r="G114" i="38"/>
  <c r="G55" i="175"/>
  <c r="G138" i="156"/>
  <c r="G219" i="89"/>
  <c r="G219" i="10"/>
  <c r="G130" i="176"/>
  <c r="G100" i="50"/>
  <c r="G170" i="1"/>
  <c r="G150" i="1"/>
  <c r="G66" i="89"/>
  <c r="G190" i="10"/>
  <c r="G31" i="150"/>
  <c r="G146" i="176"/>
  <c r="G87" i="71"/>
  <c r="G28" i="83"/>
  <c r="G160" i="98"/>
  <c r="G124" i="15"/>
  <c r="G35" i="19"/>
  <c r="G70" i="54"/>
  <c r="G205" i="118"/>
  <c r="G100" i="103"/>
  <c r="G126" i="150"/>
  <c r="G160" i="89"/>
  <c r="G186" i="176"/>
  <c r="G143" i="55"/>
  <c r="G169" i="39"/>
  <c r="G157" i="71"/>
  <c r="G125" i="46"/>
  <c r="G142" i="174"/>
  <c r="G141" i="54"/>
  <c r="G114" i="118"/>
  <c r="G205" i="103"/>
  <c r="G115" i="87"/>
  <c r="G108" i="10"/>
  <c r="G232" i="14"/>
  <c r="G149" i="39"/>
  <c r="G16" i="47"/>
  <c r="G55" i="164"/>
  <c r="G126" i="94"/>
  <c r="G19" i="94"/>
  <c r="G89" i="103"/>
  <c r="G142" i="47"/>
  <c r="G191" i="174"/>
  <c r="G97" i="66"/>
  <c r="G11" i="164"/>
  <c r="G114" i="54"/>
  <c r="G100" i="60"/>
  <c r="G55" i="118"/>
  <c r="G72" i="14"/>
  <c r="G45" i="14"/>
  <c r="G132" i="55"/>
  <c r="G16" i="55"/>
  <c r="G137" i="165"/>
  <c r="G181" i="16"/>
  <c r="G145" i="16"/>
  <c r="G189" i="158"/>
  <c r="G92" i="158"/>
  <c r="G48" i="155"/>
  <c r="G184" i="65"/>
  <c r="G33" i="65"/>
  <c r="G203" i="28"/>
  <c r="G13" i="28"/>
  <c r="G220" i="141"/>
  <c r="G192" i="156"/>
  <c r="G43" i="31"/>
  <c r="G126" i="31"/>
  <c r="G226" i="103"/>
  <c r="G186" i="10"/>
  <c r="G194" i="86"/>
  <c r="G222" i="14"/>
  <c r="G53" i="165"/>
  <c r="G60" i="47"/>
  <c r="G85" i="118"/>
  <c r="G137" i="83"/>
  <c r="G70" i="176"/>
  <c r="G151" i="66"/>
  <c r="G39" i="94"/>
  <c r="G127" i="10"/>
  <c r="G231" i="71"/>
  <c r="E235" i="71"/>
  <c r="G115" i="68"/>
  <c r="G78" i="54"/>
  <c r="G164" i="14"/>
  <c r="G124" i="14"/>
  <c r="G45" i="28"/>
  <c r="G105" i="58"/>
  <c r="G179" i="142"/>
  <c r="G37" i="150"/>
  <c r="G82" i="49"/>
  <c r="G164" i="32"/>
  <c r="E111" i="69"/>
  <c r="G98" i="83"/>
  <c r="G64" i="42"/>
  <c r="G48" i="90"/>
  <c r="G72" i="64"/>
  <c r="C208" i="69"/>
  <c r="G17" i="32"/>
  <c r="M11" i="175"/>
  <c r="E237" i="143"/>
  <c r="G189" i="16"/>
  <c r="G86" i="68"/>
  <c r="G145" i="106"/>
  <c r="G58" i="176"/>
  <c r="G174" i="90"/>
  <c r="G56" i="31"/>
  <c r="G64" i="174"/>
  <c r="G52" i="155"/>
  <c r="G147" i="174"/>
  <c r="G25" i="42"/>
  <c r="G17" i="157"/>
  <c r="G87" i="155"/>
  <c r="G39" i="175"/>
  <c r="G133" i="156"/>
  <c r="G77" i="155"/>
  <c r="G226" i="145"/>
  <c r="G47" i="31"/>
  <c r="G66" i="31"/>
  <c r="G107" i="31"/>
  <c r="G131" i="31"/>
  <c r="G178" i="31"/>
  <c r="G180" i="55"/>
  <c r="G84" i="176"/>
  <c r="G170" i="89"/>
  <c r="G114" i="89"/>
  <c r="G201" i="87"/>
  <c r="G74" i="87"/>
  <c r="G201" i="172"/>
  <c r="G70" i="172"/>
  <c r="G96" i="46"/>
  <c r="G132" i="10"/>
  <c r="G87" i="24"/>
  <c r="G52" i="47"/>
  <c r="G86" i="174"/>
  <c r="G96" i="58"/>
  <c r="G27" i="164"/>
  <c r="G47" i="94"/>
  <c r="G107" i="60"/>
  <c r="G183" i="69"/>
  <c r="G82" i="10"/>
  <c r="G48" i="47"/>
  <c r="G179" i="49"/>
  <c r="G137" i="98"/>
  <c r="G201" i="58"/>
  <c r="G146" i="164"/>
  <c r="G31" i="60"/>
  <c r="G170" i="150"/>
  <c r="G41" i="55"/>
  <c r="G202" i="49"/>
  <c r="G202" i="53"/>
  <c r="G195" i="174"/>
  <c r="G101" i="66"/>
  <c r="G164" i="15"/>
  <c r="G131" i="150"/>
  <c r="G145" i="39"/>
  <c r="G192" i="71"/>
  <c r="G32" i="53"/>
  <c r="G205" i="58"/>
  <c r="G90" i="68"/>
  <c r="G170" i="164"/>
  <c r="G136" i="94"/>
  <c r="G190" i="54"/>
  <c r="G59" i="54"/>
  <c r="G157" i="14"/>
  <c r="G116" i="14"/>
  <c r="G98" i="14"/>
  <c r="G13" i="14"/>
  <c r="G40" i="55"/>
  <c r="G50" i="16"/>
  <c r="G34" i="16"/>
  <c r="G14" i="16"/>
  <c r="G145" i="158"/>
  <c r="G86" i="155"/>
  <c r="G180" i="65"/>
  <c r="G76" i="65"/>
  <c r="G196" i="28"/>
  <c r="G41" i="28"/>
  <c r="E206" i="174"/>
  <c r="G59" i="31"/>
  <c r="G16" i="1"/>
  <c r="G91" i="55"/>
  <c r="G114" i="142"/>
  <c r="G205" i="172"/>
  <c r="G126" i="172"/>
  <c r="G174" i="176"/>
  <c r="G152" i="55"/>
  <c r="G202" i="69"/>
  <c r="G82" i="68"/>
  <c r="G178" i="164"/>
  <c r="G146" i="150"/>
  <c r="G195" i="98"/>
  <c r="G82" i="69"/>
  <c r="G75" i="68"/>
  <c r="G141" i="164"/>
  <c r="G90" i="98"/>
  <c r="G28" i="66"/>
  <c r="G186" i="60"/>
  <c r="G202" i="55"/>
  <c r="G48" i="55"/>
  <c r="G54" i="16"/>
  <c r="E228" i="42"/>
  <c r="E21" i="175"/>
  <c r="E228" i="174"/>
  <c r="E236" i="174"/>
  <c r="G43" i="143"/>
  <c r="G130" i="28"/>
  <c r="G109" i="104"/>
  <c r="E79" i="94"/>
  <c r="G165" i="39"/>
  <c r="E206" i="65"/>
  <c r="G114" i="58"/>
  <c r="G195" i="84"/>
  <c r="G37" i="155"/>
  <c r="G141" i="175"/>
  <c r="G168" i="14"/>
  <c r="G11" i="157"/>
  <c r="G201" i="104"/>
  <c r="G219" i="86"/>
  <c r="G227" i="143"/>
  <c r="G69" i="14"/>
  <c r="G64" i="55"/>
  <c r="G125" i="176"/>
  <c r="G166" i="50"/>
  <c r="G118" i="50"/>
  <c r="G166" i="1"/>
  <c r="G74" i="1"/>
  <c r="G190" i="92"/>
  <c r="G146" i="92"/>
  <c r="G126" i="92"/>
  <c r="G43" i="89"/>
  <c r="G182" i="10"/>
  <c r="G158" i="176"/>
  <c r="G194" i="172"/>
  <c r="G146" i="172"/>
  <c r="G51" i="172"/>
  <c r="G226" i="87"/>
  <c r="G172" i="71"/>
  <c r="G76" i="71"/>
  <c r="G232" i="106"/>
  <c r="G191" i="83"/>
  <c r="G191" i="49"/>
  <c r="G142" i="98"/>
  <c r="G90" i="66"/>
  <c r="G176" i="15"/>
  <c r="G31" i="94"/>
  <c r="G39" i="176"/>
  <c r="G220" i="55"/>
  <c r="G220" i="157"/>
  <c r="G153" i="39"/>
  <c r="G148" i="71"/>
  <c r="G13" i="71"/>
  <c r="G114" i="46"/>
  <c r="G183" i="174"/>
  <c r="G127" i="174"/>
  <c r="G190" i="94"/>
  <c r="G11" i="60"/>
  <c r="G175" i="63"/>
  <c r="G27" i="150"/>
  <c r="G47" i="176"/>
  <c r="G226" i="133"/>
  <c r="G37" i="71"/>
  <c r="G107" i="46"/>
  <c r="G202" i="83"/>
  <c r="G167" i="98"/>
  <c r="G118" i="164"/>
  <c r="G47" i="164"/>
  <c r="G201" i="94"/>
  <c r="G66" i="94"/>
  <c r="G78" i="118"/>
  <c r="G70" i="103"/>
  <c r="G78" i="176"/>
  <c r="G77" i="14"/>
  <c r="G226" i="46"/>
  <c r="G44" i="47"/>
  <c r="G151" i="83"/>
  <c r="G175" i="174"/>
  <c r="G156" i="66"/>
  <c r="G82" i="66"/>
  <c r="G202" i="68"/>
  <c r="G186" i="94"/>
  <c r="G55" i="60"/>
  <c r="G39" i="118"/>
  <c r="G227" i="55"/>
  <c r="G127" i="55"/>
  <c r="G71" i="165"/>
  <c r="G204" i="16"/>
  <c r="G158" i="16"/>
  <c r="G110" i="16"/>
  <c r="G30" i="16"/>
  <c r="G54" i="158"/>
  <c r="G44" i="155"/>
  <c r="G220" i="24"/>
  <c r="G156" i="149"/>
  <c r="G133" i="149"/>
  <c r="G171" i="149"/>
  <c r="G190" i="149"/>
  <c r="G170" i="149"/>
  <c r="G126" i="149"/>
  <c r="G33" i="149"/>
  <c r="G115" i="149"/>
  <c r="G195" i="149"/>
  <c r="G42" i="149"/>
  <c r="G90" i="149"/>
  <c r="G101" i="149"/>
  <c r="G43" i="149"/>
  <c r="G123" i="149"/>
  <c r="G141" i="149"/>
  <c r="G132" i="149"/>
  <c r="G182" i="149"/>
  <c r="G175" i="149"/>
  <c r="G131" i="149"/>
  <c r="G156" i="27"/>
  <c r="G106" i="27"/>
  <c r="G115" i="27"/>
  <c r="G116" i="27"/>
  <c r="G227" i="27"/>
  <c r="G201" i="27"/>
  <c r="G123" i="27"/>
  <c r="G183" i="27"/>
  <c r="G169" i="27"/>
  <c r="G160" i="27"/>
  <c r="G89" i="27"/>
  <c r="G97" i="27"/>
  <c r="G127" i="27"/>
  <c r="G194" i="27"/>
  <c r="G71" i="27"/>
  <c r="G44" i="27"/>
  <c r="G90" i="27"/>
  <c r="G157" i="62"/>
  <c r="G106" i="62"/>
  <c r="G193" i="62"/>
  <c r="G66" i="62"/>
  <c r="G117" i="62"/>
  <c r="G75" i="62"/>
  <c r="G52" i="62"/>
  <c r="G180" i="62"/>
  <c r="G131" i="62"/>
  <c r="G189" i="62"/>
  <c r="G159" i="62"/>
  <c r="G186" i="62"/>
  <c r="G19" i="177"/>
  <c r="G193" i="177"/>
  <c r="G14" i="177"/>
  <c r="G192" i="177"/>
  <c r="G170" i="177"/>
  <c r="G54" i="177"/>
  <c r="G221" i="177"/>
  <c r="G15" i="177"/>
  <c r="G77" i="177"/>
  <c r="G130" i="177"/>
  <c r="G131" i="177"/>
  <c r="G186" i="177"/>
  <c r="G205" i="177"/>
  <c r="G106" i="68"/>
  <c r="G224" i="62"/>
  <c r="G151" i="25"/>
  <c r="G226" i="89"/>
  <c r="G20" i="10"/>
  <c r="G20" i="14"/>
  <c r="G50" i="38"/>
  <c r="G18" i="68"/>
  <c r="G146" i="27"/>
  <c r="G116" i="156"/>
  <c r="G43" i="24"/>
  <c r="G78" i="25"/>
  <c r="G15" i="92"/>
  <c r="G159" i="45"/>
  <c r="G118" i="45"/>
  <c r="G55" i="45"/>
  <c r="G91" i="65"/>
  <c r="G87" i="28"/>
  <c r="G84" i="45"/>
  <c r="G42" i="15"/>
  <c r="G83" i="45"/>
  <c r="G42" i="83"/>
  <c r="G28" i="1"/>
  <c r="G184" i="119"/>
  <c r="G110" i="150"/>
  <c r="G183" i="156"/>
  <c r="G129" i="119"/>
  <c r="G219" i="152"/>
  <c r="G147" i="152"/>
  <c r="G179" i="155"/>
  <c r="G175" i="156"/>
  <c r="G168" i="119"/>
  <c r="G45" i="64"/>
  <c r="G33" i="141"/>
  <c r="G14" i="24"/>
  <c r="G219" i="120"/>
  <c r="G109" i="175"/>
  <c r="G45" i="175"/>
  <c r="G191" i="43"/>
  <c r="G184" i="104"/>
  <c r="G53" i="104"/>
  <c r="G49" i="119"/>
  <c r="G129" i="24"/>
  <c r="G106" i="90"/>
  <c r="G54" i="90"/>
  <c r="G48" i="133"/>
  <c r="G75" i="43"/>
  <c r="G42" i="106"/>
  <c r="G44" i="46"/>
  <c r="G66" i="15"/>
  <c r="G48" i="103"/>
  <c r="G157" i="119"/>
  <c r="G91" i="32"/>
  <c r="G87" i="141"/>
  <c r="G90" i="46"/>
  <c r="G136" i="143"/>
  <c r="E93" i="141"/>
  <c r="G43" i="95"/>
  <c r="E206" i="176"/>
  <c r="G39" i="89"/>
  <c r="G108" i="63"/>
  <c r="G84" i="27"/>
  <c r="G168" i="156"/>
  <c r="G171" i="177"/>
  <c r="G74" i="106"/>
  <c r="G74" i="25"/>
  <c r="G71" i="65"/>
  <c r="G78" i="142"/>
  <c r="G39" i="90"/>
  <c r="G194" i="45"/>
  <c r="G155" i="45"/>
  <c r="G100" i="45"/>
  <c r="G51" i="45"/>
  <c r="G156" i="55"/>
  <c r="G64" i="65"/>
  <c r="G49" i="28"/>
  <c r="G91" i="149"/>
  <c r="G223" i="98"/>
  <c r="G101" i="156"/>
  <c r="G37" i="42"/>
  <c r="G60" i="156"/>
  <c r="G37" i="25"/>
  <c r="G87" i="64"/>
  <c r="G172" i="141"/>
  <c r="G156" i="120"/>
  <c r="G195" i="152"/>
  <c r="G127" i="152"/>
  <c r="G187" i="43"/>
  <c r="G82" i="43"/>
  <c r="G152" i="104"/>
  <c r="G177" i="15"/>
  <c r="G138" i="104"/>
  <c r="G180" i="42"/>
  <c r="G227" i="155"/>
  <c r="G180" i="64"/>
  <c r="G196" i="141"/>
  <c r="G138" i="141"/>
  <c r="G227" i="133"/>
  <c r="G223" i="84"/>
  <c r="G36" i="46"/>
  <c r="G77" i="150"/>
  <c r="G105" i="155"/>
  <c r="G33" i="25"/>
  <c r="G29" i="119"/>
  <c r="G164" i="64"/>
  <c r="G192" i="141"/>
  <c r="G108" i="120"/>
  <c r="G40" i="133"/>
  <c r="G185" i="84"/>
  <c r="G91" i="175"/>
  <c r="G145" i="15"/>
  <c r="G53" i="42"/>
  <c r="G191" i="156"/>
  <c r="G148" i="155"/>
  <c r="G53" i="155"/>
  <c r="G37" i="119"/>
  <c r="G138" i="24"/>
  <c r="G105" i="175"/>
  <c r="G25" i="175"/>
  <c r="G73" i="106"/>
  <c r="G125" i="15"/>
  <c r="G141" i="177"/>
  <c r="C208" i="54"/>
  <c r="C215" i="54"/>
  <c r="G221" i="53"/>
  <c r="G105" i="119"/>
  <c r="G184" i="89"/>
  <c r="G150" i="31"/>
  <c r="G25" i="90"/>
  <c r="G153" i="178"/>
  <c r="G86" i="89"/>
  <c r="G117" i="15"/>
  <c r="G91" i="1"/>
  <c r="E237" i="172"/>
  <c r="G109" i="39"/>
  <c r="E235" i="98"/>
  <c r="E237" i="98"/>
  <c r="G33" i="19"/>
  <c r="G39" i="95"/>
  <c r="G148" i="16"/>
  <c r="G82" i="31"/>
  <c r="G35" i="119"/>
  <c r="G72" i="106"/>
  <c r="G72" i="58"/>
  <c r="G91" i="83"/>
  <c r="G36" i="95"/>
  <c r="E111" i="45"/>
  <c r="G193" i="90"/>
  <c r="G76" i="64"/>
  <c r="G15" i="133"/>
  <c r="G56" i="156"/>
  <c r="G205" i="27"/>
  <c r="G31" i="27"/>
  <c r="G42" i="157"/>
  <c r="G58" i="42"/>
  <c r="G16" i="53"/>
  <c r="G195" i="69"/>
  <c r="G46" i="65"/>
  <c r="G86" i="25"/>
  <c r="G194" i="90"/>
  <c r="G73" i="152"/>
  <c r="G37" i="27"/>
  <c r="G36" i="119"/>
  <c r="G151" i="49"/>
  <c r="G39" i="58"/>
  <c r="G181" i="19"/>
  <c r="G84" i="42"/>
  <c r="G175" i="25"/>
  <c r="G56" i="69"/>
  <c r="G137" i="120"/>
  <c r="G36" i="60"/>
  <c r="G40" i="38"/>
  <c r="G54" i="53"/>
  <c r="G192" i="104"/>
  <c r="G77" i="38"/>
  <c r="G44" i="54"/>
  <c r="G74" i="31"/>
  <c r="G39" i="25"/>
  <c r="G11" i="158"/>
  <c r="G182" i="45"/>
  <c r="G141" i="45"/>
  <c r="G74" i="45"/>
  <c r="G39" i="45"/>
  <c r="G28" i="55"/>
  <c r="G164" i="65"/>
  <c r="G13" i="65"/>
  <c r="M13" i="65"/>
  <c r="G72" i="43"/>
  <c r="G98" i="46"/>
  <c r="G221" i="69"/>
  <c r="G149" i="83"/>
  <c r="G191" i="92"/>
  <c r="G219" i="60"/>
  <c r="G179" i="43"/>
  <c r="G115" i="156"/>
  <c r="G164" i="119"/>
  <c r="G124" i="64"/>
  <c r="G29" i="141"/>
  <c r="G82" i="46"/>
  <c r="G90" i="156"/>
  <c r="G196" i="25"/>
  <c r="G220" i="119"/>
  <c r="G83" i="141"/>
  <c r="G176" i="24"/>
  <c r="G36" i="120"/>
  <c r="G173" i="84"/>
  <c r="G72" i="175"/>
  <c r="G17" i="175"/>
  <c r="G56" i="43"/>
  <c r="G91" i="104"/>
  <c r="G204" i="106"/>
  <c r="G142" i="46"/>
  <c r="G26" i="150"/>
  <c r="G86" i="156"/>
  <c r="G143" i="155"/>
  <c r="G196" i="24"/>
  <c r="G169" i="90"/>
  <c r="G77" i="90"/>
  <c r="G26" i="90"/>
  <c r="G147" i="133"/>
  <c r="G29" i="175"/>
  <c r="G123" i="43"/>
  <c r="G231" i="104"/>
  <c r="E235" i="104"/>
  <c r="G68" i="104"/>
  <c r="G173" i="15"/>
  <c r="G13" i="42"/>
  <c r="G109" i="119"/>
  <c r="G176" i="141"/>
  <c r="G40" i="152"/>
  <c r="G165" i="84"/>
  <c r="G25" i="104"/>
  <c r="G191" i="46"/>
  <c r="G59" i="58"/>
  <c r="G135" i="28"/>
  <c r="G88" i="16"/>
  <c r="G140" i="106"/>
  <c r="G202" i="54"/>
  <c r="G11" i="69"/>
  <c r="G205" i="47"/>
  <c r="G59" i="1"/>
  <c r="G67" i="143"/>
  <c r="G85" i="90"/>
  <c r="G50" i="150"/>
  <c r="G37" i="157"/>
  <c r="G29" i="149"/>
  <c r="G140" i="42"/>
  <c r="E228" i="177"/>
  <c r="G52" i="98"/>
  <c r="G167" i="133"/>
  <c r="G142" i="1"/>
  <c r="G101" i="25"/>
  <c r="G89" i="177"/>
  <c r="E93" i="149"/>
  <c r="G33" i="24"/>
  <c r="G34" i="152"/>
  <c r="G160" i="84"/>
  <c r="G90" i="84"/>
  <c r="K14" i="1"/>
  <c r="G200" i="42"/>
  <c r="G204" i="64"/>
  <c r="G27" i="143"/>
  <c r="G130" i="38"/>
  <c r="G200" i="106"/>
  <c r="G191" i="145"/>
  <c r="G98" i="66"/>
  <c r="G34" i="38"/>
  <c r="G169" i="178"/>
  <c r="G60" i="19"/>
  <c r="G169" i="106"/>
  <c r="G138" i="39"/>
  <c r="G227" i="46"/>
  <c r="E102" i="27"/>
  <c r="G20" i="142"/>
  <c r="G55" i="69"/>
  <c r="G53" i="119"/>
  <c r="G224" i="95"/>
  <c r="G33" i="46"/>
  <c r="G67" i="95"/>
  <c r="G91" i="42"/>
  <c r="G172" i="42"/>
  <c r="G73" i="65"/>
  <c r="G82" i="150"/>
  <c r="G27" i="158"/>
  <c r="G180" i="150"/>
  <c r="G118" i="177"/>
  <c r="G78" i="27"/>
  <c r="G169" i="133"/>
  <c r="E237" i="39"/>
  <c r="G66" i="25"/>
  <c r="G190" i="45"/>
  <c r="G150" i="45"/>
  <c r="G85" i="45"/>
  <c r="G47" i="45"/>
  <c r="G73" i="158"/>
  <c r="G225" i="165"/>
  <c r="G37" i="149"/>
  <c r="G12" i="1"/>
  <c r="G160" i="156"/>
  <c r="G69" i="150"/>
  <c r="G184" i="42"/>
  <c r="G132" i="156"/>
  <c r="G41" i="119"/>
  <c r="G143" i="64"/>
  <c r="G195" i="46"/>
  <c r="G40" i="46"/>
  <c r="G133" i="42"/>
  <c r="G76" i="42"/>
  <c r="G152" i="119"/>
  <c r="G188" i="24"/>
  <c r="G87" i="175"/>
  <c r="G196" i="42"/>
  <c r="G108" i="156"/>
  <c r="G221" i="24"/>
  <c r="G88" i="90"/>
  <c r="G34" i="90"/>
  <c r="G28" i="46"/>
  <c r="G28" i="103"/>
  <c r="G76" i="104"/>
  <c r="G202" i="47"/>
  <c r="E228" i="24"/>
  <c r="E228" i="10"/>
  <c r="E236" i="10"/>
  <c r="G116" i="155"/>
  <c r="G186" i="45"/>
  <c r="G146" i="45"/>
  <c r="G78" i="45"/>
  <c r="G43" i="45"/>
  <c r="G36" i="55"/>
  <c r="G29" i="65"/>
  <c r="G33" i="28"/>
  <c r="G148" i="43"/>
  <c r="G30" i="158"/>
  <c r="G107" i="155"/>
  <c r="G64" i="149"/>
  <c r="G105" i="42"/>
  <c r="G67" i="103"/>
  <c r="G168" i="42"/>
  <c r="G48" i="156"/>
  <c r="G98" i="119"/>
  <c r="G232" i="28"/>
  <c r="G157" i="141"/>
  <c r="G18" i="90"/>
  <c r="G127" i="43"/>
  <c r="G188" i="104"/>
  <c r="G223" i="106"/>
  <c r="G129" i="64"/>
  <c r="G84" i="90"/>
  <c r="G127" i="120"/>
  <c r="G191" i="133"/>
  <c r="G76" i="155"/>
  <c r="G180" i="141"/>
  <c r="G20" i="152"/>
  <c r="G20" i="133"/>
  <c r="G169" i="84"/>
  <c r="G130" i="15"/>
  <c r="G164" i="42"/>
  <c r="G33" i="42"/>
  <c r="G153" i="90"/>
  <c r="G32" i="133"/>
  <c r="G67" i="43"/>
  <c r="G180" i="104"/>
  <c r="G219" i="46"/>
  <c r="E102" i="31"/>
  <c r="D208" i="92"/>
  <c r="G114" i="177"/>
  <c r="G11" i="39"/>
  <c r="G86" i="84"/>
  <c r="E79" i="55"/>
  <c r="G142" i="133"/>
  <c r="G188" i="25"/>
  <c r="G196" i="156"/>
  <c r="G126" i="119"/>
  <c r="G178" i="45"/>
  <c r="G136" i="45"/>
  <c r="G70" i="45"/>
  <c r="G35" i="45"/>
  <c r="G12" i="165"/>
  <c r="G152" i="65"/>
  <c r="G148" i="28"/>
  <c r="G17" i="43"/>
  <c r="G130" i="47"/>
  <c r="G158" i="158"/>
  <c r="G36" i="152"/>
  <c r="G89" i="155"/>
  <c r="G57" i="149"/>
  <c r="G26" i="83"/>
  <c r="G54" i="106"/>
  <c r="G203" i="141"/>
  <c r="G33" i="175"/>
  <c r="G176" i="104"/>
  <c r="G71" i="46"/>
  <c r="G135" i="15"/>
  <c r="G183" i="19"/>
  <c r="G13" i="119"/>
  <c r="G168" i="141"/>
  <c r="G58" i="90"/>
  <c r="G202" i="152"/>
  <c r="G223" i="150"/>
  <c r="G176" i="42"/>
  <c r="G45" i="42"/>
  <c r="G64" i="119"/>
  <c r="G133" i="64"/>
  <c r="G29" i="32"/>
  <c r="G133" i="141"/>
  <c r="G77" i="106"/>
  <c r="G14" i="106"/>
  <c r="G127" i="156"/>
  <c r="G18" i="24"/>
  <c r="G183" i="43"/>
  <c r="G48" i="46"/>
  <c r="G60" i="103"/>
  <c r="E206" i="42"/>
  <c r="G204" i="156"/>
  <c r="E93" i="10"/>
  <c r="E228" i="158"/>
  <c r="G14" i="45"/>
  <c r="E93" i="158"/>
  <c r="G28" i="86"/>
  <c r="G166" i="25"/>
  <c r="G55" i="1"/>
  <c r="G174" i="45"/>
  <c r="G131" i="45"/>
  <c r="G66" i="45"/>
  <c r="G31" i="45"/>
  <c r="G173" i="27"/>
  <c r="G117" i="47"/>
  <c r="G53" i="149"/>
  <c r="G65" i="83"/>
  <c r="G49" i="42"/>
  <c r="G195" i="156"/>
  <c r="G83" i="155"/>
  <c r="K14" i="24"/>
  <c r="G86" i="120"/>
  <c r="G156" i="152"/>
  <c r="G192" i="24"/>
  <c r="G176" i="119"/>
  <c r="G183" i="133"/>
  <c r="G90" i="133"/>
  <c r="G200" i="71"/>
  <c r="G125" i="84"/>
  <c r="G72" i="104"/>
  <c r="G129" i="155"/>
  <c r="G168" i="24"/>
  <c r="G145" i="90"/>
  <c r="G224" i="39"/>
  <c r="G58" i="106"/>
  <c r="G56" i="46"/>
  <c r="G56" i="103"/>
  <c r="G180" i="119"/>
  <c r="G57" i="119"/>
  <c r="G110" i="28"/>
  <c r="G143" i="141"/>
  <c r="G101" i="152"/>
  <c r="G205" i="39"/>
  <c r="G117" i="106"/>
  <c r="G147" i="46"/>
  <c r="E206" i="27"/>
  <c r="E119" i="165"/>
  <c r="G46" i="42"/>
  <c r="G96" i="25"/>
  <c r="G96" i="119"/>
  <c r="G170" i="45"/>
  <c r="G126" i="45"/>
  <c r="G59" i="45"/>
  <c r="G133" i="90"/>
  <c r="G77" i="47"/>
  <c r="G41" i="149"/>
  <c r="G14" i="83"/>
  <c r="G227" i="164"/>
  <c r="G13" i="155"/>
  <c r="G184" i="141"/>
  <c r="G129" i="141"/>
  <c r="G44" i="152"/>
  <c r="G156" i="133"/>
  <c r="G204" i="84"/>
  <c r="G196" i="175"/>
  <c r="G13" i="175"/>
  <c r="G90" i="43"/>
  <c r="G106" i="106"/>
  <c r="G195" i="47"/>
  <c r="G157" i="42"/>
  <c r="G74" i="15"/>
  <c r="G152" i="141"/>
  <c r="G171" i="156"/>
  <c r="G29" i="42"/>
  <c r="G41" i="155"/>
  <c r="G172" i="64"/>
  <c r="G91" i="64"/>
  <c r="G221" i="141"/>
  <c r="G195" i="133"/>
  <c r="G222" i="45"/>
  <c r="G158" i="15"/>
  <c r="G72" i="42"/>
  <c r="G219" i="156"/>
  <c r="G72" i="155"/>
  <c r="G180" i="24"/>
  <c r="G222" i="90"/>
  <c r="G32" i="46"/>
  <c r="G141" i="178"/>
  <c r="G77" i="71"/>
  <c r="K15" i="165"/>
  <c r="G157" i="49"/>
  <c r="G191" i="84"/>
  <c r="G205" i="175"/>
  <c r="G106" i="46"/>
  <c r="G138" i="49"/>
  <c r="G129" i="27"/>
  <c r="G82" i="157"/>
  <c r="G75" i="174"/>
  <c r="G153" i="58"/>
  <c r="G73" i="49"/>
  <c r="G11" i="92"/>
  <c r="G78" i="89"/>
  <c r="G99" i="45"/>
  <c r="G66" i="149"/>
  <c r="G72" i="90"/>
  <c r="G225" i="39"/>
  <c r="E228" i="39"/>
  <c r="G157" i="165"/>
  <c r="G221" i="157"/>
  <c r="G173" i="42"/>
  <c r="G135" i="24"/>
  <c r="G138" i="120"/>
  <c r="G179" i="87"/>
  <c r="G108" i="69"/>
  <c r="G148" i="24"/>
  <c r="G43" i="27"/>
  <c r="E197" i="54"/>
  <c r="G170" i="103"/>
  <c r="G224" i="156"/>
  <c r="G227" i="84"/>
  <c r="G17" i="58"/>
  <c r="M17" i="58"/>
  <c r="G129" i="68"/>
  <c r="G52" i="92"/>
  <c r="G86" i="106"/>
  <c r="G19" i="66"/>
  <c r="G178" i="118"/>
  <c r="G90" i="53"/>
  <c r="G159" i="174"/>
  <c r="M16" i="27"/>
  <c r="G32" i="25"/>
  <c r="G165" i="28"/>
  <c r="G222" i="64"/>
  <c r="G66" i="87"/>
  <c r="G71" i="28"/>
  <c r="G77" i="49"/>
  <c r="G27" i="15"/>
  <c r="G58" i="38"/>
  <c r="G156" i="106"/>
  <c r="G84" i="145"/>
  <c r="G164" i="175"/>
  <c r="G25" i="120"/>
  <c r="G106" i="71"/>
  <c r="G153" i="45"/>
  <c r="G92" i="45"/>
  <c r="G30" i="45"/>
  <c r="G142" i="87"/>
  <c r="G59" i="42"/>
  <c r="G125" i="54"/>
  <c r="E111" i="42"/>
  <c r="G32" i="89"/>
  <c r="G12" i="87"/>
  <c r="D208" i="50"/>
  <c r="D215" i="50"/>
  <c r="E79" i="1"/>
  <c r="G98" i="62"/>
  <c r="G72" i="31"/>
  <c r="G221" i="106"/>
  <c r="G86" i="150"/>
  <c r="G135" i="156"/>
  <c r="G194" i="155"/>
  <c r="G145" i="28"/>
  <c r="G38" i="49"/>
  <c r="G135" i="38"/>
  <c r="G219" i="84"/>
  <c r="G118" i="175"/>
  <c r="G100" i="175"/>
  <c r="G150" i="104"/>
  <c r="G66" i="104"/>
  <c r="G15" i="104"/>
  <c r="G183" i="106"/>
  <c r="G108" i="106"/>
  <c r="G20" i="106"/>
  <c r="G223" i="47"/>
  <c r="G167" i="47"/>
  <c r="E235" i="66"/>
  <c r="G231" i="66"/>
  <c r="G222" i="103"/>
  <c r="G225" i="89"/>
  <c r="G50" i="46"/>
  <c r="G39" i="104"/>
  <c r="G157" i="89"/>
  <c r="G101" i="177"/>
  <c r="G107" i="87"/>
  <c r="G45" i="149"/>
  <c r="G172" i="90"/>
  <c r="G196" i="152"/>
  <c r="G169" i="45"/>
  <c r="G149" i="42"/>
  <c r="G83" i="156"/>
  <c r="G105" i="39"/>
  <c r="E206" i="66"/>
  <c r="G30" i="89"/>
  <c r="G55" i="54"/>
  <c r="G231" i="25"/>
  <c r="K14" i="25"/>
  <c r="E235" i="25"/>
  <c r="G60" i="150"/>
  <c r="G73" i="45"/>
  <c r="G110" i="14"/>
  <c r="G189" i="45"/>
  <c r="G182" i="90"/>
  <c r="G51" i="90"/>
  <c r="G91" i="120"/>
  <c r="G15" i="38"/>
  <c r="G70" i="90"/>
  <c r="E161" i="157"/>
  <c r="G191" i="178"/>
  <c r="G185" i="145"/>
  <c r="G36" i="28"/>
  <c r="G90" i="86"/>
  <c r="G84" i="89"/>
  <c r="G143" i="177"/>
  <c r="G39" i="39"/>
  <c r="G55" i="58"/>
  <c r="G165" i="62"/>
  <c r="G115" i="177"/>
  <c r="G57" i="32"/>
  <c r="G155" i="143"/>
  <c r="G191" i="143"/>
  <c r="G221" i="27"/>
  <c r="G18" i="157"/>
  <c r="G57" i="152"/>
  <c r="G36" i="38"/>
  <c r="G67" i="49"/>
  <c r="G159" i="156"/>
  <c r="G189" i="66"/>
  <c r="G171" i="71"/>
  <c r="G55" i="158"/>
  <c r="G132" i="25"/>
  <c r="G20" i="25"/>
  <c r="G156" i="119"/>
  <c r="G16" i="119"/>
  <c r="M16" i="119"/>
  <c r="G92" i="28"/>
  <c r="G235" i="156"/>
  <c r="K14" i="156"/>
  <c r="G184" i="53"/>
  <c r="G98" i="150"/>
  <c r="G40" i="142"/>
  <c r="G123" i="89"/>
  <c r="E119" i="27"/>
  <c r="G92" i="43"/>
  <c r="G56" i="92"/>
  <c r="G27" i="175"/>
  <c r="G34" i="46"/>
  <c r="G32" i="83"/>
  <c r="E111" i="46"/>
  <c r="G57" i="16"/>
  <c r="G131" i="39"/>
  <c r="G34" i="45"/>
  <c r="G17" i="24"/>
  <c r="G101" i="120"/>
  <c r="G116" i="157"/>
  <c r="G130" i="42"/>
  <c r="G165" i="24"/>
  <c r="G168" i="120"/>
  <c r="G177" i="133"/>
  <c r="G140" i="133"/>
  <c r="G99" i="133"/>
  <c r="G224" i="38"/>
  <c r="G15" i="149"/>
  <c r="G41" i="27"/>
  <c r="G20" i="71"/>
  <c r="G141" i="42"/>
  <c r="G170" i="118"/>
  <c r="G185" i="65"/>
  <c r="G127" i="94"/>
  <c r="G35" i="157"/>
  <c r="G222" i="54"/>
  <c r="G18" i="71"/>
  <c r="G168" i="43"/>
  <c r="G105" i="165"/>
  <c r="G118" i="27"/>
  <c r="G148" i="120"/>
  <c r="G192" i="62"/>
  <c r="G124" i="66"/>
  <c r="G107" i="42"/>
  <c r="G38" i="15"/>
  <c r="E206" i="156"/>
  <c r="E228" i="157"/>
  <c r="G170" i="15"/>
  <c r="G146" i="90"/>
  <c r="G85" i="31"/>
  <c r="G14" i="46"/>
  <c r="G41" i="66"/>
  <c r="G50" i="28"/>
  <c r="G20" i="28"/>
  <c r="G70" i="178"/>
  <c r="G145" i="178"/>
  <c r="G168" i="60"/>
  <c r="G11" i="142"/>
  <c r="E235" i="175"/>
  <c r="G129" i="25"/>
  <c r="E228" i="14"/>
  <c r="G89" i="165"/>
  <c r="G180" i="27"/>
  <c r="G138" i="27"/>
  <c r="G38" i="27"/>
  <c r="G200" i="16"/>
  <c r="G108" i="157"/>
  <c r="G138" i="152"/>
  <c r="E206" i="47"/>
  <c r="G138" i="133"/>
  <c r="E197" i="164"/>
  <c r="G56" i="25"/>
  <c r="E102" i="87"/>
  <c r="G73" i="38"/>
  <c r="G138" i="1"/>
  <c r="G156" i="54"/>
  <c r="G202" i="71"/>
  <c r="G171" i="84"/>
  <c r="G32" i="84"/>
  <c r="G77" i="46"/>
  <c r="G147" i="47"/>
  <c r="G71" i="83"/>
  <c r="G180" i="49"/>
  <c r="G151" i="62"/>
  <c r="G72" i="19"/>
  <c r="G52" i="42"/>
  <c r="G140" i="84"/>
  <c r="G158" i="45"/>
  <c r="G14" i="68"/>
  <c r="G64" i="24"/>
  <c r="G175" i="120"/>
  <c r="G131" i="84"/>
  <c r="G96" i="106"/>
  <c r="G190" i="27"/>
  <c r="G43" i="90"/>
  <c r="G109" i="120"/>
  <c r="G177" i="152"/>
  <c r="G200" i="133"/>
  <c r="G76" i="39"/>
  <c r="G57" i="27"/>
  <c r="G141" i="141"/>
  <c r="G73" i="42"/>
  <c r="G160" i="157"/>
  <c r="G115" i="19"/>
  <c r="G84" i="84"/>
  <c r="G169" i="46"/>
  <c r="G72" i="62"/>
  <c r="G179" i="119"/>
  <c r="G173" i="145"/>
  <c r="G58" i="83"/>
  <c r="G140" i="45"/>
  <c r="G83" i="149"/>
  <c r="G42" i="133"/>
  <c r="G164" i="55"/>
  <c r="G53" i="24"/>
  <c r="G45" i="43"/>
  <c r="G42" i="45"/>
  <c r="G13" i="165"/>
  <c r="G47" i="27"/>
  <c r="G203" i="157"/>
  <c r="G176" i="157"/>
  <c r="G109" i="157"/>
  <c r="G34" i="42"/>
  <c r="G130" i="24"/>
  <c r="G100" i="90"/>
  <c r="G27" i="90"/>
  <c r="G145" i="152"/>
  <c r="G88" i="152"/>
  <c r="G53" i="39"/>
  <c r="G109" i="178"/>
  <c r="G178" i="16"/>
  <c r="G68" i="25"/>
  <c r="D208" i="53"/>
  <c r="G43" i="42"/>
  <c r="G109" i="145"/>
  <c r="G34" i="37"/>
  <c r="G92" i="149"/>
  <c r="G65" i="27"/>
  <c r="G34" i="145"/>
  <c r="E228" i="133"/>
  <c r="G53" i="156"/>
  <c r="E161" i="55"/>
  <c r="G72" i="49"/>
  <c r="G166" i="49"/>
  <c r="E111" i="1"/>
  <c r="E111" i="150"/>
  <c r="G15" i="142"/>
  <c r="C208" i="46"/>
  <c r="C215" i="46"/>
  <c r="G72" i="39"/>
  <c r="G55" i="177"/>
  <c r="G151" i="84"/>
  <c r="G105" i="149"/>
  <c r="G18" i="156"/>
  <c r="G108" i="15"/>
  <c r="G51" i="149"/>
  <c r="G196" i="55"/>
  <c r="G33" i="55"/>
  <c r="G72" i="65"/>
  <c r="G193" i="45"/>
  <c r="G50" i="45"/>
  <c r="G180" i="157"/>
  <c r="G152" i="157"/>
  <c r="G54" i="42"/>
  <c r="G55" i="24"/>
  <c r="G11" i="24"/>
  <c r="G186" i="90"/>
  <c r="G170" i="90"/>
  <c r="G55" i="90"/>
  <c r="G18" i="152"/>
  <c r="G150" i="175"/>
  <c r="G107" i="175"/>
  <c r="G89" i="175"/>
  <c r="G155" i="104"/>
  <c r="G51" i="104"/>
  <c r="G226" i="45"/>
  <c r="G190" i="46"/>
  <c r="G159" i="46"/>
  <c r="G219" i="49"/>
  <c r="G149" i="103"/>
  <c r="D208" i="47"/>
  <c r="E93" i="90"/>
  <c r="E21" i="176"/>
  <c r="D208" i="46"/>
  <c r="E206" i="143"/>
  <c r="E119" i="175"/>
  <c r="E228" i="164"/>
  <c r="E161" i="164"/>
  <c r="E79" i="174"/>
  <c r="E93" i="32"/>
  <c r="G88" i="14"/>
  <c r="G235" i="1"/>
  <c r="G149" i="149"/>
  <c r="G17" i="120"/>
  <c r="G200" i="45"/>
  <c r="G145" i="45"/>
  <c r="G88" i="45"/>
  <c r="G32" i="86"/>
  <c r="G224" i="158"/>
  <c r="G166" i="149"/>
  <c r="G59" i="149"/>
  <c r="G227" i="25"/>
  <c r="G25" i="65"/>
  <c r="G143" i="24"/>
  <c r="E235" i="90"/>
  <c r="G231" i="90"/>
  <c r="G109" i="90"/>
  <c r="G41" i="152"/>
  <c r="G188" i="133"/>
  <c r="G74" i="39"/>
  <c r="G114" i="84"/>
  <c r="G105" i="43"/>
  <c r="G41" i="165"/>
  <c r="G85" i="27"/>
  <c r="G59" i="27"/>
  <c r="G27" i="27"/>
  <c r="G204" i="42"/>
  <c r="G169" i="42"/>
  <c r="G145" i="42"/>
  <c r="G176" i="156"/>
  <c r="G72" i="156"/>
  <c r="G45" i="156"/>
  <c r="G153" i="24"/>
  <c r="G47" i="24"/>
  <c r="G205" i="90"/>
  <c r="G114" i="90"/>
  <c r="G72" i="120"/>
  <c r="G189" i="133"/>
  <c r="G135" i="133"/>
  <c r="G88" i="133"/>
  <c r="G129" i="39"/>
  <c r="G57" i="39"/>
  <c r="G191" i="71"/>
  <c r="G167" i="71"/>
  <c r="G187" i="84"/>
  <c r="G101" i="84"/>
  <c r="G28" i="84"/>
  <c r="G70" i="175"/>
  <c r="G15" i="175"/>
  <c r="G142" i="106"/>
  <c r="G99" i="46"/>
  <c r="G46" i="46"/>
  <c r="G30" i="46"/>
  <c r="G137" i="47"/>
  <c r="G48" i="83"/>
  <c r="G133" i="49"/>
  <c r="G173" i="103"/>
  <c r="M17" i="60"/>
  <c r="K14" i="165"/>
  <c r="G75" i="54"/>
  <c r="G49" i="24"/>
  <c r="G87" i="152"/>
  <c r="G181" i="45"/>
  <c r="M13" i="45"/>
  <c r="G114" i="27"/>
  <c r="G65" i="133"/>
  <c r="G116" i="39"/>
  <c r="G101" i="71"/>
  <c r="G20" i="84"/>
  <c r="G66" i="175"/>
  <c r="G132" i="106"/>
  <c r="G82" i="83"/>
  <c r="G152" i="49"/>
  <c r="C208" i="164"/>
  <c r="G191" i="120"/>
  <c r="E79" i="65"/>
  <c r="E111" i="120"/>
  <c r="G27" i="24"/>
  <c r="G26" i="133"/>
  <c r="E206" i="62"/>
  <c r="D208" i="42"/>
  <c r="E206" i="16"/>
  <c r="D208" i="16"/>
  <c r="E111" i="15"/>
  <c r="G11" i="49"/>
  <c r="G86" i="172"/>
  <c r="G185" i="45"/>
  <c r="G125" i="45"/>
  <c r="G58" i="45"/>
  <c r="G40" i="54"/>
  <c r="G130" i="62"/>
  <c r="G220" i="165"/>
  <c r="G220" i="118"/>
  <c r="G224" i="47"/>
  <c r="G99" i="14"/>
  <c r="G87" i="55"/>
  <c r="G129" i="28"/>
  <c r="G135" i="45"/>
  <c r="G69" i="45"/>
  <c r="G174" i="27"/>
  <c r="G74" i="27"/>
  <c r="G35" i="27"/>
  <c r="G105" i="157"/>
  <c r="G65" i="42"/>
  <c r="G125" i="24"/>
  <c r="G70" i="24"/>
  <c r="G178" i="90"/>
  <c r="G50" i="120"/>
  <c r="G181" i="152"/>
  <c r="G46" i="152"/>
  <c r="G30" i="152"/>
  <c r="G114" i="175"/>
  <c r="G166" i="104"/>
  <c r="G59" i="104"/>
  <c r="G179" i="106"/>
  <c r="G101" i="106"/>
  <c r="G16" i="106"/>
  <c r="G224" i="46"/>
  <c r="G136" i="46"/>
  <c r="G157" i="63"/>
  <c r="G140" i="103"/>
  <c r="G130" i="45"/>
  <c r="G72" i="149"/>
  <c r="G98" i="90"/>
  <c r="G168" i="152"/>
  <c r="G26" i="45"/>
  <c r="G196" i="157"/>
  <c r="G201" i="90"/>
  <c r="G185" i="133"/>
  <c r="G87" i="39"/>
  <c r="G179" i="84"/>
  <c r="G88" i="46"/>
  <c r="G65" i="46"/>
  <c r="G204" i="47"/>
  <c r="G40" i="83"/>
  <c r="G192" i="49"/>
  <c r="G165" i="103"/>
  <c r="G164" i="43"/>
  <c r="G74" i="90"/>
  <c r="E21" i="54"/>
  <c r="E197" i="133"/>
  <c r="G190" i="177"/>
  <c r="G58" i="14"/>
  <c r="E21" i="24"/>
  <c r="G14" i="152"/>
  <c r="G38" i="42"/>
  <c r="G193" i="152"/>
  <c r="E102" i="53"/>
  <c r="E119" i="66"/>
  <c r="E235" i="157"/>
  <c r="G27" i="38"/>
  <c r="K14" i="157"/>
  <c r="G164" i="66"/>
  <c r="G35" i="90"/>
  <c r="G196" i="149"/>
  <c r="G173" i="45"/>
  <c r="G110" i="45"/>
  <c r="G46" i="45"/>
  <c r="G225" i="164"/>
  <c r="G99" i="103"/>
  <c r="G136" i="149"/>
  <c r="G138" i="65"/>
  <c r="G72" i="24"/>
  <c r="G76" i="90"/>
  <c r="G220" i="152"/>
  <c r="G180" i="133"/>
  <c r="G64" i="43"/>
  <c r="G29" i="43"/>
  <c r="G166" i="106"/>
  <c r="G204" i="45"/>
  <c r="G76" i="165"/>
  <c r="G136" i="27"/>
  <c r="G153" i="42"/>
  <c r="G157" i="156"/>
  <c r="G66" i="90"/>
  <c r="G143" i="120"/>
  <c r="G223" i="152"/>
  <c r="G223" i="133"/>
  <c r="G58" i="133"/>
  <c r="G83" i="39"/>
  <c r="G175" i="71"/>
  <c r="G127" i="84"/>
  <c r="G36" i="84"/>
  <c r="G101" i="83"/>
  <c r="G227" i="49"/>
  <c r="G45" i="66"/>
  <c r="G185" i="103"/>
  <c r="G158" i="103"/>
  <c r="E228" i="50"/>
  <c r="G65" i="45"/>
  <c r="G108" i="65"/>
  <c r="G69" i="172"/>
  <c r="G31" i="149"/>
  <c r="G184" i="90"/>
  <c r="G29" i="152"/>
  <c r="G78" i="84"/>
  <c r="G223" i="45"/>
  <c r="G181" i="42"/>
  <c r="G124" i="120"/>
  <c r="G125" i="133"/>
  <c r="G203" i="39"/>
  <c r="G187" i="71"/>
  <c r="G132" i="84"/>
  <c r="G56" i="84"/>
  <c r="G160" i="47"/>
  <c r="G171" i="62"/>
  <c r="G189" i="103"/>
  <c r="G12" i="83"/>
  <c r="E93" i="177"/>
  <c r="E79" i="42"/>
  <c r="E93" i="53"/>
  <c r="E111" i="66"/>
  <c r="E61" i="45"/>
  <c r="G191" i="106"/>
  <c r="G19" i="58"/>
  <c r="G192" i="149"/>
  <c r="G25" i="24"/>
  <c r="G165" i="45"/>
  <c r="G106" i="45"/>
  <c r="G38" i="45"/>
  <c r="G49" i="149"/>
  <c r="G74" i="155"/>
  <c r="G55" i="27"/>
  <c r="G16" i="54"/>
  <c r="G168" i="53"/>
  <c r="G38" i="14"/>
  <c r="G37" i="55"/>
  <c r="G85" i="149"/>
  <c r="G64" i="28"/>
  <c r="G15" i="39"/>
  <c r="G224" i="84"/>
  <c r="G184" i="43"/>
  <c r="G177" i="45"/>
  <c r="G117" i="45"/>
  <c r="G54" i="45"/>
  <c r="G18" i="45"/>
  <c r="G184" i="165"/>
  <c r="G66" i="27"/>
  <c r="G184" i="157"/>
  <c r="G157" i="157"/>
  <c r="G57" i="156"/>
  <c r="G145" i="24"/>
  <c r="G66" i="24"/>
  <c r="G126" i="90"/>
  <c r="G59" i="90"/>
  <c r="G76" i="120"/>
  <c r="G204" i="152"/>
  <c r="G42" i="152"/>
  <c r="G64" i="39"/>
  <c r="G174" i="175"/>
  <c r="G136" i="175"/>
  <c r="G200" i="43"/>
  <c r="G159" i="104"/>
  <c r="G55" i="104"/>
  <c r="G31" i="104"/>
  <c r="G194" i="46"/>
  <c r="G170" i="46"/>
  <c r="G200" i="47"/>
  <c r="G142" i="83"/>
  <c r="G143" i="49"/>
  <c r="M14" i="145"/>
  <c r="G92" i="145"/>
  <c r="G130" i="145"/>
  <c r="G205" i="145"/>
  <c r="G33" i="145"/>
  <c r="G106" i="145"/>
  <c r="G140" i="145"/>
  <c r="G136" i="145"/>
  <c r="G148" i="145"/>
  <c r="G59" i="145"/>
  <c r="G55" i="145"/>
  <c r="G117" i="145"/>
  <c r="G18" i="145"/>
  <c r="G182" i="145"/>
  <c r="G172" i="145"/>
  <c r="G11" i="145"/>
  <c r="G225" i="145"/>
  <c r="G105" i="145"/>
  <c r="G189" i="145"/>
  <c r="G145" i="145"/>
  <c r="G227" i="145"/>
  <c r="G19" i="145"/>
  <c r="G35" i="145"/>
  <c r="M18" i="165"/>
  <c r="G52" i="15"/>
  <c r="G147" i="69"/>
  <c r="G101" i="89"/>
  <c r="G105" i="49"/>
  <c r="G64" i="66"/>
  <c r="E206" i="165"/>
  <c r="G108" i="133"/>
  <c r="G184" i="24"/>
  <c r="G221" i="49"/>
  <c r="G18" i="53"/>
  <c r="G39" i="55"/>
  <c r="G11" i="38"/>
  <c r="G89" i="87"/>
  <c r="G42" i="87"/>
  <c r="G67" i="38"/>
  <c r="G117" i="71"/>
  <c r="G73" i="103"/>
  <c r="G182" i="31"/>
  <c r="G12" i="10"/>
  <c r="G12" i="14"/>
  <c r="G15" i="69"/>
  <c r="G70" i="177"/>
  <c r="G149" i="38"/>
  <c r="G194" i="113"/>
  <c r="G130" i="66"/>
  <c r="G97" i="62"/>
  <c r="G166" i="62"/>
  <c r="G223" i="53"/>
  <c r="G88" i="84"/>
  <c r="G70" i="143"/>
  <c r="G165" i="150"/>
  <c r="E21" i="86"/>
  <c r="G123" i="176"/>
  <c r="G32" i="155"/>
  <c r="G78" i="177"/>
  <c r="G114" i="28"/>
  <c r="G143" i="149"/>
  <c r="G84" i="149"/>
  <c r="G47" i="178"/>
  <c r="E102" i="47"/>
  <c r="G105" i="63"/>
  <c r="G73" i="63"/>
  <c r="G16" i="95"/>
  <c r="G31" i="120"/>
  <c r="G224" i="142"/>
  <c r="G42" i="120"/>
  <c r="G100" i="94"/>
  <c r="G35" i="69"/>
  <c r="G140" i="38"/>
  <c r="G141" i="152"/>
  <c r="G123" i="86"/>
  <c r="G127" i="89"/>
  <c r="G57" i="98"/>
  <c r="G118" i="174"/>
  <c r="G51" i="103"/>
  <c r="E79" i="86"/>
  <c r="G190" i="89"/>
  <c r="G159" i="10"/>
  <c r="G142" i="25"/>
  <c r="C208" i="158"/>
  <c r="M13" i="113"/>
  <c r="G190" i="69"/>
  <c r="G85" i="87"/>
  <c r="G39" i="87"/>
  <c r="G87" i="63"/>
  <c r="G75" i="119"/>
  <c r="G52" i="63"/>
  <c r="G11" i="43"/>
  <c r="G17" i="42"/>
  <c r="G91" i="145"/>
  <c r="G100" i="157"/>
  <c r="G89" i="94"/>
  <c r="G20" i="1"/>
  <c r="G124" i="150"/>
  <c r="G28" i="31"/>
  <c r="G75" i="31"/>
  <c r="G132" i="69"/>
  <c r="G71" i="69"/>
  <c r="G226" i="86"/>
  <c r="G20" i="86"/>
  <c r="G106" i="49"/>
  <c r="G220" i="145"/>
  <c r="G49" i="32"/>
  <c r="G225" i="83"/>
  <c r="G58" i="49"/>
  <c r="G73" i="53"/>
  <c r="G167" i="14"/>
  <c r="G70" i="55"/>
  <c r="G35" i="55"/>
  <c r="G105" i="16"/>
  <c r="G68" i="16"/>
  <c r="G224" i="157"/>
  <c r="G44" i="42"/>
  <c r="G186" i="156"/>
  <c r="G226" i="71"/>
  <c r="G190" i="38"/>
  <c r="G43" i="38"/>
  <c r="G27" i="95"/>
  <c r="G114" i="50"/>
  <c r="G51" i="1"/>
  <c r="G11" i="1"/>
  <c r="G59" i="92"/>
  <c r="G27" i="92"/>
  <c r="G85" i="142"/>
  <c r="G27" i="142"/>
  <c r="G150" i="69"/>
  <c r="G182" i="89"/>
  <c r="G47" i="89"/>
  <c r="G27" i="89"/>
  <c r="G136" i="87"/>
  <c r="G131" i="143"/>
  <c r="G47" i="143"/>
  <c r="G31" i="143"/>
  <c r="G59" i="177"/>
  <c r="G181" i="38"/>
  <c r="G224" i="177"/>
  <c r="G33" i="31"/>
  <c r="G177" i="86"/>
  <c r="G182" i="155"/>
  <c r="G131" i="38"/>
  <c r="G52" i="142"/>
  <c r="G97" i="69"/>
  <c r="G191" i="86"/>
  <c r="G155" i="89"/>
  <c r="G96" i="177"/>
  <c r="G100" i="177"/>
  <c r="G137" i="87"/>
  <c r="G172" i="54"/>
  <c r="G148" i="94"/>
  <c r="G49" i="27"/>
  <c r="G20" i="87"/>
  <c r="G16" i="103"/>
  <c r="G66" i="38"/>
  <c r="G11" i="95"/>
  <c r="G39" i="1"/>
  <c r="G70" i="69"/>
  <c r="G51" i="89"/>
  <c r="G114" i="143"/>
  <c r="E206" i="118"/>
  <c r="M15" i="32"/>
  <c r="G50" i="62"/>
  <c r="G32" i="1"/>
  <c r="G48" i="31"/>
  <c r="G86" i="69"/>
  <c r="G97" i="89"/>
  <c r="G60" i="86"/>
  <c r="G40" i="86"/>
  <c r="G48" i="10"/>
  <c r="G48" i="143"/>
  <c r="G31" i="157"/>
  <c r="G69" i="38"/>
  <c r="G155" i="113"/>
  <c r="E79" i="113"/>
  <c r="G193" i="178"/>
  <c r="G166" i="95"/>
  <c r="G48" i="71"/>
  <c r="G90" i="120"/>
  <c r="G123" i="31"/>
  <c r="G17" i="16"/>
  <c r="M17" i="16"/>
  <c r="G13" i="49"/>
  <c r="G114" i="42"/>
  <c r="G92" i="84"/>
  <c r="G167" i="42"/>
  <c r="G221" i="133"/>
  <c r="E228" i="89"/>
  <c r="G114" i="158"/>
  <c r="G37" i="64"/>
  <c r="G201" i="177"/>
  <c r="G167" i="119"/>
  <c r="E119" i="143"/>
  <c r="G67" i="42"/>
  <c r="G39" i="157"/>
  <c r="G56" i="87"/>
  <c r="G89" i="68"/>
  <c r="G51" i="143"/>
  <c r="G25" i="98"/>
  <c r="G191" i="157"/>
  <c r="G38" i="89"/>
  <c r="G173" i="65"/>
  <c r="E197" i="31"/>
  <c r="E228" i="142"/>
  <c r="E119" i="106"/>
  <c r="E93" i="157"/>
  <c r="E228" i="32"/>
  <c r="E93" i="16"/>
  <c r="E119" i="150"/>
  <c r="G183" i="119"/>
  <c r="G182" i="69"/>
  <c r="G78" i="87"/>
  <c r="G35" i="87"/>
  <c r="G42" i="98"/>
  <c r="G160" i="66"/>
  <c r="G138" i="58"/>
  <c r="G101" i="65"/>
  <c r="G126" i="39"/>
  <c r="G83" i="145"/>
  <c r="G89" i="157"/>
  <c r="G110" i="63"/>
  <c r="G100" i="31"/>
  <c r="G187" i="92"/>
  <c r="G86" i="54"/>
  <c r="G89" i="38"/>
  <c r="G52" i="31"/>
  <c r="G12" i="142"/>
  <c r="G167" i="89"/>
  <c r="G115" i="89"/>
  <c r="G175" i="86"/>
  <c r="G156" i="86"/>
  <c r="G101" i="86"/>
  <c r="G56" i="86"/>
  <c r="G187" i="87"/>
  <c r="G123" i="87"/>
  <c r="G44" i="87"/>
  <c r="G123" i="10"/>
  <c r="G71" i="10"/>
  <c r="G44" i="10"/>
  <c r="G226" i="143"/>
  <c r="G138" i="106"/>
  <c r="G220" i="68"/>
  <c r="G87" i="49"/>
  <c r="G224" i="165"/>
  <c r="G27" i="157"/>
  <c r="E235" i="64"/>
  <c r="G231" i="64"/>
  <c r="G235" i="64"/>
  <c r="G232" i="24"/>
  <c r="G26" i="120"/>
  <c r="G225" i="104"/>
  <c r="G70" i="50"/>
  <c r="G100" i="69"/>
  <c r="G30" i="38"/>
  <c r="G155" i="177"/>
  <c r="G223" i="38"/>
  <c r="G173" i="38"/>
  <c r="G85" i="177"/>
  <c r="G65" i="38"/>
  <c r="G126" i="87"/>
  <c r="G97" i="64"/>
  <c r="G73" i="119"/>
  <c r="G151" i="89"/>
  <c r="G71" i="89"/>
  <c r="G48" i="86"/>
  <c r="G97" i="87"/>
  <c r="G90" i="10"/>
  <c r="G187" i="143"/>
  <c r="G98" i="141"/>
  <c r="G30" i="43"/>
  <c r="G13" i="158"/>
  <c r="G169" i="38"/>
  <c r="E21" i="28"/>
  <c r="G65" i="53"/>
  <c r="G55" i="47"/>
  <c r="G157" i="150"/>
  <c r="G142" i="69"/>
  <c r="G227" i="120"/>
  <c r="G65" i="49"/>
  <c r="G160" i="63"/>
  <c r="G55" i="55"/>
  <c r="G48" i="42"/>
  <c r="G13" i="39"/>
  <c r="G100" i="38"/>
  <c r="G31" i="38"/>
  <c r="G89" i="1"/>
  <c r="G15" i="1"/>
  <c r="G55" i="142"/>
  <c r="G89" i="143"/>
  <c r="G138" i="158"/>
  <c r="K14" i="175"/>
  <c r="E119" i="60"/>
  <c r="G96" i="87"/>
  <c r="G39" i="43"/>
  <c r="G114" i="157"/>
  <c r="G35" i="47"/>
  <c r="G16" i="142"/>
  <c r="G60" i="89"/>
  <c r="G115" i="86"/>
  <c r="G195" i="87"/>
  <c r="G171" i="143"/>
  <c r="G219" i="19"/>
  <c r="G18" i="43"/>
  <c r="G232" i="98"/>
  <c r="G51" i="142"/>
  <c r="G201" i="86"/>
  <c r="G186" i="178"/>
  <c r="G130" i="178"/>
  <c r="G147" i="31"/>
  <c r="G147" i="50"/>
  <c r="E228" i="165"/>
  <c r="E236" i="165"/>
  <c r="G19" i="104"/>
  <c r="G54" i="71"/>
  <c r="G115" i="150"/>
  <c r="E21" i="142"/>
  <c r="G110" i="106"/>
  <c r="E161" i="69"/>
  <c r="G158" i="66"/>
  <c r="G86" i="95"/>
  <c r="G83" i="62"/>
  <c r="E21" i="31"/>
  <c r="E79" i="53"/>
  <c r="E102" i="150"/>
  <c r="G123" i="177"/>
  <c r="G227" i="158"/>
  <c r="G136" i="98"/>
  <c r="G13" i="31"/>
  <c r="G148" i="175"/>
  <c r="G90" i="87"/>
  <c r="D208" i="142"/>
  <c r="G109" i="66"/>
  <c r="G55" i="103"/>
  <c r="G132" i="58"/>
  <c r="G96" i="89"/>
  <c r="G142" i="103"/>
  <c r="E119" i="86"/>
  <c r="G19" i="55"/>
  <c r="E197" i="47"/>
  <c r="G31" i="87"/>
  <c r="G86" i="65"/>
  <c r="G89" i="39"/>
  <c r="G72" i="145"/>
  <c r="G146" i="31"/>
  <c r="G191" i="69"/>
  <c r="G36" i="54"/>
  <c r="G232" i="155"/>
  <c r="G116" i="150"/>
  <c r="G32" i="31"/>
  <c r="G48" i="69"/>
  <c r="G16" i="143"/>
  <c r="G221" i="46"/>
  <c r="G45" i="32"/>
  <c r="G222" i="43"/>
  <c r="G54" i="49"/>
  <c r="G32" i="62"/>
  <c r="G48" i="14"/>
  <c r="G100" i="55"/>
  <c r="G47" i="55"/>
  <c r="G31" i="55"/>
  <c r="G87" i="16"/>
  <c r="G64" i="16"/>
  <c r="G45" i="16"/>
  <c r="G41" i="158"/>
  <c r="G132" i="42"/>
  <c r="G25" i="150"/>
  <c r="G118" i="38"/>
  <c r="G39" i="38"/>
  <c r="G19" i="38"/>
  <c r="G136" i="50"/>
  <c r="G78" i="1"/>
  <c r="G47" i="1"/>
  <c r="G19" i="92"/>
  <c r="G74" i="142"/>
  <c r="G47" i="142"/>
  <c r="G19" i="142"/>
  <c r="G174" i="89"/>
  <c r="G85" i="89"/>
  <c r="G59" i="89"/>
  <c r="G19" i="89"/>
  <c r="G27" i="87"/>
  <c r="G66" i="10"/>
  <c r="G126" i="143"/>
  <c r="G43" i="177"/>
  <c r="G158" i="38"/>
  <c r="G125" i="38"/>
  <c r="G55" i="87"/>
  <c r="G88" i="53"/>
  <c r="G90" i="106"/>
  <c r="G170" i="31"/>
  <c r="G16" i="31"/>
  <c r="G167" i="86"/>
  <c r="G28" i="87"/>
  <c r="G75" i="143"/>
  <c r="G83" i="32"/>
  <c r="G136" i="177"/>
  <c r="G165" i="38"/>
  <c r="G34" i="60"/>
  <c r="G235" i="175"/>
  <c r="E235" i="49"/>
  <c r="G100" i="87"/>
  <c r="G16" i="64"/>
  <c r="G174" i="31"/>
  <c r="G184" i="150"/>
  <c r="G44" i="31"/>
  <c r="G33" i="16"/>
  <c r="G47" i="38"/>
  <c r="G225" i="69"/>
  <c r="G74" i="89"/>
  <c r="G55" i="10"/>
  <c r="G146" i="177"/>
  <c r="E21" i="155"/>
  <c r="G91" i="90"/>
  <c r="G53" i="150"/>
  <c r="G96" i="38"/>
  <c r="G179" i="86"/>
  <c r="G75" i="10"/>
  <c r="G124" i="141"/>
  <c r="G220" i="16"/>
  <c r="G224" i="50"/>
  <c r="G11" i="143"/>
  <c r="E61" i="113"/>
  <c r="G190" i="178"/>
  <c r="G96" i="50"/>
  <c r="G92" i="150"/>
  <c r="G225" i="103"/>
  <c r="G168" i="89"/>
  <c r="G40" i="119"/>
  <c r="G43" i="84"/>
  <c r="G126" i="16"/>
  <c r="G89" i="15"/>
  <c r="G182" i="19"/>
  <c r="E119" i="49"/>
  <c r="G41" i="19"/>
  <c r="G31" i="178"/>
  <c r="G12" i="42"/>
  <c r="G147" i="86"/>
  <c r="G37" i="60"/>
  <c r="E111" i="143"/>
  <c r="G88" i="19"/>
  <c r="E161" i="156"/>
  <c r="D208" i="65"/>
  <c r="E93" i="69"/>
  <c r="G49" i="177"/>
  <c r="G53" i="27"/>
  <c r="G190" i="50"/>
  <c r="G38" i="24"/>
  <c r="G76" i="98"/>
  <c r="G12" i="90"/>
  <c r="E21" i="39"/>
  <c r="E21" i="143"/>
  <c r="G187" i="38"/>
  <c r="G29" i="157"/>
  <c r="G26" i="66"/>
  <c r="G150" i="47"/>
  <c r="G84" i="38"/>
  <c r="G52" i="84"/>
  <c r="G174" i="86"/>
  <c r="G19" i="87"/>
  <c r="G18" i="98"/>
  <c r="G38" i="150"/>
  <c r="G53" i="58"/>
  <c r="G129" i="43"/>
  <c r="G155" i="55"/>
  <c r="G117" i="25"/>
  <c r="G160" i="164"/>
  <c r="G45" i="150"/>
  <c r="G141" i="38"/>
  <c r="G85" i="38"/>
  <c r="G36" i="31"/>
  <c r="G225" i="50"/>
  <c r="G32" i="142"/>
  <c r="G226" i="69"/>
  <c r="G156" i="89"/>
  <c r="G108" i="89"/>
  <c r="G82" i="89"/>
  <c r="G195" i="86"/>
  <c r="G171" i="86"/>
  <c r="G151" i="86"/>
  <c r="G127" i="86"/>
  <c r="G97" i="86"/>
  <c r="G71" i="86"/>
  <c r="G52" i="86"/>
  <c r="G108" i="87"/>
  <c r="G67" i="87"/>
  <c r="G36" i="87"/>
  <c r="G97" i="10"/>
  <c r="G36" i="10"/>
  <c r="G156" i="143"/>
  <c r="G51" i="15"/>
  <c r="G190" i="155"/>
  <c r="G105" i="141"/>
  <c r="G192" i="47"/>
  <c r="G19" i="157"/>
  <c r="G232" i="32"/>
  <c r="G70" i="1"/>
  <c r="G43" i="142"/>
  <c r="G47" i="69"/>
  <c r="G11" i="89"/>
  <c r="G205" i="87"/>
  <c r="G141" i="143"/>
  <c r="G19" i="143"/>
  <c r="G38" i="38"/>
  <c r="G189" i="38"/>
  <c r="G26" i="38"/>
  <c r="G67" i="31"/>
  <c r="G35" i="53"/>
  <c r="G188" i="47"/>
  <c r="G225" i="86"/>
  <c r="E228" i="86"/>
  <c r="E236" i="86"/>
  <c r="G171" i="60"/>
  <c r="G51" i="87"/>
  <c r="G135" i="145"/>
  <c r="G220" i="150"/>
  <c r="G71" i="31"/>
  <c r="G74" i="55"/>
  <c r="G76" i="16"/>
  <c r="G32" i="42"/>
  <c r="G33" i="150"/>
  <c r="G126" i="50"/>
  <c r="G31" i="142"/>
  <c r="G15" i="143"/>
  <c r="G127" i="178"/>
  <c r="G86" i="86"/>
  <c r="G227" i="106"/>
  <c r="G149" i="133"/>
  <c r="G47" i="177"/>
  <c r="G44" i="142"/>
  <c r="G131" i="83"/>
  <c r="E93" i="86"/>
  <c r="E102" i="106"/>
  <c r="E228" i="16"/>
  <c r="E228" i="62"/>
  <c r="D208" i="87"/>
  <c r="E21" i="84"/>
  <c r="E228" i="69"/>
  <c r="C208" i="65"/>
  <c r="C215" i="65"/>
  <c r="G18" i="38"/>
  <c r="M18" i="38"/>
  <c r="G98" i="158"/>
  <c r="G174" i="42"/>
  <c r="G150" i="87"/>
  <c r="G59" i="87"/>
  <c r="G11" i="87"/>
  <c r="G110" i="53"/>
  <c r="G125" i="16"/>
  <c r="G205" i="66"/>
  <c r="G101" i="64"/>
  <c r="G41" i="43"/>
  <c r="G77" i="119"/>
  <c r="G159" i="31"/>
  <c r="G160" i="69"/>
  <c r="G172" i="150"/>
  <c r="G41" i="150"/>
  <c r="G60" i="31"/>
  <c r="G167" i="69"/>
  <c r="E206" i="87"/>
  <c r="G202" i="87"/>
  <c r="G25" i="32"/>
  <c r="G232" i="90"/>
  <c r="G42" i="43"/>
  <c r="G46" i="49"/>
  <c r="G69" i="98"/>
  <c r="G67" i="63"/>
  <c r="G32" i="14"/>
  <c r="G89" i="55"/>
  <c r="G43" i="55"/>
  <c r="G27" i="55"/>
  <c r="G138" i="16"/>
  <c r="G83" i="16"/>
  <c r="G37" i="16"/>
  <c r="G37" i="158"/>
  <c r="G47" i="157"/>
  <c r="G36" i="42"/>
  <c r="G16" i="42"/>
  <c r="G222" i="24"/>
  <c r="G17" i="39"/>
  <c r="G107" i="38"/>
  <c r="G51" i="38"/>
  <c r="G15" i="95"/>
  <c r="G131" i="50"/>
  <c r="G100" i="1"/>
  <c r="G43" i="1"/>
  <c r="G19" i="1"/>
  <c r="G96" i="92"/>
  <c r="G43" i="92"/>
  <c r="G70" i="142"/>
  <c r="G100" i="89"/>
  <c r="G35" i="89"/>
  <c r="G19" i="86"/>
  <c r="G59" i="10"/>
  <c r="G118" i="143"/>
  <c r="G96" i="143"/>
  <c r="G55" i="143"/>
  <c r="G39" i="143"/>
  <c r="G31" i="177"/>
  <c r="G145" i="38"/>
  <c r="G174" i="177"/>
  <c r="G178" i="177"/>
  <c r="G92" i="38"/>
  <c r="G106" i="38"/>
  <c r="G131" i="113"/>
  <c r="G26" i="113"/>
  <c r="G116" i="113"/>
  <c r="G85" i="113"/>
  <c r="G55" i="113"/>
  <c r="G224" i="113"/>
  <c r="G100" i="113"/>
  <c r="G127" i="113"/>
  <c r="G92" i="113"/>
  <c r="G140" i="113"/>
  <c r="G105" i="113"/>
  <c r="G167" i="113"/>
  <c r="G136" i="113"/>
  <c r="G78" i="113"/>
  <c r="G33" i="113"/>
  <c r="G37" i="113"/>
  <c r="G205" i="113"/>
  <c r="G175" i="113"/>
  <c r="E93" i="113"/>
  <c r="G42" i="113"/>
  <c r="G18" i="113"/>
  <c r="G187" i="113"/>
  <c r="G142" i="143"/>
  <c r="C208" i="174"/>
  <c r="G171" i="79"/>
  <c r="G12" i="69"/>
  <c r="G39" i="158"/>
  <c r="G147" i="177"/>
  <c r="E102" i="72"/>
  <c r="G12" i="119"/>
  <c r="G179" i="177"/>
  <c r="G188" i="175"/>
  <c r="G177" i="46"/>
  <c r="G225" i="53"/>
  <c r="E228" i="53"/>
  <c r="G60" i="53"/>
  <c r="F215" i="164"/>
  <c r="M41" i="159"/>
  <c r="M37" i="21"/>
  <c r="G75" i="150"/>
  <c r="F215" i="71"/>
  <c r="G223" i="113"/>
  <c r="G55" i="16"/>
  <c r="G31" i="16"/>
  <c r="G190" i="158"/>
  <c r="G170" i="158"/>
  <c r="G118" i="158"/>
  <c r="G78" i="158"/>
  <c r="G46" i="156"/>
  <c r="G205" i="155"/>
  <c r="G187" i="155"/>
  <c r="G127" i="25"/>
  <c r="G71" i="119"/>
  <c r="G48" i="119"/>
  <c r="G181" i="65"/>
  <c r="G145" i="65"/>
  <c r="G106" i="65"/>
  <c r="G233" i="28"/>
  <c r="G189" i="28"/>
  <c r="G125" i="28"/>
  <c r="G77" i="28"/>
  <c r="G58" i="28"/>
  <c r="G42" i="28"/>
  <c r="G26" i="28"/>
  <c r="G153" i="64"/>
  <c r="G224" i="152"/>
  <c r="G174" i="152"/>
  <c r="G107" i="152"/>
  <c r="G85" i="152"/>
  <c r="G69" i="84"/>
  <c r="G50" i="84"/>
  <c r="G185" i="106"/>
  <c r="G124" i="98"/>
  <c r="G196" i="53"/>
  <c r="G176" i="53"/>
  <c r="G89" i="174"/>
  <c r="G55" i="174"/>
  <c r="G185" i="178"/>
  <c r="G70" i="42"/>
  <c r="E61" i="149"/>
  <c r="E79" i="102"/>
  <c r="G173" i="86"/>
  <c r="E228" i="1"/>
  <c r="G149" i="106"/>
  <c r="G74" i="149"/>
  <c r="E119" i="16"/>
  <c r="G153" i="89"/>
  <c r="G73" i="89"/>
  <c r="G51" i="86"/>
  <c r="G40" i="94"/>
  <c r="F215" i="42"/>
  <c r="F215" i="39"/>
  <c r="M168" i="159"/>
  <c r="G235" i="68"/>
  <c r="G21" i="21"/>
  <c r="M17" i="21"/>
  <c r="E237" i="21"/>
  <c r="E215" i="33"/>
  <c r="M111" i="135"/>
  <c r="H228" i="135"/>
  <c r="H223" i="135"/>
  <c r="H226" i="135"/>
  <c r="H221" i="135"/>
  <c r="M55" i="135"/>
  <c r="M64" i="135"/>
  <c r="M158" i="135"/>
  <c r="M140" i="135"/>
  <c r="M196" i="135"/>
  <c r="M25" i="135"/>
  <c r="M45" i="135"/>
  <c r="M91" i="135"/>
  <c r="M160" i="135"/>
  <c r="M142" i="135"/>
  <c r="M123" i="135"/>
  <c r="M205" i="135"/>
  <c r="M46" i="135"/>
  <c r="M86" i="135"/>
  <c r="M146" i="135"/>
  <c r="M189" i="135"/>
  <c r="M52" i="135"/>
  <c r="M92" i="135"/>
  <c r="M109" i="135"/>
  <c r="M148" i="135"/>
  <c r="M129" i="135"/>
  <c r="M187" i="135"/>
  <c r="M136" i="135"/>
  <c r="M106" i="135"/>
  <c r="M34" i="135"/>
  <c r="M26" i="135"/>
  <c r="M179" i="135"/>
  <c r="M171" i="135"/>
  <c r="M203" i="135"/>
  <c r="M83" i="135"/>
  <c r="M35" i="135"/>
  <c r="M27" i="135"/>
  <c r="M74" i="135"/>
  <c r="M66" i="135"/>
  <c r="M176" i="135"/>
  <c r="M168" i="135"/>
  <c r="M73" i="135"/>
  <c r="M65" i="135"/>
  <c r="H224" i="135"/>
  <c r="H219" i="135"/>
  <c r="K13" i="135"/>
  <c r="M200" i="135"/>
  <c r="M47" i="135"/>
  <c r="M100" i="135"/>
  <c r="M149" i="135"/>
  <c r="M130" i="135"/>
  <c r="M188" i="135"/>
  <c r="M53" i="135"/>
  <c r="M76" i="135"/>
  <c r="M96" i="135"/>
  <c r="M151" i="135"/>
  <c r="M132" i="135"/>
  <c r="M190" i="135"/>
  <c r="M54" i="135"/>
  <c r="M77" i="135"/>
  <c r="M107" i="135"/>
  <c r="M126" i="135"/>
  <c r="M60" i="135"/>
  <c r="M44" i="135"/>
  <c r="M101" i="135"/>
  <c r="M157" i="135"/>
  <c r="M138" i="135"/>
  <c r="M195" i="135"/>
  <c r="M159" i="135"/>
  <c r="M193" i="135"/>
  <c r="M38" i="135"/>
  <c r="M30" i="135"/>
  <c r="M202" i="135"/>
  <c r="M175" i="135"/>
  <c r="M167" i="135"/>
  <c r="M115" i="135"/>
  <c r="M39" i="135"/>
  <c r="M31" i="135"/>
  <c r="M116" i="135"/>
  <c r="M70" i="135"/>
  <c r="M180" i="135"/>
  <c r="M172" i="135"/>
  <c r="M117" i="135"/>
  <c r="M69" i="135"/>
  <c r="G236" i="135"/>
  <c r="M89" i="135"/>
  <c r="M135" i="135"/>
  <c r="M57" i="135"/>
  <c r="M87" i="135"/>
  <c r="M137" i="135"/>
  <c r="M58" i="135"/>
  <c r="M99" i="135"/>
  <c r="M204" i="135"/>
  <c r="M88" i="135"/>
  <c r="M143" i="135"/>
  <c r="M183" i="135"/>
  <c r="M98" i="135"/>
  <c r="M105" i="135"/>
  <c r="M169" i="135"/>
  <c r="M78" i="135"/>
  <c r="M118" i="135"/>
  <c r="M182" i="135"/>
  <c r="M166" i="135"/>
  <c r="H222" i="135"/>
  <c r="M51" i="135"/>
  <c r="M153" i="135"/>
  <c r="M192" i="135"/>
  <c r="M41" i="135"/>
  <c r="M156" i="135"/>
  <c r="M194" i="135"/>
  <c r="M42" i="135"/>
  <c r="M141" i="135"/>
  <c r="M114" i="135"/>
  <c r="M124" i="135"/>
  <c r="M131" i="135"/>
  <c r="M177" i="135"/>
  <c r="M201" i="135"/>
  <c r="M33" i="135"/>
  <c r="M72" i="135"/>
  <c r="M174" i="135"/>
  <c r="M71" i="135"/>
  <c r="H220" i="135"/>
  <c r="M59" i="135"/>
  <c r="M125" i="135"/>
  <c r="M108" i="135"/>
  <c r="M50" i="135"/>
  <c r="M133" i="135"/>
  <c r="M36" i="135"/>
  <c r="M165" i="135"/>
  <c r="M84" i="135"/>
  <c r="M75" i="135"/>
  <c r="M43" i="135"/>
  <c r="M184" i="135"/>
  <c r="M147" i="135"/>
  <c r="M90" i="135"/>
  <c r="M191" i="135"/>
  <c r="M28" i="135"/>
  <c r="M85" i="135"/>
  <c r="M68" i="135"/>
  <c r="M67" i="135"/>
  <c r="H227" i="135"/>
  <c r="M49" i="135"/>
  <c r="M155" i="135"/>
  <c r="M150" i="135"/>
  <c r="M37" i="135"/>
  <c r="H225" i="135"/>
  <c r="M82" i="135"/>
  <c r="M164" i="135"/>
  <c r="M185" i="135"/>
  <c r="M29" i="135"/>
  <c r="M145" i="135"/>
  <c r="M186" i="135"/>
  <c r="M152" i="135"/>
  <c r="M173" i="135"/>
  <c r="M170" i="135"/>
  <c r="M97" i="135"/>
  <c r="M178" i="135"/>
  <c r="M181" i="135"/>
  <c r="M110" i="135"/>
  <c r="M127" i="135"/>
  <c r="M102" i="135"/>
  <c r="G76" i="106"/>
  <c r="G176" i="46"/>
  <c r="G105" i="46"/>
  <c r="G35" i="63"/>
  <c r="G96" i="71"/>
  <c r="G227" i="45"/>
  <c r="G124" i="46"/>
  <c r="G189" i="47"/>
  <c r="G86" i="47"/>
  <c r="G15" i="63"/>
  <c r="G129" i="46"/>
  <c r="G49" i="62"/>
  <c r="G25" i="62"/>
  <c r="G192" i="66"/>
  <c r="G179" i="145"/>
  <c r="G29" i="145"/>
  <c r="G172" i="94"/>
  <c r="G143" i="94"/>
  <c r="G56" i="119"/>
  <c r="G125" i="150"/>
  <c r="G71" i="150"/>
  <c r="G202" i="119"/>
  <c r="E206" i="119"/>
  <c r="G50" i="65"/>
  <c r="G117" i="28"/>
  <c r="G88" i="28"/>
  <c r="G195" i="66"/>
  <c r="E228" i="45"/>
  <c r="G219" i="45"/>
  <c r="M43" i="159"/>
  <c r="G131" i="19"/>
  <c r="G168" i="94"/>
  <c r="G167" i="150"/>
  <c r="G74" i="16"/>
  <c r="G178" i="158"/>
  <c r="G35" i="158"/>
  <c r="G35" i="156"/>
  <c r="G140" i="65"/>
  <c r="G189" i="64"/>
  <c r="G117" i="64"/>
  <c r="G78" i="152"/>
  <c r="G29" i="98"/>
  <c r="G30" i="47"/>
  <c r="G157" i="177"/>
  <c r="G140" i="37"/>
  <c r="E102" i="152"/>
  <c r="M14" i="149"/>
  <c r="G194" i="149"/>
  <c r="E197" i="69"/>
  <c r="G74" i="158"/>
  <c r="G127" i="150"/>
  <c r="G141" i="71"/>
  <c r="G35" i="50"/>
  <c r="G189" i="106"/>
  <c r="G109" i="27"/>
  <c r="G13" i="16"/>
  <c r="G223" i="42"/>
  <c r="G18" i="60"/>
  <c r="G159" i="14"/>
  <c r="G68" i="1"/>
  <c r="G141" i="25"/>
  <c r="G165" i="49"/>
  <c r="G58" i="63"/>
  <c r="G152" i="63"/>
  <c r="G70" i="15"/>
  <c r="G64" i="158"/>
  <c r="G51" i="98"/>
  <c r="G27" i="53"/>
  <c r="F208" i="87"/>
  <c r="G195" i="45"/>
  <c r="E161" i="45"/>
  <c r="G123" i="45"/>
  <c r="G40" i="165"/>
  <c r="M17" i="136"/>
  <c r="G21" i="136"/>
  <c r="G237" i="57"/>
  <c r="G228" i="57"/>
  <c r="K13" i="33"/>
  <c r="M119" i="33"/>
  <c r="H226" i="33"/>
  <c r="M203" i="33"/>
  <c r="M46" i="33"/>
  <c r="M38" i="33"/>
  <c r="H225" i="33"/>
  <c r="H222" i="33"/>
  <c r="M65" i="33"/>
  <c r="M44" i="33"/>
  <c r="M36" i="33"/>
  <c r="H223" i="33"/>
  <c r="H220" i="33"/>
  <c r="M52" i="33"/>
  <c r="M92" i="33"/>
  <c r="M116" i="33"/>
  <c r="M196" i="33"/>
  <c r="M58" i="33"/>
  <c r="M71" i="33"/>
  <c r="M106" i="33"/>
  <c r="M152" i="33"/>
  <c r="M186" i="33"/>
  <c r="M49" i="33"/>
  <c r="M78" i="33"/>
  <c r="M160" i="33"/>
  <c r="M72" i="33"/>
  <c r="M109" i="33"/>
  <c r="M153" i="33"/>
  <c r="M191" i="33"/>
  <c r="M156" i="33"/>
  <c r="M182" i="33"/>
  <c r="M174" i="33"/>
  <c r="M166" i="33"/>
  <c r="M140" i="33"/>
  <c r="M130" i="33"/>
  <c r="M47" i="33"/>
  <c r="M39" i="33"/>
  <c r="M31" i="33"/>
  <c r="M202" i="33"/>
  <c r="M138" i="33"/>
  <c r="M129" i="33"/>
  <c r="M181" i="33"/>
  <c r="M173" i="33"/>
  <c r="M165" i="33"/>
  <c r="M84" i="33"/>
  <c r="M85" i="33"/>
  <c r="M26" i="33"/>
  <c r="H219" i="33"/>
  <c r="M69" i="33"/>
  <c r="M159" i="33"/>
  <c r="M54" i="33"/>
  <c r="M118" i="33"/>
  <c r="M205" i="33"/>
  <c r="M82" i="33"/>
  <c r="M55" i="33"/>
  <c r="M105" i="33"/>
  <c r="M187" i="33"/>
  <c r="M180" i="33"/>
  <c r="M201" i="33"/>
  <c r="M127" i="33"/>
  <c r="M37" i="33"/>
  <c r="M146" i="33"/>
  <c r="M126" i="33"/>
  <c r="M175" i="33"/>
  <c r="M32" i="33"/>
  <c r="H228" i="33"/>
  <c r="M73" i="33"/>
  <c r="M155" i="33"/>
  <c r="M50" i="33"/>
  <c r="M114" i="33"/>
  <c r="M57" i="33"/>
  <c r="M101" i="33"/>
  <c r="M115" i="33"/>
  <c r="M204" i="33"/>
  <c r="M178" i="33"/>
  <c r="M145" i="33"/>
  <c r="M125" i="33"/>
  <c r="M143" i="33"/>
  <c r="M88" i="33"/>
  <c r="M83" i="33"/>
  <c r="H224" i="33"/>
  <c r="M77" i="33"/>
  <c r="M150" i="33"/>
  <c r="M67" i="33"/>
  <c r="M157" i="33"/>
  <c r="M53" i="33"/>
  <c r="M107" i="33"/>
  <c r="M68" i="33"/>
  <c r="M158" i="33"/>
  <c r="M117" i="33"/>
  <c r="M176" i="33"/>
  <c r="M142" i="33"/>
  <c r="M97" i="33"/>
  <c r="M33" i="33"/>
  <c r="M141" i="33"/>
  <c r="M124" i="33"/>
  <c r="M86" i="33"/>
  <c r="M42" i="33"/>
  <c r="M30" i="33"/>
  <c r="M60" i="33"/>
  <c r="M96" i="33"/>
  <c r="M188" i="33"/>
  <c r="M98" i="33"/>
  <c r="M194" i="33"/>
  <c r="M70" i="33"/>
  <c r="M193" i="33"/>
  <c r="M91" i="33"/>
  <c r="M123" i="33"/>
  <c r="M189" i="33"/>
  <c r="M170" i="33"/>
  <c r="M135" i="33"/>
  <c r="M133" i="33"/>
  <c r="M167" i="33"/>
  <c r="M66" i="33"/>
  <c r="G236" i="33"/>
  <c r="M28" i="33"/>
  <c r="M192" i="33"/>
  <c r="M148" i="33"/>
  <c r="M151" i="33"/>
  <c r="M149" i="33"/>
  <c r="M172" i="33"/>
  <c r="M45" i="33"/>
  <c r="M136" i="33"/>
  <c r="M169" i="33"/>
  <c r="M56" i="33"/>
  <c r="M184" i="33"/>
  <c r="M190" i="33"/>
  <c r="M185" i="33"/>
  <c r="M195" i="33"/>
  <c r="M168" i="33"/>
  <c r="M41" i="33"/>
  <c r="M131" i="33"/>
  <c r="M100" i="33"/>
  <c r="M75" i="33"/>
  <c r="M64" i="33"/>
  <c r="M76" i="33"/>
  <c r="M147" i="33"/>
  <c r="M137" i="33"/>
  <c r="M29" i="33"/>
  <c r="M164" i="33"/>
  <c r="M40" i="33"/>
  <c r="M183" i="33"/>
  <c r="H227" i="33"/>
  <c r="M110" i="33"/>
  <c r="M99" i="33"/>
  <c r="M132" i="33"/>
  <c r="M93" i="33"/>
  <c r="M108" i="33"/>
  <c r="M74" i="33"/>
  <c r="M200" i="33"/>
  <c r="M25" i="33"/>
  <c r="M89" i="33"/>
  <c r="H221" i="33"/>
  <c r="M177" i="33"/>
  <c r="M48" i="33"/>
  <c r="M87" i="33"/>
  <c r="M90" i="33"/>
  <c r="M34" i="33"/>
  <c r="M171" i="33"/>
  <c r="M111" i="33"/>
  <c r="M79" i="33"/>
  <c r="M179" i="33"/>
  <c r="E238" i="135"/>
  <c r="M93" i="57"/>
  <c r="G184" i="46"/>
  <c r="G115" i="45"/>
  <c r="G40" i="45"/>
  <c r="G220" i="47"/>
  <c r="G191" i="45"/>
  <c r="G137" i="45"/>
  <c r="G36" i="45"/>
  <c r="G36" i="39"/>
  <c r="G67" i="45"/>
  <c r="E79" i="45"/>
  <c r="G12" i="45"/>
  <c r="E21" i="45"/>
  <c r="G116" i="46"/>
  <c r="K18" i="66"/>
  <c r="G233" i="15"/>
  <c r="G100" i="15"/>
  <c r="G109" i="54"/>
  <c r="G91" i="54"/>
  <c r="G200" i="65"/>
  <c r="G117" i="94"/>
  <c r="G88" i="94"/>
  <c r="G35" i="16"/>
  <c r="G17" i="62"/>
  <c r="G183" i="150"/>
  <c r="G90" i="150"/>
  <c r="G151" i="119"/>
  <c r="G44" i="119"/>
  <c r="G92" i="65"/>
  <c r="F215" i="25"/>
  <c r="G83" i="66"/>
  <c r="G190" i="19"/>
  <c r="G25" i="145"/>
  <c r="G108" i="155"/>
  <c r="G115" i="25"/>
  <c r="G185" i="28"/>
  <c r="G200" i="39"/>
  <c r="G84" i="43"/>
  <c r="G143" i="27"/>
  <c r="G52" i="25"/>
  <c r="G142" i="49"/>
  <c r="G201" i="155"/>
  <c r="G155" i="158"/>
  <c r="G141" i="20"/>
  <c r="G143" i="66"/>
  <c r="G193" i="86"/>
  <c r="G192" i="145"/>
  <c r="G61" i="57"/>
  <c r="G192" i="158"/>
  <c r="G37" i="143"/>
  <c r="D208" i="176"/>
  <c r="E161" i="64"/>
  <c r="G82" i="19"/>
  <c r="E93" i="65"/>
  <c r="G27" i="119"/>
  <c r="E21" i="87"/>
  <c r="G167" i="172"/>
  <c r="G180" i="14"/>
  <c r="G171" i="46"/>
  <c r="G60" i="50"/>
  <c r="G195" i="58"/>
  <c r="G21" i="111"/>
  <c r="M11" i="111"/>
  <c r="K13" i="111"/>
  <c r="H226" i="111"/>
  <c r="H224" i="111"/>
  <c r="M25" i="111"/>
  <c r="M69" i="111"/>
  <c r="M87" i="111"/>
  <c r="M149" i="111"/>
  <c r="M196" i="111"/>
  <c r="M203" i="111"/>
  <c r="M48" i="111"/>
  <c r="M82" i="111"/>
  <c r="M106" i="111"/>
  <c r="M147" i="111"/>
  <c r="M194" i="111"/>
  <c r="M57" i="111"/>
  <c r="M72" i="111"/>
  <c r="M101" i="111"/>
  <c r="M59" i="111"/>
  <c r="M70" i="111"/>
  <c r="M114" i="111"/>
  <c r="M141" i="111"/>
  <c r="M189" i="111"/>
  <c r="M155" i="111"/>
  <c r="H227" i="111"/>
  <c r="H222" i="111"/>
  <c r="H221" i="111"/>
  <c r="M54" i="111"/>
  <c r="M77" i="111"/>
  <c r="M158" i="111"/>
  <c r="M140" i="111"/>
  <c r="M188" i="111"/>
  <c r="M56" i="111"/>
  <c r="M71" i="111"/>
  <c r="M98" i="111"/>
  <c r="M156" i="111"/>
  <c r="M137" i="111"/>
  <c r="M186" i="111"/>
  <c r="M49" i="111"/>
  <c r="M90" i="111"/>
  <c r="M191" i="111"/>
  <c r="M51" i="111"/>
  <c r="M78" i="111"/>
  <c r="M109" i="111"/>
  <c r="M152" i="111"/>
  <c r="M164" i="111"/>
  <c r="M200" i="111"/>
  <c r="M143" i="111"/>
  <c r="H225" i="111"/>
  <c r="M58" i="111"/>
  <c r="M108" i="111"/>
  <c r="M192" i="111"/>
  <c r="M67" i="111"/>
  <c r="M160" i="111"/>
  <c r="M190" i="111"/>
  <c r="M76" i="111"/>
  <c r="M99" i="111"/>
  <c r="M133" i="111"/>
  <c r="M150" i="111"/>
  <c r="M187" i="111"/>
  <c r="M176" i="111"/>
  <c r="M168" i="111"/>
  <c r="M183" i="111"/>
  <c r="M175" i="111"/>
  <c r="M167" i="111"/>
  <c r="M44" i="111"/>
  <c r="M34" i="111"/>
  <c r="M43" i="111"/>
  <c r="M35" i="111"/>
  <c r="M26" i="111"/>
  <c r="M124" i="111"/>
  <c r="H223" i="111"/>
  <c r="M130" i="111"/>
  <c r="M115" i="111"/>
  <c r="M85" i="111"/>
  <c r="M96" i="111"/>
  <c r="H219" i="111"/>
  <c r="M182" i="111"/>
  <c r="M174" i="111"/>
  <c r="M166" i="111"/>
  <c r="M181" i="111"/>
  <c r="M173" i="111"/>
  <c r="M165" i="111"/>
  <c r="M42" i="111"/>
  <c r="M32" i="111"/>
  <c r="M41" i="111"/>
  <c r="M33" i="111"/>
  <c r="M136" i="111"/>
  <c r="M117" i="111"/>
  <c r="G236" i="111"/>
  <c r="M201" i="111"/>
  <c r="M118" i="111"/>
  <c r="M66" i="111"/>
  <c r="M27" i="111"/>
  <c r="M127" i="111"/>
  <c r="H228" i="111"/>
  <c r="M153" i="111"/>
  <c r="M75" i="111"/>
  <c r="M205" i="111"/>
  <c r="M193" i="111"/>
  <c r="M123" i="111"/>
  <c r="M83" i="111"/>
  <c r="H220" i="111"/>
  <c r="M145" i="111"/>
  <c r="M89" i="111"/>
  <c r="M53" i="111"/>
  <c r="M74" i="111"/>
  <c r="M185" i="111"/>
  <c r="M180" i="111"/>
  <c r="M100" i="111"/>
  <c r="M171" i="111"/>
  <c r="M40" i="111"/>
  <c r="M129" i="111"/>
  <c r="M50" i="111"/>
  <c r="M184" i="111"/>
  <c r="M151" i="111"/>
  <c r="M86" i="111"/>
  <c r="M105" i="111"/>
  <c r="M138" i="111"/>
  <c r="M97" i="111"/>
  <c r="M29" i="111"/>
  <c r="M65" i="111"/>
  <c r="M73" i="111"/>
  <c r="M60" i="111"/>
  <c r="M142" i="111"/>
  <c r="M107" i="111"/>
  <c r="M131" i="111"/>
  <c r="M172" i="111"/>
  <c r="M179" i="111"/>
  <c r="M206" i="111"/>
  <c r="M30" i="111"/>
  <c r="M110" i="111"/>
  <c r="M92" i="111"/>
  <c r="M170" i="111"/>
  <c r="M28" i="111"/>
  <c r="M91" i="111"/>
  <c r="M132" i="111"/>
  <c r="M146" i="111"/>
  <c r="M202" i="111"/>
  <c r="M148" i="111"/>
  <c r="M195" i="111"/>
  <c r="M177" i="111"/>
  <c r="M46" i="111"/>
  <c r="M45" i="111"/>
  <c r="M135" i="111"/>
  <c r="M159" i="111"/>
  <c r="M116" i="111"/>
  <c r="M52" i="111"/>
  <c r="M84" i="111"/>
  <c r="M178" i="111"/>
  <c r="M38" i="111"/>
  <c r="M204" i="111"/>
  <c r="M169" i="111"/>
  <c r="M37" i="111"/>
  <c r="M125" i="111"/>
  <c r="M126" i="111"/>
  <c r="M68" i="111"/>
  <c r="M36" i="111"/>
  <c r="M64" i="111"/>
  <c r="M12" i="136"/>
  <c r="G237" i="136"/>
  <c r="G228" i="136"/>
  <c r="M61" i="136"/>
  <c r="G237" i="135"/>
  <c r="K15" i="135"/>
  <c r="M17" i="65"/>
  <c r="M46" i="57"/>
  <c r="M35" i="159"/>
  <c r="M51" i="21"/>
  <c r="E208" i="21"/>
  <c r="G105" i="66"/>
  <c r="G150" i="19"/>
  <c r="G126" i="19"/>
  <c r="G39" i="19"/>
  <c r="G187" i="164"/>
  <c r="G77" i="118"/>
  <c r="G54" i="118"/>
  <c r="G155" i="62"/>
  <c r="E215" i="57"/>
  <c r="G19" i="16"/>
  <c r="G183" i="25"/>
  <c r="G193" i="65"/>
  <c r="G149" i="64"/>
  <c r="G205" i="152"/>
  <c r="E206" i="152"/>
  <c r="G170" i="152"/>
  <c r="G150" i="152"/>
  <c r="G65" i="84"/>
  <c r="G188" i="89"/>
  <c r="G168" i="46"/>
  <c r="G131" i="47"/>
  <c r="G19" i="63"/>
  <c r="G182" i="47"/>
  <c r="G174" i="47"/>
  <c r="G75" i="47"/>
  <c r="G61" i="21"/>
  <c r="M61" i="21"/>
  <c r="M27" i="21"/>
  <c r="G156" i="25"/>
  <c r="G70" i="19"/>
  <c r="G175" i="164"/>
  <c r="G184" i="94"/>
  <c r="K18" i="113"/>
  <c r="G15" i="16"/>
  <c r="G140" i="156"/>
  <c r="G90" i="25"/>
  <c r="E93" i="25"/>
  <c r="G16" i="25"/>
  <c r="G69" i="28"/>
  <c r="G35" i="120"/>
  <c r="K17" i="57"/>
  <c r="G98" i="98"/>
  <c r="G66" i="174"/>
  <c r="G114" i="106"/>
  <c r="G152" i="58"/>
  <c r="G190" i="113"/>
  <c r="G97" i="145"/>
  <c r="G187" i="142"/>
  <c r="G71" i="25"/>
  <c r="E79" i="16"/>
  <c r="G171" i="145"/>
  <c r="G166" i="158"/>
  <c r="G117" i="156"/>
  <c r="G56" i="38"/>
  <c r="E111" i="155"/>
  <c r="G20" i="95"/>
  <c r="G26" i="84"/>
  <c r="G14" i="69"/>
  <c r="G183" i="155"/>
  <c r="G84" i="118"/>
  <c r="G178" i="42"/>
  <c r="G192" i="43"/>
  <c r="G48" i="53"/>
  <c r="G177" i="58"/>
  <c r="G194" i="63"/>
  <c r="E61" i="86"/>
  <c r="G34" i="86"/>
  <c r="G26" i="53"/>
  <c r="G116" i="63"/>
  <c r="G176" i="113"/>
  <c r="G41" i="63"/>
  <c r="G27" i="86"/>
  <c r="G204" i="145"/>
  <c r="G114" i="64"/>
  <c r="G110" i="27"/>
  <c r="G179" i="45"/>
  <c r="G90" i="45"/>
  <c r="F215" i="66"/>
  <c r="G17" i="158"/>
  <c r="E21" i="158"/>
  <c r="G208" i="136"/>
  <c r="G235" i="84"/>
  <c r="K15" i="84"/>
  <c r="G224" i="66"/>
  <c r="K18" i="19"/>
  <c r="M211" i="97"/>
  <c r="M21" i="97"/>
  <c r="G232" i="15"/>
  <c r="G87" i="54"/>
  <c r="M40" i="135"/>
  <c r="G61" i="135"/>
  <c r="M61" i="135"/>
  <c r="G208" i="33"/>
  <c r="M27" i="33"/>
  <c r="M59" i="159"/>
  <c r="E208" i="159"/>
  <c r="G99" i="65"/>
  <c r="G193" i="68"/>
  <c r="G174" i="68"/>
  <c r="G167" i="164"/>
  <c r="G137" i="164"/>
  <c r="G145" i="94"/>
  <c r="G129" i="118"/>
  <c r="G16" i="28"/>
  <c r="G166" i="45"/>
  <c r="E197" i="45"/>
  <c r="G86" i="62"/>
  <c r="G45" i="62"/>
  <c r="G123" i="150"/>
  <c r="G48" i="150"/>
  <c r="G136" i="158"/>
  <c r="G167" i="25"/>
  <c r="G171" i="119"/>
  <c r="G67" i="119"/>
  <c r="G177" i="65"/>
  <c r="G117" i="65"/>
  <c r="E119" i="65"/>
  <c r="G26" i="65"/>
  <c r="G54" i="28"/>
  <c r="G18" i="28"/>
  <c r="G173" i="106"/>
  <c r="G13" i="98"/>
  <c r="G188" i="53"/>
  <c r="G126" i="174"/>
  <c r="G85" i="174"/>
  <c r="E93" i="174"/>
  <c r="G51" i="174"/>
  <c r="G164" i="177"/>
  <c r="G205" i="1"/>
  <c r="G205" i="165"/>
  <c r="G76" i="158"/>
  <c r="E215" i="136"/>
  <c r="M31" i="111"/>
  <c r="G61" i="111"/>
  <c r="M61" i="111"/>
  <c r="G90" i="47"/>
  <c r="G170" i="63"/>
  <c r="G40" i="39"/>
  <c r="M59" i="21"/>
  <c r="G34" i="118"/>
  <c r="G188" i="66"/>
  <c r="G203" i="94"/>
  <c r="G140" i="94"/>
  <c r="G179" i="150"/>
  <c r="G173" i="156"/>
  <c r="G69" i="156"/>
  <c r="G195" i="119"/>
  <c r="G223" i="28"/>
  <c r="E228" i="28"/>
  <c r="G165" i="64"/>
  <c r="G96" i="152"/>
  <c r="G182" i="178"/>
  <c r="E228" i="152"/>
  <c r="E102" i="10"/>
  <c r="G151" i="155"/>
  <c r="E93" i="28"/>
  <c r="G72" i="38"/>
  <c r="G68" i="157"/>
  <c r="G141" i="83"/>
  <c r="G193" i="42"/>
  <c r="G231" i="120"/>
  <c r="G235" i="120"/>
  <c r="E235" i="120"/>
  <c r="G17" i="1"/>
  <c r="G73" i="71"/>
  <c r="G56" i="58"/>
  <c r="G67" i="90"/>
  <c r="G109" i="63"/>
  <c r="G56" i="66"/>
  <c r="G101" i="164"/>
  <c r="G45" i="177"/>
  <c r="G174" i="10"/>
  <c r="G193" i="71"/>
  <c r="G70" i="64"/>
  <c r="G82" i="143"/>
  <c r="G69" i="27"/>
  <c r="G171" i="45"/>
  <c r="G86" i="45"/>
  <c r="E206" i="45"/>
  <c r="G201" i="45"/>
  <c r="K11" i="159"/>
  <c r="H12" i="159"/>
  <c r="H20" i="159"/>
  <c r="H16" i="159"/>
  <c r="M21" i="159"/>
  <c r="H15" i="159"/>
  <c r="H14" i="159"/>
  <c r="H21" i="159"/>
  <c r="H11" i="159"/>
  <c r="H13" i="159"/>
  <c r="H19" i="159"/>
  <c r="H17" i="159"/>
  <c r="H18" i="159"/>
  <c r="G235" i="143"/>
  <c r="G123" i="25"/>
  <c r="G28" i="68"/>
  <c r="G193" i="15"/>
  <c r="G155" i="15"/>
  <c r="G114" i="15"/>
  <c r="G105" i="54"/>
  <c r="E111" i="54"/>
  <c r="G149" i="60"/>
  <c r="G42" i="60"/>
  <c r="D208" i="54"/>
  <c r="E102" i="177"/>
  <c r="D208" i="58"/>
  <c r="D215" i="58"/>
  <c r="G84" i="71"/>
  <c r="G30" i="53"/>
  <c r="G54" i="66"/>
  <c r="G105" i="150"/>
  <c r="G53" i="158"/>
  <c r="G192" i="63"/>
  <c r="G183" i="46"/>
  <c r="G187" i="45"/>
  <c r="F215" i="21"/>
  <c r="M206" i="159"/>
  <c r="E102" i="45"/>
  <c r="G96" i="45"/>
  <c r="F215" i="133"/>
  <c r="M76" i="159"/>
  <c r="M39" i="159"/>
  <c r="M36" i="159"/>
  <c r="M93" i="111"/>
  <c r="M192" i="159"/>
  <c r="M14" i="159"/>
  <c r="M177" i="159"/>
  <c r="M124" i="159"/>
  <c r="M34" i="159"/>
  <c r="M175" i="159"/>
  <c r="F215" i="53"/>
  <c r="M119" i="159"/>
  <c r="M39" i="111"/>
  <c r="E236" i="57"/>
  <c r="E236" i="136"/>
  <c r="M161" i="33"/>
  <c r="G31" i="113"/>
  <c r="G147" i="45"/>
  <c r="G52" i="45"/>
  <c r="G57" i="113"/>
  <c r="K18" i="71"/>
  <c r="G151" i="45"/>
  <c r="G48" i="45"/>
  <c r="G201" i="62"/>
  <c r="G225" i="71"/>
  <c r="G75" i="45"/>
  <c r="G32" i="45"/>
  <c r="G131" i="15"/>
  <c r="G153" i="60"/>
  <c r="G110" i="60"/>
  <c r="G46" i="60"/>
  <c r="M48" i="135"/>
  <c r="M35" i="33"/>
  <c r="G76" i="66"/>
  <c r="G118" i="68"/>
  <c r="G226" i="164"/>
  <c r="G191" i="164"/>
  <c r="G142" i="164"/>
  <c r="G58" i="118"/>
  <c r="G125" i="94"/>
  <c r="G92" i="94"/>
  <c r="G182" i="158"/>
  <c r="G97" i="150"/>
  <c r="G52" i="150"/>
  <c r="G91" i="113"/>
  <c r="G51" i="16"/>
  <c r="G205" i="158"/>
  <c r="G186" i="158"/>
  <c r="G145" i="156"/>
  <c r="G77" i="156"/>
  <c r="G115" i="155"/>
  <c r="G75" i="25"/>
  <c r="G40" i="25"/>
  <c r="G233" i="65"/>
  <c r="G165" i="65"/>
  <c r="G125" i="65"/>
  <c r="G69" i="65"/>
  <c r="G153" i="28"/>
  <c r="G18" i="141"/>
  <c r="G194" i="152"/>
  <c r="G131" i="152"/>
  <c r="G204" i="39"/>
  <c r="G49" i="98"/>
  <c r="G107" i="174"/>
  <c r="G70" i="174"/>
  <c r="E206" i="102"/>
  <c r="E102" i="68"/>
  <c r="E206" i="53"/>
  <c r="E197" i="50"/>
  <c r="G196" i="92"/>
  <c r="G58" i="71"/>
  <c r="G36" i="58"/>
  <c r="G132" i="133"/>
  <c r="G72" i="63"/>
  <c r="G115" i="39"/>
  <c r="G12" i="54"/>
  <c r="G49" i="58"/>
  <c r="G33" i="177"/>
  <c r="G115" i="120"/>
  <c r="G140" i="71"/>
  <c r="G77" i="53"/>
  <c r="G160" i="45"/>
  <c r="E93" i="45"/>
  <c r="G82" i="45"/>
  <c r="G187" i="58"/>
  <c r="G27" i="45"/>
  <c r="G224" i="176"/>
  <c r="M12" i="57"/>
  <c r="H220" i="159"/>
  <c r="H221" i="159"/>
  <c r="M118" i="159"/>
  <c r="M166" i="159"/>
  <c r="M88" i="159"/>
  <c r="M127" i="159"/>
  <c r="M50" i="159"/>
  <c r="M77" i="159"/>
  <c r="M194" i="159"/>
  <c r="M181" i="159"/>
  <c r="M29" i="159"/>
  <c r="H223" i="159"/>
  <c r="K13" i="159"/>
  <c r="M191" i="159"/>
  <c r="M123" i="159"/>
  <c r="M44" i="159"/>
  <c r="M202" i="159"/>
  <c r="M143" i="159"/>
  <c r="M30" i="159"/>
  <c r="H226" i="159"/>
  <c r="M110" i="159"/>
  <c r="M129" i="159"/>
  <c r="M70" i="159"/>
  <c r="M204" i="159"/>
  <c r="M87" i="159"/>
  <c r="M99" i="159"/>
  <c r="M132" i="159"/>
  <c r="M156" i="159"/>
  <c r="M107" i="159"/>
  <c r="M200" i="159"/>
  <c r="M165" i="159"/>
  <c r="M136" i="159"/>
  <c r="M142" i="159"/>
  <c r="H228" i="159"/>
  <c r="M203" i="159"/>
  <c r="M125" i="159"/>
  <c r="M54" i="159"/>
  <c r="M78" i="159"/>
  <c r="M138" i="159"/>
  <c r="H222" i="159"/>
  <c r="M149" i="159"/>
  <c r="H227" i="159"/>
  <c r="M56" i="159"/>
  <c r="M73" i="159"/>
  <c r="M146" i="159"/>
  <c r="M68" i="159"/>
  <c r="M167" i="159"/>
  <c r="M31" i="159"/>
  <c r="H225" i="159"/>
  <c r="M74" i="159"/>
  <c r="M133" i="159"/>
  <c r="G235" i="159"/>
  <c r="G236" i="159"/>
  <c r="M178" i="159"/>
  <c r="H224" i="159"/>
  <c r="M105" i="159"/>
  <c r="M85" i="159"/>
  <c r="M147" i="159"/>
  <c r="M155" i="159"/>
  <c r="M48" i="159"/>
  <c r="H219" i="159"/>
  <c r="M114" i="159"/>
  <c r="M172" i="159"/>
  <c r="M190" i="159"/>
  <c r="M145" i="159"/>
  <c r="M53" i="159"/>
  <c r="M188" i="159"/>
  <c r="M196" i="159"/>
  <c r="M148" i="159"/>
  <c r="M184" i="159"/>
  <c r="M205" i="159"/>
  <c r="M140" i="159"/>
  <c r="M101" i="159"/>
  <c r="M52" i="159"/>
  <c r="M40" i="159"/>
  <c r="M153" i="159"/>
  <c r="M71" i="159"/>
  <c r="M89" i="159"/>
  <c r="M150" i="159"/>
  <c r="M135" i="159"/>
  <c r="M174" i="159"/>
  <c r="M75" i="159"/>
  <c r="M169" i="159"/>
  <c r="M117" i="159"/>
  <c r="M86" i="159"/>
  <c r="M91" i="159"/>
  <c r="M183" i="159"/>
  <c r="M32" i="159"/>
  <c r="M186" i="159"/>
  <c r="M83" i="159"/>
  <c r="M189" i="159"/>
  <c r="M109" i="159"/>
  <c r="M47" i="159"/>
  <c r="M158" i="159"/>
  <c r="M53" i="21"/>
  <c r="M15" i="45"/>
  <c r="M14" i="136"/>
  <c r="M206" i="33"/>
  <c r="M102" i="33"/>
  <c r="G203" i="47"/>
  <c r="G11" i="113"/>
  <c r="K17" i="71"/>
  <c r="G183" i="45"/>
  <c r="G157" i="46"/>
  <c r="G166" i="47"/>
  <c r="G123" i="47"/>
  <c r="G51" i="63"/>
  <c r="G11" i="63"/>
  <c r="G20" i="45"/>
  <c r="G91" i="46"/>
  <c r="G141" i="47"/>
  <c r="G31" i="63"/>
  <c r="G178" i="63"/>
  <c r="G205" i="71"/>
  <c r="G156" i="62"/>
  <c r="G12" i="150"/>
  <c r="K17" i="15"/>
  <c r="G233" i="118"/>
  <c r="M59" i="33"/>
  <c r="M43" i="21"/>
  <c r="G114" i="68"/>
  <c r="G18" i="15"/>
  <c r="G20" i="19"/>
  <c r="G202" i="164"/>
  <c r="E235" i="94"/>
  <c r="G231" i="94"/>
  <c r="G73" i="118"/>
  <c r="G50" i="118"/>
  <c r="G43" i="158"/>
  <c r="G138" i="66"/>
  <c r="G180" i="94"/>
  <c r="G135" i="94"/>
  <c r="G70" i="16"/>
  <c r="G195" i="150"/>
  <c r="G160" i="150"/>
  <c r="G47" i="16"/>
  <c r="G201" i="158"/>
  <c r="G131" i="158"/>
  <c r="G85" i="158"/>
  <c r="G132" i="155"/>
  <c r="G160" i="25"/>
  <c r="G147" i="119"/>
  <c r="G60" i="119"/>
  <c r="G32" i="119"/>
  <c r="G189" i="65"/>
  <c r="G84" i="65"/>
  <c r="G42" i="65"/>
  <c r="G204" i="28"/>
  <c r="G106" i="28"/>
  <c r="K18" i="72"/>
  <c r="G145" i="64"/>
  <c r="G166" i="152"/>
  <c r="G118" i="152"/>
  <c r="G11" i="133"/>
  <c r="G18" i="84"/>
  <c r="G47" i="174"/>
  <c r="E21" i="141"/>
  <c r="E161" i="24"/>
  <c r="E93" i="68"/>
  <c r="E21" i="68"/>
  <c r="C208" i="94"/>
  <c r="C215" i="94"/>
  <c r="C208" i="150"/>
  <c r="C215" i="150"/>
  <c r="E102" i="50"/>
  <c r="E111" i="89"/>
  <c r="G28" i="58"/>
  <c r="G177" i="47"/>
  <c r="G39" i="83"/>
  <c r="G90" i="71"/>
  <c r="G164" i="54"/>
  <c r="G110" i="66"/>
  <c r="G180" i="43"/>
  <c r="G233" i="174"/>
  <c r="G87" i="120"/>
  <c r="G142" i="45"/>
  <c r="G90" i="58"/>
  <c r="G32" i="165"/>
  <c r="G41" i="104"/>
  <c r="E119" i="45"/>
  <c r="G114" i="45"/>
  <c r="F215" i="64"/>
  <c r="G93" i="159"/>
  <c r="M93" i="159"/>
  <c r="M82" i="159"/>
  <c r="G61" i="159"/>
  <c r="M61" i="159"/>
  <c r="M25" i="159"/>
  <c r="M161" i="111"/>
  <c r="M17" i="159"/>
  <c r="M16" i="57"/>
  <c r="M176" i="159"/>
  <c r="M159" i="159"/>
  <c r="G111" i="159"/>
  <c r="M111" i="159"/>
  <c r="M106" i="159"/>
  <c r="M12" i="159"/>
  <c r="G21" i="57"/>
  <c r="M55" i="111"/>
  <c r="M111" i="111"/>
  <c r="M171" i="159"/>
  <c r="M130" i="159"/>
  <c r="M18" i="135"/>
  <c r="E236" i="111"/>
  <c r="E236" i="21"/>
  <c r="G237" i="111"/>
  <c r="K15" i="111"/>
  <c r="G97" i="45"/>
  <c r="G28" i="45"/>
  <c r="G175" i="45"/>
  <c r="G101" i="45"/>
  <c r="G32" i="39"/>
  <c r="G56" i="45"/>
  <c r="G205" i="62"/>
  <c r="G194" i="62"/>
  <c r="G64" i="62"/>
  <c r="G37" i="62"/>
  <c r="G21" i="135"/>
  <c r="G223" i="15"/>
  <c r="G181" i="15"/>
  <c r="G146" i="15"/>
  <c r="G83" i="54"/>
  <c r="G145" i="60"/>
  <c r="M64" i="159"/>
  <c r="M32" i="135"/>
  <c r="M51" i="33"/>
  <c r="M51" i="159"/>
  <c r="M27" i="159"/>
  <c r="G186" i="68"/>
  <c r="G131" i="68"/>
  <c r="G183" i="164"/>
  <c r="G156" i="164"/>
  <c r="M58" i="159"/>
  <c r="G88" i="156"/>
  <c r="G43" i="16"/>
  <c r="G110" i="94"/>
  <c r="G149" i="156"/>
  <c r="G175" i="150"/>
  <c r="G137" i="150"/>
  <c r="K17" i="113"/>
  <c r="G45" i="113"/>
  <c r="G39" i="16"/>
  <c r="G110" i="156"/>
  <c r="G65" i="156"/>
  <c r="G11" i="156"/>
  <c r="G171" i="155"/>
  <c r="G179" i="25"/>
  <c r="G108" i="25"/>
  <c r="K17" i="65"/>
  <c r="G153" i="65"/>
  <c r="G110" i="65"/>
  <c r="G65" i="28"/>
  <c r="G140" i="64"/>
  <c r="G30" i="141"/>
  <c r="G70" i="152"/>
  <c r="G232" i="39"/>
  <c r="G41" i="98"/>
  <c r="E235" i="53"/>
  <c r="G231" i="53"/>
  <c r="G100" i="174"/>
  <c r="G78" i="174"/>
  <c r="E21" i="83"/>
  <c r="E206" i="20"/>
  <c r="E61" i="89"/>
  <c r="E197" i="86"/>
  <c r="E93" i="84"/>
  <c r="D208" i="10"/>
  <c r="E206" i="95"/>
  <c r="E79" i="38"/>
  <c r="E79" i="25"/>
  <c r="G186" i="25"/>
  <c r="G38" i="71"/>
  <c r="G158" i="47"/>
  <c r="G71" i="120"/>
  <c r="G201" i="46"/>
  <c r="G28" i="143"/>
  <c r="C212" i="57"/>
  <c r="C215" i="57"/>
  <c r="G132" i="45"/>
  <c r="F215" i="158"/>
  <c r="F215" i="69"/>
  <c r="G205" i="45"/>
  <c r="M160" i="159"/>
  <c r="M119" i="111"/>
  <c r="M187" i="159"/>
  <c r="M57" i="159"/>
  <c r="M195" i="159"/>
  <c r="M67" i="159"/>
  <c r="E215" i="111"/>
  <c r="M45" i="21"/>
  <c r="M161" i="135"/>
  <c r="M98" i="159"/>
  <c r="M164" i="159"/>
  <c r="E215" i="135"/>
  <c r="M111" i="136"/>
  <c r="M119" i="135"/>
  <c r="M79" i="135"/>
  <c r="G155" i="47"/>
  <c r="K18" i="33"/>
  <c r="G83" i="106"/>
  <c r="G16" i="45"/>
  <c r="G101" i="47"/>
  <c r="G39" i="63"/>
  <c r="G172" i="133"/>
  <c r="G152" i="46"/>
  <c r="G196" i="47"/>
  <c r="G152" i="133"/>
  <c r="G64" i="106"/>
  <c r="G164" i="46"/>
  <c r="G193" i="47"/>
  <c r="G55" i="63"/>
  <c r="G164" i="133"/>
  <c r="G107" i="15"/>
  <c r="G98" i="54"/>
  <c r="G204" i="118"/>
  <c r="M35" i="21"/>
  <c r="G195" i="164"/>
  <c r="G132" i="164"/>
  <c r="G221" i="94"/>
  <c r="G69" i="118"/>
  <c r="G38" i="118"/>
  <c r="G196" i="66"/>
  <c r="G180" i="66"/>
  <c r="G133" i="66"/>
  <c r="G123" i="145"/>
  <c r="G192" i="94"/>
  <c r="G176" i="94"/>
  <c r="G157" i="94"/>
  <c r="G130" i="94"/>
  <c r="G132" i="150"/>
  <c r="G56" i="150"/>
  <c r="G66" i="16"/>
  <c r="G11" i="16"/>
  <c r="G174" i="158"/>
  <c r="G107" i="158"/>
  <c r="G66" i="158"/>
  <c r="G191" i="155"/>
  <c r="G160" i="155"/>
  <c r="G127" i="155"/>
  <c r="G44" i="25"/>
  <c r="G187" i="119"/>
  <c r="G160" i="119"/>
  <c r="G52" i="119"/>
  <c r="G28" i="119"/>
  <c r="K18" i="65"/>
  <c r="G204" i="65"/>
  <c r="G169" i="65"/>
  <c r="G149" i="65"/>
  <c r="G34" i="65"/>
  <c r="G99" i="28"/>
  <c r="G30" i="28"/>
  <c r="K17" i="72"/>
  <c r="G182" i="152"/>
  <c r="G89" i="152"/>
  <c r="G73" i="84"/>
  <c r="G14" i="84"/>
  <c r="K18" i="57"/>
  <c r="G114" i="174"/>
  <c r="G178" i="25"/>
  <c r="G169" i="49"/>
  <c r="G143" i="62"/>
  <c r="G48" i="165"/>
  <c r="G109" i="32"/>
  <c r="G39" i="142"/>
  <c r="G12" i="143"/>
  <c r="G202" i="45"/>
  <c r="G127" i="45"/>
  <c r="G36" i="172"/>
  <c r="F215" i="174"/>
  <c r="F215" i="95"/>
  <c r="G107" i="45"/>
  <c r="F215" i="104"/>
  <c r="E215" i="159"/>
  <c r="M49" i="159"/>
  <c r="M88" i="111"/>
  <c r="M37" i="159"/>
  <c r="M157" i="159"/>
  <c r="M115" i="159"/>
  <c r="M157" i="111"/>
  <c r="E238" i="159"/>
  <c r="M19" i="33"/>
  <c r="M170" i="159"/>
  <c r="F215" i="155"/>
  <c r="M12" i="111"/>
  <c r="M47" i="111"/>
  <c r="M97" i="159"/>
  <c r="M17" i="111"/>
  <c r="K14" i="159"/>
  <c r="E236" i="33"/>
  <c r="K15" i="21"/>
  <c r="G237" i="21"/>
  <c r="M197" i="135"/>
  <c r="G236" i="21"/>
  <c r="M197" i="33"/>
  <c r="G156" i="45"/>
  <c r="G71" i="45"/>
  <c r="G97" i="47"/>
  <c r="G17" i="106"/>
  <c r="G167" i="45"/>
  <c r="G60" i="45"/>
  <c r="G108" i="45"/>
  <c r="G44" i="45"/>
  <c r="G146" i="47"/>
  <c r="G101" i="62"/>
  <c r="G53" i="62"/>
  <c r="G29" i="62"/>
  <c r="K17" i="66"/>
  <c r="K17" i="19"/>
  <c r="L211" i="97"/>
  <c r="M20" i="97"/>
  <c r="K18" i="15"/>
  <c r="G204" i="15"/>
  <c r="G174" i="15"/>
  <c r="G141" i="15"/>
  <c r="G117" i="60"/>
  <c r="G50" i="60"/>
  <c r="M79" i="159"/>
  <c r="M30" i="57"/>
  <c r="M56" i="135"/>
  <c r="M43" i="33"/>
  <c r="G182" i="68"/>
  <c r="G126" i="68"/>
  <c r="G16" i="19"/>
  <c r="G147" i="164"/>
  <c r="G37" i="145"/>
  <c r="G116" i="118"/>
  <c r="G106" i="94"/>
  <c r="G151" i="150"/>
  <c r="G225" i="158"/>
  <c r="G126" i="158"/>
  <c r="G19" i="158"/>
  <c r="G153" i="156"/>
  <c r="G130" i="156"/>
  <c r="G84" i="156"/>
  <c r="G191" i="25"/>
  <c r="G82" i="25"/>
  <c r="G60" i="25"/>
  <c r="G28" i="25"/>
  <c r="G137" i="119"/>
  <c r="G77" i="65"/>
  <c r="G96" i="174"/>
  <c r="K14" i="172"/>
  <c r="G235" i="172"/>
  <c r="G130" i="64"/>
  <c r="G136" i="152"/>
  <c r="G66" i="152"/>
  <c r="G222" i="39"/>
  <c r="G54" i="84"/>
  <c r="G129" i="98"/>
  <c r="G72" i="98"/>
  <c r="E102" i="79"/>
  <c r="E228" i="79"/>
  <c r="G186" i="84"/>
  <c r="E197" i="84"/>
  <c r="G125" i="102"/>
  <c r="E235" i="20"/>
  <c r="E237" i="20"/>
  <c r="G67" i="39"/>
  <c r="G203" i="178"/>
  <c r="G88" i="62"/>
  <c r="E197" i="120"/>
  <c r="G160" i="83"/>
  <c r="G187" i="177"/>
  <c r="G71" i="90"/>
  <c r="E21" i="47"/>
  <c r="E102" i="66"/>
  <c r="G99" i="66"/>
  <c r="E204" i="97"/>
  <c r="E93" i="50"/>
  <c r="E79" i="141"/>
  <c r="E61" i="141"/>
  <c r="G160" i="95"/>
  <c r="G41" i="1"/>
  <c r="E161" i="142"/>
  <c r="E93" i="142"/>
  <c r="G46" i="66"/>
  <c r="G185" i="68"/>
  <c r="G50" i="178"/>
  <c r="G152" i="178"/>
  <c r="E21" i="43"/>
  <c r="G138" i="165"/>
  <c r="E161" i="54"/>
  <c r="E79" i="149"/>
  <c r="G69" i="149"/>
  <c r="G15" i="178"/>
  <c r="G88" i="178"/>
  <c r="G57" i="1"/>
  <c r="G36" i="89"/>
  <c r="G71" i="1"/>
  <c r="G67" i="145"/>
  <c r="G29" i="83"/>
  <c r="E61" i="177"/>
  <c r="E161" i="172"/>
  <c r="G97" i="31"/>
  <c r="G115" i="31"/>
  <c r="E119" i="31"/>
  <c r="G137" i="31"/>
  <c r="G174" i="95"/>
  <c r="G100" i="95"/>
  <c r="G74" i="95"/>
  <c r="G59" i="95"/>
  <c r="G31" i="50"/>
  <c r="G175" i="1"/>
  <c r="G156" i="1"/>
  <c r="G137" i="1"/>
  <c r="G195" i="142"/>
  <c r="G167" i="142"/>
  <c r="G147" i="142"/>
  <c r="G127" i="142"/>
  <c r="G32" i="104"/>
  <c r="G203" i="106"/>
  <c r="E206" i="106"/>
  <c r="G82" i="106"/>
  <c r="G56" i="106"/>
  <c r="G160" i="46"/>
  <c r="G133" i="46"/>
  <c r="G15" i="66"/>
  <c r="G225" i="178"/>
  <c r="G131" i="10"/>
  <c r="C208" i="10"/>
  <c r="C212" i="10"/>
  <c r="G39" i="10"/>
  <c r="G186" i="143"/>
  <c r="G203" i="14"/>
  <c r="G59" i="165"/>
  <c r="G39" i="165"/>
  <c r="G73" i="27"/>
  <c r="G18" i="27"/>
  <c r="E206" i="157"/>
  <c r="G202" i="157"/>
  <c r="G147" i="157"/>
  <c r="G127" i="157"/>
  <c r="G14" i="157"/>
  <c r="E21" i="157"/>
  <c r="G185" i="42"/>
  <c r="G59" i="28"/>
  <c r="G15" i="28"/>
  <c r="G170" i="64"/>
  <c r="G187" i="178"/>
  <c r="G83" i="79"/>
  <c r="G13" i="149"/>
  <c r="G12" i="28"/>
  <c r="M12" i="28"/>
  <c r="G66" i="39"/>
  <c r="G142" i="55"/>
  <c r="G123" i="165"/>
  <c r="M17" i="92"/>
  <c r="G64" i="31"/>
  <c r="G146" i="95"/>
  <c r="G186" i="1"/>
  <c r="G171" i="92"/>
  <c r="E197" i="92"/>
  <c r="G82" i="92"/>
  <c r="E93" i="92"/>
  <c r="E21" i="92"/>
  <c r="G142" i="142"/>
  <c r="G72" i="142"/>
  <c r="G57" i="142"/>
  <c r="G181" i="106"/>
  <c r="E197" i="106"/>
  <c r="G175" i="66"/>
  <c r="G227" i="68"/>
  <c r="G150" i="10"/>
  <c r="G166" i="143"/>
  <c r="G182" i="165"/>
  <c r="G166" i="165"/>
  <c r="G141" i="165"/>
  <c r="G78" i="165"/>
  <c r="G157" i="27"/>
  <c r="G105" i="27"/>
  <c r="G88" i="27"/>
  <c r="G34" i="27"/>
  <c r="G193" i="16"/>
  <c r="G166" i="16"/>
  <c r="E197" i="16"/>
  <c r="G100" i="16"/>
  <c r="G67" i="16"/>
  <c r="G191" i="158"/>
  <c r="G101" i="157"/>
  <c r="G64" i="157"/>
  <c r="E79" i="157"/>
  <c r="G45" i="157"/>
  <c r="G74" i="28"/>
  <c r="G151" i="64"/>
  <c r="G196" i="32"/>
  <c r="G176" i="32"/>
  <c r="G138" i="32"/>
  <c r="G65" i="47"/>
  <c r="G203" i="158"/>
  <c r="E206" i="158"/>
  <c r="G116" i="158"/>
  <c r="G65" i="157"/>
  <c r="G186" i="49"/>
  <c r="G167" i="49"/>
  <c r="G127" i="49"/>
  <c r="G172" i="98"/>
  <c r="G152" i="98"/>
  <c r="G195" i="60"/>
  <c r="G180" i="60"/>
  <c r="G91" i="103"/>
  <c r="G37" i="177"/>
  <c r="G227" i="38"/>
  <c r="G101" i="38"/>
  <c r="E102" i="38"/>
  <c r="G32" i="38"/>
  <c r="G185" i="89"/>
  <c r="G158" i="89"/>
  <c r="G140" i="89"/>
  <c r="G117" i="89"/>
  <c r="G65" i="89"/>
  <c r="E79" i="89"/>
  <c r="G26" i="89"/>
  <c r="G204" i="86"/>
  <c r="G185" i="86"/>
  <c r="G146" i="86"/>
  <c r="G107" i="86"/>
  <c r="G39" i="86"/>
  <c r="G82" i="16"/>
  <c r="G150" i="83"/>
  <c r="G126" i="49"/>
  <c r="E111" i="49"/>
  <c r="G86" i="49"/>
  <c r="G25" i="174"/>
  <c r="G114" i="94"/>
  <c r="E119" i="94"/>
  <c r="M12" i="31"/>
  <c r="G118" i="42"/>
  <c r="E119" i="42"/>
  <c r="G100" i="42"/>
  <c r="E102" i="42"/>
  <c r="G78" i="42"/>
  <c r="G11" i="42"/>
  <c r="E21" i="42"/>
  <c r="G28" i="156"/>
  <c r="G226" i="25"/>
  <c r="E228" i="25"/>
  <c r="G184" i="25"/>
  <c r="G148" i="25"/>
  <c r="G39" i="84"/>
  <c r="E79" i="37"/>
  <c r="G58" i="145"/>
  <c r="G64" i="19"/>
  <c r="G83" i="19"/>
  <c r="E206" i="85"/>
  <c r="C208" i="95"/>
  <c r="C215" i="95"/>
  <c r="C208" i="1"/>
  <c r="C212" i="1"/>
  <c r="E197" i="142"/>
  <c r="E161" i="158"/>
  <c r="K14" i="72"/>
  <c r="G26" i="62"/>
  <c r="G50" i="25"/>
  <c r="G56" i="19"/>
  <c r="G186" i="19"/>
  <c r="G41" i="49"/>
  <c r="G176" i="27"/>
  <c r="G148" i="150"/>
  <c r="G84" i="150"/>
  <c r="G78" i="50"/>
  <c r="G109" i="14"/>
  <c r="G17" i="27"/>
  <c r="G195" i="71"/>
  <c r="G147" i="10"/>
  <c r="G86" i="14"/>
  <c r="G78" i="39"/>
  <c r="G98" i="39"/>
  <c r="G156" i="92"/>
  <c r="G54" i="119"/>
  <c r="G83" i="46"/>
  <c r="G116" i="58"/>
  <c r="G169" i="83"/>
  <c r="G125" i="19"/>
  <c r="G180" i="178"/>
  <c r="G16" i="58"/>
  <c r="G167" i="31"/>
  <c r="G55" i="94"/>
  <c r="G89" i="86"/>
  <c r="G36" i="104"/>
  <c r="E235" i="15"/>
  <c r="G231" i="15"/>
  <c r="G17" i="150"/>
  <c r="E206" i="46"/>
  <c r="G204" i="46"/>
  <c r="C208" i="87"/>
  <c r="C212" i="87"/>
  <c r="E79" i="90"/>
  <c r="G46" i="84"/>
  <c r="E79" i="43"/>
  <c r="G159" i="19"/>
  <c r="G176" i="177"/>
  <c r="G143" i="150"/>
  <c r="G65" i="150"/>
  <c r="G66" i="50"/>
  <c r="G28" i="142"/>
  <c r="E93" i="27"/>
  <c r="G83" i="27"/>
  <c r="G186" i="38"/>
  <c r="G82" i="14"/>
  <c r="G70" i="39"/>
  <c r="G36" i="86"/>
  <c r="G172" i="43"/>
  <c r="G151" i="92"/>
  <c r="G46" i="119"/>
  <c r="G125" i="47"/>
  <c r="G14" i="15"/>
  <c r="G194" i="92"/>
  <c r="G142" i="58"/>
  <c r="G194" i="39"/>
  <c r="G153" i="62"/>
  <c r="G70" i="86"/>
  <c r="G12" i="62"/>
  <c r="E61" i="42"/>
  <c r="G164" i="158"/>
  <c r="G83" i="83"/>
  <c r="G147" i="49"/>
  <c r="G57" i="49"/>
  <c r="G145" i="54"/>
  <c r="G190" i="118"/>
  <c r="G174" i="118"/>
  <c r="G171" i="103"/>
  <c r="G202" i="38"/>
  <c r="G127" i="38"/>
  <c r="G86" i="38"/>
  <c r="G99" i="89"/>
  <c r="G46" i="89"/>
  <c r="G189" i="86"/>
  <c r="G131" i="86"/>
  <c r="G85" i="86"/>
  <c r="G55" i="86"/>
  <c r="G194" i="87"/>
  <c r="G178" i="87"/>
  <c r="G159" i="87"/>
  <c r="G155" i="14"/>
  <c r="G18" i="47"/>
  <c r="G204" i="49"/>
  <c r="G48" i="49"/>
  <c r="G96" i="94"/>
  <c r="G44" i="94"/>
  <c r="G205" i="42"/>
  <c r="G126" i="42"/>
  <c r="G85" i="42"/>
  <c r="G170" i="156"/>
  <c r="G131" i="156"/>
  <c r="G28" i="155"/>
  <c r="G168" i="25"/>
  <c r="G72" i="25"/>
  <c r="G178" i="65"/>
  <c r="G158" i="43"/>
  <c r="G140" i="43"/>
  <c r="G196" i="46"/>
  <c r="G130" i="98"/>
  <c r="G55" i="98"/>
  <c r="G19" i="98"/>
  <c r="G52" i="53"/>
  <c r="G192" i="174"/>
  <c r="G149" i="58"/>
  <c r="G88" i="58"/>
  <c r="G51" i="62"/>
  <c r="G35" i="62"/>
  <c r="G15" i="62"/>
  <c r="G153" i="66"/>
  <c r="G135" i="66"/>
  <c r="G142" i="95"/>
  <c r="G44" i="95"/>
  <c r="G129" i="1"/>
  <c r="G45" i="1"/>
  <c r="G57" i="69"/>
  <c r="G33" i="69"/>
  <c r="E235" i="89"/>
  <c r="G231" i="89"/>
  <c r="G152" i="89"/>
  <c r="G189" i="150"/>
  <c r="G173" i="150"/>
  <c r="G90" i="95"/>
  <c r="G40" i="95"/>
  <c r="G156" i="50"/>
  <c r="G157" i="1"/>
  <c r="G180" i="89"/>
  <c r="G46" i="86"/>
  <c r="G220" i="175"/>
  <c r="G192" i="46"/>
  <c r="G78" i="46"/>
  <c r="G55" i="46"/>
  <c r="G39" i="46"/>
  <c r="G182" i="53"/>
  <c r="G167" i="53"/>
  <c r="G147" i="53"/>
  <c r="G123" i="53"/>
  <c r="G71" i="53"/>
  <c r="G155" i="174"/>
  <c r="G181" i="58"/>
  <c r="G125" i="58"/>
  <c r="G50" i="58"/>
  <c r="G201" i="63"/>
  <c r="G182" i="63"/>
  <c r="G96" i="66"/>
  <c r="G12" i="95"/>
  <c r="G52" i="50"/>
  <c r="G87" i="89"/>
  <c r="G204" i="150"/>
  <c r="G185" i="150"/>
  <c r="G153" i="150"/>
  <c r="G135" i="150"/>
  <c r="G89" i="150"/>
  <c r="G55" i="150"/>
  <c r="G101" i="53"/>
  <c r="E197" i="87"/>
  <c r="E21" i="27"/>
  <c r="G175" i="50"/>
  <c r="E119" i="177"/>
  <c r="G116" i="175"/>
  <c r="C208" i="16"/>
  <c r="D208" i="157"/>
  <c r="D215" i="157"/>
  <c r="E111" i="157"/>
  <c r="E61" i="65"/>
  <c r="E93" i="14"/>
  <c r="E119" i="32"/>
  <c r="E119" i="43"/>
  <c r="G70" i="28"/>
  <c r="E197" i="38"/>
  <c r="E61" i="38"/>
  <c r="E161" i="50"/>
  <c r="E228" i="95"/>
  <c r="D208" i="95"/>
  <c r="E228" i="143"/>
  <c r="C208" i="42"/>
  <c r="C215" i="42"/>
  <c r="G138" i="150"/>
  <c r="G58" i="150"/>
  <c r="G27" i="50"/>
  <c r="G114" i="69"/>
  <c r="G72" i="27"/>
  <c r="G54" i="155"/>
  <c r="G170" i="38"/>
  <c r="G73" i="10"/>
  <c r="G67" i="14"/>
  <c r="G51" i="39"/>
  <c r="G64" i="10"/>
  <c r="G147" i="92"/>
  <c r="G26" i="119"/>
  <c r="G135" i="49"/>
  <c r="G174" i="19"/>
  <c r="G186" i="92"/>
  <c r="G190" i="39"/>
  <c r="G225" i="172"/>
  <c r="G191" i="63"/>
  <c r="G219" i="164"/>
  <c r="G17" i="46"/>
  <c r="G83" i="31"/>
  <c r="G142" i="31"/>
  <c r="G70" i="95"/>
  <c r="G55" i="95"/>
  <c r="G15" i="50"/>
  <c r="G171" i="1"/>
  <c r="G132" i="1"/>
  <c r="G115" i="92"/>
  <c r="G97" i="92"/>
  <c r="E102" i="92"/>
  <c r="G227" i="142"/>
  <c r="G191" i="142"/>
  <c r="G160" i="142"/>
  <c r="G45" i="142"/>
  <c r="G182" i="84"/>
  <c r="G20" i="104"/>
  <c r="G131" i="106"/>
  <c r="G100" i="106"/>
  <c r="G36" i="106"/>
  <c r="G72" i="46"/>
  <c r="G53" i="46"/>
  <c r="G29" i="46"/>
  <c r="G166" i="10"/>
  <c r="G146" i="10"/>
  <c r="G126" i="10"/>
  <c r="G107" i="10"/>
  <c r="G85" i="10"/>
  <c r="G35" i="10"/>
  <c r="G178" i="143"/>
  <c r="G196" i="14"/>
  <c r="G51" i="165"/>
  <c r="G35" i="165"/>
  <c r="G192" i="27"/>
  <c r="G14" i="27"/>
  <c r="G141" i="16"/>
  <c r="G142" i="157"/>
  <c r="G89" i="28"/>
  <c r="G31" i="28"/>
  <c r="G64" i="64"/>
  <c r="G13" i="64"/>
  <c r="G157" i="158"/>
  <c r="G26" i="157"/>
  <c r="G76" i="83"/>
  <c r="G160" i="49"/>
  <c r="G133" i="98"/>
  <c r="G223" i="118"/>
  <c r="G187" i="103"/>
  <c r="G167" i="103"/>
  <c r="G124" i="103"/>
  <c r="G147" i="38"/>
  <c r="G123" i="38"/>
  <c r="G82" i="38"/>
  <c r="G26" i="69"/>
  <c r="G77" i="89"/>
  <c r="G58" i="89"/>
  <c r="G166" i="86"/>
  <c r="G126" i="86"/>
  <c r="G78" i="86"/>
  <c r="G141" i="14"/>
  <c r="G14" i="47"/>
  <c r="G109" i="83"/>
  <c r="G200" i="49"/>
  <c r="G60" i="49"/>
  <c r="G44" i="49"/>
  <c r="G85" i="94"/>
  <c r="G60" i="94"/>
  <c r="K14" i="79"/>
  <c r="G189" i="156"/>
  <c r="G126" i="156"/>
  <c r="G196" i="155"/>
  <c r="G20" i="155"/>
  <c r="G180" i="25"/>
  <c r="G83" i="25"/>
  <c r="G174" i="65"/>
  <c r="G143" i="84"/>
  <c r="G99" i="84"/>
  <c r="G35" i="84"/>
  <c r="G173" i="43"/>
  <c r="G153" i="43"/>
  <c r="G135" i="43"/>
  <c r="G181" i="174"/>
  <c r="G115" i="174"/>
  <c r="G200" i="58"/>
  <c r="G165" i="58"/>
  <c r="G140" i="58"/>
  <c r="G106" i="58"/>
  <c r="G84" i="58"/>
  <c r="G65" i="58"/>
  <c r="G46" i="58"/>
  <c r="G47" i="62"/>
  <c r="G31" i="62"/>
  <c r="G11" i="62"/>
  <c r="G149" i="66"/>
  <c r="G67" i="66"/>
  <c r="G137" i="95"/>
  <c r="G97" i="95"/>
  <c r="G60" i="95"/>
  <c r="G152" i="1"/>
  <c r="G116" i="1"/>
  <c r="G192" i="92"/>
  <c r="G53" i="69"/>
  <c r="G29" i="69"/>
  <c r="G143" i="89"/>
  <c r="G130" i="150"/>
  <c r="G107" i="150"/>
  <c r="G132" i="95"/>
  <c r="G195" i="50"/>
  <c r="G143" i="1"/>
  <c r="G98" i="1"/>
  <c r="G188" i="92"/>
  <c r="G13" i="69"/>
  <c r="G172" i="89"/>
  <c r="G54" i="150"/>
  <c r="G96" i="69"/>
  <c r="G150" i="38"/>
  <c r="G60" i="14"/>
  <c r="G19" i="25"/>
  <c r="G130" i="49"/>
  <c r="G178" i="92"/>
  <c r="G148" i="63"/>
  <c r="G18" i="106"/>
  <c r="G132" i="172"/>
  <c r="G41" i="31"/>
  <c r="G159" i="95"/>
  <c r="G96" i="95"/>
  <c r="E102" i="95"/>
  <c r="G224" i="1"/>
  <c r="G40" i="92"/>
  <c r="G68" i="142"/>
  <c r="G171" i="66"/>
  <c r="G174" i="143"/>
  <c r="G231" i="27"/>
  <c r="E235" i="27"/>
  <c r="G30" i="27"/>
  <c r="G159" i="16"/>
  <c r="G96" i="16"/>
  <c r="G78" i="16"/>
  <c r="G60" i="16"/>
  <c r="G187" i="158"/>
  <c r="G133" i="32"/>
  <c r="G38" i="47"/>
  <c r="G184" i="158"/>
  <c r="G53" i="49"/>
  <c r="G60" i="38"/>
  <c r="G44" i="38"/>
  <c r="G200" i="89"/>
  <c r="G135" i="89"/>
  <c r="G200" i="86"/>
  <c r="G190" i="87"/>
  <c r="G155" i="87"/>
  <c r="G127" i="83"/>
  <c r="G101" i="49"/>
  <c r="G168" i="54"/>
  <c r="G20" i="156"/>
  <c r="G55" i="155"/>
  <c r="G143" i="25"/>
  <c r="G203" i="175"/>
  <c r="G181" i="46"/>
  <c r="G74" i="46"/>
  <c r="G51" i="46"/>
  <c r="G35" i="46"/>
  <c r="G125" i="98"/>
  <c r="G47" i="98"/>
  <c r="G11" i="98"/>
  <c r="G194" i="53"/>
  <c r="G160" i="53"/>
  <c r="G115" i="53"/>
  <c r="G108" i="174"/>
  <c r="G32" i="95"/>
  <c r="G109" i="89"/>
  <c r="G47" i="150"/>
  <c r="G28" i="95"/>
  <c r="G220" i="178"/>
  <c r="G71" i="95"/>
  <c r="E93" i="38"/>
  <c r="G118" i="98"/>
  <c r="E102" i="69"/>
  <c r="C208" i="25"/>
  <c r="C212" i="25"/>
  <c r="G66" i="42"/>
  <c r="G200" i="66"/>
  <c r="G117" i="150"/>
  <c r="E228" i="43"/>
  <c r="E79" i="49"/>
  <c r="E79" i="150"/>
  <c r="E61" i="165"/>
  <c r="G164" i="1"/>
  <c r="E206" i="38"/>
  <c r="E119" i="89"/>
  <c r="G116" i="89"/>
  <c r="E61" i="50"/>
  <c r="E161" i="1"/>
  <c r="E61" i="1"/>
  <c r="D208" i="150"/>
  <c r="D215" i="150"/>
  <c r="G18" i="89"/>
  <c r="G106" i="150"/>
  <c r="G64" i="1"/>
  <c r="G89" i="69"/>
  <c r="G146" i="38"/>
  <c r="G56" i="14"/>
  <c r="G131" i="71"/>
  <c r="G15" i="25"/>
  <c r="G68" i="38"/>
  <c r="G132" i="92"/>
  <c r="G192" i="133"/>
  <c r="G57" i="58"/>
  <c r="G132" i="118"/>
  <c r="G66" i="155"/>
  <c r="G42" i="63"/>
  <c r="G132" i="68"/>
  <c r="G136" i="47"/>
  <c r="G116" i="145"/>
  <c r="G42" i="68"/>
  <c r="E79" i="95"/>
  <c r="G127" i="31"/>
  <c r="G85" i="95"/>
  <c r="G51" i="95"/>
  <c r="G35" i="95"/>
  <c r="G183" i="1"/>
  <c r="G167" i="1"/>
  <c r="G147" i="1"/>
  <c r="G127" i="1"/>
  <c r="G90" i="92"/>
  <c r="G156" i="142"/>
  <c r="G67" i="69"/>
  <c r="G178" i="84"/>
  <c r="G118" i="106"/>
  <c r="G205" i="46"/>
  <c r="G108" i="46"/>
  <c r="G68" i="46"/>
  <c r="G45" i="46"/>
  <c r="G177" i="106"/>
  <c r="G78" i="10"/>
  <c r="G31" i="10"/>
  <c r="G137" i="143"/>
  <c r="G185" i="14"/>
  <c r="G178" i="165"/>
  <c r="G136" i="165"/>
  <c r="G47" i="165"/>
  <c r="G172" i="27"/>
  <c r="G152" i="27"/>
  <c r="G190" i="16"/>
  <c r="G155" i="16"/>
  <c r="G136" i="16"/>
  <c r="G75" i="16"/>
  <c r="G187" i="157"/>
  <c r="G97" i="157"/>
  <c r="G72" i="157"/>
  <c r="G53" i="157"/>
  <c r="G27" i="28"/>
  <c r="G200" i="64"/>
  <c r="G167" i="64"/>
  <c r="G152" i="158"/>
  <c r="G49" i="49"/>
  <c r="G99" i="98"/>
  <c r="G182" i="118"/>
  <c r="G179" i="103"/>
  <c r="G156" i="103"/>
  <c r="G109" i="103"/>
  <c r="G137" i="38"/>
  <c r="G97" i="38"/>
  <c r="G110" i="89"/>
  <c r="G159" i="86"/>
  <c r="G118" i="86"/>
  <c r="G74" i="86"/>
  <c r="G186" i="87"/>
  <c r="G170" i="87"/>
  <c r="G127" i="143"/>
  <c r="G166" i="14"/>
  <c r="G136" i="14"/>
  <c r="G28" i="16"/>
  <c r="G34" i="47"/>
  <c r="G222" i="83"/>
  <c r="G232" i="49"/>
  <c r="G155" i="49"/>
  <c r="G56" i="49"/>
  <c r="G40" i="49"/>
  <c r="G17" i="174"/>
  <c r="G82" i="94"/>
  <c r="E93" i="94"/>
  <c r="G56" i="94"/>
  <c r="G96" i="42"/>
  <c r="G55" i="42"/>
  <c r="G39" i="42"/>
  <c r="G185" i="156"/>
  <c r="G189" i="155"/>
  <c r="G47" i="155"/>
  <c r="G16" i="155"/>
  <c r="E206" i="25"/>
  <c r="G202" i="25"/>
  <c r="G176" i="25"/>
  <c r="G64" i="25"/>
  <c r="G157" i="84"/>
  <c r="G77" i="84"/>
  <c r="G169" i="43"/>
  <c r="G125" i="43"/>
  <c r="G117" i="98"/>
  <c r="G132" i="53"/>
  <c r="G97" i="53"/>
  <c r="G44" i="53"/>
  <c r="G28" i="53"/>
  <c r="G203" i="174"/>
  <c r="G158" i="58"/>
  <c r="G135" i="58"/>
  <c r="G117" i="58"/>
  <c r="G105" i="62"/>
  <c r="G43" i="62"/>
  <c r="G27" i="62"/>
  <c r="G174" i="63"/>
  <c r="G165" i="66"/>
  <c r="G145" i="66"/>
  <c r="G114" i="66"/>
  <c r="G89" i="66"/>
  <c r="G52" i="66"/>
  <c r="G56" i="95"/>
  <c r="G226" i="50"/>
  <c r="G171" i="50"/>
  <c r="G180" i="1"/>
  <c r="G105" i="1"/>
  <c r="G184" i="92"/>
  <c r="G25" i="69"/>
  <c r="G203" i="89"/>
  <c r="G138" i="89"/>
  <c r="G232" i="150"/>
  <c r="G181" i="150"/>
  <c r="G115" i="95"/>
  <c r="E119" i="95"/>
  <c r="G187" i="50"/>
  <c r="G176" i="1"/>
  <c r="G133" i="1"/>
  <c r="G180" i="92"/>
  <c r="G164" i="89"/>
  <c r="G30" i="86"/>
  <c r="G75" i="50"/>
  <c r="G85" i="150"/>
  <c r="G46" i="157"/>
  <c r="E21" i="95"/>
  <c r="D208" i="94"/>
  <c r="D215" i="94"/>
  <c r="G170" i="49"/>
  <c r="G157" i="175"/>
  <c r="G69" i="58"/>
  <c r="E102" i="158"/>
  <c r="E21" i="106"/>
  <c r="M13" i="142"/>
  <c r="D208" i="86"/>
  <c r="D215" i="86"/>
  <c r="E228" i="102"/>
  <c r="E111" i="37"/>
  <c r="G146" i="49"/>
  <c r="E197" i="156"/>
  <c r="E228" i="64"/>
  <c r="G127" i="95"/>
  <c r="G172" i="32"/>
  <c r="G116" i="83"/>
  <c r="G99" i="150"/>
  <c r="G31" i="95"/>
  <c r="G53" i="1"/>
  <c r="G85" i="69"/>
  <c r="G33" i="27"/>
  <c r="G116" i="24"/>
  <c r="G136" i="38"/>
  <c r="G186" i="55"/>
  <c r="G177" i="43"/>
  <c r="G11" i="25"/>
  <c r="G127" i="92"/>
  <c r="G51" i="49"/>
  <c r="G124" i="62"/>
  <c r="G97" i="178"/>
  <c r="G43" i="155"/>
  <c r="G38" i="63"/>
  <c r="G101" i="60"/>
  <c r="G48" i="54"/>
  <c r="G15" i="98"/>
  <c r="G52" i="152"/>
  <c r="G87" i="158"/>
  <c r="E102" i="103"/>
  <c r="G53" i="31"/>
  <c r="G86" i="31"/>
  <c r="G108" i="31"/>
  <c r="E111" i="31"/>
  <c r="G136" i="95"/>
  <c r="G66" i="95"/>
  <c r="G179" i="1"/>
  <c r="G71" i="92"/>
  <c r="G36" i="92"/>
  <c r="G16" i="92"/>
  <c r="G219" i="142"/>
  <c r="G132" i="142"/>
  <c r="G143" i="46"/>
  <c r="G50" i="69"/>
  <c r="G100" i="10"/>
  <c r="G190" i="165"/>
  <c r="G174" i="165"/>
  <c r="G96" i="165"/>
  <c r="G31" i="165"/>
  <c r="G186" i="16"/>
  <c r="G167" i="158"/>
  <c r="G115" i="157"/>
  <c r="G90" i="157"/>
  <c r="G85" i="28"/>
  <c r="G160" i="64"/>
  <c r="G71" i="64"/>
  <c r="G220" i="32"/>
  <c r="G188" i="32"/>
  <c r="G175" i="49"/>
  <c r="G156" i="49"/>
  <c r="G68" i="49"/>
  <c r="G164" i="98"/>
  <c r="G188" i="60"/>
  <c r="G76" i="103"/>
  <c r="G219" i="38"/>
  <c r="E228" i="38"/>
  <c r="G20" i="38"/>
  <c r="G54" i="89"/>
  <c r="G34" i="89"/>
  <c r="G14" i="89"/>
  <c r="G155" i="86"/>
  <c r="G31" i="86"/>
  <c r="G194" i="16"/>
  <c r="G86" i="16"/>
  <c r="G123" i="83"/>
  <c r="G71" i="49"/>
  <c r="G13" i="174"/>
  <c r="G32" i="94"/>
  <c r="G219" i="54"/>
  <c r="G180" i="54"/>
  <c r="G152" i="54"/>
  <c r="G155" i="42"/>
  <c r="G89" i="42"/>
  <c r="G150" i="156"/>
  <c r="G74" i="156"/>
  <c r="G16" i="156"/>
  <c r="G157" i="25"/>
  <c r="G138" i="25"/>
  <c r="G76" i="25"/>
  <c r="G129" i="84"/>
  <c r="G74" i="84"/>
  <c r="G15" i="84"/>
  <c r="G188" i="43"/>
  <c r="G203" i="46"/>
  <c r="G158" i="46"/>
  <c r="G47" i="46"/>
  <c r="G31" i="46"/>
  <c r="G15" i="46"/>
  <c r="G43" i="98"/>
  <c r="G190" i="53"/>
  <c r="G156" i="53"/>
  <c r="G82" i="53"/>
  <c r="G173" i="58"/>
  <c r="G77" i="58"/>
  <c r="G58" i="58"/>
  <c r="G190" i="63"/>
  <c r="G123" i="95"/>
  <c r="G101" i="50"/>
  <c r="G67" i="50"/>
  <c r="G145" i="150"/>
  <c r="G100" i="150"/>
  <c r="G66" i="150"/>
  <c r="G43" i="150"/>
  <c r="G101" i="95"/>
  <c r="G86" i="50"/>
  <c r="G133" i="150"/>
  <c r="G76" i="1"/>
  <c r="G170" i="65"/>
  <c r="G58" i="10"/>
  <c r="G13" i="90"/>
  <c r="G64" i="58"/>
  <c r="G178" i="145"/>
  <c r="G60" i="58"/>
  <c r="G133" i="19"/>
  <c r="G179" i="69"/>
  <c r="G191" i="66"/>
  <c r="G68" i="31"/>
  <c r="G101" i="31"/>
  <c r="G194" i="95"/>
  <c r="G141" i="95"/>
  <c r="G20" i="92"/>
  <c r="G175" i="142"/>
  <c r="G115" i="47"/>
  <c r="G36" i="150"/>
  <c r="G74" i="165"/>
  <c r="G188" i="27"/>
  <c r="G46" i="27"/>
  <c r="G25" i="157"/>
  <c r="G152" i="32"/>
  <c r="G117" i="32"/>
  <c r="G54" i="157"/>
  <c r="G123" i="49"/>
  <c r="G140" i="54"/>
  <c r="G192" i="60"/>
  <c r="G83" i="103"/>
  <c r="G29" i="177"/>
  <c r="G183" i="38"/>
  <c r="G28" i="38"/>
  <c r="G173" i="89"/>
  <c r="G181" i="86"/>
  <c r="G141" i="86"/>
  <c r="G100" i="86"/>
  <c r="G35" i="86"/>
  <c r="G174" i="87"/>
  <c r="G201" i="16"/>
  <c r="G146" i="83"/>
  <c r="G188" i="54"/>
  <c r="M19" i="90"/>
  <c r="G159" i="42"/>
  <c r="G85" i="156"/>
  <c r="G55" i="156"/>
  <c r="G164" i="25"/>
  <c r="G124" i="25"/>
  <c r="G66" i="84"/>
  <c r="G220" i="46"/>
  <c r="G165" i="46"/>
  <c r="G150" i="174"/>
  <c r="G68" i="62"/>
  <c r="G151" i="50"/>
  <c r="G97" i="50"/>
  <c r="E61" i="95"/>
  <c r="E161" i="38"/>
  <c r="E79" i="28"/>
  <c r="E99" i="97"/>
  <c r="E161" i="150"/>
  <c r="E21" i="25"/>
  <c r="G64" i="27"/>
  <c r="G150" i="42"/>
  <c r="G194" i="165"/>
  <c r="G107" i="94"/>
  <c r="E206" i="150"/>
  <c r="C208" i="15"/>
  <c r="C215" i="15"/>
  <c r="E79" i="46"/>
  <c r="E161" i="92"/>
  <c r="G205" i="31"/>
  <c r="E206" i="175"/>
  <c r="E197" i="65"/>
  <c r="E79" i="92"/>
  <c r="E102" i="86"/>
  <c r="E93" i="42"/>
  <c r="G71" i="66"/>
  <c r="G186" i="118"/>
  <c r="G66" i="142"/>
  <c r="G78" i="69"/>
  <c r="G29" i="27"/>
  <c r="G83" i="24"/>
  <c r="G126" i="38"/>
  <c r="G115" i="143"/>
  <c r="G59" i="156"/>
  <c r="G159" i="119"/>
  <c r="G167" i="92"/>
  <c r="G26" i="27"/>
  <c r="G43" i="49"/>
  <c r="G153" i="46"/>
  <c r="G17" i="66"/>
  <c r="G20" i="103"/>
  <c r="G12" i="103"/>
  <c r="G179" i="143"/>
  <c r="G132" i="31"/>
  <c r="G190" i="95"/>
  <c r="G155" i="95"/>
  <c r="G47" i="95"/>
  <c r="G160" i="1"/>
  <c r="G86" i="92"/>
  <c r="G32" i="92"/>
  <c r="G151" i="142"/>
  <c r="G165" i="106"/>
  <c r="G60" i="106"/>
  <c r="G138" i="46"/>
  <c r="G64" i="46"/>
  <c r="G41" i="46"/>
  <c r="G118" i="10"/>
  <c r="E119" i="10"/>
  <c r="G47" i="10"/>
  <c r="G27" i="10"/>
  <c r="G170" i="143"/>
  <c r="G118" i="165"/>
  <c r="G43" i="165"/>
  <c r="G184" i="27"/>
  <c r="G42" i="27"/>
  <c r="G170" i="16"/>
  <c r="G150" i="16"/>
  <c r="G131" i="16"/>
  <c r="G107" i="16"/>
  <c r="G89" i="16"/>
  <c r="G56" i="16"/>
  <c r="G179" i="157"/>
  <c r="G33" i="157"/>
  <c r="G100" i="28"/>
  <c r="G66" i="28"/>
  <c r="G19" i="28"/>
  <c r="G53" i="64"/>
  <c r="G168" i="32"/>
  <c r="G148" i="158"/>
  <c r="G87" i="83"/>
  <c r="G68" i="83"/>
  <c r="G64" i="49"/>
  <c r="G117" i="54"/>
  <c r="G193" i="118"/>
  <c r="G175" i="103"/>
  <c r="G156" i="38"/>
  <c r="G132" i="38"/>
  <c r="G90" i="38"/>
  <c r="G193" i="89"/>
  <c r="G149" i="89"/>
  <c r="G106" i="89"/>
  <c r="G69" i="89"/>
  <c r="G50" i="89"/>
  <c r="G136" i="86"/>
  <c r="G114" i="86"/>
  <c r="G131" i="14"/>
  <c r="G68" i="47"/>
  <c r="G222" i="49"/>
  <c r="G174" i="49"/>
  <c r="G115" i="49"/>
  <c r="G52" i="49"/>
  <c r="G52" i="94"/>
  <c r="G28" i="94"/>
  <c r="G35" i="42"/>
  <c r="G232" i="156"/>
  <c r="G181" i="156"/>
  <c r="G136" i="156"/>
  <c r="G185" i="155"/>
  <c r="G12" i="155"/>
  <c r="G172" i="25"/>
  <c r="G57" i="25"/>
  <c r="G152" i="84"/>
  <c r="G11" i="84"/>
  <c r="G185" i="43"/>
  <c r="G165" i="43"/>
  <c r="G110" i="98"/>
  <c r="G20" i="53"/>
  <c r="G196" i="174"/>
  <c r="G130" i="58"/>
  <c r="G110" i="58"/>
  <c r="G92" i="58"/>
  <c r="G73" i="58"/>
  <c r="G54" i="58"/>
  <c r="G132" i="62"/>
  <c r="G39" i="62"/>
  <c r="G19" i="62"/>
  <c r="G224" i="63"/>
  <c r="G203" i="66"/>
  <c r="G140" i="66"/>
  <c r="G147" i="95"/>
  <c r="G82" i="95"/>
  <c r="G48" i="95"/>
  <c r="G191" i="50"/>
  <c r="G56" i="50"/>
  <c r="G87" i="1"/>
  <c r="G176" i="92"/>
  <c r="G41" i="69"/>
  <c r="G17" i="69"/>
  <c r="G192" i="89"/>
  <c r="G133" i="89"/>
  <c r="E102" i="89"/>
  <c r="G98" i="89"/>
  <c r="G42" i="86"/>
  <c r="G222" i="150"/>
  <c r="E228" i="150"/>
  <c r="G193" i="150"/>
  <c r="G177" i="150"/>
  <c r="G78" i="150"/>
  <c r="G71" i="50"/>
  <c r="G168" i="1"/>
  <c r="G124" i="1"/>
  <c r="G64" i="69"/>
  <c r="G148" i="89"/>
  <c r="G105" i="89"/>
  <c r="G109" i="1"/>
  <c r="E61" i="72"/>
  <c r="E102" i="16"/>
  <c r="D208" i="25"/>
  <c r="D215" i="25"/>
  <c r="D208" i="83"/>
  <c r="E111" i="94"/>
  <c r="E79" i="158"/>
  <c r="C208" i="120"/>
  <c r="E119" i="47"/>
  <c r="E197" i="174"/>
  <c r="E79" i="27"/>
  <c r="E79" i="20"/>
  <c r="E228" i="20"/>
  <c r="G204" i="89"/>
  <c r="E79" i="14"/>
  <c r="G168" i="150"/>
  <c r="G88" i="150"/>
  <c r="G59" i="142"/>
  <c r="G176" i="133"/>
  <c r="G151" i="10"/>
  <c r="G108" i="14"/>
  <c r="G51" i="156"/>
  <c r="G160" i="92"/>
  <c r="G182" i="157"/>
  <c r="G87" i="46"/>
  <c r="G124" i="58"/>
  <c r="G45" i="68"/>
  <c r="G118" i="46"/>
  <c r="G96" i="68"/>
  <c r="G167" i="143"/>
  <c r="G44" i="104"/>
  <c r="G25" i="31"/>
  <c r="G57" i="31"/>
  <c r="G76" i="31"/>
  <c r="G90" i="31"/>
  <c r="G150" i="95"/>
  <c r="G131" i="95"/>
  <c r="G107" i="95"/>
  <c r="E111" i="95"/>
  <c r="G78" i="95"/>
  <c r="G201" i="1"/>
  <c r="G123" i="92"/>
  <c r="G67" i="92"/>
  <c r="G48" i="92"/>
  <c r="G202" i="142"/>
  <c r="G158" i="106"/>
  <c r="G136" i="106"/>
  <c r="G107" i="106"/>
  <c r="G101" i="46"/>
  <c r="G179" i="66"/>
  <c r="G167" i="46"/>
  <c r="G76" i="142"/>
  <c r="G175" i="46"/>
  <c r="G170" i="10"/>
  <c r="G155" i="10"/>
  <c r="G177" i="14"/>
  <c r="G186" i="165"/>
  <c r="G146" i="165"/>
  <c r="G114" i="165"/>
  <c r="G27" i="165"/>
  <c r="G196" i="27"/>
  <c r="G92" i="27"/>
  <c r="G182" i="16"/>
  <c r="G132" i="157"/>
  <c r="G86" i="157"/>
  <c r="G78" i="28"/>
  <c r="G177" i="64"/>
  <c r="G156" i="64"/>
  <c r="G203" i="32"/>
  <c r="G184" i="32"/>
  <c r="G143" i="32"/>
  <c r="G220" i="158"/>
  <c r="G83" i="157"/>
  <c r="G30" i="157"/>
  <c r="G132" i="49"/>
  <c r="G157" i="98"/>
  <c r="G219" i="58"/>
  <c r="G184" i="60"/>
  <c r="G14" i="60"/>
  <c r="G17" i="177"/>
  <c r="G108" i="38"/>
  <c r="E111" i="38"/>
  <c r="G52" i="38"/>
  <c r="G223" i="89"/>
  <c r="G165" i="89"/>
  <c r="G145" i="89"/>
  <c r="G125" i="89"/>
  <c r="G223" i="86"/>
  <c r="G170" i="86"/>
  <c r="G182" i="87"/>
  <c r="G166" i="87"/>
  <c r="G64" i="47"/>
  <c r="G200" i="83"/>
  <c r="G136" i="83"/>
  <c r="G67" i="94"/>
  <c r="G195" i="54"/>
  <c r="G176" i="54"/>
  <c r="G148" i="54"/>
  <c r="G47" i="42"/>
  <c r="G31" i="42"/>
  <c r="G100" i="156"/>
  <c r="G70" i="156"/>
  <c r="G32" i="156"/>
  <c r="G195" i="25"/>
  <c r="G133" i="25"/>
  <c r="G124" i="84"/>
  <c r="G70" i="84"/>
  <c r="G184" i="175"/>
  <c r="G145" i="43"/>
  <c r="G146" i="46"/>
  <c r="G66" i="46"/>
  <c r="G43" i="46"/>
  <c r="G27" i="46"/>
  <c r="G205" i="53"/>
  <c r="G186" i="53"/>
  <c r="G171" i="53"/>
  <c r="G127" i="53"/>
  <c r="G108" i="53"/>
  <c r="G75" i="53"/>
  <c r="G56" i="53"/>
  <c r="G40" i="53"/>
  <c r="G169" i="58"/>
  <c r="G76" i="62"/>
  <c r="G205" i="63"/>
  <c r="G107" i="66"/>
  <c r="G14" i="66"/>
  <c r="G51" i="150"/>
  <c r="G108" i="95"/>
  <c r="G183" i="50"/>
  <c r="G167" i="50"/>
  <c r="G90" i="50"/>
  <c r="G172" i="1"/>
  <c r="G91" i="89"/>
  <c r="G140" i="150"/>
  <c r="G59" i="150"/>
  <c r="G39" i="150"/>
  <c r="G202" i="50"/>
  <c r="E206" i="50"/>
  <c r="E21" i="102"/>
  <c r="G124" i="177"/>
  <c r="G126" i="71"/>
  <c r="G30" i="14"/>
  <c r="G68" i="63"/>
  <c r="G15" i="103"/>
  <c r="G17" i="90"/>
  <c r="G39" i="103"/>
  <c r="G173" i="120"/>
  <c r="G92" i="47"/>
  <c r="G72" i="158"/>
  <c r="G168" i="165"/>
  <c r="G38" i="106"/>
  <c r="G38" i="62"/>
  <c r="G41" i="47"/>
  <c r="G194" i="24"/>
  <c r="G48" i="142"/>
  <c r="G58" i="156"/>
  <c r="G202" i="92"/>
  <c r="G132" i="165"/>
  <c r="G67" i="54"/>
  <c r="E79" i="54"/>
  <c r="M13" i="152"/>
  <c r="G59" i="68"/>
  <c r="M14" i="65"/>
  <c r="G20" i="39"/>
  <c r="G166" i="71"/>
  <c r="G146" i="71"/>
  <c r="G203" i="84"/>
  <c r="G107" i="83"/>
  <c r="G68" i="66"/>
  <c r="G219" i="95"/>
  <c r="G88" i="87"/>
  <c r="G30" i="87"/>
  <c r="G77" i="176"/>
  <c r="G114" i="14"/>
  <c r="G222" i="62"/>
  <c r="G148" i="39"/>
  <c r="G135" i="39"/>
  <c r="G176" i="120"/>
  <c r="G176" i="39"/>
  <c r="G189" i="43"/>
  <c r="G47" i="58"/>
  <c r="E228" i="27"/>
  <c r="G202" i="120"/>
  <c r="E102" i="62"/>
  <c r="G60" i="133"/>
  <c r="G169" i="158"/>
  <c r="G86" i="119"/>
  <c r="G224" i="43"/>
  <c r="G178" i="14"/>
  <c r="E61" i="172"/>
  <c r="G34" i="83"/>
  <c r="E21" i="104"/>
  <c r="G175" i="95"/>
  <c r="G17" i="49"/>
  <c r="G181" i="158"/>
  <c r="G40" i="15"/>
  <c r="E111" i="55"/>
  <c r="G47" i="54"/>
  <c r="E206" i="31"/>
  <c r="E197" i="177"/>
  <c r="G45" i="27"/>
  <c r="G29" i="58"/>
  <c r="E111" i="92"/>
  <c r="C208" i="50"/>
  <c r="G99" i="158"/>
  <c r="G100" i="155"/>
  <c r="G82" i="50"/>
  <c r="G143" i="165"/>
  <c r="G183" i="152"/>
  <c r="G185" i="83"/>
  <c r="G57" i="106"/>
  <c r="G34" i="62"/>
  <c r="G76" i="68"/>
  <c r="G185" i="49"/>
  <c r="G28" i="133"/>
  <c r="G167" i="58"/>
  <c r="G86" i="63"/>
  <c r="G78" i="92"/>
  <c r="G174" i="69"/>
  <c r="G75" i="141"/>
  <c r="G188" i="58"/>
  <c r="G202" i="10"/>
  <c r="E206" i="10"/>
  <c r="G182" i="143"/>
  <c r="G44" i="14"/>
  <c r="G225" i="155"/>
  <c r="G20" i="143"/>
  <c r="G56" i="165"/>
  <c r="G226" i="63"/>
  <c r="G52" i="145"/>
  <c r="G72" i="103"/>
  <c r="G11" i="103"/>
  <c r="G117" i="68"/>
  <c r="G44" i="68"/>
  <c r="G91" i="177"/>
  <c r="G129" i="83"/>
  <c r="G60" i="83"/>
  <c r="G184" i="98"/>
  <c r="G186" i="31"/>
  <c r="G65" i="176"/>
  <c r="G143" i="172"/>
  <c r="G45" i="58"/>
  <c r="G141" i="62"/>
  <c r="G124" i="68"/>
  <c r="G38" i="177"/>
  <c r="G28" i="90"/>
  <c r="G149" i="98"/>
  <c r="G172" i="39"/>
  <c r="G65" i="39"/>
  <c r="G183" i="177"/>
  <c r="G32" i="90"/>
  <c r="G58" i="39"/>
  <c r="G98" i="24"/>
  <c r="G70" i="98"/>
  <c r="G159" i="68"/>
  <c r="G108" i="177"/>
  <c r="G50" i="24"/>
  <c r="G107" i="156"/>
  <c r="G26" i="43"/>
  <c r="G174" i="38"/>
  <c r="G115" i="69"/>
  <c r="G109" i="62"/>
  <c r="G75" i="103"/>
  <c r="G72" i="177"/>
  <c r="G224" i="71"/>
  <c r="G133" i="83"/>
  <c r="G51" i="58"/>
  <c r="G69" i="87"/>
  <c r="G50" i="87"/>
  <c r="G151" i="172"/>
  <c r="G169" i="14"/>
  <c r="G118" i="14"/>
  <c r="G173" i="62"/>
  <c r="G179" i="95"/>
  <c r="G88" i="24"/>
  <c r="G84" i="24"/>
  <c r="G177" i="178"/>
  <c r="G28" i="104"/>
  <c r="G132" i="143"/>
  <c r="G114" i="92"/>
  <c r="E119" i="92"/>
  <c r="G125" i="68"/>
  <c r="G45" i="90"/>
  <c r="G27" i="39"/>
  <c r="G70" i="58"/>
  <c r="G25" i="176"/>
  <c r="G146" i="62"/>
  <c r="G78" i="68"/>
  <c r="G160" i="177"/>
  <c r="G156" i="83"/>
  <c r="G137" i="177"/>
  <c r="G84" i="39"/>
  <c r="G92" i="98"/>
  <c r="G140" i="39"/>
  <c r="E161" i="20"/>
  <c r="G49" i="55"/>
  <c r="G98" i="149"/>
  <c r="G89" i="95"/>
  <c r="G167" i="120"/>
  <c r="G82" i="120"/>
  <c r="G36" i="133"/>
  <c r="G75" i="14"/>
  <c r="G27" i="156"/>
  <c r="G40" i="143"/>
  <c r="G82" i="165"/>
  <c r="G69" i="62"/>
  <c r="G219" i="177"/>
  <c r="G116" i="177"/>
  <c r="G41" i="90"/>
  <c r="G169" i="120"/>
  <c r="E206" i="71"/>
  <c r="G201" i="71"/>
  <c r="G203" i="98"/>
  <c r="E206" i="98"/>
  <c r="G170" i="68"/>
  <c r="G146" i="68"/>
  <c r="G106" i="87"/>
  <c r="G65" i="87"/>
  <c r="G46" i="87"/>
  <c r="G14" i="87"/>
  <c r="G36" i="176"/>
  <c r="G202" i="172"/>
  <c r="G165" i="14"/>
  <c r="G140" i="14"/>
  <c r="G169" i="62"/>
  <c r="G41" i="133"/>
  <c r="G172" i="177"/>
  <c r="G42" i="177"/>
  <c r="G34" i="24"/>
  <c r="G97" i="133"/>
  <c r="G191" i="95"/>
  <c r="G58" i="178"/>
  <c r="G74" i="58"/>
  <c r="G58" i="62"/>
  <c r="G140" i="98"/>
  <c r="G185" i="172"/>
  <c r="G150" i="71"/>
  <c r="E93" i="120"/>
  <c r="G189" i="175"/>
  <c r="E161" i="177"/>
  <c r="D208" i="119"/>
  <c r="G30" i="71"/>
  <c r="C208" i="47"/>
  <c r="C215" i="47"/>
  <c r="E161" i="46"/>
  <c r="E79" i="58"/>
  <c r="G71" i="54"/>
  <c r="E228" i="84"/>
  <c r="G124" i="172"/>
  <c r="G117" i="90"/>
  <c r="E237" i="164"/>
  <c r="E161" i="149"/>
  <c r="E111" i="62"/>
  <c r="G47" i="50"/>
  <c r="D208" i="89"/>
  <c r="E206" i="141"/>
  <c r="D208" i="141"/>
  <c r="E228" i="118"/>
  <c r="E236" i="118"/>
  <c r="E21" i="149"/>
  <c r="G53" i="177"/>
  <c r="E93" i="95"/>
  <c r="G159" i="92"/>
  <c r="G116" i="165"/>
  <c r="G175" i="152"/>
  <c r="G49" i="106"/>
  <c r="G66" i="58"/>
  <c r="G60" i="46"/>
  <c r="G160" i="58"/>
  <c r="G51" i="92"/>
  <c r="G159" i="69"/>
  <c r="G60" i="141"/>
  <c r="G180" i="58"/>
  <c r="G43" i="10"/>
  <c r="G170" i="27"/>
  <c r="G54" i="156"/>
  <c r="G223" i="143"/>
  <c r="G153" i="98"/>
  <c r="G68" i="103"/>
  <c r="G34" i="103"/>
  <c r="E237" i="24"/>
  <c r="G129" i="177"/>
  <c r="G109" i="177"/>
  <c r="G87" i="177"/>
  <c r="G189" i="120"/>
  <c r="G165" i="120"/>
  <c r="G136" i="71"/>
  <c r="G78" i="83"/>
  <c r="G13" i="83"/>
  <c r="G196" i="98"/>
  <c r="G166" i="68"/>
  <c r="G141" i="68"/>
  <c r="G58" i="87"/>
  <c r="G73" i="176"/>
  <c r="G54" i="176"/>
  <c r="G32" i="176"/>
  <c r="G195" i="172"/>
  <c r="G179" i="172"/>
  <c r="G176" i="14"/>
  <c r="G158" i="14"/>
  <c r="G204" i="62"/>
  <c r="M15" i="60"/>
  <c r="G227" i="39"/>
  <c r="G65" i="103"/>
  <c r="G105" i="118"/>
  <c r="G97" i="177"/>
  <c r="G196" i="120"/>
  <c r="G72" i="133"/>
  <c r="G157" i="39"/>
  <c r="G168" i="177"/>
  <c r="G167" i="95"/>
  <c r="G44" i="174"/>
  <c r="G203" i="120"/>
  <c r="G164" i="39"/>
  <c r="G46" i="177"/>
  <c r="G126" i="98"/>
  <c r="G33" i="174"/>
  <c r="G152" i="39"/>
  <c r="G43" i="39"/>
  <c r="G141" i="98"/>
  <c r="G42" i="150"/>
  <c r="G106" i="39"/>
  <c r="G31" i="103"/>
  <c r="G137" i="58"/>
  <c r="G138" i="174"/>
  <c r="G118" i="92"/>
  <c r="G31" i="156"/>
  <c r="G193" i="156"/>
  <c r="G220" i="84"/>
  <c r="G227" i="95"/>
  <c r="G168" i="39"/>
  <c r="G131" i="142"/>
  <c r="E93" i="24"/>
  <c r="G20" i="90"/>
  <c r="G135" i="178"/>
  <c r="G195" i="178"/>
  <c r="G28" i="63"/>
  <c r="D208" i="66"/>
  <c r="G19" i="119"/>
  <c r="M19" i="119"/>
  <c r="E21" i="119"/>
  <c r="G231" i="65"/>
  <c r="G235" i="65"/>
  <c r="G97" i="15"/>
  <c r="G59" i="106"/>
  <c r="E93" i="172"/>
  <c r="G58" i="172"/>
  <c r="D208" i="145"/>
  <c r="D215" i="145"/>
  <c r="G147" i="62"/>
  <c r="G59" i="19"/>
  <c r="E56" i="97"/>
  <c r="D208" i="43"/>
  <c r="M17" i="55"/>
  <c r="E21" i="90"/>
  <c r="E61" i="176"/>
  <c r="E102" i="15"/>
  <c r="G66" i="98"/>
  <c r="E102" i="83"/>
  <c r="C208" i="176"/>
  <c r="E79" i="104"/>
  <c r="E197" i="43"/>
  <c r="E79" i="39"/>
  <c r="G201" i="178"/>
  <c r="G118" i="178"/>
  <c r="G118" i="87"/>
  <c r="G52" i="55"/>
  <c r="G116" i="120"/>
  <c r="G176" i="87"/>
  <c r="G84" i="165"/>
  <c r="G87" i="150"/>
  <c r="G41" i="106"/>
  <c r="G42" i="25"/>
  <c r="G44" i="103"/>
  <c r="G92" i="62"/>
  <c r="G16" i="46"/>
  <c r="G156" i="58"/>
  <c r="G96" i="145"/>
  <c r="G47" i="92"/>
  <c r="G183" i="87"/>
  <c r="G14" i="53"/>
  <c r="G164" i="58"/>
  <c r="G159" i="143"/>
  <c r="G222" i="156"/>
  <c r="E228" i="156"/>
  <c r="G99" i="83"/>
  <c r="G182" i="62"/>
  <c r="G100" i="68"/>
  <c r="G36" i="68"/>
  <c r="G114" i="71"/>
  <c r="G148" i="83"/>
  <c r="G52" i="83"/>
  <c r="G190" i="31"/>
  <c r="G227" i="172"/>
  <c r="G135" i="14"/>
  <c r="G107" i="14"/>
  <c r="E111" i="14"/>
  <c r="G41" i="58"/>
  <c r="G36" i="98"/>
  <c r="G226" i="177"/>
  <c r="G92" i="39"/>
  <c r="G187" i="31"/>
  <c r="G52" i="90"/>
  <c r="G50" i="39"/>
  <c r="G169" i="98"/>
  <c r="G130" i="39"/>
  <c r="G49" i="133"/>
  <c r="G175" i="31"/>
  <c r="G175" i="177"/>
  <c r="G31" i="39"/>
  <c r="G191" i="14"/>
  <c r="G56" i="133"/>
  <c r="G118" i="142"/>
  <c r="G30" i="177"/>
  <c r="G92" i="87"/>
  <c r="G187" i="172"/>
  <c r="G196" i="39"/>
  <c r="G28" i="150"/>
  <c r="G47" i="103"/>
  <c r="G202" i="177"/>
  <c r="G202" i="39"/>
  <c r="E206" i="39"/>
  <c r="G59" i="178"/>
  <c r="G111" i="167"/>
  <c r="E79" i="177"/>
  <c r="G45" i="31"/>
  <c r="G91" i="24"/>
  <c r="G152" i="47"/>
  <c r="G73" i="92"/>
  <c r="G190" i="143"/>
  <c r="G98" i="177"/>
  <c r="G137" i="68"/>
  <c r="G195" i="177"/>
  <c r="G184" i="39"/>
  <c r="G69" i="39"/>
  <c r="G171" i="95"/>
  <c r="G46" i="165"/>
  <c r="G157" i="145"/>
  <c r="G231" i="178"/>
  <c r="G235" i="178"/>
  <c r="E102" i="43"/>
  <c r="G57" i="60"/>
  <c r="E161" i="143"/>
  <c r="G27" i="103"/>
  <c r="G68" i="58"/>
  <c r="D208" i="172"/>
  <c r="G50" i="149"/>
  <c r="G183" i="172"/>
  <c r="G201" i="31"/>
  <c r="G119" i="176"/>
  <c r="G171" i="10"/>
  <c r="G19" i="64"/>
  <c r="G82" i="87"/>
  <c r="G44" i="55"/>
  <c r="G73" i="165"/>
  <c r="G141" i="39"/>
  <c r="G72" i="150"/>
  <c r="G158" i="53"/>
  <c r="G88" i="68"/>
  <c r="G34" i="71"/>
  <c r="G133" i="58"/>
  <c r="G43" i="50"/>
  <c r="G35" i="92"/>
  <c r="G17" i="68"/>
  <c r="G157" i="58"/>
  <c r="G223" i="156"/>
  <c r="G42" i="156"/>
  <c r="G40" i="58"/>
  <c r="G150" i="143"/>
  <c r="G60" i="143"/>
  <c r="G90" i="165"/>
  <c r="E206" i="172"/>
  <c r="G116" i="62"/>
  <c r="M18" i="58"/>
  <c r="G227" i="177"/>
  <c r="G83" i="177"/>
  <c r="G12" i="39"/>
  <c r="G194" i="71"/>
  <c r="G138" i="83"/>
  <c r="G100" i="83"/>
  <c r="G74" i="83"/>
  <c r="G44" i="83"/>
  <c r="G192" i="98"/>
  <c r="G176" i="98"/>
  <c r="G155" i="68"/>
  <c r="G136" i="68"/>
  <c r="G99" i="87"/>
  <c r="G73" i="87"/>
  <c r="G26" i="87"/>
  <c r="G46" i="176"/>
  <c r="G28" i="176"/>
  <c r="G175" i="172"/>
  <c r="G156" i="172"/>
  <c r="G172" i="14"/>
  <c r="G149" i="14"/>
  <c r="G130" i="14"/>
  <c r="G200" i="62"/>
  <c r="G136" i="62"/>
  <c r="E111" i="177"/>
  <c r="G105" i="177"/>
  <c r="G180" i="177"/>
  <c r="G183" i="31"/>
  <c r="G115" i="98"/>
  <c r="G177" i="24"/>
  <c r="G188" i="39"/>
  <c r="G76" i="177"/>
  <c r="G48" i="98"/>
  <c r="G174" i="24"/>
  <c r="G184" i="120"/>
  <c r="G142" i="68"/>
  <c r="G167" i="177"/>
  <c r="G180" i="120"/>
  <c r="G219" i="39"/>
  <c r="G69" i="103"/>
  <c r="G191" i="31"/>
  <c r="G127" i="68"/>
  <c r="G32" i="150"/>
  <c r="G170" i="24"/>
  <c r="G77" i="24"/>
  <c r="G36" i="90"/>
  <c r="G99" i="39"/>
  <c r="G56" i="98"/>
  <c r="G185" i="24"/>
  <c r="G56" i="90"/>
  <c r="G188" i="120"/>
  <c r="G77" i="39"/>
  <c r="G105" i="24"/>
  <c r="G110" i="164"/>
  <c r="E111" i="164"/>
  <c r="G98" i="58"/>
  <c r="G14" i="150"/>
  <c r="G73" i="156"/>
  <c r="G44" i="143"/>
  <c r="G69" i="83"/>
  <c r="G177" i="120"/>
  <c r="G186" i="71"/>
  <c r="G188" i="98"/>
  <c r="G150" i="68"/>
  <c r="G110" i="87"/>
  <c r="E228" i="172"/>
  <c r="G219" i="172"/>
  <c r="G232" i="62"/>
  <c r="G109" i="68"/>
  <c r="G32" i="98"/>
  <c r="G166" i="24"/>
  <c r="G108" i="98"/>
  <c r="G156" i="177"/>
  <c r="G54" i="39"/>
  <c r="D209" i="97"/>
  <c r="E111" i="87"/>
  <c r="G43" i="152"/>
  <c r="G42" i="62"/>
  <c r="G44" i="133"/>
  <c r="G183" i="58"/>
  <c r="G100" i="142"/>
  <c r="G221" i="64"/>
  <c r="G58" i="103"/>
  <c r="G56" i="83"/>
  <c r="G138" i="177"/>
  <c r="G43" i="176"/>
  <c r="G171" i="172"/>
  <c r="G83" i="133"/>
  <c r="G127" i="177"/>
  <c r="G88" i="39"/>
  <c r="G37" i="133"/>
  <c r="G60" i="90"/>
  <c r="G132" i="177"/>
  <c r="E197" i="158"/>
  <c r="E102" i="60"/>
  <c r="G226" i="178"/>
  <c r="E228" i="85"/>
  <c r="E206" i="68"/>
  <c r="G48" i="58"/>
  <c r="G220" i="72"/>
  <c r="E102" i="104"/>
  <c r="G227" i="94"/>
  <c r="G194" i="42"/>
  <c r="G99" i="60"/>
  <c r="G195" i="157"/>
  <c r="E206" i="84"/>
  <c r="E61" i="142"/>
  <c r="G35" i="178"/>
  <c r="E228" i="71"/>
  <c r="E102" i="120"/>
  <c r="D208" i="69"/>
  <c r="C208" i="86"/>
  <c r="C212" i="86"/>
  <c r="G68" i="177"/>
  <c r="E206" i="177"/>
  <c r="E93" i="72"/>
  <c r="E197" i="141"/>
  <c r="E228" i="103"/>
  <c r="E93" i="87"/>
  <c r="M13" i="38"/>
  <c r="G83" i="10"/>
  <c r="G46" i="32"/>
  <c r="G143" i="158"/>
  <c r="G65" i="165"/>
  <c r="G135" i="84"/>
  <c r="G166" i="156"/>
  <c r="G85" i="53"/>
  <c r="G43" i="15"/>
  <c r="G69" i="68"/>
  <c r="G148" i="98"/>
  <c r="G129" i="58"/>
  <c r="G31" i="92"/>
  <c r="G148" i="58"/>
  <c r="G224" i="143"/>
  <c r="G151" i="143"/>
  <c r="G20" i="58"/>
  <c r="G156" i="165"/>
  <c r="G19" i="71"/>
  <c r="G84" i="83"/>
  <c r="G64" i="103"/>
  <c r="G30" i="103"/>
  <c r="G174" i="62"/>
  <c r="G74" i="68"/>
  <c r="G49" i="90"/>
  <c r="G29" i="90"/>
  <c r="G45" i="49"/>
  <c r="G194" i="31"/>
  <c r="G151" i="95"/>
  <c r="G54" i="87"/>
  <c r="G38" i="87"/>
  <c r="G18" i="87"/>
  <c r="G69" i="176"/>
  <c r="G191" i="172"/>
  <c r="G37" i="58"/>
  <c r="G85" i="68"/>
  <c r="G64" i="177"/>
  <c r="G84" i="98"/>
  <c r="G48" i="174"/>
  <c r="G191" i="177"/>
  <c r="G192" i="120"/>
  <c r="G73" i="39"/>
  <c r="G202" i="31"/>
  <c r="G40" i="90"/>
  <c r="G25" i="133"/>
  <c r="G117" i="39"/>
  <c r="G179" i="31"/>
  <c r="G145" i="98"/>
  <c r="G151" i="177"/>
  <c r="G181" i="24"/>
  <c r="G110" i="39"/>
  <c r="G184" i="177"/>
  <c r="G195" i="31"/>
  <c r="G40" i="98"/>
  <c r="G44" i="90"/>
  <c r="G29" i="133"/>
  <c r="G70" i="79"/>
  <c r="G58" i="20"/>
  <c r="G54" i="20"/>
  <c r="G119" i="20"/>
  <c r="E119" i="20"/>
  <c r="E21" i="85"/>
  <c r="E102" i="85"/>
  <c r="G13" i="85"/>
  <c r="M13" i="85"/>
  <c r="G173" i="85"/>
  <c r="E79" i="85"/>
  <c r="G44" i="63"/>
  <c r="G232" i="50"/>
  <c r="G150" i="15"/>
  <c r="G58" i="27"/>
  <c r="E61" i="27"/>
  <c r="G107" i="39"/>
  <c r="G107" i="145"/>
  <c r="G83" i="58"/>
  <c r="G140" i="49"/>
  <c r="G25" i="58"/>
  <c r="G71" i="103"/>
  <c r="G91" i="150"/>
  <c r="G11" i="50"/>
  <c r="G114" i="178"/>
  <c r="E111" i="106"/>
  <c r="G183" i="157"/>
  <c r="G96" i="39"/>
  <c r="G110" i="83"/>
  <c r="E111" i="83"/>
  <c r="G92" i="66"/>
  <c r="G51" i="19"/>
  <c r="G164" i="150"/>
  <c r="M12" i="92"/>
  <c r="G156" i="10"/>
  <c r="C114" i="97"/>
  <c r="E111" i="145"/>
  <c r="G92" i="63"/>
  <c r="G13" i="19"/>
  <c r="G185" i="19"/>
  <c r="G219" i="15"/>
  <c r="G220" i="65"/>
  <c r="M12" i="65"/>
  <c r="E228" i="65"/>
  <c r="G222" i="106"/>
  <c r="G191" i="38"/>
  <c r="G64" i="38"/>
  <c r="G115" i="50"/>
  <c r="E119" i="50"/>
  <c r="E228" i="92"/>
  <c r="G221" i="92"/>
  <c r="G52" i="89"/>
  <c r="G183" i="86"/>
  <c r="G69" i="24"/>
  <c r="G110" i="90"/>
  <c r="K14" i="142"/>
  <c r="G150" i="50"/>
  <c r="G12" i="50"/>
  <c r="G141" i="1"/>
  <c r="G101" i="1"/>
  <c r="G48" i="1"/>
  <c r="G220" i="98"/>
  <c r="E228" i="98"/>
  <c r="G57" i="150"/>
  <c r="E61" i="150"/>
  <c r="G65" i="63"/>
  <c r="G50" i="68"/>
  <c r="G37" i="39"/>
  <c r="G26" i="63"/>
  <c r="G171" i="19"/>
  <c r="G106" i="47"/>
  <c r="E111" i="47"/>
  <c r="G32" i="63"/>
  <c r="G149" i="68"/>
  <c r="G157" i="31"/>
  <c r="E161" i="31"/>
  <c r="G135" i="10"/>
  <c r="G34" i="10"/>
  <c r="G178" i="71"/>
  <c r="G76" i="58"/>
  <c r="G150" i="39"/>
  <c r="G18" i="150"/>
  <c r="G58" i="155"/>
  <c r="G87" i="178"/>
  <c r="G44" i="145"/>
  <c r="G156" i="63"/>
  <c r="E61" i="94"/>
  <c r="C208" i="133"/>
  <c r="C212" i="133"/>
  <c r="M16" i="15"/>
  <c r="C208" i="156"/>
  <c r="E93" i="150"/>
  <c r="E206" i="145"/>
  <c r="G170" i="19"/>
  <c r="G115" i="172"/>
  <c r="G157" i="149"/>
  <c r="G115" i="14"/>
  <c r="E119" i="14"/>
  <c r="G18" i="14"/>
  <c r="G189" i="55"/>
  <c r="G164" i="165"/>
  <c r="G220" i="27"/>
  <c r="E237" i="86"/>
  <c r="G12" i="16"/>
  <c r="G146" i="1"/>
  <c r="G74" i="64"/>
  <c r="E79" i="64"/>
  <c r="G151" i="63"/>
  <c r="E237" i="177"/>
  <c r="G182" i="71"/>
  <c r="G181" i="71"/>
  <c r="G164" i="141"/>
  <c r="G126" i="58"/>
  <c r="G51" i="145"/>
  <c r="G145" i="84"/>
  <c r="G89" i="71"/>
  <c r="G33" i="39"/>
  <c r="G105" i="19"/>
  <c r="G66" i="165"/>
  <c r="G179" i="149"/>
  <c r="G11" i="165"/>
  <c r="E21" i="165"/>
  <c r="D208" i="156"/>
  <c r="E197" i="150"/>
  <c r="G149" i="49"/>
  <c r="M17" i="167"/>
  <c r="G156" i="65"/>
  <c r="G84" i="103"/>
  <c r="G160" i="14"/>
  <c r="G55" i="50"/>
  <c r="G40" i="145"/>
  <c r="G164" i="149"/>
  <c r="C208" i="58"/>
  <c r="C215" i="58"/>
  <c r="G21" i="167"/>
  <c r="H15" i="167"/>
  <c r="G48" i="28"/>
  <c r="G106" i="64"/>
  <c r="G158" i="84"/>
  <c r="G43" i="54"/>
  <c r="C208" i="142"/>
  <c r="C212" i="142"/>
  <c r="G75" i="142"/>
  <c r="E79" i="142"/>
  <c r="G60" i="142"/>
  <c r="G41" i="142"/>
  <c r="G42" i="69"/>
  <c r="G33" i="143"/>
  <c r="G185" i="158"/>
  <c r="G150" i="158"/>
  <c r="G20" i="63"/>
  <c r="G167" i="66"/>
  <c r="G74" i="66"/>
  <c r="G176" i="68"/>
  <c r="G164" i="60"/>
  <c r="G59" i="60"/>
  <c r="G50" i="10"/>
  <c r="G36" i="71"/>
  <c r="G46" i="10"/>
  <c r="G31" i="58"/>
  <c r="G117" i="83"/>
  <c r="E119" i="83"/>
  <c r="G90" i="63"/>
  <c r="G118" i="156"/>
  <c r="G78" i="156"/>
  <c r="G150" i="155"/>
  <c r="G142" i="63"/>
  <c r="G75" i="19"/>
  <c r="G34" i="53"/>
  <c r="E61" i="53"/>
  <c r="G86" i="58"/>
  <c r="G42" i="103"/>
  <c r="M12" i="149"/>
  <c r="E111" i="178"/>
  <c r="E119" i="39"/>
  <c r="D208" i="14"/>
  <c r="D215" i="14"/>
  <c r="C208" i="155"/>
  <c r="C212" i="155"/>
  <c r="C208" i="14"/>
  <c r="C212" i="14"/>
  <c r="E161" i="87"/>
  <c r="D208" i="32"/>
  <c r="D208" i="90"/>
  <c r="G235" i="10"/>
  <c r="G167" i="38"/>
  <c r="G49" i="38"/>
  <c r="G137" i="50"/>
  <c r="G20" i="89"/>
  <c r="G157" i="86"/>
  <c r="E161" i="86"/>
  <c r="G145" i="172"/>
  <c r="G49" i="141"/>
  <c r="G37" i="141"/>
  <c r="G20" i="24"/>
  <c r="G164" i="90"/>
  <c r="G140" i="90"/>
  <c r="G168" i="118"/>
  <c r="E197" i="118"/>
  <c r="G150" i="118"/>
  <c r="G174" i="103"/>
  <c r="E197" i="103"/>
  <c r="G87" i="31"/>
  <c r="E93" i="31"/>
  <c r="G226" i="95"/>
  <c r="E197" i="95"/>
  <c r="G172" i="95"/>
  <c r="G145" i="95"/>
  <c r="G202" i="1"/>
  <c r="E206" i="1"/>
  <c r="G118" i="1"/>
  <c r="G86" i="1"/>
  <c r="E93" i="1"/>
  <c r="G52" i="1"/>
  <c r="E21" i="1"/>
  <c r="G13" i="1"/>
  <c r="G170" i="142"/>
  <c r="G150" i="142"/>
  <c r="G56" i="142"/>
  <c r="G38" i="69"/>
  <c r="G225" i="143"/>
  <c r="G52" i="16"/>
  <c r="G175" i="42"/>
  <c r="E197" i="42"/>
  <c r="G156" i="42"/>
  <c r="G138" i="42"/>
  <c r="G106" i="156"/>
  <c r="G42" i="66"/>
  <c r="G221" i="68"/>
  <c r="G74" i="60"/>
  <c r="E197" i="157"/>
  <c r="C208" i="106"/>
  <c r="C212" i="106"/>
  <c r="E197" i="32"/>
  <c r="G97" i="71"/>
  <c r="G28" i="14"/>
  <c r="G26" i="142"/>
  <c r="G170" i="39"/>
  <c r="G13" i="133"/>
  <c r="G35" i="58"/>
  <c r="G16" i="152"/>
  <c r="G98" i="68"/>
  <c r="G59" i="39"/>
  <c r="G110" i="47"/>
  <c r="G48" i="63"/>
  <c r="G123" i="64"/>
  <c r="G145" i="49"/>
  <c r="G46" i="106"/>
  <c r="G76" i="46"/>
  <c r="G50" i="98"/>
  <c r="G13" i="54"/>
  <c r="G65" i="158"/>
  <c r="G156" i="104"/>
  <c r="G40" i="118"/>
  <c r="G181" i="49"/>
  <c r="G55" i="83"/>
  <c r="G155" i="38"/>
  <c r="G59" i="50"/>
  <c r="G99" i="62"/>
  <c r="G117" i="46"/>
  <c r="G108" i="145"/>
  <c r="G11" i="119"/>
  <c r="G13" i="104"/>
  <c r="G184" i="63"/>
  <c r="G172" i="84"/>
  <c r="G136" i="172"/>
  <c r="G123" i="14"/>
  <c r="G204" i="55"/>
  <c r="G172" i="165"/>
  <c r="K14" i="14"/>
  <c r="G235" i="14"/>
  <c r="G195" i="38"/>
  <c r="G171" i="38"/>
  <c r="G33" i="38"/>
  <c r="G123" i="50"/>
  <c r="G115" i="1"/>
  <c r="G72" i="1"/>
  <c r="G56" i="89"/>
  <c r="G40" i="89"/>
  <c r="G187" i="86"/>
  <c r="G54" i="24"/>
  <c r="G178" i="103"/>
  <c r="G108" i="103"/>
  <c r="G88" i="103"/>
  <c r="G33" i="1"/>
  <c r="G49" i="142"/>
  <c r="G125" i="95"/>
  <c r="E161" i="95"/>
  <c r="G48" i="50"/>
  <c r="G32" i="50"/>
  <c r="G16" i="50"/>
  <c r="G108" i="1"/>
  <c r="G37" i="1"/>
  <c r="G155" i="142"/>
  <c r="G136" i="142"/>
  <c r="G123" i="142"/>
  <c r="G101" i="142"/>
  <c r="G82" i="142"/>
  <c r="G27" i="69"/>
  <c r="G11" i="10"/>
  <c r="G201" i="42"/>
  <c r="G160" i="42"/>
  <c r="G142" i="156"/>
  <c r="G181" i="66"/>
  <c r="G77" i="66"/>
  <c r="G124" i="60"/>
  <c r="G235" i="38"/>
  <c r="K14" i="38"/>
  <c r="G167" i="10"/>
  <c r="E61" i="106"/>
  <c r="E161" i="49"/>
  <c r="C208" i="143"/>
  <c r="C208" i="43"/>
  <c r="C215" i="43"/>
  <c r="G138" i="178"/>
  <c r="G182" i="25"/>
  <c r="G56" i="178"/>
  <c r="G174" i="155"/>
  <c r="G51" i="155"/>
  <c r="G82" i="71"/>
  <c r="G40" i="71"/>
  <c r="G132" i="63"/>
  <c r="G35" i="71"/>
  <c r="G85" i="83"/>
  <c r="G58" i="66"/>
  <c r="G172" i="58"/>
  <c r="G118" i="15"/>
  <c r="G82" i="58"/>
  <c r="G194" i="25"/>
  <c r="G158" i="83"/>
  <c r="G92" i="46"/>
  <c r="G58" i="43"/>
  <c r="G71" i="58"/>
  <c r="G82" i="145"/>
  <c r="G90" i="54"/>
  <c r="G222" i="28"/>
  <c r="G78" i="15"/>
  <c r="G151" i="65"/>
  <c r="G38" i="65"/>
  <c r="G44" i="39"/>
  <c r="G179" i="38"/>
  <c r="G45" i="38"/>
  <c r="G132" i="50"/>
  <c r="G49" i="1"/>
  <c r="G16" i="69"/>
  <c r="G16" i="89"/>
  <c r="G180" i="86"/>
  <c r="G184" i="176"/>
  <c r="G45" i="141"/>
  <c r="G190" i="24"/>
  <c r="G46" i="24"/>
  <c r="G107" i="90"/>
  <c r="G45" i="60"/>
  <c r="G165" i="118"/>
  <c r="G147" i="118"/>
  <c r="G193" i="103"/>
  <c r="G105" i="103"/>
  <c r="G78" i="103"/>
  <c r="E237" i="142"/>
  <c r="G36" i="16"/>
  <c r="G202" i="95"/>
  <c r="G183" i="95"/>
  <c r="G168" i="95"/>
  <c r="G135" i="95"/>
  <c r="G44" i="50"/>
  <c r="G195" i="1"/>
  <c r="G136" i="1"/>
  <c r="G67" i="1"/>
  <c r="G29" i="1"/>
  <c r="G182" i="142"/>
  <c r="G166" i="142"/>
  <c r="G115" i="142"/>
  <c r="E119" i="142"/>
  <c r="G97" i="142"/>
  <c r="E102" i="142"/>
  <c r="G201" i="69"/>
  <c r="E206" i="69"/>
  <c r="G19" i="69"/>
  <c r="G175" i="87"/>
  <c r="G19" i="10"/>
  <c r="G29" i="143"/>
  <c r="G196" i="158"/>
  <c r="G146" i="158"/>
  <c r="G36" i="156"/>
  <c r="G89" i="84"/>
  <c r="G60" i="66"/>
  <c r="G204" i="68"/>
  <c r="G172" i="68"/>
  <c r="G48" i="60"/>
  <c r="G148" i="172"/>
  <c r="C208" i="24"/>
  <c r="C212" i="24"/>
  <c r="C208" i="90"/>
  <c r="C215" i="90"/>
  <c r="C208" i="60"/>
  <c r="C215" i="60"/>
  <c r="G174" i="25"/>
  <c r="G116" i="90"/>
  <c r="G132" i="119"/>
  <c r="G155" i="25"/>
  <c r="G66" i="176"/>
  <c r="E79" i="176"/>
  <c r="G74" i="175"/>
  <c r="G17" i="31"/>
  <c r="G110" i="145"/>
  <c r="G177" i="49"/>
  <c r="G188" i="63"/>
  <c r="G26" i="71"/>
  <c r="G54" i="43"/>
  <c r="G176" i="63"/>
  <c r="G99" i="47"/>
  <c r="G152" i="150"/>
  <c r="G55" i="165"/>
  <c r="G177" i="66"/>
  <c r="G223" i="68"/>
  <c r="G30" i="84"/>
  <c r="G89" i="49"/>
  <c r="G25" i="46"/>
  <c r="G83" i="150"/>
  <c r="G49" i="150"/>
  <c r="G219" i="31"/>
  <c r="E228" i="31"/>
  <c r="G85" i="50"/>
  <c r="G191" i="1"/>
  <c r="G16" i="71"/>
  <c r="G16" i="150"/>
  <c r="G26" i="15"/>
  <c r="G222" i="46"/>
  <c r="E228" i="46"/>
  <c r="G74" i="152"/>
  <c r="G153" i="84"/>
  <c r="G172" i="149"/>
  <c r="G68" i="14"/>
  <c r="G14" i="14"/>
  <c r="G152" i="165"/>
  <c r="G203" i="27"/>
  <c r="G148" i="90"/>
  <c r="G160" i="38"/>
  <c r="G57" i="38"/>
  <c r="G48" i="89"/>
  <c r="G71" i="141"/>
  <c r="G65" i="24"/>
  <c r="G42" i="24"/>
  <c r="G192" i="90"/>
  <c r="E237" i="92"/>
  <c r="E102" i="84"/>
  <c r="G96" i="84"/>
  <c r="G152" i="86"/>
  <c r="G86" i="142"/>
  <c r="G226" i="31"/>
  <c r="G28" i="50"/>
  <c r="G226" i="1"/>
  <c r="G97" i="1"/>
  <c r="E102" i="1"/>
  <c r="G82" i="1"/>
  <c r="G146" i="142"/>
  <c r="G126" i="142"/>
  <c r="G71" i="142"/>
  <c r="G48" i="16"/>
  <c r="G152" i="42"/>
  <c r="G156" i="156"/>
  <c r="G193" i="66"/>
  <c r="G152" i="66"/>
  <c r="G38" i="66"/>
  <c r="G143" i="60"/>
  <c r="G70" i="60"/>
  <c r="G17" i="176"/>
  <c r="M15" i="31"/>
  <c r="C208" i="63"/>
  <c r="C215" i="63"/>
  <c r="D208" i="15"/>
  <c r="E161" i="141"/>
  <c r="D208" i="118"/>
  <c r="G148" i="177"/>
  <c r="G129" i="120"/>
  <c r="G35" i="39"/>
  <c r="G183" i="64"/>
  <c r="G193" i="43"/>
  <c r="G33" i="66"/>
  <c r="G53" i="10"/>
  <c r="G114" i="156"/>
  <c r="E119" i="156"/>
  <c r="G26" i="49"/>
  <c r="G130" i="63"/>
  <c r="G27" i="145"/>
  <c r="G19" i="106"/>
  <c r="G85" i="58"/>
  <c r="G82" i="118"/>
  <c r="G15" i="43"/>
  <c r="G57" i="47"/>
  <c r="G38" i="43"/>
  <c r="G20" i="165"/>
  <c r="G15" i="58"/>
  <c r="G50" i="43"/>
  <c r="G70" i="49"/>
  <c r="G232" i="47"/>
  <c r="G68" i="150"/>
  <c r="G227" i="31"/>
  <c r="G77" i="92"/>
  <c r="G193" i="84"/>
  <c r="G106" i="63"/>
  <c r="E111" i="63"/>
  <c r="G75" i="145"/>
  <c r="G78" i="119"/>
  <c r="G200" i="28"/>
  <c r="E206" i="28"/>
  <c r="E119" i="15"/>
  <c r="G152" i="149"/>
  <c r="G179" i="165"/>
  <c r="G19" i="165"/>
  <c r="G33" i="60"/>
  <c r="G127" i="50"/>
  <c r="D208" i="1"/>
  <c r="G186" i="24"/>
  <c r="G188" i="90"/>
  <c r="G152" i="90"/>
  <c r="G204" i="120"/>
  <c r="G183" i="71"/>
  <c r="G182" i="103"/>
  <c r="G166" i="103"/>
  <c r="K14" i="92"/>
  <c r="G235" i="92"/>
  <c r="G140" i="95"/>
  <c r="G195" i="95"/>
  <c r="G164" i="95"/>
  <c r="G130" i="95"/>
  <c r="G40" i="50"/>
  <c r="G20" i="50"/>
  <c r="G114" i="1"/>
  <c r="E119" i="1"/>
  <c r="G75" i="1"/>
  <c r="G60" i="1"/>
  <c r="G44" i="1"/>
  <c r="G90" i="142"/>
  <c r="G53" i="142"/>
  <c r="G34" i="69"/>
  <c r="G148" i="86"/>
  <c r="G15" i="10"/>
  <c r="G205" i="143"/>
  <c r="G25" i="143"/>
  <c r="G177" i="158"/>
  <c r="G190" i="42"/>
  <c r="G185" i="66"/>
  <c r="G148" i="66"/>
  <c r="G49" i="66"/>
  <c r="G190" i="68"/>
  <c r="E21" i="150"/>
  <c r="G175" i="60"/>
  <c r="E61" i="16"/>
  <c r="C208" i="157"/>
  <c r="E93" i="55"/>
  <c r="C208" i="104"/>
  <c r="C212" i="104"/>
  <c r="D208" i="104"/>
  <c r="D208" i="143"/>
  <c r="D215" i="143"/>
  <c r="D208" i="60"/>
  <c r="D215" i="60"/>
  <c r="G37" i="31"/>
  <c r="E61" i="31"/>
  <c r="G172" i="92"/>
  <c r="G186" i="39"/>
  <c r="G13" i="89"/>
  <c r="G47" i="71"/>
  <c r="G125" i="83"/>
  <c r="G12" i="66"/>
  <c r="G52" i="65"/>
  <c r="G196" i="63"/>
  <c r="G13" i="120"/>
  <c r="G49" i="46"/>
  <c r="G88" i="98"/>
  <c r="G98" i="63"/>
  <c r="G187" i="54"/>
  <c r="G189" i="83"/>
  <c r="G54" i="63"/>
  <c r="G38" i="103"/>
  <c r="G126" i="106"/>
  <c r="G115" i="152"/>
  <c r="G221" i="54"/>
  <c r="G137" i="62"/>
  <c r="G34" i="43"/>
  <c r="G129" i="150"/>
  <c r="G19" i="43"/>
  <c r="G72" i="68"/>
  <c r="G124" i="43"/>
  <c r="G137" i="54"/>
  <c r="G178" i="38"/>
  <c r="E79" i="50"/>
  <c r="G74" i="50"/>
  <c r="G39" i="50"/>
  <c r="G133" i="62"/>
  <c r="G226" i="15"/>
  <c r="G67" i="15"/>
  <c r="G147" i="65"/>
  <c r="G168" i="149"/>
  <c r="G223" i="55"/>
  <c r="G175" i="165"/>
  <c r="G15" i="165"/>
  <c r="G53" i="141"/>
  <c r="G175" i="38"/>
  <c r="G53" i="38"/>
  <c r="G142" i="50"/>
  <c r="G108" i="50"/>
  <c r="E111" i="50"/>
  <c r="G31" i="69"/>
  <c r="G44" i="89"/>
  <c r="G12" i="89"/>
  <c r="E21" i="89"/>
  <c r="G176" i="86"/>
  <c r="G67" i="141"/>
  <c r="G41" i="141"/>
  <c r="G183" i="24"/>
  <c r="G58" i="24"/>
  <c r="G28" i="24"/>
  <c r="G204" i="103"/>
  <c r="G159" i="103"/>
  <c r="G131" i="1"/>
  <c r="G41" i="143"/>
  <c r="G129" i="86"/>
  <c r="K14" i="118"/>
  <c r="G51" i="50"/>
  <c r="G36" i="50"/>
  <c r="G178" i="142"/>
  <c r="G159" i="142"/>
  <c r="G141" i="142"/>
  <c r="G108" i="142"/>
  <c r="G30" i="69"/>
  <c r="G171" i="87"/>
  <c r="G44" i="16"/>
  <c r="G141" i="158"/>
  <c r="G143" i="42"/>
  <c r="G99" i="156"/>
  <c r="E102" i="156"/>
  <c r="G100" i="84"/>
  <c r="G71" i="84"/>
  <c r="G34" i="66"/>
  <c r="G85" i="60"/>
  <c r="G13" i="176"/>
  <c r="C208" i="83"/>
  <c r="C215" i="83"/>
  <c r="E79" i="60"/>
  <c r="D208" i="158"/>
  <c r="D215" i="158"/>
  <c r="E197" i="119"/>
  <c r="G165" i="71"/>
  <c r="G32" i="71"/>
  <c r="G45" i="133"/>
  <c r="G54" i="68"/>
  <c r="G165" i="32"/>
  <c r="G140" i="68"/>
  <c r="G116" i="47"/>
  <c r="G30" i="98"/>
  <c r="G83" i="63"/>
  <c r="G92" i="83"/>
  <c r="G11" i="15"/>
  <c r="G27" i="43"/>
  <c r="G53" i="106"/>
  <c r="G141" i="46"/>
  <c r="G125" i="119"/>
  <c r="G177" i="62"/>
  <c r="G20" i="55"/>
  <c r="G57" i="104"/>
  <c r="G222" i="47"/>
  <c r="E228" i="47"/>
  <c r="G64" i="150"/>
  <c r="G225" i="95"/>
  <c r="G19" i="50"/>
  <c r="G149" i="84"/>
  <c r="G91" i="63"/>
  <c r="G135" i="46"/>
  <c r="G99" i="63"/>
  <c r="G74" i="119"/>
  <c r="M19" i="141"/>
  <c r="G167" i="65"/>
  <c r="G135" i="65"/>
  <c r="E161" i="65"/>
  <c r="G169" i="28"/>
  <c r="G97" i="172"/>
  <c r="G186" i="149"/>
  <c r="G64" i="14"/>
  <c r="G164" i="86"/>
  <c r="G235" i="164"/>
  <c r="G142" i="38"/>
  <c r="G37" i="38"/>
  <c r="G17" i="38"/>
  <c r="G28" i="89"/>
  <c r="G168" i="86"/>
  <c r="G127" i="176"/>
  <c r="G57" i="141"/>
  <c r="G143" i="90"/>
  <c r="G200" i="120"/>
  <c r="G185" i="118"/>
  <c r="G155" i="118"/>
  <c r="G77" i="31"/>
  <c r="E79" i="31"/>
  <c r="G187" i="95"/>
  <c r="G176" i="95"/>
  <c r="E197" i="1"/>
  <c r="G177" i="1"/>
  <c r="G90" i="1"/>
  <c r="G56" i="1"/>
  <c r="G174" i="142"/>
  <c r="G67" i="142"/>
  <c r="G194" i="69"/>
  <c r="G124" i="86"/>
  <c r="G148" i="10"/>
  <c r="G188" i="176"/>
  <c r="G16" i="16"/>
  <c r="G188" i="158"/>
  <c r="G173" i="158"/>
  <c r="G186" i="42"/>
  <c r="G180" i="68"/>
  <c r="G66" i="60"/>
  <c r="E237" i="38"/>
  <c r="G160" i="10"/>
  <c r="E21" i="152"/>
  <c r="F215" i="72"/>
  <c r="G72" i="72"/>
  <c r="G232" i="72"/>
  <c r="G126" i="72"/>
  <c r="G45" i="72"/>
  <c r="G168" i="72"/>
  <c r="G59" i="72"/>
  <c r="G146" i="72"/>
  <c r="M18" i="72"/>
  <c r="G97" i="72"/>
  <c r="G13" i="72"/>
  <c r="G190" i="72"/>
  <c r="G136" i="72"/>
  <c r="G114" i="72"/>
  <c r="E119" i="72"/>
  <c r="G42" i="72"/>
  <c r="G101" i="72"/>
  <c r="G169" i="72"/>
  <c r="G202" i="72"/>
  <c r="E228" i="72"/>
  <c r="G219" i="72"/>
  <c r="G86" i="72"/>
  <c r="G194" i="72"/>
  <c r="G89" i="72"/>
  <c r="G118" i="72"/>
  <c r="G38" i="72"/>
  <c r="G68" i="72"/>
  <c r="G34" i="72"/>
  <c r="G14" i="72"/>
  <c r="G57" i="72"/>
  <c r="G193" i="72"/>
  <c r="G188" i="72"/>
  <c r="G165" i="72"/>
  <c r="M15" i="72"/>
  <c r="G166" i="72"/>
  <c r="G69" i="72"/>
  <c r="G41" i="72"/>
  <c r="G184" i="72"/>
  <c r="G17" i="72"/>
  <c r="G64" i="72"/>
  <c r="E79" i="72"/>
  <c r="G227" i="72"/>
  <c r="G157" i="72"/>
  <c r="G164" i="72"/>
  <c r="G53" i="72"/>
  <c r="G90" i="72"/>
  <c r="E235" i="72"/>
  <c r="G233" i="72"/>
  <c r="G49" i="72"/>
  <c r="G158" i="72"/>
  <c r="M16" i="72"/>
  <c r="F215" i="79"/>
  <c r="G118" i="79"/>
  <c r="G204" i="79"/>
  <c r="G124" i="79"/>
  <c r="G26" i="79"/>
  <c r="G179" i="79"/>
  <c r="G45" i="79"/>
  <c r="G196" i="79"/>
  <c r="M16" i="79"/>
  <c r="G117" i="79"/>
  <c r="G194" i="79"/>
  <c r="G74" i="79"/>
  <c r="G82" i="79"/>
  <c r="G11" i="79"/>
  <c r="E21" i="79"/>
  <c r="G180" i="79"/>
  <c r="G193" i="79"/>
  <c r="G220" i="79"/>
  <c r="G25" i="79"/>
  <c r="G76" i="79"/>
  <c r="G187" i="79"/>
  <c r="G219" i="79"/>
  <c r="G228" i="79"/>
  <c r="G38" i="79"/>
  <c r="G14" i="79"/>
  <c r="G135" i="79"/>
  <c r="G18" i="79"/>
  <c r="G107" i="79"/>
  <c r="G173" i="79"/>
  <c r="G75" i="79"/>
  <c r="G99" i="79"/>
  <c r="E235" i="79"/>
  <c r="G233" i="79"/>
  <c r="G125" i="79"/>
  <c r="G72" i="79"/>
  <c r="G39" i="79"/>
  <c r="G109" i="79"/>
  <c r="G158" i="79"/>
  <c r="G189" i="79"/>
  <c r="G200" i="79"/>
  <c r="M19" i="79"/>
  <c r="G114" i="79"/>
  <c r="G204" i="37"/>
  <c r="G201" i="37"/>
  <c r="G78" i="37"/>
  <c r="G175" i="37"/>
  <c r="G75" i="37"/>
  <c r="G56" i="37"/>
  <c r="G89" i="37"/>
  <c r="G70" i="37"/>
  <c r="M13" i="37"/>
  <c r="G41" i="37"/>
  <c r="G108" i="37"/>
  <c r="G32" i="37"/>
  <c r="G100" i="37"/>
  <c r="G47" i="37"/>
  <c r="G20" i="37"/>
  <c r="G110" i="37"/>
  <c r="G200" i="37"/>
  <c r="G205" i="37"/>
  <c r="G138" i="37"/>
  <c r="G114" i="37"/>
  <c r="E119" i="37"/>
  <c r="G51" i="37"/>
  <c r="G179" i="37"/>
  <c r="G151" i="37"/>
  <c r="G117" i="37"/>
  <c r="G160" i="37"/>
  <c r="G101" i="37"/>
  <c r="G157" i="37"/>
  <c r="G183" i="37"/>
  <c r="G85" i="37"/>
  <c r="G143" i="37"/>
  <c r="G169" i="37"/>
  <c r="G172" i="37"/>
  <c r="G43" i="37"/>
  <c r="M18" i="37"/>
  <c r="G57" i="37"/>
  <c r="G30" i="37"/>
  <c r="G37" i="37"/>
  <c r="G181" i="37"/>
  <c r="G107" i="37"/>
  <c r="G36" i="37"/>
  <c r="G156" i="37"/>
  <c r="G231" i="37"/>
  <c r="E235" i="37"/>
  <c r="G186" i="37"/>
  <c r="G97" i="37"/>
  <c r="G43" i="85"/>
  <c r="G141" i="85"/>
  <c r="G98" i="85"/>
  <c r="G190" i="85"/>
  <c r="G138" i="85"/>
  <c r="G28" i="85"/>
  <c r="G232" i="85"/>
  <c r="M16" i="85"/>
  <c r="G66" i="85"/>
  <c r="G51" i="85"/>
  <c r="M19" i="85"/>
  <c r="M12" i="85"/>
  <c r="G223" i="85"/>
  <c r="G187" i="85"/>
  <c r="G146" i="85"/>
  <c r="E235" i="85"/>
  <c r="G231" i="85"/>
  <c r="G182" i="85"/>
  <c r="G157" i="85"/>
  <c r="G107" i="85"/>
  <c r="G137" i="85"/>
  <c r="G222" i="85"/>
  <c r="G181" i="85"/>
  <c r="G183" i="85"/>
  <c r="G20" i="85"/>
  <c r="G70" i="85"/>
  <c r="G205" i="85"/>
  <c r="G69" i="85"/>
  <c r="G36" i="85"/>
  <c r="G186" i="85"/>
  <c r="G200" i="85"/>
  <c r="M11" i="85"/>
  <c r="G99" i="85"/>
  <c r="G127" i="85"/>
  <c r="G39" i="85"/>
  <c r="G194" i="85"/>
  <c r="G58" i="85"/>
  <c r="G84" i="85"/>
  <c r="F215" i="20"/>
  <c r="G204" i="20"/>
  <c r="G15" i="20"/>
  <c r="G77" i="20"/>
  <c r="G11" i="20"/>
  <c r="G69" i="20"/>
  <c r="G158" i="20"/>
  <c r="G127" i="20"/>
  <c r="G101" i="20"/>
  <c r="G180" i="20"/>
  <c r="G74" i="20"/>
  <c r="G105" i="20"/>
  <c r="E111" i="20"/>
  <c r="G123" i="20"/>
  <c r="G196" i="20"/>
  <c r="G176" i="20"/>
  <c r="G59" i="20"/>
  <c r="G124" i="20"/>
  <c r="G12" i="20"/>
  <c r="G189" i="20"/>
  <c r="G226" i="20"/>
  <c r="G192" i="20"/>
  <c r="G172" i="20"/>
  <c r="G164" i="20"/>
  <c r="G233" i="20"/>
  <c r="G155" i="20"/>
  <c r="G227" i="20"/>
  <c r="G35" i="20"/>
  <c r="G42" i="20"/>
  <c r="G65" i="20"/>
  <c r="G43" i="20"/>
  <c r="G129" i="20"/>
  <c r="G98" i="20"/>
  <c r="G27" i="20"/>
  <c r="G177" i="20"/>
  <c r="G136" i="20"/>
  <c r="G76" i="20"/>
  <c r="G219" i="20"/>
  <c r="G188" i="20"/>
  <c r="G168" i="20"/>
  <c r="G19" i="20"/>
  <c r="G200" i="20"/>
  <c r="G68" i="20"/>
  <c r="G146" i="20"/>
  <c r="G203" i="20"/>
  <c r="G73" i="20"/>
  <c r="G109" i="20"/>
  <c r="G50" i="20"/>
  <c r="G99" i="20"/>
  <c r="G132" i="20"/>
  <c r="G131" i="20"/>
  <c r="G108" i="20"/>
  <c r="G150" i="20"/>
  <c r="G233" i="102"/>
  <c r="G135" i="102"/>
  <c r="G190" i="102"/>
  <c r="G115" i="102"/>
  <c r="C240" i="97"/>
  <c r="G175" i="102"/>
  <c r="G193" i="102"/>
  <c r="G87" i="102"/>
  <c r="G92" i="102"/>
  <c r="G54" i="102"/>
  <c r="G72" i="102"/>
  <c r="G194" i="102"/>
  <c r="G145" i="102"/>
  <c r="M16" i="102"/>
  <c r="G186" i="102"/>
  <c r="G69" i="102"/>
  <c r="G221" i="102"/>
  <c r="G50" i="102"/>
  <c r="G25" i="102"/>
  <c r="G192" i="102"/>
  <c r="G166" i="102"/>
  <c r="G168" i="102"/>
  <c r="G131" i="102"/>
  <c r="G180" i="102"/>
  <c r="G17" i="102"/>
  <c r="G31" i="102"/>
  <c r="G20" i="102"/>
  <c r="G56" i="102"/>
  <c r="G86" i="102"/>
  <c r="G130" i="102"/>
  <c r="G15" i="102"/>
  <c r="E235" i="102"/>
  <c r="G231" i="102"/>
  <c r="G182" i="102"/>
  <c r="G65" i="102"/>
  <c r="G179" i="102"/>
  <c r="G26" i="102"/>
  <c r="G177" i="102"/>
  <c r="G164" i="102"/>
  <c r="G204" i="102"/>
  <c r="G126" i="102"/>
  <c r="G142" i="102"/>
  <c r="G172" i="102"/>
  <c r="G90" i="102"/>
  <c r="G101" i="102"/>
  <c r="G232" i="102"/>
  <c r="G71" i="102"/>
  <c r="G11" i="102"/>
  <c r="G178" i="102"/>
  <c r="G200" i="102"/>
  <c r="D105" i="97"/>
  <c r="G202" i="19"/>
  <c r="G180" i="19"/>
  <c r="E93" i="19"/>
  <c r="E206" i="19"/>
  <c r="G173" i="19"/>
  <c r="G67" i="19"/>
  <c r="G205" i="19"/>
  <c r="G187" i="19"/>
  <c r="G92" i="19"/>
  <c r="G116" i="19"/>
  <c r="G15" i="19"/>
  <c r="G149" i="19"/>
  <c r="G172" i="19"/>
  <c r="G107" i="19"/>
  <c r="G47" i="19"/>
  <c r="G123" i="19"/>
  <c r="E172" i="97"/>
  <c r="G85" i="19"/>
  <c r="G135" i="19"/>
  <c r="G194" i="19"/>
  <c r="G42" i="19"/>
  <c r="G201" i="19"/>
  <c r="G191" i="19"/>
  <c r="G204" i="19"/>
  <c r="G73" i="19"/>
  <c r="G117" i="19"/>
  <c r="G66" i="19"/>
  <c r="G165" i="19"/>
  <c r="E119" i="19"/>
  <c r="G114" i="19"/>
  <c r="G166" i="19"/>
  <c r="G65" i="19"/>
  <c r="G45" i="19"/>
  <c r="G49" i="19"/>
  <c r="G220" i="19"/>
  <c r="E228" i="19"/>
  <c r="G224" i="19"/>
  <c r="G233" i="19"/>
  <c r="E235" i="19"/>
  <c r="G137" i="19"/>
  <c r="G46" i="19"/>
  <c r="G203" i="19"/>
  <c r="G110" i="19"/>
  <c r="E111" i="19"/>
  <c r="G98" i="19"/>
  <c r="G97" i="19"/>
  <c r="G69" i="19"/>
  <c r="G27" i="19"/>
  <c r="G146" i="19"/>
  <c r="G151" i="19"/>
  <c r="G37" i="19"/>
  <c r="G176" i="19"/>
  <c r="G48" i="19"/>
  <c r="E182" i="97"/>
  <c r="G169" i="19"/>
  <c r="G167" i="19"/>
  <c r="G26" i="19"/>
  <c r="G227" i="19"/>
  <c r="G177" i="19"/>
  <c r="G58" i="19"/>
  <c r="G14" i="19"/>
  <c r="G87" i="19"/>
  <c r="G76" i="19"/>
  <c r="G196" i="19"/>
  <c r="G127" i="19"/>
  <c r="G25" i="19"/>
  <c r="G130" i="19"/>
  <c r="G77" i="19"/>
  <c r="G84" i="19"/>
  <c r="G52" i="19"/>
  <c r="G143" i="19"/>
  <c r="G90" i="19"/>
  <c r="G221" i="19"/>
  <c r="G91" i="19"/>
  <c r="G55" i="19"/>
  <c r="G34" i="19"/>
  <c r="G178" i="19"/>
  <c r="G18" i="19"/>
  <c r="G148" i="19"/>
  <c r="G30" i="19"/>
  <c r="G138" i="19"/>
  <c r="G38" i="19"/>
  <c r="G86" i="28"/>
  <c r="G99" i="149"/>
  <c r="G193" i="149"/>
  <c r="G58" i="149"/>
  <c r="G124" i="149"/>
  <c r="G203" i="149"/>
  <c r="E206" i="149"/>
  <c r="G227" i="149"/>
  <c r="G233" i="149"/>
  <c r="E235" i="149"/>
  <c r="G116" i="149"/>
  <c r="G17" i="149"/>
  <c r="G70" i="27"/>
  <c r="G133" i="27"/>
  <c r="E170" i="97"/>
  <c r="D208" i="175"/>
  <c r="D215" i="175"/>
  <c r="E61" i="62"/>
  <c r="G123" i="62"/>
  <c r="F215" i="177"/>
  <c r="G57" i="177"/>
  <c r="G159" i="177"/>
  <c r="G142" i="177"/>
  <c r="G11" i="177"/>
  <c r="G196" i="177"/>
  <c r="K11" i="33"/>
  <c r="H17" i="33"/>
  <c r="H18" i="33"/>
  <c r="H14" i="33"/>
  <c r="H21" i="33"/>
  <c r="H20" i="33"/>
  <c r="H11" i="33"/>
  <c r="H13" i="33"/>
  <c r="H12" i="33"/>
  <c r="M21" i="33"/>
  <c r="H19" i="33"/>
  <c r="H16" i="33"/>
  <c r="H15" i="33"/>
  <c r="G215" i="33"/>
  <c r="G188" i="145"/>
  <c r="G190" i="145"/>
  <c r="G85" i="145"/>
  <c r="G98" i="145"/>
  <c r="G70" i="145"/>
  <c r="G131" i="145"/>
  <c r="G141" i="145"/>
  <c r="G78" i="145"/>
  <c r="G165" i="145"/>
  <c r="G126" i="145"/>
  <c r="G170" i="145"/>
  <c r="G87" i="145"/>
  <c r="G68" i="145"/>
  <c r="G147" i="145"/>
  <c r="G153" i="145"/>
  <c r="G118" i="145"/>
  <c r="G13" i="145"/>
  <c r="G31" i="145"/>
  <c r="G186" i="145"/>
  <c r="G54" i="145"/>
  <c r="G196" i="145"/>
  <c r="G89" i="145"/>
  <c r="G194" i="145"/>
  <c r="G36" i="145"/>
  <c r="E235" i="145"/>
  <c r="G231" i="145"/>
  <c r="G183" i="145"/>
  <c r="G181" i="145"/>
  <c r="G202" i="145"/>
  <c r="G66" i="145"/>
  <c r="G175" i="145"/>
  <c r="G167" i="145"/>
  <c r="G65" i="145"/>
  <c r="G43" i="145"/>
  <c r="E119" i="145"/>
  <c r="M16" i="167"/>
  <c r="G79" i="167"/>
  <c r="G119" i="167"/>
  <c r="M11" i="167"/>
  <c r="G61" i="167"/>
  <c r="G206" i="167"/>
  <c r="G16" i="14"/>
  <c r="E21" i="14"/>
  <c r="G33" i="47"/>
  <c r="G37" i="46"/>
  <c r="G13" i="62"/>
  <c r="E119" i="157"/>
  <c r="G117" i="157"/>
  <c r="G116" i="25"/>
  <c r="E21" i="65"/>
  <c r="G19" i="65"/>
  <c r="G151" i="176"/>
  <c r="G99" i="55"/>
  <c r="G165" i="165"/>
  <c r="E197" i="165"/>
  <c r="G50" i="64"/>
  <c r="G86" i="79"/>
  <c r="G87" i="37"/>
  <c r="G117" i="104"/>
  <c r="G205" i="120"/>
  <c r="G109" i="71"/>
  <c r="G182" i="175"/>
  <c r="E93" i="175"/>
  <c r="G85" i="175"/>
  <c r="G203" i="176"/>
  <c r="G101" i="28"/>
  <c r="E102" i="28"/>
  <c r="G160" i="32"/>
  <c r="E228" i="141"/>
  <c r="G224" i="141"/>
  <c r="G110" i="79"/>
  <c r="G29" i="79"/>
  <c r="G106" i="79"/>
  <c r="E111" i="79"/>
  <c r="G131" i="104"/>
  <c r="G29" i="55"/>
  <c r="G146" i="39"/>
  <c r="G184" i="102"/>
  <c r="G25" i="39"/>
  <c r="G181" i="83"/>
  <c r="G179" i="58"/>
  <c r="G84" i="47"/>
  <c r="G129" i="37"/>
  <c r="G16" i="104"/>
  <c r="G53" i="63"/>
  <c r="G43" i="58"/>
  <c r="G225" i="15"/>
  <c r="G156" i="145"/>
  <c r="G46" i="63"/>
  <c r="G160" i="60"/>
  <c r="M15" i="141"/>
  <c r="G124" i="16"/>
  <c r="G101" i="119"/>
  <c r="G69" i="119"/>
  <c r="G58" i="65"/>
  <c r="G188" i="28"/>
  <c r="G98" i="37"/>
  <c r="E102" i="37"/>
  <c r="G54" i="62"/>
  <c r="G168" i="19"/>
  <c r="G45" i="145"/>
  <c r="G173" i="172"/>
  <c r="G115" i="85"/>
  <c r="E119" i="85"/>
  <c r="G177" i="79"/>
  <c r="G74" i="24"/>
  <c r="G149" i="37"/>
  <c r="G30" i="120"/>
  <c r="G165" i="152"/>
  <c r="G92" i="152"/>
  <c r="G220" i="104"/>
  <c r="G74" i="104"/>
  <c r="G87" i="62"/>
  <c r="G49" i="120"/>
  <c r="G56" i="39"/>
  <c r="G88" i="43"/>
  <c r="G219" i="104"/>
  <c r="E228" i="104"/>
  <c r="G52" i="106"/>
  <c r="G74" i="47"/>
  <c r="G187" i="89"/>
  <c r="G143" i="87"/>
  <c r="G115" i="28"/>
  <c r="E119" i="28"/>
  <c r="G28" i="32"/>
  <c r="G150" i="141"/>
  <c r="G109" i="141"/>
  <c r="E111" i="141"/>
  <c r="G164" i="24"/>
  <c r="G56" i="24"/>
  <c r="G78" i="90"/>
  <c r="G53" i="90"/>
  <c r="G42" i="90"/>
  <c r="G155" i="133"/>
  <c r="G195" i="175"/>
  <c r="G155" i="79"/>
  <c r="E61" i="104"/>
  <c r="K14" i="60"/>
  <c r="C208" i="39"/>
  <c r="G17" i="10"/>
  <c r="G142" i="72"/>
  <c r="E161" i="72"/>
  <c r="G15" i="64"/>
  <c r="G114" i="39"/>
  <c r="G68" i="102"/>
  <c r="G13" i="10"/>
  <c r="E21" i="10"/>
  <c r="G156" i="71"/>
  <c r="G152" i="106"/>
  <c r="G153" i="83"/>
  <c r="G151" i="106"/>
  <c r="G175" i="58"/>
  <c r="G175" i="53"/>
  <c r="G18" i="63"/>
  <c r="E93" i="39"/>
  <c r="G85" i="39"/>
  <c r="G18" i="103"/>
  <c r="E21" i="103"/>
  <c r="G12" i="104"/>
  <c r="G36" i="66"/>
  <c r="E102" i="46"/>
  <c r="G97" i="46"/>
  <c r="G180" i="63"/>
  <c r="G148" i="62"/>
  <c r="G172" i="63"/>
  <c r="G222" i="68"/>
  <c r="E228" i="68"/>
  <c r="G60" i="63"/>
  <c r="G225" i="54"/>
  <c r="G155" i="156"/>
  <c r="G171" i="178"/>
  <c r="G47" i="158"/>
  <c r="G110" i="157"/>
  <c r="G67" i="157"/>
  <c r="G189" i="42"/>
  <c r="G146" i="156"/>
  <c r="G54" i="65"/>
  <c r="G132" i="37"/>
  <c r="G12" i="120"/>
  <c r="G221" i="66"/>
  <c r="G166" i="66"/>
  <c r="E197" i="66"/>
  <c r="G157" i="19"/>
  <c r="G147" i="176"/>
  <c r="G183" i="55"/>
  <c r="G171" i="55"/>
  <c r="G187" i="165"/>
  <c r="G176" i="165"/>
  <c r="G153" i="165"/>
  <c r="G126" i="165"/>
  <c r="E161" i="165"/>
  <c r="G135" i="64"/>
  <c r="G42" i="64"/>
  <c r="G100" i="79"/>
  <c r="G177" i="90"/>
  <c r="E206" i="37"/>
  <c r="G202" i="37"/>
  <c r="G165" i="37"/>
  <c r="E21" i="120"/>
  <c r="G11" i="120"/>
  <c r="G171" i="104"/>
  <c r="G149" i="104"/>
  <c r="E111" i="104"/>
  <c r="G110" i="104"/>
  <c r="G96" i="104"/>
  <c r="G168" i="49"/>
  <c r="G137" i="66"/>
  <c r="G65" i="66"/>
  <c r="G48" i="66"/>
  <c r="G38" i="68"/>
  <c r="G14" i="37"/>
  <c r="E21" i="37"/>
  <c r="G96" i="120"/>
  <c r="G66" i="120"/>
  <c r="G71" i="71"/>
  <c r="G192" i="175"/>
  <c r="G178" i="175"/>
  <c r="G138" i="175"/>
  <c r="E206" i="104"/>
  <c r="G203" i="104"/>
  <c r="G65" i="106"/>
  <c r="G158" i="102"/>
  <c r="G137" i="102"/>
  <c r="G189" i="15"/>
  <c r="G51" i="69"/>
  <c r="G32" i="69"/>
  <c r="G183" i="89"/>
  <c r="G171" i="89"/>
  <c r="G192" i="86"/>
  <c r="G156" i="87"/>
  <c r="G138" i="87"/>
  <c r="G185" i="143"/>
  <c r="E197" i="143"/>
  <c r="G76" i="143"/>
  <c r="G51" i="28"/>
  <c r="G181" i="72"/>
  <c r="G115" i="32"/>
  <c r="G205" i="141"/>
  <c r="G169" i="141"/>
  <c r="G123" i="141"/>
  <c r="G50" i="90"/>
  <c r="G38" i="90"/>
  <c r="G25" i="37"/>
  <c r="G150" i="133"/>
  <c r="G190" i="84"/>
  <c r="G176" i="84"/>
  <c r="G133" i="84"/>
  <c r="G49" i="84"/>
  <c r="G34" i="84"/>
  <c r="G225" i="43"/>
  <c r="G167" i="43"/>
  <c r="G73" i="43"/>
  <c r="G135" i="54"/>
  <c r="G126" i="54"/>
  <c r="G130" i="60"/>
  <c r="G105" i="60"/>
  <c r="E111" i="60"/>
  <c r="G60" i="60"/>
  <c r="G167" i="178"/>
  <c r="G89" i="79"/>
  <c r="G186" i="32"/>
  <c r="G53" i="32"/>
  <c r="G169" i="79"/>
  <c r="C208" i="32"/>
  <c r="G167" i="24"/>
  <c r="G125" i="14"/>
  <c r="G179" i="104"/>
  <c r="G13" i="66"/>
  <c r="M12" i="25"/>
  <c r="G36" i="158"/>
  <c r="G38" i="37"/>
  <c r="G100" i="63"/>
  <c r="E102" i="63"/>
  <c r="G190" i="64"/>
  <c r="G159" i="90"/>
  <c r="G175" i="104"/>
  <c r="G173" i="68"/>
  <c r="G53" i="120"/>
  <c r="G142" i="71"/>
  <c r="G41" i="71"/>
  <c r="G65" i="69"/>
  <c r="G86" i="143"/>
  <c r="G131" i="28"/>
  <c r="E111" i="90"/>
  <c r="G105" i="90"/>
  <c r="G59" i="43"/>
  <c r="G49" i="60"/>
  <c r="D208" i="174"/>
  <c r="E188" i="97"/>
  <c r="G155" i="155"/>
  <c r="G150" i="25"/>
  <c r="G35" i="155"/>
  <c r="G105" i="98"/>
  <c r="G82" i="104"/>
  <c r="E93" i="104"/>
  <c r="G170" i="71"/>
  <c r="G158" i="71"/>
  <c r="G56" i="63"/>
  <c r="G169" i="145"/>
  <c r="G12" i="63"/>
  <c r="E206" i="89"/>
  <c r="G202" i="89"/>
  <c r="G73" i="83"/>
  <c r="G40" i="63"/>
  <c r="G34" i="106"/>
  <c r="G82" i="102"/>
  <c r="G17" i="145"/>
  <c r="G20" i="16"/>
  <c r="E21" i="16"/>
  <c r="G56" i="157"/>
  <c r="G123" i="119"/>
  <c r="G55" i="119"/>
  <c r="G35" i="65"/>
  <c r="E79" i="152"/>
  <c r="G203" i="63"/>
  <c r="E206" i="63"/>
  <c r="G183" i="66"/>
  <c r="G38" i="145"/>
  <c r="G190" i="176"/>
  <c r="G176" i="176"/>
  <c r="G189" i="172"/>
  <c r="G156" i="79"/>
  <c r="G30" i="79"/>
  <c r="G48" i="24"/>
  <c r="G181" i="90"/>
  <c r="G124" i="152"/>
  <c r="G85" i="102"/>
  <c r="G172" i="83"/>
  <c r="G158" i="49"/>
  <c r="G194" i="68"/>
  <c r="G166" i="15"/>
  <c r="G127" i="145"/>
  <c r="M14" i="71"/>
  <c r="G57" i="133"/>
  <c r="G41" i="39"/>
  <c r="G75" i="71"/>
  <c r="G110" i="175"/>
  <c r="G44" i="43"/>
  <c r="G124" i="106"/>
  <c r="G40" i="106"/>
  <c r="G129" i="102"/>
  <c r="G11" i="47"/>
  <c r="G27" i="83"/>
  <c r="G196" i="49"/>
  <c r="K14" i="98"/>
  <c r="G235" i="98"/>
  <c r="E79" i="143"/>
  <c r="G64" i="143"/>
  <c r="G109" i="24"/>
  <c r="G109" i="84"/>
  <c r="G142" i="175"/>
  <c r="G142" i="43"/>
  <c r="G35" i="43"/>
  <c r="G28" i="43"/>
  <c r="G40" i="68"/>
  <c r="E206" i="15"/>
  <c r="G203" i="15"/>
  <c r="G12" i="60"/>
  <c r="E21" i="60"/>
  <c r="G202" i="118"/>
  <c r="G227" i="103"/>
  <c r="G132" i="79"/>
  <c r="D200" i="97"/>
  <c r="E163" i="97"/>
  <c r="E197" i="178"/>
  <c r="D208" i="68"/>
  <c r="E228" i="15"/>
  <c r="E21" i="62"/>
  <c r="G64" i="152"/>
  <c r="E61" i="55"/>
  <c r="E61" i="32"/>
  <c r="E61" i="120"/>
  <c r="D208" i="152"/>
  <c r="E93" i="143"/>
  <c r="D208" i="133"/>
  <c r="D215" i="133"/>
  <c r="G85" i="14"/>
  <c r="G172" i="178"/>
  <c r="G25" i="87"/>
  <c r="E61" i="87"/>
  <c r="G40" i="14"/>
  <c r="G34" i="14"/>
  <c r="E61" i="14"/>
  <c r="G11" i="64"/>
  <c r="G130" i="71"/>
  <c r="G126" i="46"/>
  <c r="G151" i="71"/>
  <c r="G135" i="174"/>
  <c r="G98" i="106"/>
  <c r="G75" i="58"/>
  <c r="G137" i="53"/>
  <c r="G116" i="68"/>
  <c r="E119" i="68"/>
  <c r="G145" i="71"/>
  <c r="G68" i="32"/>
  <c r="E79" i="32"/>
  <c r="G13" i="106"/>
  <c r="G12" i="15"/>
  <c r="E21" i="15"/>
  <c r="G26" i="46"/>
  <c r="G171" i="157"/>
  <c r="G157" i="66"/>
  <c r="G60" i="145"/>
  <c r="G173" i="83"/>
  <c r="G27" i="102"/>
  <c r="G75" i="102"/>
  <c r="G71" i="19"/>
  <c r="G147" i="60"/>
  <c r="G36" i="19"/>
  <c r="M13" i="20"/>
  <c r="E161" i="119"/>
  <c r="M19" i="24"/>
  <c r="G115" i="158"/>
  <c r="E119" i="158"/>
  <c r="G133" i="157"/>
  <c r="G109" i="25"/>
  <c r="G169" i="119"/>
  <c r="G27" i="120"/>
  <c r="G87" i="133"/>
  <c r="G193" i="63"/>
  <c r="G201" i="66"/>
  <c r="G176" i="66"/>
  <c r="G54" i="37"/>
  <c r="G183" i="176"/>
  <c r="G173" i="165"/>
  <c r="G174" i="79"/>
  <c r="G152" i="79"/>
  <c r="G60" i="24"/>
  <c r="G131" i="37"/>
  <c r="G83" i="37"/>
  <c r="G141" i="120"/>
  <c r="G19" i="120"/>
  <c r="G146" i="152"/>
  <c r="G106" i="152"/>
  <c r="E111" i="152"/>
  <c r="G31" i="71"/>
  <c r="G127" i="104"/>
  <c r="G151" i="102"/>
  <c r="G148" i="46"/>
  <c r="G191" i="62"/>
  <c r="G181" i="62"/>
  <c r="G84" i="63"/>
  <c r="E93" i="63"/>
  <c r="G32" i="66"/>
  <c r="G226" i="68"/>
  <c r="G177" i="68"/>
  <c r="G159" i="15"/>
  <c r="G180" i="145"/>
  <c r="G64" i="145"/>
  <c r="G114" i="120"/>
  <c r="G45" i="120"/>
  <c r="G52" i="39"/>
  <c r="G105" i="71"/>
  <c r="G106" i="175"/>
  <c r="E111" i="175"/>
  <c r="G133" i="43"/>
  <c r="G117" i="43"/>
  <c r="G116" i="106"/>
  <c r="G48" i="106"/>
  <c r="G155" i="102"/>
  <c r="G166" i="46"/>
  <c r="G19" i="83"/>
  <c r="G58" i="69"/>
  <c r="G97" i="143"/>
  <c r="E102" i="143"/>
  <c r="G57" i="143"/>
  <c r="E235" i="176"/>
  <c r="G231" i="176"/>
  <c r="G146" i="28"/>
  <c r="G126" i="28"/>
  <c r="G17" i="28"/>
  <c r="G223" i="64"/>
  <c r="G148" i="32"/>
  <c r="C208" i="141"/>
  <c r="C215" i="141"/>
  <c r="G17" i="141"/>
  <c r="G157" i="24"/>
  <c r="E111" i="24"/>
  <c r="G106" i="24"/>
  <c r="G132" i="90"/>
  <c r="G115" i="90"/>
  <c r="E119" i="90"/>
  <c r="G31" i="84"/>
  <c r="G19" i="84"/>
  <c r="G159" i="175"/>
  <c r="G137" i="175"/>
  <c r="G137" i="43"/>
  <c r="G69" i="43"/>
  <c r="G37" i="68"/>
  <c r="G192" i="15"/>
  <c r="G227" i="118"/>
  <c r="G37" i="118"/>
  <c r="G36" i="103"/>
  <c r="G151" i="79"/>
  <c r="G183" i="178"/>
  <c r="G159" i="79"/>
  <c r="E119" i="79"/>
  <c r="G116" i="79"/>
  <c r="G85" i="79"/>
  <c r="G16" i="178"/>
  <c r="G68" i="133"/>
  <c r="G37" i="43"/>
  <c r="G177" i="71"/>
  <c r="G169" i="71"/>
  <c r="G44" i="19"/>
  <c r="M14" i="20"/>
  <c r="K14" i="20"/>
  <c r="G51" i="158"/>
  <c r="G188" i="157"/>
  <c r="G136" i="37"/>
  <c r="G190" i="104"/>
  <c r="G188" i="149"/>
  <c r="E197" i="149"/>
  <c r="G175" i="55"/>
  <c r="G131" i="165"/>
  <c r="G58" i="79"/>
  <c r="G187" i="37"/>
  <c r="G91" i="62"/>
  <c r="G118" i="120"/>
  <c r="G130" i="43"/>
  <c r="E161" i="43"/>
  <c r="G141" i="102"/>
  <c r="G137" i="133"/>
  <c r="G180" i="84"/>
  <c r="G138" i="84"/>
  <c r="G27" i="84"/>
  <c r="G171" i="43"/>
  <c r="G118" i="103"/>
  <c r="E119" i="103"/>
  <c r="E197" i="68"/>
  <c r="G159" i="178"/>
  <c r="G42" i="178"/>
  <c r="G106" i="10"/>
  <c r="G68" i="24"/>
  <c r="G125" i="71"/>
  <c r="G33" i="106"/>
  <c r="G179" i="71"/>
  <c r="G83" i="60"/>
  <c r="G30" i="83"/>
  <c r="G220" i="54"/>
  <c r="E223" i="97"/>
  <c r="G52" i="104"/>
  <c r="G179" i="178"/>
  <c r="G59" i="16"/>
  <c r="E111" i="25"/>
  <c r="G105" i="25"/>
  <c r="G115" i="119"/>
  <c r="G43" i="65"/>
  <c r="G92" i="55"/>
  <c r="G135" i="165"/>
  <c r="G201" i="64"/>
  <c r="G58" i="64"/>
  <c r="G39" i="64"/>
  <c r="G54" i="79"/>
  <c r="G150" i="90"/>
  <c r="G186" i="104"/>
  <c r="G167" i="104"/>
  <c r="G70" i="104"/>
  <c r="G88" i="102"/>
  <c r="G99" i="43"/>
  <c r="G13" i="43"/>
  <c r="G220" i="49"/>
  <c r="G40" i="69"/>
  <c r="G151" i="87"/>
  <c r="G72" i="143"/>
  <c r="G20" i="32"/>
  <c r="G146" i="141"/>
  <c r="G99" i="90"/>
  <c r="G29" i="63"/>
  <c r="G43" i="103"/>
  <c r="E102" i="178"/>
  <c r="C208" i="66"/>
  <c r="E61" i="90"/>
  <c r="E61" i="46"/>
  <c r="G137" i="141"/>
  <c r="E197" i="58"/>
  <c r="G175" i="10"/>
  <c r="G193" i="85"/>
  <c r="G191" i="72"/>
  <c r="G37" i="20"/>
  <c r="G98" i="120"/>
  <c r="G91" i="43"/>
  <c r="G54" i="47"/>
  <c r="G72" i="37"/>
  <c r="G100" i="71"/>
  <c r="G149" i="102"/>
  <c r="G53" i="133"/>
  <c r="G117" i="102"/>
  <c r="E119" i="102"/>
  <c r="G85" i="43"/>
  <c r="G26" i="103"/>
  <c r="G125" i="62"/>
  <c r="G115" i="46"/>
  <c r="E119" i="46"/>
  <c r="G101" i="19"/>
  <c r="G174" i="71"/>
  <c r="G172" i="66"/>
  <c r="G47" i="39"/>
  <c r="G145" i="83"/>
  <c r="G67" i="102"/>
  <c r="G32" i="19"/>
  <c r="E61" i="19"/>
  <c r="M18" i="94"/>
  <c r="E119" i="25"/>
  <c r="E119" i="104"/>
  <c r="M11" i="149"/>
  <c r="G31" i="65"/>
  <c r="G40" i="158"/>
  <c r="G192" i="157"/>
  <c r="G106" i="157"/>
  <c r="G165" i="156"/>
  <c r="E111" i="156"/>
  <c r="G109" i="156"/>
  <c r="G219" i="119"/>
  <c r="E228" i="119"/>
  <c r="G165" i="119"/>
  <c r="E93" i="119"/>
  <c r="G82" i="119"/>
  <c r="G51" i="119"/>
  <c r="G181" i="28"/>
  <c r="G77" i="37"/>
  <c r="G20" i="120"/>
  <c r="G71" i="152"/>
  <c r="G57" i="63"/>
  <c r="G200" i="176"/>
  <c r="G179" i="176"/>
  <c r="G179" i="55"/>
  <c r="G88" i="55"/>
  <c r="G169" i="165"/>
  <c r="G157" i="64"/>
  <c r="G167" i="79"/>
  <c r="G138" i="79"/>
  <c r="G97" i="79"/>
  <c r="G50" i="79"/>
  <c r="G52" i="24"/>
  <c r="G91" i="37"/>
  <c r="G173" i="152"/>
  <c r="G142" i="152"/>
  <c r="G124" i="104"/>
  <c r="G147" i="102"/>
  <c r="G179" i="83"/>
  <c r="G188" i="62"/>
  <c r="G200" i="68"/>
  <c r="G27" i="68"/>
  <c r="G186" i="15"/>
  <c r="G187" i="145"/>
  <c r="G159" i="145"/>
  <c r="D208" i="120"/>
  <c r="G74" i="120"/>
  <c r="E102" i="71"/>
  <c r="G88" i="175"/>
  <c r="G77" i="43"/>
  <c r="G44" i="106"/>
  <c r="G54" i="69"/>
  <c r="G18" i="69"/>
  <c r="E21" i="69"/>
  <c r="G179" i="89"/>
  <c r="G133" i="87"/>
  <c r="G53" i="143"/>
  <c r="E111" i="28"/>
  <c r="G108" i="28"/>
  <c r="G105" i="32"/>
  <c r="E111" i="32"/>
  <c r="G165" i="141"/>
  <c r="G91" i="141"/>
  <c r="G92" i="24"/>
  <c r="G108" i="90"/>
  <c r="G64" i="90"/>
  <c r="G146" i="133"/>
  <c r="G142" i="84"/>
  <c r="G130" i="84"/>
  <c r="G156" i="175"/>
  <c r="G132" i="175"/>
  <c r="G178" i="43"/>
  <c r="G160" i="43"/>
  <c r="G116" i="43"/>
  <c r="G33" i="68"/>
  <c r="G125" i="60"/>
  <c r="G115" i="60"/>
  <c r="G16" i="118"/>
  <c r="G125" i="103"/>
  <c r="G137" i="79"/>
  <c r="G88" i="32"/>
  <c r="G30" i="64"/>
  <c r="G147" i="79"/>
  <c r="G37" i="79"/>
  <c r="G175" i="32"/>
  <c r="G33" i="62"/>
  <c r="E61" i="79"/>
  <c r="G148" i="178"/>
  <c r="G110" i="178"/>
  <c r="G188" i="178"/>
  <c r="G108" i="71"/>
  <c r="G49" i="143"/>
  <c r="G51" i="106"/>
  <c r="G146" i="58"/>
  <c r="G89" i="43"/>
  <c r="G56" i="104"/>
  <c r="G19" i="15"/>
  <c r="G58" i="102"/>
  <c r="G126" i="15"/>
  <c r="G73" i="60"/>
  <c r="M14" i="32"/>
  <c r="G133" i="16"/>
  <c r="G60" i="157"/>
  <c r="E102" i="119"/>
  <c r="G97" i="119"/>
  <c r="G65" i="119"/>
  <c r="E79" i="119"/>
  <c r="G27" i="65"/>
  <c r="G75" i="152"/>
  <c r="G84" i="133"/>
  <c r="G60" i="62"/>
  <c r="G44" i="62"/>
  <c r="G15" i="15"/>
  <c r="G152" i="19"/>
  <c r="G181" i="172"/>
  <c r="G169" i="172"/>
  <c r="E197" i="172"/>
  <c r="G165" i="85"/>
  <c r="G110" i="55"/>
  <c r="G68" i="79"/>
  <c r="G226" i="90"/>
  <c r="G195" i="37"/>
  <c r="G180" i="37"/>
  <c r="G180" i="152"/>
  <c r="G136" i="104"/>
  <c r="G34" i="68"/>
  <c r="G137" i="71"/>
  <c r="G67" i="71"/>
  <c r="G175" i="175"/>
  <c r="G27" i="60"/>
  <c r="G195" i="118"/>
  <c r="G171" i="32"/>
  <c r="E69" i="97"/>
  <c r="E193" i="97"/>
  <c r="D122" i="97"/>
  <c r="G51" i="178"/>
  <c r="E79" i="47"/>
  <c r="E36" i="97"/>
  <c r="D208" i="98"/>
  <c r="E119" i="120"/>
  <c r="G48" i="104"/>
  <c r="E161" i="16"/>
  <c r="E93" i="152"/>
  <c r="E161" i="120"/>
  <c r="E61" i="158"/>
  <c r="E93" i="37"/>
  <c r="E206" i="120"/>
  <c r="E93" i="43"/>
  <c r="C208" i="119"/>
  <c r="E161" i="90"/>
  <c r="E197" i="24"/>
  <c r="E197" i="55"/>
  <c r="G157" i="10"/>
  <c r="G225" i="176"/>
  <c r="G187" i="72"/>
  <c r="G83" i="90"/>
  <c r="G129" i="133"/>
  <c r="G19" i="47"/>
  <c r="G68" i="37"/>
  <c r="G147" i="43"/>
  <c r="G77" i="102"/>
  <c r="G187" i="39"/>
  <c r="G110" i="102"/>
  <c r="G55" i="39"/>
  <c r="G18" i="102"/>
  <c r="G165" i="102"/>
  <c r="G118" i="71"/>
  <c r="G164" i="63"/>
  <c r="E197" i="63"/>
  <c r="G157" i="43"/>
  <c r="G173" i="49"/>
  <c r="G12" i="19"/>
  <c r="E21" i="19"/>
  <c r="G123" i="54"/>
  <c r="G64" i="68"/>
  <c r="G20" i="164"/>
  <c r="G108" i="58"/>
  <c r="E111" i="58"/>
  <c r="G41" i="62"/>
  <c r="G101" i="118"/>
  <c r="G20" i="54"/>
  <c r="M16" i="37"/>
  <c r="G83" i="164"/>
  <c r="E93" i="164"/>
  <c r="G235" i="87"/>
  <c r="K14" i="87"/>
  <c r="M14" i="42"/>
  <c r="E79" i="24"/>
  <c r="E102" i="90"/>
  <c r="E102" i="19"/>
  <c r="E160" i="97"/>
  <c r="G69" i="158"/>
  <c r="G129" i="157"/>
  <c r="G196" i="119"/>
  <c r="G90" i="119"/>
  <c r="G105" i="37"/>
  <c r="G69" i="37"/>
  <c r="G33" i="152"/>
  <c r="E61" i="152"/>
  <c r="G40" i="62"/>
  <c r="G227" i="66"/>
  <c r="G187" i="66"/>
  <c r="G152" i="15"/>
  <c r="G179" i="19"/>
  <c r="G164" i="19"/>
  <c r="E197" i="19"/>
  <c r="G140" i="19"/>
  <c r="E161" i="19"/>
  <c r="G42" i="145"/>
  <c r="G15" i="176"/>
  <c r="G123" i="85"/>
  <c r="G190" i="55"/>
  <c r="G106" i="55"/>
  <c r="G180" i="165"/>
  <c r="G54" i="64"/>
  <c r="G184" i="79"/>
  <c r="G90" i="79"/>
  <c r="G64" i="79"/>
  <c r="E79" i="79"/>
  <c r="G78" i="24"/>
  <c r="G202" i="90"/>
  <c r="G166" i="90"/>
  <c r="G191" i="37"/>
  <c r="G153" i="37"/>
  <c r="G76" i="37"/>
  <c r="G38" i="120"/>
  <c r="G15" i="120"/>
  <c r="G182" i="104"/>
  <c r="G77" i="62"/>
  <c r="G132" i="66"/>
  <c r="G51" i="66"/>
  <c r="G57" i="145"/>
  <c r="E228" i="120"/>
  <c r="G225" i="120"/>
  <c r="G131" i="120"/>
  <c r="G107" i="120"/>
  <c r="G70" i="120"/>
  <c r="G56" i="120"/>
  <c r="G41" i="120"/>
  <c r="G49" i="39"/>
  <c r="G147" i="71"/>
  <c r="G115" i="71"/>
  <c r="E119" i="71"/>
  <c r="G171" i="175"/>
  <c r="G110" i="43"/>
  <c r="G227" i="104"/>
  <c r="G88" i="106"/>
  <c r="G55" i="106"/>
  <c r="G150" i="102"/>
  <c r="G133" i="102"/>
  <c r="G182" i="83"/>
  <c r="G193" i="49"/>
  <c r="K14" i="177"/>
  <c r="G235" i="177"/>
  <c r="G36" i="69"/>
  <c r="G196" i="86"/>
  <c r="G167" i="87"/>
  <c r="G147" i="87"/>
  <c r="G90" i="143"/>
  <c r="G68" i="143"/>
  <c r="G136" i="28"/>
  <c r="G118" i="28"/>
  <c r="G39" i="28"/>
  <c r="G167" i="32"/>
  <c r="G13" i="141"/>
  <c r="G152" i="24"/>
  <c r="G127" i="90"/>
  <c r="G46" i="90"/>
  <c r="G11" i="90"/>
  <c r="G159" i="133"/>
  <c r="G67" i="84"/>
  <c r="E79" i="84"/>
  <c r="G42" i="84"/>
  <c r="G175" i="43"/>
  <c r="G47" i="43"/>
  <c r="M11" i="141"/>
  <c r="G130" i="54"/>
  <c r="G40" i="103"/>
  <c r="G41" i="79"/>
  <c r="G50" i="32"/>
  <c r="G75" i="32"/>
  <c r="G168" i="87"/>
  <c r="G26" i="178"/>
  <c r="G36" i="14"/>
  <c r="G15" i="27"/>
  <c r="G174" i="39"/>
  <c r="G15" i="53"/>
  <c r="G20" i="94"/>
  <c r="G71" i="60"/>
  <c r="G158" i="156"/>
  <c r="G173" i="119"/>
  <c r="G16" i="120"/>
  <c r="G73" i="133"/>
  <c r="M15" i="37"/>
  <c r="G193" i="176"/>
  <c r="G187" i="55"/>
  <c r="G84" i="55"/>
  <c r="G195" i="62"/>
  <c r="G100" i="120"/>
  <c r="G45" i="39"/>
  <c r="G160" i="87"/>
  <c r="G196" i="72"/>
  <c r="G153" i="141"/>
  <c r="G219" i="118"/>
  <c r="M11" i="118"/>
  <c r="C209" i="97"/>
  <c r="D208" i="63"/>
  <c r="E197" i="72"/>
  <c r="E79" i="69"/>
  <c r="G205" i="178"/>
  <c r="G143" i="178"/>
  <c r="G107" i="27"/>
  <c r="E111" i="27"/>
  <c r="G135" i="47"/>
  <c r="G129" i="49"/>
  <c r="G175" i="19"/>
  <c r="G16" i="66"/>
  <c r="G129" i="63"/>
  <c r="G111" i="72"/>
  <c r="G184" i="28"/>
  <c r="G155" i="176"/>
  <c r="G183" i="165"/>
  <c r="G182" i="64"/>
  <c r="E197" i="64"/>
  <c r="G78" i="102"/>
  <c r="G166" i="83"/>
  <c r="G153" i="49"/>
  <c r="G178" i="62"/>
  <c r="G70" i="63"/>
  <c r="G55" i="66"/>
  <c r="G59" i="120"/>
  <c r="G38" i="39"/>
  <c r="G133" i="175"/>
  <c r="G224" i="83"/>
  <c r="G202" i="86"/>
  <c r="E206" i="86"/>
  <c r="G141" i="28"/>
  <c r="G177" i="72"/>
  <c r="G166" i="133"/>
  <c r="E111" i="84"/>
  <c r="G106" i="84"/>
  <c r="G51" i="43"/>
  <c r="G32" i="43"/>
  <c r="G138" i="60"/>
  <c r="G66" i="118"/>
  <c r="E79" i="118"/>
  <c r="E77" i="97"/>
  <c r="C96" i="97"/>
  <c r="C208" i="178"/>
  <c r="G175" i="178"/>
  <c r="C208" i="98"/>
  <c r="C212" i="98"/>
  <c r="E61" i="119"/>
  <c r="E61" i="157"/>
  <c r="E197" i="145"/>
  <c r="E161" i="176"/>
  <c r="E197" i="90"/>
  <c r="E161" i="84"/>
  <c r="G18" i="50"/>
  <c r="E21" i="50"/>
  <c r="G92" i="89"/>
  <c r="G96" i="10"/>
  <c r="G196" i="178"/>
  <c r="G137" i="14"/>
  <c r="G177" i="32"/>
  <c r="G26" i="10"/>
  <c r="G76" i="133"/>
  <c r="G68" i="106"/>
  <c r="G130" i="83"/>
  <c r="G29" i="120"/>
  <c r="G76" i="43"/>
  <c r="G45" i="102"/>
  <c r="G136" i="39"/>
  <c r="G19" i="102"/>
  <c r="G190" i="71"/>
  <c r="G127" i="46"/>
  <c r="G13" i="58"/>
  <c r="G14" i="63"/>
  <c r="G50" i="66"/>
  <c r="G74" i="43"/>
  <c r="G82" i="54"/>
  <c r="E93" i="54"/>
  <c r="G78" i="71"/>
  <c r="G77" i="83"/>
  <c r="G14" i="102"/>
  <c r="G28" i="145"/>
  <c r="E161" i="47"/>
  <c r="M15" i="24"/>
  <c r="E79" i="19"/>
  <c r="E119" i="119"/>
  <c r="E197" i="62"/>
  <c r="E93" i="79"/>
  <c r="E197" i="89"/>
  <c r="G132" i="178"/>
  <c r="G129" i="16"/>
  <c r="G32" i="16"/>
  <c r="E102" i="157"/>
  <c r="G99" i="157"/>
  <c r="G127" i="119"/>
  <c r="G108" i="119"/>
  <c r="G76" i="119"/>
  <c r="G58" i="119"/>
  <c r="G65" i="65"/>
  <c r="G67" i="152"/>
  <c r="G77" i="133"/>
  <c r="G57" i="62"/>
  <c r="G169" i="66"/>
  <c r="G177" i="172"/>
  <c r="G152" i="64"/>
  <c r="G160" i="79"/>
  <c r="G46" i="79"/>
  <c r="G141" i="90"/>
  <c r="G169" i="152"/>
  <c r="G99" i="152"/>
  <c r="G164" i="104"/>
  <c r="G78" i="104"/>
  <c r="G151" i="46"/>
  <c r="G172" i="49"/>
  <c r="G226" i="62"/>
  <c r="G185" i="62"/>
  <c r="G131" i="63"/>
  <c r="E79" i="63"/>
  <c r="G66" i="63"/>
  <c r="G69" i="66"/>
  <c r="G11" i="66"/>
  <c r="G19" i="68"/>
  <c r="G184" i="145"/>
  <c r="G132" i="145"/>
  <c r="M17" i="19"/>
  <c r="G158" i="120"/>
  <c r="G60" i="39"/>
  <c r="G185" i="175"/>
  <c r="G129" i="175"/>
  <c r="E111" i="43"/>
  <c r="G106" i="43"/>
  <c r="G55" i="43"/>
  <c r="G137" i="106"/>
  <c r="G109" i="106"/>
  <c r="D208" i="106"/>
  <c r="G78" i="47"/>
  <c r="G26" i="47"/>
  <c r="G203" i="49"/>
  <c r="E206" i="49"/>
  <c r="G48" i="68"/>
  <c r="G191" i="89"/>
  <c r="G175" i="89"/>
  <c r="G189" i="143"/>
  <c r="G101" i="143"/>
  <c r="E228" i="176"/>
  <c r="G221" i="176"/>
  <c r="G35" i="28"/>
  <c r="E206" i="72"/>
  <c r="G203" i="72"/>
  <c r="G173" i="72"/>
  <c r="G118" i="32"/>
  <c r="G194" i="141"/>
  <c r="E119" i="141"/>
  <c r="G115" i="141"/>
  <c r="D208" i="24"/>
  <c r="G123" i="90"/>
  <c r="G92" i="90"/>
  <c r="G57" i="90"/>
  <c r="G126" i="84"/>
  <c r="G38" i="84"/>
  <c r="G12" i="84"/>
  <c r="G147" i="175"/>
  <c r="G151" i="43"/>
  <c r="G65" i="43"/>
  <c r="G133" i="60"/>
  <c r="G118" i="60"/>
  <c r="G109" i="60"/>
  <c r="G67" i="60"/>
  <c r="G192" i="118"/>
  <c r="G59" i="118"/>
  <c r="G34" i="64"/>
  <c r="G60" i="32"/>
  <c r="G26" i="64"/>
  <c r="G142" i="79"/>
  <c r="G208" i="57"/>
  <c r="H56" i="57"/>
  <c r="F215" i="55"/>
  <c r="G65" i="68"/>
  <c r="E79" i="68"/>
  <c r="G77" i="103"/>
  <c r="G117" i="38"/>
  <c r="E119" i="38"/>
  <c r="G116" i="55"/>
  <c r="E119" i="55"/>
  <c r="G124" i="63"/>
  <c r="G117" i="63"/>
  <c r="E119" i="63"/>
  <c r="E120" i="97"/>
  <c r="K14" i="167"/>
  <c r="G235" i="167"/>
  <c r="E144" i="97"/>
  <c r="G141" i="103"/>
  <c r="G175" i="155"/>
  <c r="G142" i="155"/>
  <c r="G85" i="178"/>
  <c r="G129" i="178"/>
  <c r="E132" i="97"/>
  <c r="G40" i="178"/>
  <c r="E43" i="97"/>
  <c r="G115" i="178"/>
  <c r="E118" i="97"/>
  <c r="G137" i="178"/>
  <c r="E119" i="178"/>
  <c r="G82" i="178"/>
  <c r="E93" i="178"/>
  <c r="G181" i="178"/>
  <c r="G126" i="178"/>
  <c r="E129" i="97"/>
  <c r="G88" i="89"/>
  <c r="E93" i="89"/>
  <c r="G168" i="178"/>
  <c r="E171" i="97"/>
  <c r="G37" i="178"/>
  <c r="E40" i="97"/>
  <c r="C231" i="97"/>
  <c r="C239" i="97"/>
  <c r="G34" i="85"/>
  <c r="E61" i="85"/>
  <c r="G125" i="10"/>
  <c r="E161" i="10"/>
  <c r="G188" i="10"/>
  <c r="G130" i="32"/>
  <c r="E161" i="32"/>
  <c r="G186" i="155"/>
  <c r="G68" i="120"/>
  <c r="E79" i="120"/>
  <c r="G110" i="71"/>
  <c r="E111" i="71"/>
  <c r="G48" i="39"/>
  <c r="G140" i="102"/>
  <c r="E143" i="97"/>
  <c r="E93" i="102"/>
  <c r="G83" i="102"/>
  <c r="G145" i="63"/>
  <c r="G52" i="54"/>
  <c r="G56" i="71"/>
  <c r="G133" i="63"/>
  <c r="G223" i="49"/>
  <c r="E228" i="49"/>
  <c r="E226" i="97"/>
  <c r="E21" i="145"/>
  <c r="G16" i="145"/>
  <c r="G44" i="15"/>
  <c r="E47" i="97"/>
  <c r="G56" i="118"/>
  <c r="E61" i="118"/>
  <c r="E59" i="97"/>
  <c r="G39" i="15"/>
  <c r="G100" i="102"/>
  <c r="G73" i="98"/>
  <c r="G222" i="63"/>
  <c r="E228" i="63"/>
  <c r="E225" i="97"/>
  <c r="G16" i="94"/>
  <c r="G29" i="60"/>
  <c r="G106" i="102"/>
  <c r="C208" i="68"/>
  <c r="G152" i="94"/>
  <c r="E155" i="97"/>
  <c r="G141" i="53"/>
  <c r="E237" i="167"/>
  <c r="E236" i="167"/>
  <c r="G87" i="103"/>
  <c r="E154" i="97"/>
  <c r="G151" i="103"/>
  <c r="M15" i="174"/>
  <c r="G146" i="103"/>
  <c r="G133" i="103"/>
  <c r="E136" i="97"/>
  <c r="G87" i="98"/>
  <c r="C208" i="152"/>
  <c r="G188" i="71"/>
  <c r="G231" i="43"/>
  <c r="E235" i="43"/>
  <c r="G64" i="178"/>
  <c r="E79" i="178"/>
  <c r="G129" i="89"/>
  <c r="E161" i="89"/>
  <c r="G192" i="37"/>
  <c r="G27" i="71"/>
  <c r="E61" i="71"/>
  <c r="G55" i="15"/>
  <c r="E58" i="97"/>
  <c r="G46" i="43"/>
  <c r="E61" i="43"/>
  <c r="G178" i="15"/>
  <c r="E181" i="97"/>
  <c r="G18" i="20"/>
  <c r="E21" i="20"/>
  <c r="G143" i="58"/>
  <c r="E146" i="97"/>
  <c r="G145" i="53"/>
  <c r="E61" i="49"/>
  <c r="G29" i="49"/>
  <c r="G129" i="66"/>
  <c r="E161" i="66"/>
  <c r="G71" i="98"/>
  <c r="G86" i="133"/>
  <c r="G232" i="178"/>
  <c r="G90" i="178"/>
  <c r="E93" i="97"/>
  <c r="G66" i="156"/>
  <c r="E79" i="156"/>
  <c r="G28" i="54"/>
  <c r="E61" i="54"/>
  <c r="G46" i="68"/>
  <c r="G147" i="98"/>
  <c r="G176" i="60"/>
  <c r="E179" i="97"/>
  <c r="G158" i="98"/>
  <c r="G155" i="106"/>
  <c r="E79" i="66"/>
  <c r="G72" i="66"/>
  <c r="G123" i="98"/>
  <c r="E161" i="98"/>
  <c r="G123" i="178"/>
  <c r="E161" i="178"/>
  <c r="G204" i="178"/>
  <c r="E207" i="97"/>
  <c r="G69" i="178"/>
  <c r="G101" i="178"/>
  <c r="G155" i="178"/>
  <c r="E158" i="97"/>
  <c r="C200" i="97"/>
  <c r="G84" i="178"/>
  <c r="E87" i="97"/>
  <c r="G227" i="178"/>
  <c r="E79" i="87"/>
  <c r="G76" i="87"/>
  <c r="G180" i="10"/>
  <c r="G53" i="37"/>
  <c r="G159" i="25"/>
  <c r="G182" i="176"/>
  <c r="E197" i="176"/>
  <c r="G42" i="71"/>
  <c r="G97" i="39"/>
  <c r="E102" i="39"/>
  <c r="G13" i="55"/>
  <c r="E21" i="55"/>
  <c r="G47" i="156"/>
  <c r="G98" i="133"/>
  <c r="E102" i="133"/>
  <c r="E101" i="97"/>
  <c r="G137" i="63"/>
  <c r="G36" i="63"/>
  <c r="G101" i="145"/>
  <c r="E102" i="145"/>
  <c r="G183" i="104"/>
  <c r="E197" i="104"/>
  <c r="G193" i="83"/>
  <c r="E196" i="97"/>
  <c r="G127" i="62"/>
  <c r="E161" i="62"/>
  <c r="G173" i="71"/>
  <c r="E197" i="71"/>
  <c r="G99" i="102"/>
  <c r="E102" i="102"/>
  <c r="G189" i="49"/>
  <c r="E197" i="49"/>
  <c r="G123" i="63"/>
  <c r="E161" i="63"/>
  <c r="G32" i="54"/>
  <c r="E35" i="97"/>
  <c r="G131" i="58"/>
  <c r="E161" i="58"/>
  <c r="E134" i="97"/>
  <c r="G12" i="58"/>
  <c r="G101" i="54"/>
  <c r="E102" i="54"/>
  <c r="G13" i="46"/>
  <c r="G32" i="145"/>
  <c r="E61" i="145"/>
  <c r="E111" i="98"/>
  <c r="G106" i="98"/>
  <c r="G84" i="62"/>
  <c r="E93" i="62"/>
  <c r="G105" i="68"/>
  <c r="E111" i="68"/>
  <c r="E108" i="97"/>
  <c r="G222" i="58"/>
  <c r="G133" i="53"/>
  <c r="G135" i="103"/>
  <c r="D96" i="97"/>
  <c r="M15" i="79"/>
  <c r="E93" i="118"/>
  <c r="G89" i="118"/>
  <c r="E92" i="97"/>
  <c r="G12" i="118"/>
  <c r="E21" i="118"/>
  <c r="E15" i="97"/>
  <c r="G190" i="14"/>
  <c r="G231" i="155"/>
  <c r="E235" i="155"/>
  <c r="G167" i="28"/>
  <c r="E197" i="28"/>
  <c r="G47" i="64"/>
  <c r="G149" i="155"/>
  <c r="G45" i="25"/>
  <c r="E61" i="25"/>
  <c r="G15" i="71"/>
  <c r="G43" i="47"/>
  <c r="G14" i="49"/>
  <c r="E21" i="49"/>
  <c r="G138" i="98"/>
  <c r="G135" i="98"/>
  <c r="G54" i="178"/>
  <c r="G140" i="85"/>
  <c r="E161" i="85"/>
  <c r="G60" i="15"/>
  <c r="E63" i="97"/>
  <c r="G168" i="37"/>
  <c r="E197" i="37"/>
  <c r="G110" i="68"/>
  <c r="E113" i="97"/>
  <c r="G194" i="178"/>
  <c r="E197" i="97"/>
  <c r="G178" i="178"/>
  <c r="G148" i="42"/>
  <c r="E161" i="42"/>
  <c r="G57" i="10"/>
  <c r="G164" i="10"/>
  <c r="E197" i="10"/>
  <c r="G43" i="102"/>
  <c r="G35" i="102"/>
  <c r="E38" i="97"/>
  <c r="G25" i="63"/>
  <c r="E61" i="63"/>
  <c r="M17" i="79"/>
  <c r="G224" i="178"/>
  <c r="E227" i="97"/>
  <c r="G13" i="178"/>
  <c r="E16" i="97"/>
  <c r="G86" i="178"/>
  <c r="G14" i="178"/>
  <c r="G52" i="178"/>
  <c r="G99" i="178"/>
  <c r="G91" i="178"/>
  <c r="E94" i="97"/>
  <c r="G72" i="178"/>
  <c r="E75" i="97"/>
  <c r="G221" i="178"/>
  <c r="G41" i="178"/>
  <c r="G76" i="178"/>
  <c r="E79" i="97"/>
  <c r="G38" i="178"/>
  <c r="G184" i="178"/>
  <c r="G53" i="178"/>
  <c r="G37" i="10"/>
  <c r="E61" i="10"/>
  <c r="G202" i="178"/>
  <c r="G13" i="32"/>
  <c r="E21" i="32"/>
  <c r="G142" i="14"/>
  <c r="E161" i="14"/>
  <c r="G118" i="155"/>
  <c r="E119" i="155"/>
  <c r="G190" i="25"/>
  <c r="E197" i="25"/>
  <c r="G178" i="39"/>
  <c r="G123" i="15"/>
  <c r="E161" i="15"/>
  <c r="G29" i="37"/>
  <c r="E61" i="37"/>
  <c r="G37" i="63"/>
  <c r="G68" i="68"/>
  <c r="G156" i="60"/>
  <c r="G118" i="39"/>
  <c r="G115" i="58"/>
  <c r="E119" i="58"/>
  <c r="G30" i="68"/>
  <c r="E61" i="68"/>
  <c r="G28" i="102"/>
  <c r="E61" i="102"/>
  <c r="G71" i="145"/>
  <c r="E79" i="145"/>
  <c r="G17" i="63"/>
  <c r="G85" i="15"/>
  <c r="G46" i="102"/>
  <c r="G78" i="106"/>
  <c r="G74" i="62"/>
  <c r="G91" i="66"/>
  <c r="G172" i="60"/>
  <c r="E197" i="60"/>
  <c r="E175" i="97"/>
  <c r="G138" i="118"/>
  <c r="G86" i="98"/>
  <c r="G127" i="102"/>
  <c r="E161" i="102"/>
  <c r="E48" i="97"/>
  <c r="G45" i="94"/>
  <c r="M16" i="87"/>
  <c r="G129" i="174"/>
  <c r="E161" i="174"/>
  <c r="G84" i="66"/>
  <c r="E93" i="66"/>
  <c r="G67" i="98"/>
  <c r="E79" i="98"/>
  <c r="C164" i="97"/>
  <c r="E79" i="103"/>
  <c r="G74" i="103"/>
  <c r="M13" i="86"/>
  <c r="G147" i="103"/>
  <c r="E93" i="103"/>
  <c r="G86" i="103"/>
  <c r="E130" i="97"/>
  <c r="E161" i="118"/>
  <c r="G127" i="118"/>
  <c r="E208" i="167"/>
  <c r="C215" i="143"/>
  <c r="E197" i="15"/>
  <c r="G67" i="156"/>
  <c r="G67" i="133"/>
  <c r="E79" i="133"/>
  <c r="G48" i="84"/>
  <c r="G165" i="98"/>
  <c r="E197" i="98"/>
  <c r="G155" i="98"/>
  <c r="G184" i="20"/>
  <c r="G186" i="28"/>
  <c r="G204" i="133"/>
  <c r="E206" i="133"/>
  <c r="G41" i="83"/>
  <c r="G147" i="178"/>
  <c r="G133" i="178"/>
  <c r="E102" i="55"/>
  <c r="G98" i="55"/>
  <c r="G12" i="72"/>
  <c r="E21" i="72"/>
  <c r="G105" i="102"/>
  <c r="E111" i="102"/>
  <c r="G38" i="83"/>
  <c r="E61" i="83"/>
  <c r="G227" i="54"/>
  <c r="E230" i="97"/>
  <c r="G130" i="103"/>
  <c r="E133" i="97"/>
  <c r="G192" i="152"/>
  <c r="G48" i="178"/>
  <c r="G146" i="178"/>
  <c r="G65" i="178"/>
  <c r="G45" i="178"/>
  <c r="G50" i="83"/>
  <c r="G41" i="24"/>
  <c r="E61" i="24"/>
  <c r="G101" i="58"/>
  <c r="G60" i="98"/>
  <c r="G25" i="60"/>
  <c r="E61" i="60"/>
  <c r="E21" i="46"/>
  <c r="G11" i="46"/>
  <c r="M14" i="118"/>
  <c r="E235" i="97"/>
  <c r="E88" i="97"/>
  <c r="G142" i="178"/>
  <c r="G78" i="178"/>
  <c r="E81" i="97"/>
  <c r="G27" i="178"/>
  <c r="G28" i="178"/>
  <c r="G125" i="178"/>
  <c r="E128" i="97"/>
  <c r="G165" i="178"/>
  <c r="E168" i="97"/>
  <c r="G73" i="178"/>
  <c r="E76" i="97"/>
  <c r="E21" i="178"/>
  <c r="G11" i="178"/>
  <c r="E14" i="97"/>
  <c r="G149" i="178"/>
  <c r="E79" i="10"/>
  <c r="G65" i="10"/>
  <c r="G133" i="133"/>
  <c r="G39" i="155"/>
  <c r="E61" i="155"/>
  <c r="G89" i="176"/>
  <c r="E93" i="176"/>
  <c r="G92" i="71"/>
  <c r="G100" i="39"/>
  <c r="G60" i="64"/>
  <c r="G108" i="39"/>
  <c r="E111" i="39"/>
  <c r="E111" i="97"/>
  <c r="G65" i="71"/>
  <c r="E79" i="71"/>
  <c r="G33" i="133"/>
  <c r="G52" i="143"/>
  <c r="E61" i="143"/>
  <c r="G86" i="145"/>
  <c r="E93" i="145"/>
  <c r="G72" i="47"/>
  <c r="G71" i="15"/>
  <c r="E79" i="15"/>
  <c r="G165" i="83"/>
  <c r="E197" i="83"/>
  <c r="G12" i="164"/>
  <c r="E21" i="164"/>
  <c r="G84" i="46"/>
  <c r="E93" i="46"/>
  <c r="G50" i="63"/>
  <c r="G127" i="60"/>
  <c r="E161" i="60"/>
  <c r="G56" i="145"/>
  <c r="G219" i="66"/>
  <c r="E228" i="66"/>
  <c r="G97" i="58"/>
  <c r="E102" i="58"/>
  <c r="E100" i="97"/>
  <c r="E21" i="66"/>
  <c r="G18" i="66"/>
  <c r="E79" i="106"/>
  <c r="G75" i="106"/>
  <c r="G97" i="98"/>
  <c r="E102" i="98"/>
  <c r="G109" i="102"/>
  <c r="G53" i="66"/>
  <c r="G55" i="68"/>
  <c r="E119" i="174"/>
  <c r="G116" i="174"/>
  <c r="G151" i="58"/>
  <c r="G27" i="63"/>
  <c r="G44" i="98"/>
  <c r="E61" i="98"/>
  <c r="C82" i="97"/>
  <c r="E228" i="58"/>
  <c r="G228" i="37"/>
  <c r="M158" i="37"/>
  <c r="D24" i="97"/>
  <c r="G137" i="103"/>
  <c r="E21" i="94"/>
  <c r="G202" i="14"/>
  <c r="G153" i="14"/>
  <c r="G171" i="27"/>
  <c r="E197" i="27"/>
  <c r="G51" i="20"/>
  <c r="G33" i="20"/>
  <c r="G181" i="27"/>
  <c r="G145" i="27"/>
  <c r="E161" i="27"/>
  <c r="G116" i="133"/>
  <c r="E119" i="133"/>
  <c r="E79" i="62"/>
  <c r="G64" i="83"/>
  <c r="E79" i="83"/>
  <c r="G160" i="178"/>
  <c r="G68" i="178"/>
  <c r="E71" i="97"/>
  <c r="G219" i="178"/>
  <c r="E228" i="178"/>
  <c r="E237" i="178"/>
  <c r="E222" i="97"/>
  <c r="G105" i="10"/>
  <c r="E111" i="10"/>
  <c r="G44" i="71"/>
  <c r="G52" i="60"/>
  <c r="G177" i="83"/>
  <c r="G18" i="178"/>
  <c r="E21" i="97"/>
  <c r="G30" i="178"/>
  <c r="G100" i="178"/>
  <c r="E103" i="97"/>
  <c r="G68" i="10"/>
  <c r="G149" i="71"/>
  <c r="G177" i="85"/>
  <c r="E197" i="85"/>
  <c r="G28" i="60"/>
  <c r="E31" i="97"/>
  <c r="G12" i="178"/>
  <c r="G107" i="178"/>
  <c r="G32" i="178"/>
  <c r="G74" i="178"/>
  <c r="G60" i="178"/>
  <c r="D208" i="178"/>
  <c r="G25" i="178"/>
  <c r="E61" i="178"/>
  <c r="G49" i="178"/>
  <c r="E52" i="97"/>
  <c r="G46" i="178"/>
  <c r="G92" i="178"/>
  <c r="E95" i="97"/>
  <c r="G192" i="178"/>
  <c r="E195" i="97"/>
  <c r="G29" i="178"/>
  <c r="E206" i="178"/>
  <c r="G146" i="25"/>
  <c r="E161" i="25"/>
  <c r="G110" i="85"/>
  <c r="E111" i="85"/>
  <c r="G52" i="71"/>
  <c r="G189" i="71"/>
  <c r="G17" i="133"/>
  <c r="G60" i="43"/>
  <c r="G55" i="71"/>
  <c r="G143" i="102"/>
  <c r="G189" i="102"/>
  <c r="E197" i="102"/>
  <c r="G42" i="47"/>
  <c r="E45" i="97"/>
  <c r="G88" i="47"/>
  <c r="G33" i="63"/>
  <c r="G135" i="68"/>
  <c r="E161" i="68"/>
  <c r="G52" i="103"/>
  <c r="E61" i="103"/>
  <c r="G85" i="47"/>
  <c r="E93" i="47"/>
  <c r="G47" i="15"/>
  <c r="E50" i="97"/>
  <c r="G13" i="63"/>
  <c r="E21" i="63"/>
  <c r="G82" i="15"/>
  <c r="E93" i="15"/>
  <c r="G202" i="58"/>
  <c r="E206" i="58"/>
  <c r="G48" i="145"/>
  <c r="E161" i="106"/>
  <c r="G127" i="106"/>
  <c r="G77" i="98"/>
  <c r="G149" i="53"/>
  <c r="G87" i="66"/>
  <c r="E93" i="49"/>
  <c r="G83" i="49"/>
  <c r="G20" i="98"/>
  <c r="E21" i="98"/>
  <c r="G38" i="94"/>
  <c r="E41" i="97"/>
  <c r="G52" i="68"/>
  <c r="G175" i="94"/>
  <c r="E178" i="97"/>
  <c r="E197" i="94"/>
  <c r="G54" i="98"/>
  <c r="G129" i="53"/>
  <c r="G66" i="164"/>
  <c r="E79" i="164"/>
  <c r="G123" i="103"/>
  <c r="E161" i="103"/>
  <c r="E126" i="97"/>
  <c r="M14" i="95"/>
  <c r="G150" i="103"/>
  <c r="E93" i="71"/>
  <c r="G192" i="14"/>
  <c r="G181" i="14"/>
  <c r="D208" i="165"/>
  <c r="G86" i="20"/>
  <c r="E93" i="20"/>
  <c r="G44" i="178"/>
  <c r="G136" i="178"/>
  <c r="E139" i="97"/>
  <c r="G14" i="38"/>
  <c r="E21" i="38"/>
  <c r="G180" i="39"/>
  <c r="E183" i="97"/>
  <c r="G88" i="83"/>
  <c r="E93" i="83"/>
  <c r="E91" i="97"/>
  <c r="G97" i="49"/>
  <c r="E102" i="49"/>
  <c r="G39" i="102"/>
  <c r="G34" i="63"/>
  <c r="E93" i="106"/>
  <c r="G85" i="106"/>
  <c r="G192" i="53"/>
  <c r="E197" i="53"/>
  <c r="G226" i="54"/>
  <c r="E228" i="54"/>
  <c r="E229" i="97"/>
  <c r="G132" i="174"/>
  <c r="E135" i="97"/>
  <c r="G41" i="64"/>
  <c r="E61" i="64"/>
  <c r="G191" i="79"/>
  <c r="E194" i="97"/>
  <c r="E197" i="79"/>
  <c r="G125" i="152"/>
  <c r="E161" i="152"/>
  <c r="G156" i="178"/>
  <c r="G189" i="178"/>
  <c r="E192" i="97"/>
  <c r="G176" i="178"/>
  <c r="E61" i="69"/>
  <c r="G46" i="69"/>
  <c r="G166" i="39"/>
  <c r="E197" i="39"/>
  <c r="G11" i="58"/>
  <c r="E21" i="58"/>
  <c r="G11" i="53"/>
  <c r="E21" i="53"/>
  <c r="G16" i="63"/>
  <c r="G31" i="15"/>
  <c r="E34" i="97"/>
  <c r="G47" i="28"/>
  <c r="E61" i="28"/>
  <c r="G20" i="178"/>
  <c r="G106" i="178"/>
  <c r="G116" i="178"/>
  <c r="E119" i="97"/>
  <c r="G151" i="178"/>
  <c r="G124" i="178"/>
  <c r="E127" i="97"/>
  <c r="G36" i="178"/>
  <c r="G17" i="178"/>
  <c r="G173" i="178"/>
  <c r="E176" i="97"/>
  <c r="G83" i="178"/>
  <c r="E86" i="97"/>
  <c r="C64" i="97"/>
  <c r="G57" i="178"/>
  <c r="E60" i="97"/>
  <c r="G42" i="92"/>
  <c r="E61" i="92"/>
  <c r="G19" i="178"/>
  <c r="G158" i="178"/>
  <c r="E161" i="97"/>
  <c r="G133" i="37"/>
  <c r="E161" i="37"/>
  <c r="G18" i="85"/>
  <c r="G135" i="71"/>
  <c r="E161" i="71"/>
  <c r="G155" i="39"/>
  <c r="G147" i="104"/>
  <c r="E161" i="104"/>
  <c r="G101" i="43"/>
  <c r="G27" i="58"/>
  <c r="E61" i="58"/>
  <c r="G203" i="68"/>
  <c r="E206" i="97"/>
  <c r="G101" i="94"/>
  <c r="E102" i="94"/>
  <c r="G32" i="47"/>
  <c r="G137" i="145"/>
  <c r="E161" i="145"/>
  <c r="G30" i="63"/>
  <c r="G48" i="94"/>
  <c r="E51" i="97"/>
  <c r="G232" i="83"/>
  <c r="G138" i="63"/>
  <c r="G152" i="102"/>
  <c r="G50" i="47"/>
  <c r="G91" i="58"/>
  <c r="G20" i="145"/>
  <c r="E23" i="97"/>
  <c r="G106" i="103"/>
  <c r="E111" i="103"/>
  <c r="E109" i="97"/>
  <c r="K14" i="39"/>
  <c r="G235" i="39"/>
  <c r="E61" i="15"/>
  <c r="G28" i="15"/>
  <c r="G232" i="66"/>
  <c r="M12" i="102"/>
  <c r="G87" i="58"/>
  <c r="E93" i="58"/>
  <c r="E235" i="63"/>
  <c r="G231" i="63"/>
  <c r="G86" i="60"/>
  <c r="E93" i="60"/>
  <c r="G188" i="46"/>
  <c r="E197" i="46"/>
  <c r="G75" i="66"/>
  <c r="E78" i="97"/>
  <c r="E61" i="66"/>
  <c r="G40" i="66"/>
  <c r="M15" i="145"/>
  <c r="E161" i="53"/>
  <c r="G124" i="53"/>
  <c r="E61" i="174"/>
  <c r="G27" i="174"/>
  <c r="G147" i="58"/>
  <c r="G59" i="164"/>
  <c r="E62" i="97"/>
  <c r="E61" i="164"/>
  <c r="D82" i="97"/>
  <c r="E237" i="46"/>
  <c r="M19" i="167"/>
  <c r="G228" i="167"/>
  <c r="M98" i="167"/>
  <c r="G74" i="98"/>
  <c r="G138" i="103"/>
  <c r="E141" i="97"/>
  <c r="C208" i="118"/>
  <c r="C215" i="118"/>
  <c r="C122" i="97"/>
  <c r="G149" i="94"/>
  <c r="E161" i="94"/>
  <c r="E152" i="97"/>
  <c r="E72" i="97"/>
  <c r="G46" i="175"/>
  <c r="G91" i="98"/>
  <c r="E224" i="97"/>
  <c r="G57" i="71"/>
  <c r="M12" i="172"/>
  <c r="C24" i="97"/>
  <c r="M13" i="50"/>
  <c r="G50" i="71"/>
  <c r="G151" i="175"/>
  <c r="E161" i="175"/>
  <c r="C208" i="175"/>
  <c r="G193" i="14"/>
  <c r="G175" i="14"/>
  <c r="G13" i="156"/>
  <c r="E21" i="156"/>
  <c r="E206" i="155"/>
  <c r="G204" i="155"/>
  <c r="G232" i="64"/>
  <c r="E206" i="64"/>
  <c r="G202" i="64"/>
  <c r="G83" i="64"/>
  <c r="E93" i="64"/>
  <c r="G19" i="133"/>
  <c r="G58" i="175"/>
  <c r="E61" i="97"/>
  <c r="E112" i="97"/>
  <c r="G109" i="98"/>
  <c r="G77" i="165"/>
  <c r="G89" i="20"/>
  <c r="G127" i="133"/>
  <c r="G109" i="133"/>
  <c r="G51" i="84"/>
  <c r="E54" i="97"/>
  <c r="G77" i="175"/>
  <c r="G143" i="98"/>
  <c r="G201" i="14"/>
  <c r="E206" i="14"/>
  <c r="G87" i="165"/>
  <c r="G141" i="27"/>
  <c r="G92" i="156"/>
  <c r="M14" i="165"/>
  <c r="G127" i="98"/>
  <c r="G46" i="71"/>
  <c r="G93" i="167"/>
  <c r="G59" i="175"/>
  <c r="G42" i="175"/>
  <c r="E61" i="175"/>
  <c r="M14" i="120"/>
  <c r="G146" i="14"/>
  <c r="G30" i="20"/>
  <c r="G180" i="155"/>
  <c r="G137" i="155"/>
  <c r="E161" i="155"/>
  <c r="E102" i="155"/>
  <c r="G96" i="155"/>
  <c r="G188" i="119"/>
  <c r="G148" i="79"/>
  <c r="E151" i="97"/>
  <c r="G131" i="79"/>
  <c r="E197" i="152"/>
  <c r="G164" i="152"/>
  <c r="E167" i="97"/>
  <c r="G114" i="152"/>
  <c r="E117" i="97"/>
  <c r="E119" i="152"/>
  <c r="D208" i="39"/>
  <c r="E197" i="175"/>
  <c r="G165" i="175"/>
  <c r="G201" i="43"/>
  <c r="E206" i="43"/>
  <c r="G161" i="167"/>
  <c r="G150" i="14"/>
  <c r="E79" i="165"/>
  <c r="G69" i="165"/>
  <c r="G47" i="20"/>
  <c r="G192" i="119"/>
  <c r="G30" i="133"/>
  <c r="G49" i="47"/>
  <c r="G37" i="47"/>
  <c r="G29" i="47"/>
  <c r="E61" i="47"/>
  <c r="G108" i="165"/>
  <c r="E111" i="165"/>
  <c r="G97" i="165"/>
  <c r="E102" i="165"/>
  <c r="G83" i="165"/>
  <c r="E93" i="165"/>
  <c r="E93" i="156"/>
  <c r="G89" i="156"/>
  <c r="G92" i="133"/>
  <c r="G135" i="83"/>
  <c r="E161" i="83"/>
  <c r="M13" i="79"/>
  <c r="G169" i="175"/>
  <c r="G19" i="156"/>
  <c r="E197" i="155"/>
  <c r="G167" i="155"/>
  <c r="G205" i="64"/>
  <c r="E208" i="97"/>
  <c r="G116" i="64"/>
  <c r="E119" i="64"/>
  <c r="G14" i="64"/>
  <c r="E21" i="64"/>
  <c r="G29" i="39"/>
  <c r="G71" i="175"/>
  <c r="G29" i="20"/>
  <c r="G167" i="152"/>
  <c r="G124" i="133"/>
  <c r="E161" i="133"/>
  <c r="G89" i="133"/>
  <c r="G55" i="84"/>
  <c r="G172" i="175"/>
  <c r="G178" i="27"/>
  <c r="G177" i="28"/>
  <c r="G60" i="71"/>
  <c r="G57" i="83"/>
  <c r="G47" i="83"/>
  <c r="G37" i="83"/>
  <c r="G56" i="175"/>
  <c r="D114" i="97"/>
  <c r="G83" i="98"/>
  <c r="E93" i="98"/>
  <c r="G102" i="167"/>
  <c r="G48" i="20"/>
  <c r="G26" i="20"/>
  <c r="E61" i="20"/>
  <c r="G70" i="155"/>
  <c r="E79" i="155"/>
  <c r="G149" i="28"/>
  <c r="E161" i="28"/>
  <c r="G36" i="72"/>
  <c r="G33" i="64"/>
  <c r="G185" i="152"/>
  <c r="G153" i="152"/>
  <c r="G82" i="133"/>
  <c r="E93" i="133"/>
  <c r="G27" i="133"/>
  <c r="E61" i="133"/>
  <c r="G12" i="133"/>
  <c r="E21" i="133"/>
  <c r="G171" i="39"/>
  <c r="E174" i="97"/>
  <c r="G65" i="175"/>
  <c r="E79" i="175"/>
  <c r="G116" i="98"/>
  <c r="E119" i="98"/>
  <c r="M16" i="20"/>
  <c r="G187" i="14"/>
  <c r="E190" i="97"/>
  <c r="G174" i="14"/>
  <c r="E197" i="14"/>
  <c r="G96" i="20"/>
  <c r="E102" i="20"/>
  <c r="G44" i="20"/>
  <c r="G26" i="156"/>
  <c r="E61" i="156"/>
  <c r="C215" i="25"/>
  <c r="G40" i="84"/>
  <c r="G151" i="98"/>
  <c r="G91" i="165"/>
  <c r="G39" i="156"/>
  <c r="E111" i="133"/>
  <c r="G105" i="133"/>
  <c r="G70" i="83"/>
  <c r="E73" i="97"/>
  <c r="G131" i="98"/>
  <c r="G15" i="118"/>
  <c r="E18" i="97"/>
  <c r="D164" i="97"/>
  <c r="C105" i="97"/>
  <c r="C208" i="145"/>
  <c r="G235" i="32"/>
  <c r="K14" i="32"/>
  <c r="M18" i="174"/>
  <c r="G195" i="14"/>
  <c r="E198" i="97"/>
  <c r="G222" i="155"/>
  <c r="E228" i="155"/>
  <c r="G178" i="155"/>
  <c r="G146" i="155"/>
  <c r="G99" i="155"/>
  <c r="G45" i="155"/>
  <c r="G171" i="28"/>
  <c r="G44" i="64"/>
  <c r="G201" i="79"/>
  <c r="E206" i="79"/>
  <c r="G140" i="79"/>
  <c r="G123" i="79"/>
  <c r="E161" i="79"/>
  <c r="G178" i="152"/>
  <c r="G106" i="133"/>
  <c r="E61" i="39"/>
  <c r="G26" i="39"/>
  <c r="E29" i="97"/>
  <c r="G185" i="71"/>
  <c r="G155" i="175"/>
  <c r="G197" i="167"/>
  <c r="C208" i="165"/>
  <c r="G182" i="27"/>
  <c r="E185" i="97"/>
  <c r="G53" i="25"/>
  <c r="G173" i="28"/>
  <c r="G75" i="133"/>
  <c r="G34" i="133"/>
  <c r="G168" i="175"/>
  <c r="G46" i="47"/>
  <c r="G18" i="49"/>
  <c r="G159" i="98"/>
  <c r="G101" i="165"/>
  <c r="G185" i="27"/>
  <c r="G175" i="27"/>
  <c r="E197" i="20"/>
  <c r="G169" i="20"/>
  <c r="G131" i="133"/>
  <c r="M16" i="149"/>
  <c r="G34" i="20"/>
  <c r="G73" i="155"/>
  <c r="D208" i="155"/>
  <c r="G18" i="64"/>
  <c r="G71" i="133"/>
  <c r="E161" i="39"/>
  <c r="G125" i="39"/>
  <c r="G12" i="71"/>
  <c r="E21" i="71"/>
  <c r="G204" i="43"/>
  <c r="G184" i="14"/>
  <c r="G72" i="20"/>
  <c r="G41" i="20"/>
  <c r="G177" i="155"/>
  <c r="G53" i="71"/>
  <c r="E61" i="84"/>
  <c r="G33" i="84"/>
  <c r="G29" i="156"/>
  <c r="G38" i="133"/>
  <c r="E74" i="97"/>
  <c r="G71" i="113"/>
  <c r="G65" i="113"/>
  <c r="E68" i="97"/>
  <c r="D64" i="97"/>
  <c r="G188" i="113"/>
  <c r="E191" i="97"/>
  <c r="G87" i="113"/>
  <c r="E90" i="97"/>
  <c r="G166" i="113"/>
  <c r="E169" i="97"/>
  <c r="E197" i="113"/>
  <c r="G150" i="113"/>
  <c r="E153" i="97"/>
  <c r="G145" i="113"/>
  <c r="E148" i="97"/>
  <c r="G231" i="113"/>
  <c r="E235" i="113"/>
  <c r="E234" i="97"/>
  <c r="G200" i="113"/>
  <c r="E203" i="97"/>
  <c r="E206" i="113"/>
  <c r="G177" i="113"/>
  <c r="E180" i="97"/>
  <c r="E21" i="113"/>
  <c r="E17" i="97"/>
  <c r="G14" i="113"/>
  <c r="G54" i="113"/>
  <c r="E57" i="97"/>
  <c r="G52" i="113"/>
  <c r="E55" i="97"/>
  <c r="G101" i="113"/>
  <c r="E104" i="97"/>
  <c r="G99" i="113"/>
  <c r="E102" i="97"/>
  <c r="G27" i="113"/>
  <c r="E30" i="97"/>
  <c r="G170" i="113"/>
  <c r="E173" i="97"/>
  <c r="G153" i="113"/>
  <c r="E156" i="97"/>
  <c r="G39" i="113"/>
  <c r="E42" i="97"/>
  <c r="G34" i="113"/>
  <c r="E37" i="97"/>
  <c r="G183" i="113"/>
  <c r="E186" i="97"/>
  <c r="G86" i="113"/>
  <c r="E89" i="97"/>
  <c r="E80" i="97"/>
  <c r="G77" i="113"/>
  <c r="E70" i="97"/>
  <c r="G67" i="113"/>
  <c r="G46" i="113"/>
  <c r="E49" i="97"/>
  <c r="G25" i="113"/>
  <c r="E28" i="97"/>
  <c r="G19" i="113"/>
  <c r="E22" i="97"/>
  <c r="E187" i="97"/>
  <c r="G184" i="113"/>
  <c r="G159" i="113"/>
  <c r="E162" i="97"/>
  <c r="E159" i="97"/>
  <c r="G156" i="113"/>
  <c r="E145" i="97"/>
  <c r="G142" i="113"/>
  <c r="G135" i="113"/>
  <c r="E138" i="97"/>
  <c r="E33" i="97"/>
  <c r="G30" i="113"/>
  <c r="G225" i="113"/>
  <c r="E228" i="97"/>
  <c r="E228" i="113"/>
  <c r="G202" i="113"/>
  <c r="E205" i="97"/>
  <c r="G16" i="113"/>
  <c r="E19" i="97"/>
  <c r="E184" i="97"/>
  <c r="G181" i="113"/>
  <c r="G82" i="113"/>
  <c r="E85" i="97"/>
  <c r="G64" i="113"/>
  <c r="E67" i="97"/>
  <c r="E53" i="97"/>
  <c r="G50" i="113"/>
  <c r="G17" i="113"/>
  <c r="E20" i="97"/>
  <c r="G186" i="113"/>
  <c r="E189" i="97"/>
  <c r="E110" i="97"/>
  <c r="G107" i="113"/>
  <c r="G29" i="113"/>
  <c r="E32" i="97"/>
  <c r="E199" i="97"/>
  <c r="G196" i="113"/>
  <c r="G174" i="113"/>
  <c r="E177" i="97"/>
  <c r="G147" i="113"/>
  <c r="E150" i="97"/>
  <c r="E140" i="97"/>
  <c r="G137" i="113"/>
  <c r="G118" i="113"/>
  <c r="E119" i="113"/>
  <c r="E121" i="97"/>
  <c r="G41" i="113"/>
  <c r="E44" i="97"/>
  <c r="E39" i="97"/>
  <c r="G36" i="113"/>
  <c r="G43" i="113"/>
  <c r="E46" i="97"/>
  <c r="G146" i="113"/>
  <c r="E161" i="113"/>
  <c r="E149" i="97"/>
  <c r="F215" i="84"/>
  <c r="K14" i="10"/>
  <c r="E237" i="65"/>
  <c r="E237" i="118"/>
  <c r="K14" i="83"/>
  <c r="M15" i="157"/>
  <c r="G235" i="69"/>
  <c r="G237" i="69"/>
  <c r="E237" i="174"/>
  <c r="G235" i="47"/>
  <c r="K14" i="62"/>
  <c r="G235" i="142"/>
  <c r="M12" i="176"/>
  <c r="M18" i="149"/>
  <c r="M11" i="27"/>
  <c r="M14" i="25"/>
  <c r="M13" i="25"/>
  <c r="M19" i="32"/>
  <c r="G208" i="135"/>
  <c r="M14" i="45"/>
  <c r="D215" i="98"/>
  <c r="M19" i="176"/>
  <c r="M17" i="64"/>
  <c r="E236" i="106"/>
  <c r="E236" i="158"/>
  <c r="K14" i="106"/>
  <c r="M19" i="53"/>
  <c r="E237" i="1"/>
  <c r="M16" i="90"/>
  <c r="M13" i="92"/>
  <c r="M15" i="172"/>
  <c r="M12" i="156"/>
  <c r="M19" i="174"/>
  <c r="E237" i="83"/>
  <c r="E237" i="47"/>
  <c r="M18" i="24"/>
  <c r="E236" i="83"/>
  <c r="E238" i="83"/>
  <c r="E237" i="60"/>
  <c r="G235" i="60"/>
  <c r="M17" i="53"/>
  <c r="C212" i="157"/>
  <c r="E237" i="106"/>
  <c r="E237" i="165"/>
  <c r="M14" i="1"/>
  <c r="M16" i="86"/>
  <c r="G235" i="174"/>
  <c r="G237" i="174"/>
  <c r="K14" i="150"/>
  <c r="M11" i="83"/>
  <c r="M16" i="49"/>
  <c r="M11" i="104"/>
  <c r="M18" i="119"/>
  <c r="M13" i="172"/>
  <c r="M13" i="95"/>
  <c r="M14" i="143"/>
  <c r="M13" i="87"/>
  <c r="D215" i="164"/>
  <c r="M16" i="53"/>
  <c r="C212" i="94"/>
  <c r="K14" i="119"/>
  <c r="M18" i="118"/>
  <c r="E236" i="103"/>
  <c r="M11" i="174"/>
  <c r="K14" i="164"/>
  <c r="G235" i="158"/>
  <c r="K15" i="158"/>
  <c r="M14" i="142"/>
  <c r="M18" i="42"/>
  <c r="K14" i="54"/>
  <c r="K15" i="58"/>
  <c r="E237" i="150"/>
  <c r="K14" i="47"/>
  <c r="M14" i="174"/>
  <c r="E237" i="87"/>
  <c r="M14" i="86"/>
  <c r="M15" i="119"/>
  <c r="E237" i="158"/>
  <c r="G235" i="54"/>
  <c r="K15" i="54"/>
  <c r="K14" i="69"/>
  <c r="M18" i="65"/>
  <c r="M16" i="175"/>
  <c r="K14" i="58"/>
  <c r="G235" i="50"/>
  <c r="K14" i="50"/>
  <c r="G235" i="55"/>
  <c r="E236" i="55"/>
  <c r="E238" i="55"/>
  <c r="G111" i="143"/>
  <c r="M12" i="177"/>
  <c r="M19" i="14"/>
  <c r="M13" i="28"/>
  <c r="M18" i="92"/>
  <c r="M13" i="27"/>
  <c r="M12" i="157"/>
  <c r="E237" i="95"/>
  <c r="M13" i="1"/>
  <c r="G102" i="32"/>
  <c r="M13" i="53"/>
  <c r="G235" i="95"/>
  <c r="G237" i="95"/>
  <c r="K14" i="95"/>
  <c r="K14" i="86"/>
  <c r="G111" i="92"/>
  <c r="M11" i="106"/>
  <c r="M13" i="103"/>
  <c r="M12" i="43"/>
  <c r="M13" i="143"/>
  <c r="M13" i="42"/>
  <c r="M15" i="83"/>
  <c r="M14" i="141"/>
  <c r="D215" i="10"/>
  <c r="M16" i="164"/>
  <c r="M13" i="47"/>
  <c r="C212" i="89"/>
  <c r="M11" i="14"/>
  <c r="K14" i="120"/>
  <c r="M18" i="176"/>
  <c r="E237" i="16"/>
  <c r="M14" i="176"/>
  <c r="M18" i="55"/>
  <c r="M17" i="25"/>
  <c r="C212" i="174"/>
  <c r="C212" i="158"/>
  <c r="M14" i="133"/>
  <c r="M14" i="164"/>
  <c r="M13" i="118"/>
  <c r="C212" i="46"/>
  <c r="M17" i="156"/>
  <c r="E237" i="31"/>
  <c r="M19" i="60"/>
  <c r="E237" i="84"/>
  <c r="G111" i="176"/>
  <c r="G102" i="176"/>
  <c r="E236" i="164"/>
  <c r="M16" i="38"/>
  <c r="E236" i="94"/>
  <c r="K15" i="156"/>
  <c r="M15" i="14"/>
  <c r="M18" i="172"/>
  <c r="K14" i="68"/>
  <c r="M18" i="142"/>
  <c r="G206" i="24"/>
  <c r="M14" i="55"/>
  <c r="M16" i="133"/>
  <c r="M17" i="94"/>
  <c r="G206" i="95"/>
  <c r="M15" i="94"/>
  <c r="M12" i="38"/>
  <c r="G119" i="65"/>
  <c r="G111" i="165"/>
  <c r="M12" i="141"/>
  <c r="M17" i="87"/>
  <c r="E237" i="62"/>
  <c r="G102" i="27"/>
  <c r="G119" i="16"/>
  <c r="G228" i="32"/>
  <c r="M97" i="32"/>
  <c r="M18" i="152"/>
  <c r="M17" i="84"/>
  <c r="G235" i="152"/>
  <c r="M14" i="104"/>
  <c r="D215" i="83"/>
  <c r="M19" i="42"/>
  <c r="E237" i="54"/>
  <c r="M19" i="149"/>
  <c r="M12" i="83"/>
  <c r="M17" i="152"/>
  <c r="G111" i="172"/>
  <c r="G235" i="45"/>
  <c r="G237" i="45"/>
  <c r="K14" i="45"/>
  <c r="M13" i="84"/>
  <c r="C215" i="89"/>
  <c r="K14" i="152"/>
  <c r="G228" i="14"/>
  <c r="M17" i="119"/>
  <c r="M15" i="104"/>
  <c r="M14" i="92"/>
  <c r="M14" i="94"/>
  <c r="E236" i="90"/>
  <c r="M14" i="172"/>
  <c r="K14" i="31"/>
  <c r="G235" i="31"/>
  <c r="G237" i="31"/>
  <c r="G228" i="174"/>
  <c r="M40" i="174"/>
  <c r="G102" i="104"/>
  <c r="M16" i="32"/>
  <c r="C215" i="92"/>
  <c r="M19" i="27"/>
  <c r="M14" i="10"/>
  <c r="G79" i="164"/>
  <c r="C215" i="164"/>
  <c r="M17" i="103"/>
  <c r="M18" i="98"/>
  <c r="G93" i="172"/>
  <c r="M15" i="177"/>
  <c r="M14" i="50"/>
  <c r="K14" i="49"/>
  <c r="G235" i="49"/>
  <c r="K15" i="49"/>
  <c r="M11" i="155"/>
  <c r="M12" i="152"/>
  <c r="M12" i="55"/>
  <c r="M11" i="32"/>
  <c r="M11" i="176"/>
  <c r="M16" i="174"/>
  <c r="M15" i="155"/>
  <c r="E236" i="50"/>
  <c r="E238" i="50"/>
  <c r="C212" i="164"/>
  <c r="M16" i="98"/>
  <c r="M17" i="37"/>
  <c r="M17" i="142"/>
  <c r="M18" i="16"/>
  <c r="M16" i="158"/>
  <c r="C215" i="106"/>
  <c r="M18" i="32"/>
  <c r="M11" i="68"/>
  <c r="E236" i="133"/>
  <c r="C212" i="15"/>
  <c r="G228" i="94"/>
  <c r="M200" i="94"/>
  <c r="M14" i="175"/>
  <c r="M12" i="106"/>
  <c r="M16" i="65"/>
  <c r="M12" i="42"/>
  <c r="M17" i="31"/>
  <c r="M13" i="16"/>
  <c r="C215" i="69"/>
  <c r="M17" i="118"/>
  <c r="M17" i="98"/>
  <c r="G237" i="133"/>
  <c r="D215" i="141"/>
  <c r="D215" i="95"/>
  <c r="G102" i="175"/>
  <c r="G237" i="50"/>
  <c r="G228" i="53"/>
  <c r="M99" i="53"/>
  <c r="E237" i="141"/>
  <c r="C212" i="65"/>
  <c r="E236" i="145"/>
  <c r="M11" i="69"/>
  <c r="G235" i="42"/>
  <c r="M13" i="14"/>
  <c r="M19" i="86"/>
  <c r="M18" i="104"/>
  <c r="M11" i="150"/>
  <c r="M11" i="65"/>
  <c r="G237" i="46"/>
  <c r="E237" i="104"/>
  <c r="C212" i="90"/>
  <c r="E236" i="69"/>
  <c r="M18" i="39"/>
  <c r="M16" i="10"/>
  <c r="M17" i="157"/>
  <c r="G21" i="174"/>
  <c r="H19" i="174"/>
  <c r="M19" i="155"/>
  <c r="G228" i="87"/>
  <c r="M137" i="87"/>
  <c r="E237" i="133"/>
  <c r="M15" i="90"/>
  <c r="M14" i="119"/>
  <c r="G206" i="156"/>
  <c r="E237" i="28"/>
  <c r="M14" i="103"/>
  <c r="D215" i="46"/>
  <c r="C212" i="60"/>
  <c r="M19" i="58"/>
  <c r="M17" i="1"/>
  <c r="M19" i="152"/>
  <c r="E237" i="15"/>
  <c r="M13" i="119"/>
  <c r="E237" i="32"/>
  <c r="M11" i="71"/>
  <c r="C215" i="172"/>
  <c r="M14" i="69"/>
  <c r="M14" i="89"/>
  <c r="M12" i="24"/>
  <c r="M13" i="164"/>
  <c r="E236" i="60"/>
  <c r="M16" i="84"/>
  <c r="C215" i="98"/>
  <c r="C212" i="69"/>
  <c r="M15" i="65"/>
  <c r="M14" i="16"/>
  <c r="E236" i="24"/>
  <c r="M17" i="24"/>
  <c r="G119" i="150"/>
  <c r="M18" i="155"/>
  <c r="M11" i="28"/>
  <c r="G228" i="24"/>
  <c r="M35" i="24"/>
  <c r="D215" i="172"/>
  <c r="M19" i="157"/>
  <c r="M11" i="55"/>
  <c r="M15" i="150"/>
  <c r="G21" i="172"/>
  <c r="M13" i="15"/>
  <c r="C215" i="157"/>
  <c r="M17" i="165"/>
  <c r="G206" i="60"/>
  <c r="G237" i="1"/>
  <c r="M16" i="172"/>
  <c r="M19" i="150"/>
  <c r="K14" i="103"/>
  <c r="G235" i="103"/>
  <c r="M19" i="49"/>
  <c r="K15" i="133"/>
  <c r="E236" i="87"/>
  <c r="G111" i="15"/>
  <c r="C212" i="53"/>
  <c r="C215" i="174"/>
  <c r="G119" i="54"/>
  <c r="M17" i="32"/>
  <c r="E236" i="1"/>
  <c r="E237" i="119"/>
  <c r="D215" i="54"/>
  <c r="E236" i="42"/>
  <c r="C215" i="158"/>
  <c r="M12" i="90"/>
  <c r="M19" i="46"/>
  <c r="G206" i="85"/>
  <c r="M12" i="174"/>
  <c r="M13" i="31"/>
  <c r="M11" i="113"/>
  <c r="M18" i="46"/>
  <c r="C215" i="10"/>
  <c r="E236" i="32"/>
  <c r="M16" i="60"/>
  <c r="E237" i="66"/>
  <c r="G102" i="25"/>
  <c r="M12" i="142"/>
  <c r="M13" i="60"/>
  <c r="M15" i="39"/>
  <c r="M12" i="53"/>
  <c r="D215" i="87"/>
  <c r="M11" i="19"/>
  <c r="M12" i="119"/>
  <c r="M15" i="149"/>
  <c r="G119" i="164"/>
  <c r="M13" i="71"/>
  <c r="E236" i="62"/>
  <c r="G235" i="25"/>
  <c r="K15" i="25"/>
  <c r="E237" i="103"/>
  <c r="M12" i="145"/>
  <c r="M16" i="62"/>
  <c r="M19" i="175"/>
  <c r="G111" i="16"/>
  <c r="C212" i="54"/>
  <c r="M12" i="64"/>
  <c r="M11" i="94"/>
  <c r="E236" i="15"/>
  <c r="E236" i="142"/>
  <c r="E236" i="175"/>
  <c r="H12" i="167"/>
  <c r="G119" i="89"/>
  <c r="M16" i="68"/>
  <c r="G235" i="119"/>
  <c r="G237" i="119"/>
  <c r="M11" i="86"/>
  <c r="M16" i="55"/>
  <c r="M18" i="83"/>
  <c r="G93" i="155"/>
  <c r="H11" i="167"/>
  <c r="M17" i="14"/>
  <c r="G235" i="141"/>
  <c r="K14" i="141"/>
  <c r="M18" i="10"/>
  <c r="K14" i="65"/>
  <c r="G111" i="158"/>
  <c r="H19" i="167"/>
  <c r="G102" i="15"/>
  <c r="E237" i="71"/>
  <c r="M15" i="164"/>
  <c r="G21" i="142"/>
  <c r="H12" i="142"/>
  <c r="M17" i="175"/>
  <c r="M18" i="133"/>
  <c r="D215" i="53"/>
  <c r="M11" i="158"/>
  <c r="G197" i="174"/>
  <c r="M11" i="1"/>
  <c r="H18" i="167"/>
  <c r="E237" i="175"/>
  <c r="D215" i="16"/>
  <c r="G237" i="157"/>
  <c r="M14" i="158"/>
  <c r="G228" i="10"/>
  <c r="M67" i="10"/>
  <c r="K14" i="71"/>
  <c r="G235" i="71"/>
  <c r="M15" i="54"/>
  <c r="D215" i="47"/>
  <c r="M17" i="89"/>
  <c r="M19" i="39"/>
  <c r="G93" i="104"/>
  <c r="G206" i="94"/>
  <c r="M206" i="94"/>
  <c r="G119" i="50"/>
  <c r="E237" i="49"/>
  <c r="G93" i="174"/>
  <c r="M19" i="16"/>
  <c r="M11" i="143"/>
  <c r="M12" i="95"/>
  <c r="M14" i="152"/>
  <c r="G228" i="25"/>
  <c r="M68" i="25"/>
  <c r="D215" i="92"/>
  <c r="G237" i="64"/>
  <c r="G237" i="143"/>
  <c r="K15" i="16"/>
  <c r="H14" i="167"/>
  <c r="G102" i="152"/>
  <c r="M15" i="87"/>
  <c r="M15" i="106"/>
  <c r="G206" i="54"/>
  <c r="M15" i="158"/>
  <c r="G119" i="42"/>
  <c r="M16" i="39"/>
  <c r="M11" i="157"/>
  <c r="M14" i="177"/>
  <c r="M13" i="177"/>
  <c r="M19" i="177"/>
  <c r="M13" i="175"/>
  <c r="M11" i="60"/>
  <c r="C215" i="156"/>
  <c r="M13" i="157"/>
  <c r="G111" i="86"/>
  <c r="M17" i="46"/>
  <c r="M15" i="19"/>
  <c r="K15" i="175"/>
  <c r="G21" i="175"/>
  <c r="H13" i="175"/>
  <c r="G111" i="49"/>
  <c r="G111" i="174"/>
  <c r="M11" i="92"/>
  <c r="D215" i="15"/>
  <c r="M15" i="42"/>
  <c r="M12" i="87"/>
  <c r="M12" i="1"/>
  <c r="E237" i="25"/>
  <c r="M14" i="90"/>
  <c r="M19" i="164"/>
  <c r="M13" i="24"/>
  <c r="G111" i="69"/>
  <c r="G228" i="42"/>
  <c r="M40" i="42"/>
  <c r="G102" i="103"/>
  <c r="G79" i="172"/>
  <c r="M17" i="104"/>
  <c r="M17" i="42"/>
  <c r="M17" i="50"/>
  <c r="E236" i="39"/>
  <c r="M15" i="142"/>
  <c r="G228" i="98"/>
  <c r="M67" i="98"/>
  <c r="M18" i="89"/>
  <c r="E236" i="89"/>
  <c r="M19" i="55"/>
  <c r="G228" i="158"/>
  <c r="H227" i="158"/>
  <c r="K15" i="24"/>
  <c r="G237" i="24"/>
  <c r="G102" i="174"/>
  <c r="G102" i="172"/>
  <c r="M15" i="43"/>
  <c r="G119" i="84"/>
  <c r="C215" i="86"/>
  <c r="G228" i="38"/>
  <c r="M25" i="38"/>
  <c r="E236" i="157"/>
  <c r="E236" i="177"/>
  <c r="C212" i="119"/>
  <c r="G119" i="53"/>
  <c r="G228" i="50"/>
  <c r="M160" i="50"/>
  <c r="G111" i="42"/>
  <c r="G228" i="89"/>
  <c r="M74" i="89"/>
  <c r="M11" i="152"/>
  <c r="G93" i="141"/>
  <c r="M16" i="95"/>
  <c r="E236" i="95"/>
  <c r="G21" i="68"/>
  <c r="H11" i="68"/>
  <c r="G21" i="87"/>
  <c r="H18" i="87"/>
  <c r="G102" i="14"/>
  <c r="E236" i="14"/>
  <c r="M11" i="145"/>
  <c r="M15" i="92"/>
  <c r="G21" i="42"/>
  <c r="K14" i="104"/>
  <c r="C215" i="119"/>
  <c r="G111" i="149"/>
  <c r="G228" i="60"/>
  <c r="H220" i="60"/>
  <c r="G61" i="152"/>
  <c r="G235" i="104"/>
  <c r="M13" i="155"/>
  <c r="M13" i="165"/>
  <c r="M15" i="152"/>
  <c r="G93" i="149"/>
  <c r="M14" i="37"/>
  <c r="G119" i="24"/>
  <c r="E236" i="84"/>
  <c r="E238" i="84"/>
  <c r="G206" i="157"/>
  <c r="C212" i="63"/>
  <c r="G228" i="47"/>
  <c r="M194" i="47"/>
  <c r="M18" i="157"/>
  <c r="D215" i="142"/>
  <c r="G237" i="156"/>
  <c r="M15" i="133"/>
  <c r="M11" i="24"/>
  <c r="M18" i="156"/>
  <c r="M15" i="47"/>
  <c r="D215" i="152"/>
  <c r="G228" i="150"/>
  <c r="M191" i="150"/>
  <c r="G197" i="164"/>
  <c r="G61" i="86"/>
  <c r="G111" i="66"/>
  <c r="G206" i="90"/>
  <c r="M16" i="28"/>
  <c r="M14" i="54"/>
  <c r="G228" i="106"/>
  <c r="E237" i="157"/>
  <c r="M15" i="175"/>
  <c r="M16" i="47"/>
  <c r="G119" i="27"/>
  <c r="G235" i="66"/>
  <c r="G237" i="66"/>
  <c r="K14" i="66"/>
  <c r="E236" i="65"/>
  <c r="G93" i="10"/>
  <c r="M15" i="38"/>
  <c r="G228" i="63"/>
  <c r="M75" i="63"/>
  <c r="G206" i="83"/>
  <c r="G93" i="32"/>
  <c r="D215" i="176"/>
  <c r="G206" i="16"/>
  <c r="G119" i="69"/>
  <c r="M17" i="164"/>
  <c r="G111" i="54"/>
  <c r="G228" i="86"/>
  <c r="M18" i="45"/>
  <c r="M16" i="54"/>
  <c r="G235" i="90"/>
  <c r="K14" i="90"/>
  <c r="M11" i="49"/>
  <c r="D215" i="42"/>
  <c r="G228" i="145"/>
  <c r="M53" i="145"/>
  <c r="C215" i="87"/>
  <c r="E208" i="149"/>
  <c r="D215" i="32"/>
  <c r="E236" i="25"/>
  <c r="M16" i="42"/>
  <c r="M17" i="158"/>
  <c r="G21" i="155"/>
  <c r="K11" i="155"/>
  <c r="M16" i="106"/>
  <c r="G206" i="164"/>
  <c r="E237" i="90"/>
  <c r="M18" i="28"/>
  <c r="G79" i="42"/>
  <c r="G21" i="152"/>
  <c r="H18" i="152"/>
  <c r="G119" i="15"/>
  <c r="C212" i="143"/>
  <c r="G93" i="89"/>
  <c r="M12" i="68"/>
  <c r="G119" i="66"/>
  <c r="C212" i="150"/>
  <c r="M12" i="155"/>
  <c r="G21" i="157"/>
  <c r="H12" i="157"/>
  <c r="M12" i="165"/>
  <c r="G237" i="165"/>
  <c r="K15" i="1"/>
  <c r="M19" i="145"/>
  <c r="M18" i="145"/>
  <c r="G79" i="55"/>
  <c r="G206" i="38"/>
  <c r="G79" i="25"/>
  <c r="M18" i="71"/>
  <c r="G228" i="133"/>
  <c r="M196" i="133"/>
  <c r="C215" i="155"/>
  <c r="G93" i="65"/>
  <c r="E236" i="152"/>
  <c r="G21" i="60"/>
  <c r="H14" i="60"/>
  <c r="G161" i="42"/>
  <c r="G102" i="164"/>
  <c r="M19" i="158"/>
  <c r="G228" i="28"/>
  <c r="M68" i="28"/>
  <c r="G228" i="39"/>
  <c r="M28" i="39"/>
  <c r="M11" i="142"/>
  <c r="M16" i="142"/>
  <c r="E208" i="113"/>
  <c r="M19" i="1"/>
  <c r="M15" i="95"/>
  <c r="M11" i="87"/>
  <c r="M19" i="89"/>
  <c r="M16" i="103"/>
  <c r="M16" i="64"/>
  <c r="G161" i="69"/>
  <c r="G119" i="92"/>
  <c r="G206" i="84"/>
  <c r="G102" i="141"/>
  <c r="M18" i="43"/>
  <c r="C212" i="47"/>
  <c r="G102" i="87"/>
  <c r="G21" i="86"/>
  <c r="K11" i="86"/>
  <c r="M13" i="98"/>
  <c r="G206" i="165"/>
  <c r="G21" i="158"/>
  <c r="H13" i="158"/>
  <c r="E236" i="16"/>
  <c r="G93" i="27"/>
  <c r="E236" i="102"/>
  <c r="G93" i="94"/>
  <c r="M93" i="94"/>
  <c r="M17" i="83"/>
  <c r="M16" i="157"/>
  <c r="M12" i="143"/>
  <c r="M14" i="24"/>
  <c r="K14" i="64"/>
  <c r="M15" i="69"/>
  <c r="M19" i="143"/>
  <c r="E208" i="177"/>
  <c r="M17" i="39"/>
  <c r="M16" i="165"/>
  <c r="G228" i="103"/>
  <c r="M52" i="103"/>
  <c r="M13" i="49"/>
  <c r="G228" i="157"/>
  <c r="M178" i="157"/>
  <c r="G79" i="28"/>
  <c r="G228" i="83"/>
  <c r="M43" i="83"/>
  <c r="M15" i="28"/>
  <c r="G206" i="174"/>
  <c r="G206" i="177"/>
  <c r="M12" i="69"/>
  <c r="M171" i="79"/>
  <c r="M19" i="92"/>
  <c r="G93" i="25"/>
  <c r="C212" i="95"/>
  <c r="G102" i="64"/>
  <c r="M11" i="89"/>
  <c r="M19" i="87"/>
  <c r="M16" i="31"/>
  <c r="E237" i="64"/>
  <c r="G228" i="120"/>
  <c r="M156" i="120"/>
  <c r="E236" i="28"/>
  <c r="M11" i="43"/>
  <c r="G61" i="113"/>
  <c r="G93" i="85"/>
  <c r="G228" i="165"/>
  <c r="M88" i="165"/>
  <c r="E236" i="46"/>
  <c r="M15" i="16"/>
  <c r="D215" i="68"/>
  <c r="C212" i="58"/>
  <c r="G111" i="94"/>
  <c r="M19" i="103"/>
  <c r="G237" i="84"/>
  <c r="M16" i="177"/>
  <c r="M18" i="60"/>
  <c r="K15" i="150"/>
  <c r="G102" i="53"/>
  <c r="M18" i="86"/>
  <c r="G228" i="69"/>
  <c r="M85" i="69"/>
  <c r="M14" i="43"/>
  <c r="M13" i="39"/>
  <c r="M12" i="14"/>
  <c r="G237" i="16"/>
  <c r="M12" i="10"/>
  <c r="M17" i="86"/>
  <c r="M18" i="53"/>
  <c r="G102" i="158"/>
  <c r="G102" i="65"/>
  <c r="G197" i="47"/>
  <c r="G228" i="16"/>
  <c r="M166" i="16"/>
  <c r="G237" i="142"/>
  <c r="G102" i="92"/>
  <c r="D215" i="65"/>
  <c r="G21" i="69"/>
  <c r="C215" i="142"/>
  <c r="M11" i="133"/>
  <c r="M18" i="143"/>
  <c r="G228" i="142"/>
  <c r="M179" i="142"/>
  <c r="G111" i="65"/>
  <c r="G206" i="87"/>
  <c r="M15" i="1"/>
  <c r="M13" i="158"/>
  <c r="G119" i="113"/>
  <c r="G161" i="113"/>
  <c r="G206" i="113"/>
  <c r="G102" i="113"/>
  <c r="G197" i="113"/>
  <c r="G93" i="113"/>
  <c r="G79" i="113"/>
  <c r="M18" i="113"/>
  <c r="G102" i="24"/>
  <c r="K15" i="159"/>
  <c r="G237" i="159"/>
  <c r="G235" i="94"/>
  <c r="G236" i="94"/>
  <c r="K14" i="94"/>
  <c r="H177" i="135"/>
  <c r="H101" i="135"/>
  <c r="H32" i="135"/>
  <c r="H148" i="135"/>
  <c r="H68" i="135"/>
  <c r="H183" i="135"/>
  <c r="H108" i="135"/>
  <c r="H38" i="135"/>
  <c r="H155" i="135"/>
  <c r="H74" i="135"/>
  <c r="H189" i="135"/>
  <c r="H115" i="135"/>
  <c r="H44" i="135"/>
  <c r="H164" i="135"/>
  <c r="H79" i="135"/>
  <c r="H187" i="135"/>
  <c r="H111" i="135"/>
  <c r="H42" i="135"/>
  <c r="H159" i="135"/>
  <c r="H78" i="135"/>
  <c r="H169" i="135"/>
  <c r="H92" i="135"/>
  <c r="H208" i="135"/>
  <c r="H138" i="135"/>
  <c r="H57" i="135"/>
  <c r="H175" i="135"/>
  <c r="H99" i="135"/>
  <c r="H30" i="135"/>
  <c r="H146" i="135"/>
  <c r="H66" i="135"/>
  <c r="H181" i="135"/>
  <c r="H106" i="135"/>
  <c r="H36" i="135"/>
  <c r="H152" i="135"/>
  <c r="H72" i="135"/>
  <c r="H179" i="135"/>
  <c r="H102" i="135"/>
  <c r="H34" i="135"/>
  <c r="H150" i="135"/>
  <c r="H70" i="135"/>
  <c r="H160" i="135"/>
  <c r="H84" i="135"/>
  <c r="H201" i="135"/>
  <c r="H129" i="135"/>
  <c r="H49" i="135"/>
  <c r="H167" i="135"/>
  <c r="H90" i="135"/>
  <c r="H206" i="135"/>
  <c r="H136" i="135"/>
  <c r="H55" i="135"/>
  <c r="H173" i="135"/>
  <c r="H97" i="135"/>
  <c r="H28" i="135"/>
  <c r="H143" i="135"/>
  <c r="H64" i="135"/>
  <c r="H171" i="135"/>
  <c r="H93" i="135"/>
  <c r="H26" i="135"/>
  <c r="H141" i="135"/>
  <c r="H59" i="135"/>
  <c r="H204" i="135"/>
  <c r="H132" i="135"/>
  <c r="H56" i="135"/>
  <c r="H176" i="135"/>
  <c r="H96" i="135"/>
  <c r="H25" i="135"/>
  <c r="H140" i="135"/>
  <c r="H61" i="135"/>
  <c r="H182" i="135"/>
  <c r="H105" i="135"/>
  <c r="H31" i="135"/>
  <c r="H147" i="135"/>
  <c r="H69" i="135"/>
  <c r="H188" i="135"/>
  <c r="H114" i="135"/>
  <c r="H37" i="135"/>
  <c r="H145" i="135"/>
  <c r="H67" i="135"/>
  <c r="H186" i="135"/>
  <c r="H109" i="135"/>
  <c r="H35" i="135"/>
  <c r="H151" i="135"/>
  <c r="H192" i="135"/>
  <c r="H41" i="135"/>
  <c r="H82" i="135"/>
  <c r="H126" i="135"/>
  <c r="H165" i="135"/>
  <c r="H205" i="135"/>
  <c r="H53" i="135"/>
  <c r="H86" i="135"/>
  <c r="H131" i="135"/>
  <c r="H142" i="135"/>
  <c r="H184" i="135"/>
  <c r="H33" i="135"/>
  <c r="H71" i="135"/>
  <c r="H116" i="135"/>
  <c r="H156" i="135"/>
  <c r="H196" i="135"/>
  <c r="H45" i="135"/>
  <c r="H75" i="135"/>
  <c r="H119" i="135"/>
  <c r="H123" i="135"/>
  <c r="H168" i="135"/>
  <c r="H202" i="135"/>
  <c r="H54" i="135"/>
  <c r="H91" i="135"/>
  <c r="H137" i="135"/>
  <c r="H180" i="135"/>
  <c r="H29" i="135"/>
  <c r="H58" i="135"/>
  <c r="H98" i="135"/>
  <c r="H65" i="135"/>
  <c r="H107" i="135"/>
  <c r="H149" i="135"/>
  <c r="H190" i="135"/>
  <c r="H39" i="135"/>
  <c r="H77" i="135"/>
  <c r="H124" i="135"/>
  <c r="H153" i="135"/>
  <c r="H194" i="135"/>
  <c r="H43" i="135"/>
  <c r="H110" i="135"/>
  <c r="H191" i="135"/>
  <c r="H83" i="135"/>
  <c r="H172" i="135"/>
  <c r="H50" i="135"/>
  <c r="H73" i="135"/>
  <c r="H158" i="135"/>
  <c r="H47" i="135"/>
  <c r="H133" i="135"/>
  <c r="H203" i="135"/>
  <c r="H157" i="135"/>
  <c r="H46" i="135"/>
  <c r="H127" i="135"/>
  <c r="H195" i="135"/>
  <c r="H87" i="135"/>
  <c r="M208" i="135"/>
  <c r="H118" i="135"/>
  <c r="H197" i="135"/>
  <c r="H88" i="135"/>
  <c r="H161" i="135"/>
  <c r="H51" i="135"/>
  <c r="H117" i="135"/>
  <c r="H89" i="135"/>
  <c r="H193" i="135"/>
  <c r="H174" i="135"/>
  <c r="H135" i="135"/>
  <c r="H185" i="135"/>
  <c r="H166" i="135"/>
  <c r="H125" i="135"/>
  <c r="H85" i="135"/>
  <c r="H60" i="135"/>
  <c r="H27" i="135"/>
  <c r="H200" i="135"/>
  <c r="H52" i="135"/>
  <c r="H48" i="135"/>
  <c r="H100" i="135"/>
  <c r="H178" i="135"/>
  <c r="H76" i="135"/>
  <c r="H130" i="135"/>
  <c r="K12" i="135"/>
  <c r="H170" i="135"/>
  <c r="H40" i="135"/>
  <c r="M12" i="47"/>
  <c r="M88" i="57"/>
  <c r="M84" i="57"/>
  <c r="M53" i="57"/>
  <c r="M66" i="57"/>
  <c r="M176" i="57"/>
  <c r="K13" i="57"/>
  <c r="H219" i="57"/>
  <c r="M39" i="57"/>
  <c r="M98" i="57"/>
  <c r="G236" i="57"/>
  <c r="M148" i="57"/>
  <c r="M188" i="57"/>
  <c r="M158" i="57"/>
  <c r="M59" i="57"/>
  <c r="M92" i="57"/>
  <c r="M189" i="57"/>
  <c r="M75" i="57"/>
  <c r="H220" i="57"/>
  <c r="M32" i="57"/>
  <c r="M164" i="57"/>
  <c r="M35" i="57"/>
  <c r="M114" i="57"/>
  <c r="M138" i="57"/>
  <c r="M74" i="57"/>
  <c r="M195" i="57"/>
  <c r="M90" i="57"/>
  <c r="M124" i="57"/>
  <c r="M175" i="57"/>
  <c r="M70" i="57"/>
  <c r="M185" i="57"/>
  <c r="H227" i="57"/>
  <c r="M100" i="57"/>
  <c r="M205" i="57"/>
  <c r="M200" i="57"/>
  <c r="M31" i="57"/>
  <c r="M202" i="57"/>
  <c r="M130" i="57"/>
  <c r="M177" i="57"/>
  <c r="M145" i="57"/>
  <c r="M91" i="57"/>
  <c r="M165" i="57"/>
  <c r="M49" i="57"/>
  <c r="M157" i="57"/>
  <c r="M146" i="57"/>
  <c r="M72" i="57"/>
  <c r="M143" i="57"/>
  <c r="M141" i="57"/>
  <c r="M73" i="57"/>
  <c r="M86" i="57"/>
  <c r="M107" i="57"/>
  <c r="H224" i="57"/>
  <c r="M29" i="57"/>
  <c r="M201" i="57"/>
  <c r="M206" i="57"/>
  <c r="M167" i="57"/>
  <c r="M196" i="57"/>
  <c r="M77" i="57"/>
  <c r="M125" i="57"/>
  <c r="M45" i="57"/>
  <c r="M150" i="57"/>
  <c r="H225" i="57"/>
  <c r="M116" i="57"/>
  <c r="M203" i="57"/>
  <c r="M129" i="57"/>
  <c r="M76" i="57"/>
  <c r="M55" i="57"/>
  <c r="M83" i="57"/>
  <c r="M57" i="57"/>
  <c r="H226" i="57"/>
  <c r="M37" i="57"/>
  <c r="M183" i="57"/>
  <c r="M160" i="57"/>
  <c r="M97" i="57"/>
  <c r="M127" i="57"/>
  <c r="M151" i="57"/>
  <c r="M85" i="57"/>
  <c r="M135" i="57"/>
  <c r="M110" i="57"/>
  <c r="H228" i="57"/>
  <c r="M115" i="57"/>
  <c r="M171" i="57"/>
  <c r="M136" i="57"/>
  <c r="M147" i="57"/>
  <c r="M109" i="57"/>
  <c r="H221" i="57"/>
  <c r="M96" i="57"/>
  <c r="M108" i="57"/>
  <c r="M71" i="57"/>
  <c r="M169" i="57"/>
  <c r="M156" i="57"/>
  <c r="M58" i="57"/>
  <c r="M152" i="57"/>
  <c r="M153" i="57"/>
  <c r="M193" i="57"/>
  <c r="M28" i="57"/>
  <c r="M179" i="57"/>
  <c r="M172" i="57"/>
  <c r="M180" i="57"/>
  <c r="M87" i="57"/>
  <c r="H222" i="57"/>
  <c r="M40" i="57"/>
  <c r="M52" i="57"/>
  <c r="M133" i="57"/>
  <c r="M168" i="57"/>
  <c r="H223" i="57"/>
  <c r="M36" i="57"/>
  <c r="M140" i="57"/>
  <c r="M48" i="57"/>
  <c r="M166" i="57"/>
  <c r="M181" i="57"/>
  <c r="M25" i="57"/>
  <c r="M99" i="57"/>
  <c r="M26" i="57"/>
  <c r="M51" i="57"/>
  <c r="M182" i="57"/>
  <c r="M204" i="57"/>
  <c r="M186" i="57"/>
  <c r="M117" i="57"/>
  <c r="M68" i="57"/>
  <c r="M184" i="57"/>
  <c r="M43" i="57"/>
  <c r="M192" i="57"/>
  <c r="M190" i="57"/>
  <c r="M27" i="57"/>
  <c r="M178" i="57"/>
  <c r="M149" i="57"/>
  <c r="M101" i="57"/>
  <c r="M41" i="57"/>
  <c r="M33" i="57"/>
  <c r="M106" i="57"/>
  <c r="M118" i="57"/>
  <c r="M174" i="57"/>
  <c r="M64" i="57"/>
  <c r="M191" i="57"/>
  <c r="M170" i="57"/>
  <c r="M78" i="57"/>
  <c r="M155" i="57"/>
  <c r="M131" i="57"/>
  <c r="M159" i="57"/>
  <c r="M89" i="57"/>
  <c r="M82" i="57"/>
  <c r="M194" i="57"/>
  <c r="M67" i="57"/>
  <c r="M137" i="57"/>
  <c r="M105" i="57"/>
  <c r="M187" i="57"/>
  <c r="M44" i="57"/>
  <c r="M126" i="57"/>
  <c r="M123" i="57"/>
  <c r="M173" i="57"/>
  <c r="M34" i="57"/>
  <c r="M197" i="57"/>
  <c r="M142" i="57"/>
  <c r="M60" i="57"/>
  <c r="M47" i="57"/>
  <c r="M79" i="57"/>
  <c r="M132" i="57"/>
  <c r="M69" i="57"/>
  <c r="M42" i="57"/>
  <c r="M38" i="57"/>
  <c r="M56" i="57"/>
  <c r="M50" i="57"/>
  <c r="M65" i="57"/>
  <c r="M102" i="136"/>
  <c r="G93" i="28"/>
  <c r="G161" i="55"/>
  <c r="G119" i="83"/>
  <c r="G102" i="60"/>
  <c r="G93" i="16"/>
  <c r="G93" i="120"/>
  <c r="G102" i="66"/>
  <c r="C212" i="43"/>
  <c r="E236" i="64"/>
  <c r="G79" i="174"/>
  <c r="M17" i="106"/>
  <c r="G79" i="94"/>
  <c r="G111" i="63"/>
  <c r="G119" i="94"/>
  <c r="G228" i="156"/>
  <c r="H227" i="156"/>
  <c r="E208" i="172"/>
  <c r="E236" i="43"/>
  <c r="E208" i="16"/>
  <c r="E215" i="16"/>
  <c r="M206" i="136"/>
  <c r="G111" i="45"/>
  <c r="M16" i="45"/>
  <c r="H12" i="135"/>
  <c r="H11" i="135"/>
  <c r="H20" i="135"/>
  <c r="H15" i="135"/>
  <c r="H17" i="135"/>
  <c r="K11" i="135"/>
  <c r="H16" i="135"/>
  <c r="H21" i="135"/>
  <c r="H14" i="135"/>
  <c r="M21" i="135"/>
  <c r="H19" i="135"/>
  <c r="G215" i="135"/>
  <c r="H13" i="135"/>
  <c r="H18" i="135"/>
  <c r="E237" i="94"/>
  <c r="G206" i="45"/>
  <c r="G197" i="45"/>
  <c r="G238" i="135"/>
  <c r="H17" i="111"/>
  <c r="H16" i="111"/>
  <c r="H15" i="111"/>
  <c r="H21" i="111"/>
  <c r="H13" i="111"/>
  <c r="H20" i="111"/>
  <c r="H19" i="111"/>
  <c r="H18" i="111"/>
  <c r="H12" i="111"/>
  <c r="H11" i="111"/>
  <c r="K11" i="111"/>
  <c r="H14" i="111"/>
  <c r="M21" i="111"/>
  <c r="G111" i="155"/>
  <c r="G21" i="45"/>
  <c r="M12" i="45"/>
  <c r="G238" i="33"/>
  <c r="F215" i="87"/>
  <c r="M15" i="63"/>
  <c r="M19" i="45"/>
  <c r="G238" i="111"/>
  <c r="G161" i="47"/>
  <c r="G61" i="53"/>
  <c r="G235" i="118"/>
  <c r="G237" i="118"/>
  <c r="E208" i="53"/>
  <c r="M16" i="176"/>
  <c r="K15" i="143"/>
  <c r="M54" i="57"/>
  <c r="K15" i="68"/>
  <c r="G237" i="68"/>
  <c r="M15" i="113"/>
  <c r="G208" i="111"/>
  <c r="H195" i="111"/>
  <c r="G119" i="62"/>
  <c r="E208" i="15"/>
  <c r="C212" i="83"/>
  <c r="G102" i="42"/>
  <c r="G197" i="106"/>
  <c r="D215" i="66"/>
  <c r="M17" i="38"/>
  <c r="C215" i="120"/>
  <c r="G237" i="47"/>
  <c r="G79" i="53"/>
  <c r="G206" i="98"/>
  <c r="M14" i="39"/>
  <c r="K15" i="172"/>
  <c r="M13" i="94"/>
  <c r="M111" i="57"/>
  <c r="K14" i="53"/>
  <c r="G235" i="53"/>
  <c r="G61" i="45"/>
  <c r="G208" i="21"/>
  <c r="M19" i="63"/>
  <c r="G206" i="152"/>
  <c r="M79" i="136"/>
  <c r="G228" i="45"/>
  <c r="M107" i="45"/>
  <c r="M11" i="45"/>
  <c r="G206" i="119"/>
  <c r="M14" i="84"/>
  <c r="G21" i="95"/>
  <c r="H21" i="95"/>
  <c r="G161" i="92"/>
  <c r="G206" i="46"/>
  <c r="M18" i="84"/>
  <c r="E236" i="45"/>
  <c r="G79" i="89"/>
  <c r="G21" i="24"/>
  <c r="H15" i="24"/>
  <c r="M16" i="25"/>
  <c r="G206" i="150"/>
  <c r="G102" i="38"/>
  <c r="G119" i="49"/>
  <c r="M15" i="62"/>
  <c r="G93" i="69"/>
  <c r="G21" i="141"/>
  <c r="H21" i="141"/>
  <c r="C212" i="120"/>
  <c r="G161" i="164"/>
  <c r="C212" i="42"/>
  <c r="C212" i="50"/>
  <c r="G206" i="158"/>
  <c r="G119" i="95"/>
  <c r="G119" i="118"/>
  <c r="E237" i="53"/>
  <c r="E238" i="111"/>
  <c r="M183" i="45"/>
  <c r="M17" i="71"/>
  <c r="E238" i="57"/>
  <c r="G79" i="45"/>
  <c r="G161" i="45"/>
  <c r="M123" i="45"/>
  <c r="E236" i="53"/>
  <c r="G238" i="21"/>
  <c r="M12" i="150"/>
  <c r="M11" i="63"/>
  <c r="M18" i="141"/>
  <c r="M208" i="136"/>
  <c r="H149" i="136"/>
  <c r="H71" i="136"/>
  <c r="H190" i="136"/>
  <c r="H116" i="136"/>
  <c r="H189" i="136"/>
  <c r="H115" i="136"/>
  <c r="H44" i="136"/>
  <c r="H164" i="136"/>
  <c r="H79" i="136"/>
  <c r="H39" i="136"/>
  <c r="H153" i="136"/>
  <c r="H75" i="136"/>
  <c r="H194" i="136"/>
  <c r="H119" i="136"/>
  <c r="H193" i="136"/>
  <c r="H202" i="136"/>
  <c r="H130" i="136"/>
  <c r="H54" i="136"/>
  <c r="H174" i="136"/>
  <c r="H91" i="136"/>
  <c r="H173" i="136"/>
  <c r="H97" i="136"/>
  <c r="H28" i="136"/>
  <c r="H143" i="136"/>
  <c r="H53" i="136"/>
  <c r="K12" i="136"/>
  <c r="H135" i="136"/>
  <c r="H58" i="136"/>
  <c r="H178" i="136"/>
  <c r="H191" i="136"/>
  <c r="H117" i="136"/>
  <c r="H46" i="136"/>
  <c r="H166" i="136"/>
  <c r="H83" i="136"/>
  <c r="H165" i="136"/>
  <c r="H88" i="136"/>
  <c r="H205" i="136"/>
  <c r="H133" i="136"/>
  <c r="H45" i="136"/>
  <c r="H195" i="136"/>
  <c r="H125" i="136"/>
  <c r="H50" i="136"/>
  <c r="H170" i="136"/>
  <c r="H87" i="136"/>
  <c r="H90" i="136"/>
  <c r="H155" i="136"/>
  <c r="H200" i="136"/>
  <c r="H69" i="136"/>
  <c r="H152" i="136"/>
  <c r="H57" i="136"/>
  <c r="H111" i="136"/>
  <c r="H203" i="136"/>
  <c r="H78" i="136"/>
  <c r="H151" i="136"/>
  <c r="H73" i="136"/>
  <c r="H192" i="136"/>
  <c r="H118" i="136"/>
  <c r="H33" i="136"/>
  <c r="H183" i="136"/>
  <c r="H82" i="136"/>
  <c r="H146" i="136"/>
  <c r="H181" i="136"/>
  <c r="H60" i="136"/>
  <c r="H124" i="136"/>
  <c r="H47" i="136"/>
  <c r="H102" i="136"/>
  <c r="H186" i="136"/>
  <c r="H70" i="136"/>
  <c r="H142" i="136"/>
  <c r="H65" i="136"/>
  <c r="H184" i="136"/>
  <c r="H107" i="136"/>
  <c r="H25" i="136"/>
  <c r="H175" i="136"/>
  <c r="H61" i="136"/>
  <c r="H136" i="136"/>
  <c r="H156" i="136"/>
  <c r="H52" i="136"/>
  <c r="H114" i="136"/>
  <c r="H31" i="136"/>
  <c r="H93" i="136"/>
  <c r="H159" i="136"/>
  <c r="H59" i="136"/>
  <c r="H132" i="136"/>
  <c r="H56" i="136"/>
  <c r="H176" i="136"/>
  <c r="H96" i="136"/>
  <c r="H68" i="136"/>
  <c r="H140" i="136"/>
  <c r="H206" i="136"/>
  <c r="H74" i="136"/>
  <c r="H127" i="136"/>
  <c r="H188" i="136"/>
  <c r="H72" i="136"/>
  <c r="H171" i="136"/>
  <c r="H42" i="136"/>
  <c r="H131" i="136"/>
  <c r="H177" i="136"/>
  <c r="H101" i="136"/>
  <c r="H32" i="136"/>
  <c r="H148" i="136"/>
  <c r="H64" i="136"/>
  <c r="H35" i="136"/>
  <c r="H38" i="136"/>
  <c r="H147" i="136"/>
  <c r="H100" i="136"/>
  <c r="H86" i="136"/>
  <c r="H204" i="136"/>
  <c r="H48" i="136"/>
  <c r="H85" i="136"/>
  <c r="H30" i="136"/>
  <c r="H137" i="136"/>
  <c r="H89" i="136"/>
  <c r="H67" i="136"/>
  <c r="H185" i="136"/>
  <c r="H40" i="136"/>
  <c r="H76" i="136"/>
  <c r="H197" i="136"/>
  <c r="H106" i="136"/>
  <c r="H37" i="136"/>
  <c r="H34" i="136"/>
  <c r="H169" i="136"/>
  <c r="H208" i="136"/>
  <c r="H49" i="136"/>
  <c r="H158" i="136"/>
  <c r="H105" i="136"/>
  <c r="H196" i="136"/>
  <c r="H179" i="136"/>
  <c r="H141" i="136"/>
  <c r="H110" i="136"/>
  <c r="H157" i="136"/>
  <c r="H43" i="136"/>
  <c r="H126" i="136"/>
  <c r="H187" i="136"/>
  <c r="H123" i="136"/>
  <c r="H51" i="136"/>
  <c r="H66" i="136"/>
  <c r="H161" i="136"/>
  <c r="H92" i="136"/>
  <c r="H27" i="136"/>
  <c r="H167" i="136"/>
  <c r="H36" i="136"/>
  <c r="H150" i="136"/>
  <c r="H168" i="136"/>
  <c r="H108" i="136"/>
  <c r="H180" i="136"/>
  <c r="H109" i="136"/>
  <c r="H138" i="136"/>
  <c r="H99" i="136"/>
  <c r="H98" i="136"/>
  <c r="H182" i="136"/>
  <c r="H160" i="136"/>
  <c r="H55" i="136"/>
  <c r="H84" i="136"/>
  <c r="H29" i="136"/>
  <c r="H41" i="136"/>
  <c r="H145" i="136"/>
  <c r="H26" i="136"/>
  <c r="H129" i="136"/>
  <c r="H201" i="136"/>
  <c r="H77" i="136"/>
  <c r="H172" i="136"/>
  <c r="H224" i="136"/>
  <c r="G236" i="136"/>
  <c r="H228" i="136"/>
  <c r="H219" i="136"/>
  <c r="M46" i="136"/>
  <c r="M106" i="136"/>
  <c r="M205" i="136"/>
  <c r="M86" i="136"/>
  <c r="M150" i="136"/>
  <c r="M76" i="136"/>
  <c r="M49" i="136"/>
  <c r="M118" i="136"/>
  <c r="M164" i="136"/>
  <c r="M186" i="136"/>
  <c r="M165" i="136"/>
  <c r="M133" i="136"/>
  <c r="M25" i="136"/>
  <c r="M172" i="136"/>
  <c r="M66" i="136"/>
  <c r="M93" i="136"/>
  <c r="M31" i="136"/>
  <c r="M145" i="136"/>
  <c r="M135" i="136"/>
  <c r="M125" i="136"/>
  <c r="M34" i="136"/>
  <c r="M26" i="136"/>
  <c r="H222" i="136"/>
  <c r="M42" i="136"/>
  <c r="M117" i="136"/>
  <c r="M60" i="136"/>
  <c r="M40" i="136"/>
  <c r="M193" i="136"/>
  <c r="M91" i="136"/>
  <c r="M45" i="136"/>
  <c r="M101" i="136"/>
  <c r="M196" i="136"/>
  <c r="M181" i="136"/>
  <c r="M203" i="136"/>
  <c r="M141" i="136"/>
  <c r="M204" i="136"/>
  <c r="M170" i="136"/>
  <c r="M64" i="136"/>
  <c r="M69" i="136"/>
  <c r="M37" i="136"/>
  <c r="M29" i="136"/>
  <c r="M142" i="136"/>
  <c r="M132" i="136"/>
  <c r="M83" i="136"/>
  <c r="M32" i="136"/>
  <c r="H227" i="136"/>
  <c r="M75" i="136"/>
  <c r="M157" i="136"/>
  <c r="M77" i="136"/>
  <c r="M189" i="136"/>
  <c r="M87" i="136"/>
  <c r="M57" i="136"/>
  <c r="M109" i="136"/>
  <c r="M192" i="136"/>
  <c r="M179" i="136"/>
  <c r="M169" i="136"/>
  <c r="M138" i="136"/>
  <c r="M202" i="136"/>
  <c r="M70" i="136"/>
  <c r="M67" i="136"/>
  <c r="M35" i="136"/>
  <c r="M27" i="136"/>
  <c r="M140" i="136"/>
  <c r="M130" i="136"/>
  <c r="M38" i="136"/>
  <c r="M30" i="136"/>
  <c r="H225" i="136"/>
  <c r="M54" i="136"/>
  <c r="M100" i="136"/>
  <c r="M152" i="136"/>
  <c r="M52" i="136"/>
  <c r="M159" i="136"/>
  <c r="M47" i="136"/>
  <c r="M99" i="136"/>
  <c r="M78" i="136"/>
  <c r="M123" i="136"/>
  <c r="M177" i="136"/>
  <c r="M149" i="136"/>
  <c r="M126" i="136"/>
  <c r="M166" i="136"/>
  <c r="M96" i="136"/>
  <c r="K13" i="136"/>
  <c r="M50" i="136"/>
  <c r="M59" i="136"/>
  <c r="M107" i="136"/>
  <c r="M89" i="136"/>
  <c r="M151" i="136"/>
  <c r="M182" i="136"/>
  <c r="M97" i="136"/>
  <c r="H226" i="136"/>
  <c r="M108" i="136"/>
  <c r="M55" i="136"/>
  <c r="M153" i="136"/>
  <c r="M85" i="136"/>
  <c r="M131" i="136"/>
  <c r="M180" i="136"/>
  <c r="M74" i="136"/>
  <c r="M71" i="136"/>
  <c r="H220" i="136"/>
  <c r="M56" i="136"/>
  <c r="M115" i="136"/>
  <c r="M51" i="136"/>
  <c r="M190" i="136"/>
  <c r="M201" i="136"/>
  <c r="M129" i="136"/>
  <c r="M178" i="136"/>
  <c r="M72" i="136"/>
  <c r="M88" i="136"/>
  <c r="M195" i="136"/>
  <c r="M44" i="136"/>
  <c r="M114" i="136"/>
  <c r="M116" i="136"/>
  <c r="M173" i="136"/>
  <c r="M143" i="136"/>
  <c r="H223" i="136"/>
  <c r="M53" i="136"/>
  <c r="M188" i="136"/>
  <c r="M174" i="136"/>
  <c r="M65" i="136"/>
  <c r="M127" i="136"/>
  <c r="H221" i="136"/>
  <c r="M146" i="136"/>
  <c r="M155" i="136"/>
  <c r="M184" i="136"/>
  <c r="M147" i="136"/>
  <c r="M58" i="136"/>
  <c r="M191" i="136"/>
  <c r="M41" i="136"/>
  <c r="M158" i="136"/>
  <c r="M92" i="136"/>
  <c r="M48" i="136"/>
  <c r="M175" i="136"/>
  <c r="M124" i="136"/>
  <c r="M82" i="136"/>
  <c r="M43" i="136"/>
  <c r="M68" i="136"/>
  <c r="M28" i="136"/>
  <c r="M84" i="136"/>
  <c r="M171" i="136"/>
  <c r="M98" i="136"/>
  <c r="M105" i="136"/>
  <c r="M148" i="136"/>
  <c r="M160" i="136"/>
  <c r="M137" i="136"/>
  <c r="M194" i="136"/>
  <c r="M36" i="136"/>
  <c r="M110" i="136"/>
  <c r="M167" i="136"/>
  <c r="M185" i="136"/>
  <c r="M90" i="136"/>
  <c r="M33" i="136"/>
  <c r="M183" i="136"/>
  <c r="M136" i="136"/>
  <c r="M200" i="136"/>
  <c r="M187" i="136"/>
  <c r="M176" i="136"/>
  <c r="M39" i="136"/>
  <c r="M168" i="136"/>
  <c r="M119" i="136"/>
  <c r="M156" i="136"/>
  <c r="M73" i="136"/>
  <c r="E208" i="45"/>
  <c r="H16" i="136"/>
  <c r="H15" i="136"/>
  <c r="H18" i="136"/>
  <c r="K11" i="136"/>
  <c r="H19" i="136"/>
  <c r="H11" i="136"/>
  <c r="H14" i="136"/>
  <c r="H12" i="136"/>
  <c r="H17" i="136"/>
  <c r="H20" i="136"/>
  <c r="H13" i="136"/>
  <c r="G215" i="136"/>
  <c r="H21" i="136"/>
  <c r="M21" i="136"/>
  <c r="E238" i="21"/>
  <c r="G206" i="55"/>
  <c r="C215" i="14"/>
  <c r="M97" i="167"/>
  <c r="G206" i="155"/>
  <c r="G197" i="94"/>
  <c r="M197" i="94"/>
  <c r="G197" i="65"/>
  <c r="D215" i="119"/>
  <c r="G235" i="28"/>
  <c r="G206" i="65"/>
  <c r="G93" i="158"/>
  <c r="E208" i="65"/>
  <c r="E215" i="65"/>
  <c r="G79" i="46"/>
  <c r="C215" i="50"/>
  <c r="G228" i="152"/>
  <c r="M29" i="152"/>
  <c r="G237" i="150"/>
  <c r="K15" i="64"/>
  <c r="H13" i="57"/>
  <c r="H14" i="57"/>
  <c r="H17" i="57"/>
  <c r="H11" i="57"/>
  <c r="K11" i="57"/>
  <c r="H12" i="57"/>
  <c r="H20" i="57"/>
  <c r="H21" i="57"/>
  <c r="M21" i="57"/>
  <c r="H18" i="57"/>
  <c r="H16" i="57"/>
  <c r="H15" i="57"/>
  <c r="H19" i="57"/>
  <c r="G208" i="159"/>
  <c r="G119" i="45"/>
  <c r="M119" i="45"/>
  <c r="M114" i="45"/>
  <c r="M161" i="136"/>
  <c r="G93" i="45"/>
  <c r="M82" i="45"/>
  <c r="G102" i="45"/>
  <c r="M102" i="45"/>
  <c r="M61" i="57"/>
  <c r="M137" i="45"/>
  <c r="M115" i="45"/>
  <c r="M161" i="57"/>
  <c r="M197" i="136"/>
  <c r="G102" i="69"/>
  <c r="G102" i="16"/>
  <c r="G111" i="164"/>
  <c r="M12" i="63"/>
  <c r="G206" i="47"/>
  <c r="G111" i="120"/>
  <c r="G79" i="65"/>
  <c r="G93" i="177"/>
  <c r="G102" i="86"/>
  <c r="E208" i="157"/>
  <c r="E237" i="120"/>
  <c r="E238" i="33"/>
  <c r="M11" i="16"/>
  <c r="M11" i="156"/>
  <c r="M18" i="164"/>
  <c r="M147" i="45"/>
  <c r="M119" i="57"/>
  <c r="H200" i="33"/>
  <c r="H127" i="33"/>
  <c r="H52" i="33"/>
  <c r="H172" i="33"/>
  <c r="H89" i="33"/>
  <c r="H195" i="33"/>
  <c r="H125" i="33"/>
  <c r="H50" i="33"/>
  <c r="H170" i="33"/>
  <c r="H87" i="33"/>
  <c r="H204" i="33"/>
  <c r="H132" i="33"/>
  <c r="H56" i="33"/>
  <c r="H176" i="33"/>
  <c r="H96" i="33"/>
  <c r="H25" i="33"/>
  <c r="H140" i="33"/>
  <c r="H61" i="33"/>
  <c r="H182" i="33"/>
  <c r="H105" i="33"/>
  <c r="H31" i="33"/>
  <c r="H147" i="33"/>
  <c r="H60" i="33"/>
  <c r="H164" i="33"/>
  <c r="H72" i="33"/>
  <c r="H171" i="33"/>
  <c r="K12" i="33"/>
  <c r="H115" i="33"/>
  <c r="H36" i="33"/>
  <c r="H143" i="33"/>
  <c r="H53" i="33"/>
  <c r="H153" i="33"/>
  <c r="M208" i="33"/>
  <c r="H97" i="33"/>
  <c r="H188" i="33"/>
  <c r="H64" i="33"/>
  <c r="H135" i="33"/>
  <c r="H42" i="33"/>
  <c r="H150" i="33"/>
  <c r="H59" i="33"/>
  <c r="H169" i="33"/>
  <c r="H84" i="33"/>
  <c r="H192" i="33"/>
  <c r="H107" i="33"/>
  <c r="H202" i="33"/>
  <c r="H117" i="33"/>
  <c r="H38" i="33"/>
  <c r="H146" i="33"/>
  <c r="H55" i="33"/>
  <c r="H181" i="33"/>
  <c r="H77" i="33"/>
  <c r="H152" i="33"/>
  <c r="H37" i="33"/>
  <c r="H102" i="33"/>
  <c r="H26" i="33"/>
  <c r="H131" i="33"/>
  <c r="H43" i="33"/>
  <c r="H151" i="33"/>
  <c r="H65" i="33"/>
  <c r="H168" i="33"/>
  <c r="H76" i="33"/>
  <c r="H183" i="33"/>
  <c r="H99" i="33"/>
  <c r="H206" i="33"/>
  <c r="H126" i="33"/>
  <c r="H39" i="33"/>
  <c r="H165" i="33"/>
  <c r="H44" i="33"/>
  <c r="H124" i="33"/>
  <c r="H187" i="33"/>
  <c r="H86" i="33"/>
  <c r="H194" i="33"/>
  <c r="H109" i="33"/>
  <c r="H27" i="33"/>
  <c r="H123" i="33"/>
  <c r="H40" i="33"/>
  <c r="H148" i="33"/>
  <c r="H57" i="33"/>
  <c r="H167" i="33"/>
  <c r="H82" i="33"/>
  <c r="H190" i="33"/>
  <c r="H91" i="33"/>
  <c r="H156" i="33"/>
  <c r="H28" i="33"/>
  <c r="H114" i="33"/>
  <c r="H179" i="33"/>
  <c r="H75" i="33"/>
  <c r="H186" i="33"/>
  <c r="H98" i="33"/>
  <c r="H193" i="33"/>
  <c r="H110" i="33"/>
  <c r="H32" i="33"/>
  <c r="H138" i="33"/>
  <c r="H49" i="33"/>
  <c r="H158" i="33"/>
  <c r="H71" i="33"/>
  <c r="H174" i="33"/>
  <c r="H83" i="33"/>
  <c r="H106" i="33"/>
  <c r="H79" i="33"/>
  <c r="H58" i="33"/>
  <c r="H70" i="33"/>
  <c r="H92" i="33"/>
  <c r="H118" i="33"/>
  <c r="H130" i="33"/>
  <c r="H155" i="33"/>
  <c r="H88" i="33"/>
  <c r="H45" i="33"/>
  <c r="H34" i="33"/>
  <c r="H51" i="33"/>
  <c r="H73" i="33"/>
  <c r="H85" i="33"/>
  <c r="H108" i="33"/>
  <c r="H136" i="33"/>
  <c r="H69" i="33"/>
  <c r="H29" i="33"/>
  <c r="H203" i="33"/>
  <c r="H35" i="33"/>
  <c r="H48" i="33"/>
  <c r="H68" i="33"/>
  <c r="H90" i="33"/>
  <c r="H116" i="33"/>
  <c r="H189" i="33"/>
  <c r="H180" i="33"/>
  <c r="H111" i="33"/>
  <c r="H141" i="33"/>
  <c r="H160" i="33"/>
  <c r="H184" i="33"/>
  <c r="H191" i="33"/>
  <c r="H30" i="33"/>
  <c r="H47" i="33"/>
  <c r="H205" i="33"/>
  <c r="H178" i="33"/>
  <c r="H208" i="33"/>
  <c r="H54" i="33"/>
  <c r="H196" i="33"/>
  <c r="H159" i="33"/>
  <c r="H201" i="33"/>
  <c r="H46" i="33"/>
  <c r="H133" i="33"/>
  <c r="H119" i="33"/>
  <c r="H157" i="33"/>
  <c r="H197" i="33"/>
  <c r="H145" i="33"/>
  <c r="H177" i="33"/>
  <c r="H33" i="33"/>
  <c r="H66" i="33"/>
  <c r="H161" i="33"/>
  <c r="H41" i="33"/>
  <c r="H93" i="33"/>
  <c r="H175" i="33"/>
  <c r="H185" i="33"/>
  <c r="H74" i="33"/>
  <c r="H173" i="33"/>
  <c r="H142" i="33"/>
  <c r="H100" i="33"/>
  <c r="H67" i="33"/>
  <c r="H78" i="33"/>
  <c r="H149" i="33"/>
  <c r="H166" i="33"/>
  <c r="H137" i="33"/>
  <c r="H101" i="33"/>
  <c r="H129" i="33"/>
  <c r="E215" i="21"/>
  <c r="M17" i="62"/>
  <c r="E238" i="136"/>
  <c r="M102" i="57"/>
  <c r="H12" i="21"/>
  <c r="H21" i="21"/>
  <c r="H16" i="21"/>
  <c r="H19" i="21"/>
  <c r="K11" i="21"/>
  <c r="H14" i="21"/>
  <c r="H13" i="21"/>
  <c r="H17" i="21"/>
  <c r="H18" i="21"/>
  <c r="H20" i="21"/>
  <c r="H15" i="21"/>
  <c r="M21" i="21"/>
  <c r="H11" i="21"/>
  <c r="F211" i="97"/>
  <c r="E236" i="20"/>
  <c r="E236" i="150"/>
  <c r="M17" i="66"/>
  <c r="G102" i="95"/>
  <c r="E237" i="89"/>
  <c r="M18" i="27"/>
  <c r="M84" i="37"/>
  <c r="G21" i="90"/>
  <c r="H20" i="90"/>
  <c r="M11" i="54"/>
  <c r="M16" i="92"/>
  <c r="M15" i="98"/>
  <c r="M14" i="27"/>
  <c r="M88" i="37"/>
  <c r="G79" i="118"/>
  <c r="G119" i="149"/>
  <c r="G61" i="176"/>
  <c r="G93" i="42"/>
  <c r="G161" i="49"/>
  <c r="G61" i="95"/>
  <c r="G21" i="39"/>
  <c r="H16" i="39"/>
  <c r="G79" i="86"/>
  <c r="G79" i="95"/>
  <c r="G93" i="86"/>
  <c r="G102" i="50"/>
  <c r="G79" i="120"/>
  <c r="G228" i="175"/>
  <c r="M196" i="175"/>
  <c r="G119" i="158"/>
  <c r="M153" i="32"/>
  <c r="G111" i="20"/>
  <c r="G237" i="175"/>
  <c r="G206" i="145"/>
  <c r="G79" i="38"/>
  <c r="H13" i="167"/>
  <c r="K11" i="167"/>
  <c r="G21" i="79"/>
  <c r="H18" i="79"/>
  <c r="G93" i="92"/>
  <c r="G21" i="31"/>
  <c r="H11" i="31"/>
  <c r="M13" i="149"/>
  <c r="G119" i="86"/>
  <c r="M16" i="155"/>
  <c r="M15" i="25"/>
  <c r="G206" i="175"/>
  <c r="M15" i="66"/>
  <c r="G61" i="14"/>
  <c r="M61" i="14"/>
  <c r="M19" i="28"/>
  <c r="K15" i="106"/>
  <c r="G161" i="38"/>
  <c r="G61" i="42"/>
  <c r="G197" i="150"/>
  <c r="G161" i="89"/>
  <c r="G197" i="50"/>
  <c r="G197" i="95"/>
  <c r="M12" i="103"/>
  <c r="M15" i="46"/>
  <c r="M17" i="172"/>
  <c r="G111" i="55"/>
  <c r="G197" i="68"/>
  <c r="M17" i="150"/>
  <c r="G206" i="53"/>
  <c r="G93" i="84"/>
  <c r="G111" i="53"/>
  <c r="G111" i="95"/>
  <c r="M173" i="37"/>
  <c r="G79" i="47"/>
  <c r="G111" i="58"/>
  <c r="M15" i="178"/>
  <c r="E208" i="42"/>
  <c r="E215" i="42"/>
  <c r="M14" i="15"/>
  <c r="E208" i="38"/>
  <c r="G111" i="62"/>
  <c r="M14" i="46"/>
  <c r="G206" i="142"/>
  <c r="G206" i="32"/>
  <c r="G206" i="176"/>
  <c r="M12" i="158"/>
  <c r="G102" i="156"/>
  <c r="H16" i="167"/>
  <c r="H21" i="167"/>
  <c r="G21" i="177"/>
  <c r="E236" i="38"/>
  <c r="M15" i="89"/>
  <c r="M14" i="60"/>
  <c r="M17" i="69"/>
  <c r="M19" i="62"/>
  <c r="M12" i="46"/>
  <c r="M16" i="156"/>
  <c r="M12" i="32"/>
  <c r="E237" i="27"/>
  <c r="M11" i="98"/>
  <c r="K14" i="27"/>
  <c r="G235" i="27"/>
  <c r="G237" i="27"/>
  <c r="M13" i="69"/>
  <c r="M19" i="38"/>
  <c r="G79" i="16"/>
  <c r="G119" i="31"/>
  <c r="M14" i="66"/>
  <c r="G237" i="58"/>
  <c r="M18" i="106"/>
  <c r="M19" i="98"/>
  <c r="M17" i="27"/>
  <c r="M18" i="25"/>
  <c r="M64" i="37"/>
  <c r="G237" i="106"/>
  <c r="G93" i="14"/>
  <c r="G111" i="38"/>
  <c r="G93" i="157"/>
  <c r="G61" i="119"/>
  <c r="M18" i="14"/>
  <c r="G119" i="175"/>
  <c r="G79" i="149"/>
  <c r="D215" i="156"/>
  <c r="D215" i="43"/>
  <c r="M34" i="37"/>
  <c r="G119" i="145"/>
  <c r="G102" i="145"/>
  <c r="G161" i="72"/>
  <c r="E208" i="87"/>
  <c r="E215" i="87"/>
  <c r="G119" i="165"/>
  <c r="M47" i="32"/>
  <c r="G102" i="150"/>
  <c r="G93" i="31"/>
  <c r="G102" i="71"/>
  <c r="G21" i="92"/>
  <c r="H21" i="92"/>
  <c r="G161" i="119"/>
  <c r="C212" i="16"/>
  <c r="H17" i="167"/>
  <c r="G21" i="15"/>
  <c r="H18" i="15"/>
  <c r="E208" i="50"/>
  <c r="C215" i="1"/>
  <c r="M19" i="95"/>
  <c r="G102" i="89"/>
  <c r="M13" i="174"/>
  <c r="M11" i="38"/>
  <c r="M17" i="174"/>
  <c r="M16" i="1"/>
  <c r="G93" i="38"/>
  <c r="M12" i="62"/>
  <c r="M11" i="42"/>
  <c r="M19" i="25"/>
  <c r="M50" i="37"/>
  <c r="M106" i="37"/>
  <c r="G18" i="97"/>
  <c r="M15" i="86"/>
  <c r="G111" i="46"/>
  <c r="K14" i="15"/>
  <c r="G235" i="15"/>
  <c r="G237" i="15"/>
  <c r="G206" i="120"/>
  <c r="G61" i="55"/>
  <c r="E236" i="143"/>
  <c r="M169" i="37"/>
  <c r="M11" i="62"/>
  <c r="K14" i="178"/>
  <c r="M13" i="90"/>
  <c r="G102" i="31"/>
  <c r="G206" i="50"/>
  <c r="G102" i="83"/>
  <c r="E236" i="71"/>
  <c r="C215" i="16"/>
  <c r="H20" i="167"/>
  <c r="E208" i="150"/>
  <c r="M11" i="84"/>
  <c r="G119" i="10"/>
  <c r="G119" i="143"/>
  <c r="G111" i="31"/>
  <c r="G206" i="25"/>
  <c r="G228" i="164"/>
  <c r="M11" i="164"/>
  <c r="M16" i="58"/>
  <c r="G206" i="106"/>
  <c r="G228" i="64"/>
  <c r="M125" i="64"/>
  <c r="G119" i="172"/>
  <c r="G228" i="72"/>
  <c r="M151" i="72"/>
  <c r="G117" i="97"/>
  <c r="O117" i="97"/>
  <c r="M17" i="177"/>
  <c r="M11" i="25"/>
  <c r="G21" i="25"/>
  <c r="M15" i="50"/>
  <c r="G197" i="16"/>
  <c r="G21" i="149"/>
  <c r="M15" i="53"/>
  <c r="M13" i="58"/>
  <c r="E208" i="92"/>
  <c r="E215" i="92"/>
  <c r="G61" i="150"/>
  <c r="G197" i="64"/>
  <c r="G228" i="58"/>
  <c r="M55" i="58"/>
  <c r="M17" i="95"/>
  <c r="G111" i="150"/>
  <c r="M12" i="175"/>
  <c r="E208" i="95"/>
  <c r="G111" i="89"/>
  <c r="M15" i="84"/>
  <c r="M14" i="83"/>
  <c r="M19" i="142"/>
  <c r="G235" i="89"/>
  <c r="K14" i="89"/>
  <c r="M18" i="47"/>
  <c r="M14" i="157"/>
  <c r="M13" i="102"/>
  <c r="G21" i="102"/>
  <c r="H12" i="102"/>
  <c r="G228" i="102"/>
  <c r="M133" i="102"/>
  <c r="G93" i="37"/>
  <c r="M93" i="37"/>
  <c r="G111" i="37"/>
  <c r="M111" i="37"/>
  <c r="G21" i="37"/>
  <c r="H14" i="37"/>
  <c r="G79" i="69"/>
  <c r="M16" i="43"/>
  <c r="E208" i="152"/>
  <c r="E215" i="152"/>
  <c r="G79" i="39"/>
  <c r="M19" i="94"/>
  <c r="G111" i="87"/>
  <c r="M11" i="172"/>
  <c r="M17" i="155"/>
  <c r="G119" i="87"/>
  <c r="M15" i="143"/>
  <c r="M11" i="95"/>
  <c r="G206" i="92"/>
  <c r="M17" i="90"/>
  <c r="G206" i="62"/>
  <c r="G197" i="1"/>
  <c r="G161" i="143"/>
  <c r="G93" i="53"/>
  <c r="C215" i="176"/>
  <c r="M19" i="64"/>
  <c r="M13" i="83"/>
  <c r="G206" i="71"/>
  <c r="G128" i="97"/>
  <c r="O128" i="97"/>
  <c r="G190" i="97"/>
  <c r="G93" i="24"/>
  <c r="D215" i="63"/>
  <c r="G161" i="31"/>
  <c r="E236" i="27"/>
  <c r="G93" i="49"/>
  <c r="M13" i="120"/>
  <c r="G71" i="97"/>
  <c r="G61" i="104"/>
  <c r="C212" i="176"/>
  <c r="G93" i="87"/>
  <c r="G111" i="50"/>
  <c r="M18" i="87"/>
  <c r="M19" i="71"/>
  <c r="M16" i="143"/>
  <c r="M13" i="64"/>
  <c r="M17" i="68"/>
  <c r="G206" i="39"/>
  <c r="G111" i="14"/>
  <c r="K15" i="83"/>
  <c r="G237" i="83"/>
  <c r="M14" i="87"/>
  <c r="G206" i="172"/>
  <c r="G111" i="177"/>
  <c r="G119" i="177"/>
  <c r="G111" i="118"/>
  <c r="E208" i="46"/>
  <c r="E208" i="90"/>
  <c r="G61" i="177"/>
  <c r="G93" i="1"/>
  <c r="M17" i="49"/>
  <c r="M12" i="39"/>
  <c r="G21" i="143"/>
  <c r="H21" i="143"/>
  <c r="G161" i="86"/>
  <c r="G79" i="50"/>
  <c r="C212" i="156"/>
  <c r="G228" i="62"/>
  <c r="M48" i="62"/>
  <c r="D215" i="118"/>
  <c r="G61" i="143"/>
  <c r="G228" i="46"/>
  <c r="M117" i="46"/>
  <c r="G119" i="32"/>
  <c r="G79" i="60"/>
  <c r="G102" i="68"/>
  <c r="G119" i="60"/>
  <c r="E208" i="32"/>
  <c r="G197" i="141"/>
  <c r="G21" i="104"/>
  <c r="H18" i="104"/>
  <c r="G206" i="42"/>
  <c r="G197" i="54"/>
  <c r="M14" i="150"/>
  <c r="E236" i="156"/>
  <c r="M14" i="53"/>
  <c r="M15" i="103"/>
  <c r="G61" i="149"/>
  <c r="G88" i="97"/>
  <c r="G79" i="142"/>
  <c r="E208" i="1"/>
  <c r="G61" i="46"/>
  <c r="G197" i="69"/>
  <c r="G21" i="119"/>
  <c r="H17" i="119"/>
  <c r="G21" i="49"/>
  <c r="K11" i="49"/>
  <c r="G61" i="141"/>
  <c r="G228" i="71"/>
  <c r="M68" i="71"/>
  <c r="G21" i="72"/>
  <c r="H19" i="72"/>
  <c r="E208" i="142"/>
  <c r="G193" i="97"/>
  <c r="G79" i="58"/>
  <c r="G61" i="165"/>
  <c r="G61" i="87"/>
  <c r="G93" i="68"/>
  <c r="G61" i="97"/>
  <c r="G228" i="172"/>
  <c r="M179" i="172"/>
  <c r="M15" i="85"/>
  <c r="G197" i="142"/>
  <c r="G21" i="85"/>
  <c r="H13" i="85"/>
  <c r="M86" i="10"/>
  <c r="G197" i="31"/>
  <c r="G79" i="31"/>
  <c r="G197" i="60"/>
  <c r="G61" i="172"/>
  <c r="G206" i="69"/>
  <c r="G161" i="1"/>
  <c r="G79" i="150"/>
  <c r="G102" i="63"/>
  <c r="E208" i="119"/>
  <c r="M98" i="32"/>
  <c r="G197" i="32"/>
  <c r="G102" i="118"/>
  <c r="G206" i="31"/>
  <c r="G228" i="43"/>
  <c r="M176" i="43"/>
  <c r="G197" i="84"/>
  <c r="M18" i="177"/>
  <c r="M16" i="46"/>
  <c r="G102" i="177"/>
  <c r="M15" i="156"/>
  <c r="M11" i="103"/>
  <c r="G197" i="120"/>
  <c r="G111" i="1"/>
  <c r="G93" i="95"/>
  <c r="E208" i="31"/>
  <c r="E215" i="31"/>
  <c r="E236" i="172"/>
  <c r="M19" i="172"/>
  <c r="G206" i="10"/>
  <c r="G79" i="85"/>
  <c r="G79" i="158"/>
  <c r="G161" i="142"/>
  <c r="G237" i="172"/>
  <c r="E208" i="58"/>
  <c r="E208" i="69"/>
  <c r="E215" i="69"/>
  <c r="G111" i="83"/>
  <c r="G111" i="47"/>
  <c r="G79" i="54"/>
  <c r="E208" i="143"/>
  <c r="G197" i="38"/>
  <c r="G79" i="87"/>
  <c r="M19" i="104"/>
  <c r="G228" i="177"/>
  <c r="M171" i="177"/>
  <c r="M14" i="62"/>
  <c r="D215" i="69"/>
  <c r="G197" i="177"/>
  <c r="G79" i="177"/>
  <c r="M11" i="39"/>
  <c r="M14" i="156"/>
  <c r="G228" i="84"/>
  <c r="M49" i="84"/>
  <c r="D215" i="89"/>
  <c r="E236" i="79"/>
  <c r="M12" i="79"/>
  <c r="G93" i="20"/>
  <c r="G21" i="20"/>
  <c r="H19" i="20"/>
  <c r="G79" i="20"/>
  <c r="G228" i="85"/>
  <c r="M115" i="85"/>
  <c r="G61" i="72"/>
  <c r="G93" i="72"/>
  <c r="G79" i="72"/>
  <c r="G102" i="72"/>
  <c r="E208" i="72"/>
  <c r="M164" i="94"/>
  <c r="G79" i="43"/>
  <c r="K15" i="38"/>
  <c r="G237" i="38"/>
  <c r="E208" i="94"/>
  <c r="M12" i="27"/>
  <c r="E208" i="174"/>
  <c r="M15" i="10"/>
  <c r="K15" i="120"/>
  <c r="G237" i="120"/>
  <c r="G119" i="142"/>
  <c r="E236" i="98"/>
  <c r="M14" i="106"/>
  <c r="G161" i="62"/>
  <c r="E208" i="39"/>
  <c r="G61" i="98"/>
  <c r="G161" i="172"/>
  <c r="G161" i="177"/>
  <c r="G21" i="176"/>
  <c r="H15" i="176"/>
  <c r="M13" i="133"/>
  <c r="G161" i="54"/>
  <c r="C215" i="39"/>
  <c r="G79" i="64"/>
  <c r="G161" i="65"/>
  <c r="G161" i="50"/>
  <c r="G111" i="64"/>
  <c r="D215" i="120"/>
  <c r="C215" i="104"/>
  <c r="M13" i="89"/>
  <c r="G197" i="103"/>
  <c r="K15" i="86"/>
  <c r="G237" i="86"/>
  <c r="G102" i="142"/>
  <c r="M16" i="69"/>
  <c r="M16" i="50"/>
  <c r="K15" i="14"/>
  <c r="G237" i="14"/>
  <c r="M18" i="95"/>
  <c r="K15" i="10"/>
  <c r="G237" i="10"/>
  <c r="M16" i="150"/>
  <c r="G21" i="150"/>
  <c r="M13" i="104"/>
  <c r="G79" i="14"/>
  <c r="G206" i="143"/>
  <c r="E236" i="47"/>
  <c r="G102" i="84"/>
  <c r="G206" i="27"/>
  <c r="E236" i="92"/>
  <c r="G79" i="27"/>
  <c r="G61" i="1"/>
  <c r="G79" i="1"/>
  <c r="G185" i="97"/>
  <c r="G61" i="103"/>
  <c r="G161" i="90"/>
  <c r="C215" i="133"/>
  <c r="E208" i="64"/>
  <c r="G61" i="142"/>
  <c r="G111" i="157"/>
  <c r="G197" i="86"/>
  <c r="M12" i="66"/>
  <c r="E208" i="10"/>
  <c r="E215" i="10"/>
  <c r="E208" i="83"/>
  <c r="E215" i="83"/>
  <c r="G79" i="141"/>
  <c r="E208" i="71"/>
  <c r="G119" i="106"/>
  <c r="G161" i="158"/>
  <c r="G111" i="24"/>
  <c r="E208" i="86"/>
  <c r="D215" i="106"/>
  <c r="E208" i="158"/>
  <c r="D215" i="104"/>
  <c r="M19" i="69"/>
  <c r="D215" i="90"/>
  <c r="G119" i="47"/>
  <c r="M11" i="15"/>
  <c r="G237" i="92"/>
  <c r="K15" i="92"/>
  <c r="G119" i="156"/>
  <c r="M18" i="31"/>
  <c r="E236" i="31"/>
  <c r="G79" i="176"/>
  <c r="G228" i="95"/>
  <c r="G21" i="1"/>
  <c r="K15" i="142"/>
  <c r="G237" i="164"/>
  <c r="K15" i="164"/>
  <c r="G21" i="89"/>
  <c r="M12" i="89"/>
  <c r="G102" i="62"/>
  <c r="K15" i="62"/>
  <c r="M11" i="50"/>
  <c r="G161" i="156"/>
  <c r="G79" i="92"/>
  <c r="G206" i="103"/>
  <c r="G119" i="14"/>
  <c r="G61" i="158"/>
  <c r="M13" i="68"/>
  <c r="G197" i="25"/>
  <c r="G197" i="24"/>
  <c r="G79" i="49"/>
  <c r="G161" i="64"/>
  <c r="G161" i="46"/>
  <c r="G197" i="158"/>
  <c r="G197" i="90"/>
  <c r="G54" i="97"/>
  <c r="O54" i="97"/>
  <c r="G228" i="27"/>
  <c r="M86" i="27"/>
  <c r="G79" i="157"/>
  <c r="G79" i="143"/>
  <c r="E238" i="10"/>
  <c r="G161" i="157"/>
  <c r="E208" i="68"/>
  <c r="G161" i="66"/>
  <c r="G197" i="87"/>
  <c r="C212" i="66"/>
  <c r="G228" i="92"/>
  <c r="G161" i="84"/>
  <c r="M19" i="50"/>
  <c r="D215" i="1"/>
  <c r="M15" i="58"/>
  <c r="M16" i="71"/>
  <c r="M12" i="16"/>
  <c r="M12" i="98"/>
  <c r="G228" i="65"/>
  <c r="G228" i="1"/>
  <c r="E208" i="49"/>
  <c r="M17" i="143"/>
  <c r="G61" i="16"/>
  <c r="M14" i="47"/>
  <c r="G228" i="55"/>
  <c r="M98" i="55"/>
  <c r="M15" i="55"/>
  <c r="G79" i="63"/>
  <c r="E208" i="133"/>
  <c r="G61" i="175"/>
  <c r="G161" i="150"/>
  <c r="G170" i="97"/>
  <c r="G197" i="119"/>
  <c r="G197" i="157"/>
  <c r="G228" i="143"/>
  <c r="M159" i="143"/>
  <c r="G161" i="149"/>
  <c r="G21" i="83"/>
  <c r="G61" i="157"/>
  <c r="C215" i="66"/>
  <c r="E208" i="176"/>
  <c r="G228" i="31"/>
  <c r="G93" i="142"/>
  <c r="G197" i="149"/>
  <c r="E208" i="104"/>
  <c r="C215" i="24"/>
  <c r="M18" i="15"/>
  <c r="G102" i="1"/>
  <c r="M11" i="31"/>
  <c r="G61" i="31"/>
  <c r="M19" i="31"/>
  <c r="M16" i="89"/>
  <c r="M16" i="152"/>
  <c r="M18" i="150"/>
  <c r="G111" i="145"/>
  <c r="G111" i="142"/>
  <c r="G93" i="50"/>
  <c r="M15" i="68"/>
  <c r="M13" i="54"/>
  <c r="G226" i="97"/>
  <c r="G61" i="50"/>
  <c r="G119" i="1"/>
  <c r="M19" i="106"/>
  <c r="G134" i="97"/>
  <c r="G197" i="97"/>
  <c r="E208" i="84"/>
  <c r="G197" i="92"/>
  <c r="G102" i="47"/>
  <c r="G161" i="83"/>
  <c r="E208" i="47"/>
  <c r="E208" i="165"/>
  <c r="G93" i="150"/>
  <c r="C212" i="39"/>
  <c r="E208" i="62"/>
  <c r="G161" i="95"/>
  <c r="G61" i="27"/>
  <c r="G79" i="90"/>
  <c r="G61" i="89"/>
  <c r="M19" i="83"/>
  <c r="E208" i="120"/>
  <c r="G93" i="55"/>
  <c r="E208" i="141"/>
  <c r="E215" i="141"/>
  <c r="G61" i="38"/>
  <c r="M16" i="16"/>
  <c r="M18" i="1"/>
  <c r="M15" i="165"/>
  <c r="M19" i="43"/>
  <c r="M19" i="165"/>
  <c r="G206" i="28"/>
  <c r="M14" i="14"/>
  <c r="M19" i="10"/>
  <c r="M14" i="28"/>
  <c r="M11" i="10"/>
  <c r="G206" i="1"/>
  <c r="G21" i="165"/>
  <c r="M11" i="165"/>
  <c r="M12" i="50"/>
  <c r="M129" i="10"/>
  <c r="M173" i="10"/>
  <c r="H220" i="10"/>
  <c r="M27" i="10"/>
  <c r="M99" i="10"/>
  <c r="M52" i="10"/>
  <c r="M71" i="10"/>
  <c r="M201" i="10"/>
  <c r="E237" i="72"/>
  <c r="M17" i="72"/>
  <c r="M14" i="72"/>
  <c r="E236" i="72"/>
  <c r="M13" i="72"/>
  <c r="M19" i="72"/>
  <c r="M11" i="72"/>
  <c r="G119" i="72"/>
  <c r="G235" i="72"/>
  <c r="G237" i="72"/>
  <c r="M14" i="79"/>
  <c r="M25" i="79"/>
  <c r="G235" i="79"/>
  <c r="G236" i="79"/>
  <c r="M18" i="79"/>
  <c r="M11" i="79"/>
  <c r="G79" i="79"/>
  <c r="M79" i="79"/>
  <c r="E237" i="79"/>
  <c r="G235" i="37"/>
  <c r="G236" i="37"/>
  <c r="K14" i="37"/>
  <c r="E237" i="37"/>
  <c r="E236" i="37"/>
  <c r="G119" i="37"/>
  <c r="M119" i="37"/>
  <c r="G235" i="85"/>
  <c r="K14" i="85"/>
  <c r="C241" i="97"/>
  <c r="G102" i="85"/>
  <c r="E237" i="85"/>
  <c r="E236" i="85"/>
  <c r="M14" i="85"/>
  <c r="M12" i="20"/>
  <c r="M15" i="20"/>
  <c r="G235" i="20"/>
  <c r="M11" i="20"/>
  <c r="G161" i="20"/>
  <c r="G206" i="20"/>
  <c r="G228" i="20"/>
  <c r="M37" i="20"/>
  <c r="M19" i="20"/>
  <c r="K14" i="102"/>
  <c r="G235" i="102"/>
  <c r="M11" i="102"/>
  <c r="E237" i="102"/>
  <c r="G206" i="102"/>
  <c r="G195" i="97"/>
  <c r="G91" i="97"/>
  <c r="M17" i="102"/>
  <c r="M15" i="102"/>
  <c r="E114" i="97"/>
  <c r="G206" i="19"/>
  <c r="G111" i="19"/>
  <c r="G197" i="19"/>
  <c r="G93" i="19"/>
  <c r="M13" i="19"/>
  <c r="G69" i="97"/>
  <c r="G172" i="97"/>
  <c r="M14" i="19"/>
  <c r="M19" i="19"/>
  <c r="G235" i="19"/>
  <c r="G237" i="19"/>
  <c r="G119" i="19"/>
  <c r="E237" i="19"/>
  <c r="G79" i="19"/>
  <c r="G79" i="97"/>
  <c r="E208" i="19"/>
  <c r="G228" i="19"/>
  <c r="M16" i="19"/>
  <c r="G161" i="19"/>
  <c r="G223" i="97"/>
  <c r="M18" i="19"/>
  <c r="E236" i="19"/>
  <c r="G235" i="149"/>
  <c r="G206" i="149"/>
  <c r="G228" i="149"/>
  <c r="M17" i="149"/>
  <c r="E237" i="149"/>
  <c r="G102" i="149"/>
  <c r="E236" i="149"/>
  <c r="E208" i="27"/>
  <c r="G181" i="97"/>
  <c r="M11" i="177"/>
  <c r="K14" i="145"/>
  <c r="G235" i="145"/>
  <c r="G21" i="145"/>
  <c r="H11" i="145"/>
  <c r="E237" i="145"/>
  <c r="M13" i="145"/>
  <c r="G61" i="145"/>
  <c r="M170" i="167"/>
  <c r="M102" i="167"/>
  <c r="M161" i="167"/>
  <c r="M197" i="167"/>
  <c r="M123" i="167"/>
  <c r="M89" i="167"/>
  <c r="M157" i="167"/>
  <c r="M93" i="167"/>
  <c r="G161" i="106"/>
  <c r="G197" i="172"/>
  <c r="G161" i="120"/>
  <c r="M12" i="84"/>
  <c r="G21" i="84"/>
  <c r="M16" i="118"/>
  <c r="G119" i="46"/>
  <c r="G119" i="90"/>
  <c r="E236" i="104"/>
  <c r="M17" i="15"/>
  <c r="M19" i="65"/>
  <c r="G21" i="65"/>
  <c r="E64" i="97"/>
  <c r="E208" i="106"/>
  <c r="E215" i="106"/>
  <c r="G167" i="97"/>
  <c r="J167" i="97"/>
  <c r="N164" i="155"/>
  <c r="E208" i="54"/>
  <c r="G111" i="106"/>
  <c r="M165" i="39"/>
  <c r="M44" i="39"/>
  <c r="M32" i="39"/>
  <c r="M109" i="39"/>
  <c r="G79" i="119"/>
  <c r="G79" i="102"/>
  <c r="M11" i="47"/>
  <c r="G21" i="47"/>
  <c r="G206" i="37"/>
  <c r="M206" i="37"/>
  <c r="M12" i="120"/>
  <c r="G197" i="165"/>
  <c r="E208" i="79"/>
  <c r="E215" i="79"/>
  <c r="G161" i="141"/>
  <c r="M34" i="94"/>
  <c r="G61" i="106"/>
  <c r="G61" i="83"/>
  <c r="G197" i="55"/>
  <c r="G93" i="143"/>
  <c r="G61" i="90"/>
  <c r="G21" i="16"/>
  <c r="H15" i="16"/>
  <c r="G102" i="178"/>
  <c r="G47" i="97"/>
  <c r="J47" i="97"/>
  <c r="N44" i="175"/>
  <c r="E105" i="97"/>
  <c r="G119" i="141"/>
  <c r="G206" i="72"/>
  <c r="M11" i="90"/>
  <c r="M13" i="141"/>
  <c r="M19" i="47"/>
  <c r="M18" i="90"/>
  <c r="G228" i="90"/>
  <c r="G61" i="62"/>
  <c r="M85" i="14"/>
  <c r="G206" i="118"/>
  <c r="G111" i="90"/>
  <c r="G61" i="32"/>
  <c r="G102" i="37"/>
  <c r="M102" i="37"/>
  <c r="E208" i="24"/>
  <c r="G36" i="97"/>
  <c r="G119" i="104"/>
  <c r="G61" i="24"/>
  <c r="G79" i="32"/>
  <c r="G119" i="102"/>
  <c r="G161" i="176"/>
  <c r="G197" i="42"/>
  <c r="G102" i="106"/>
  <c r="G93" i="119"/>
  <c r="G93" i="90"/>
  <c r="G161" i="24"/>
  <c r="G197" i="49"/>
  <c r="G61" i="19"/>
  <c r="G197" i="15"/>
  <c r="E208" i="175"/>
  <c r="E215" i="175"/>
  <c r="G197" i="43"/>
  <c r="G161" i="16"/>
  <c r="G61" i="79"/>
  <c r="M61" i="79"/>
  <c r="G87" i="97"/>
  <c r="E208" i="118"/>
  <c r="E208" i="178"/>
  <c r="E208" i="63"/>
  <c r="G102" i="157"/>
  <c r="M19" i="102"/>
  <c r="G102" i="10"/>
  <c r="C212" i="178"/>
  <c r="C215" i="178"/>
  <c r="G197" i="133"/>
  <c r="G21" i="54"/>
  <c r="M17" i="176"/>
  <c r="M14" i="68"/>
  <c r="G228" i="68"/>
  <c r="M18" i="103"/>
  <c r="G21" i="103"/>
  <c r="G228" i="104"/>
  <c r="M183" i="104"/>
  <c r="G102" i="143"/>
  <c r="M18" i="68"/>
  <c r="E236" i="141"/>
  <c r="G79" i="37"/>
  <c r="M79" i="37"/>
  <c r="G197" i="143"/>
  <c r="G111" i="32"/>
  <c r="G79" i="104"/>
  <c r="G119" i="103"/>
  <c r="G93" i="79"/>
  <c r="M93" i="79"/>
  <c r="M17" i="43"/>
  <c r="G161" i="165"/>
  <c r="G119" i="157"/>
  <c r="G129" i="97"/>
  <c r="O129" i="97"/>
  <c r="E208" i="156"/>
  <c r="E208" i="20"/>
  <c r="G197" i="58"/>
  <c r="G21" i="120"/>
  <c r="H17" i="120"/>
  <c r="G93" i="152"/>
  <c r="G161" i="27"/>
  <c r="E208" i="103"/>
  <c r="E215" i="103"/>
  <c r="G197" i="62"/>
  <c r="G101" i="97"/>
  <c r="E208" i="14"/>
  <c r="G228" i="15"/>
  <c r="M158" i="15"/>
  <c r="G93" i="54"/>
  <c r="M15" i="27"/>
  <c r="G21" i="27"/>
  <c r="M15" i="176"/>
  <c r="G182" i="97"/>
  <c r="J182" i="97"/>
  <c r="N179" i="178"/>
  <c r="G61" i="65"/>
  <c r="G79" i="24"/>
  <c r="G197" i="89"/>
  <c r="M11" i="119"/>
  <c r="G228" i="119"/>
  <c r="M192" i="119"/>
  <c r="M11" i="64"/>
  <c r="G21" i="10"/>
  <c r="M13" i="10"/>
  <c r="G206" i="86"/>
  <c r="M42" i="14"/>
  <c r="H220" i="14"/>
  <c r="M67" i="14"/>
  <c r="M191" i="14"/>
  <c r="M173" i="14"/>
  <c r="M90" i="14"/>
  <c r="M101" i="14"/>
  <c r="M106" i="14"/>
  <c r="M12" i="49"/>
  <c r="G111" i="25"/>
  <c r="M19" i="120"/>
  <c r="G93" i="39"/>
  <c r="G161" i="155"/>
  <c r="G197" i="176"/>
  <c r="G161" i="87"/>
  <c r="G119" i="79"/>
  <c r="M119" i="79"/>
  <c r="G102" i="19"/>
  <c r="G61" i="118"/>
  <c r="K14" i="176"/>
  <c r="G235" i="176"/>
  <c r="G61" i="120"/>
  <c r="G206" i="141"/>
  <c r="G111" i="104"/>
  <c r="G111" i="141"/>
  <c r="G119" i="28"/>
  <c r="G111" i="79"/>
  <c r="M111" i="79"/>
  <c r="G93" i="43"/>
  <c r="G197" i="66"/>
  <c r="G143" i="97"/>
  <c r="G197" i="85"/>
  <c r="G102" i="120"/>
  <c r="G197" i="145"/>
  <c r="G197" i="156"/>
  <c r="D215" i="178"/>
  <c r="E208" i="55"/>
  <c r="G102" i="79"/>
  <c r="M102" i="79"/>
  <c r="G79" i="152"/>
  <c r="G111" i="119"/>
  <c r="G111" i="84"/>
  <c r="G79" i="84"/>
  <c r="M12" i="19"/>
  <c r="G21" i="19"/>
  <c r="G197" i="63"/>
  <c r="E208" i="37"/>
  <c r="E215" i="37"/>
  <c r="M17" i="28"/>
  <c r="G21" i="28"/>
  <c r="G161" i="43"/>
  <c r="G111" i="152"/>
  <c r="G206" i="66"/>
  <c r="D215" i="174"/>
  <c r="M13" i="66"/>
  <c r="C215" i="32"/>
  <c r="C212" i="32"/>
  <c r="M17" i="54"/>
  <c r="M12" i="104"/>
  <c r="M16" i="104"/>
  <c r="G93" i="175"/>
  <c r="M16" i="14"/>
  <c r="G21" i="14"/>
  <c r="E82" i="97"/>
  <c r="E208" i="60"/>
  <c r="E215" i="60"/>
  <c r="E96" i="97"/>
  <c r="E208" i="25"/>
  <c r="G161" i="97"/>
  <c r="E208" i="102"/>
  <c r="E215" i="102"/>
  <c r="D215" i="24"/>
  <c r="G197" i="72"/>
  <c r="E236" i="176"/>
  <c r="G111" i="27"/>
  <c r="M15" i="120"/>
  <c r="M19" i="66"/>
  <c r="G93" i="164"/>
  <c r="M15" i="15"/>
  <c r="M19" i="15"/>
  <c r="M19" i="84"/>
  <c r="G206" i="89"/>
  <c r="G102" i="46"/>
  <c r="M17" i="10"/>
  <c r="G119" i="85"/>
  <c r="M16" i="141"/>
  <c r="G228" i="141"/>
  <c r="G119" i="25"/>
  <c r="E208" i="66"/>
  <c r="G161" i="145"/>
  <c r="G50" i="97"/>
  <c r="E208" i="155"/>
  <c r="G61" i="94"/>
  <c r="M61" i="94"/>
  <c r="E208" i="43"/>
  <c r="E215" i="43"/>
  <c r="G206" i="49"/>
  <c r="M18" i="62"/>
  <c r="M14" i="102"/>
  <c r="M16" i="83"/>
  <c r="G197" i="118"/>
  <c r="K15" i="87"/>
  <c r="G237" i="87"/>
  <c r="G111" i="28"/>
  <c r="E236" i="119"/>
  <c r="M19" i="118"/>
  <c r="E237" i="176"/>
  <c r="M12" i="15"/>
  <c r="M12" i="60"/>
  <c r="G237" i="98"/>
  <c r="K15" i="98"/>
  <c r="G111" i="60"/>
  <c r="G206" i="104"/>
  <c r="M15" i="64"/>
  <c r="E208" i="98"/>
  <c r="G100" i="97"/>
  <c r="E208" i="89"/>
  <c r="K15" i="177"/>
  <c r="G237" i="177"/>
  <c r="M17" i="120"/>
  <c r="M18" i="102"/>
  <c r="G102" i="119"/>
  <c r="M18" i="69"/>
  <c r="G111" i="156"/>
  <c r="G21" i="43"/>
  <c r="M13" i="43"/>
  <c r="M12" i="54"/>
  <c r="M17" i="141"/>
  <c r="G119" i="120"/>
  <c r="G93" i="63"/>
  <c r="M13" i="106"/>
  <c r="G21" i="106"/>
  <c r="G119" i="68"/>
  <c r="G206" i="15"/>
  <c r="G160" i="97"/>
  <c r="M18" i="63"/>
  <c r="E208" i="28"/>
  <c r="E215" i="28"/>
  <c r="G222" i="97"/>
  <c r="G58" i="97"/>
  <c r="G158" i="97"/>
  <c r="E208" i="145"/>
  <c r="G79" i="98"/>
  <c r="G103" i="97"/>
  <c r="E208" i="85"/>
  <c r="M13" i="176"/>
  <c r="G228" i="176"/>
  <c r="G111" i="43"/>
  <c r="M19" i="68"/>
  <c r="M18" i="50"/>
  <c r="G21" i="50"/>
  <c r="M16" i="66"/>
  <c r="G228" i="118"/>
  <c r="M127" i="118"/>
  <c r="M16" i="120"/>
  <c r="G119" i="71"/>
  <c r="E236" i="120"/>
  <c r="G119" i="43"/>
  <c r="G102" i="90"/>
  <c r="G119" i="119"/>
  <c r="C212" i="141"/>
  <c r="G111" i="175"/>
  <c r="G206" i="63"/>
  <c r="M17" i="145"/>
  <c r="M11" i="120"/>
  <c r="E236" i="68"/>
  <c r="G102" i="28"/>
  <c r="M13" i="62"/>
  <c r="G21" i="62"/>
  <c r="M188" i="167"/>
  <c r="H152" i="57"/>
  <c r="H119" i="57"/>
  <c r="H178" i="57"/>
  <c r="H155" i="57"/>
  <c r="H173" i="57"/>
  <c r="H138" i="57"/>
  <c r="H47" i="57"/>
  <c r="H100" i="57"/>
  <c r="H160" i="57"/>
  <c r="H135" i="57"/>
  <c r="H45" i="57"/>
  <c r="H25" i="57"/>
  <c r="H58" i="57"/>
  <c r="H202" i="57"/>
  <c r="H99" i="57"/>
  <c r="H73" i="57"/>
  <c r="H146" i="57"/>
  <c r="H30" i="57"/>
  <c r="H102" i="57"/>
  <c r="H194" i="57"/>
  <c r="H158" i="57"/>
  <c r="H82" i="57"/>
  <c r="H208" i="57"/>
  <c r="H53" i="57"/>
  <c r="H38" i="57"/>
  <c r="H148" i="57"/>
  <c r="H183" i="57"/>
  <c r="H85" i="57"/>
  <c r="H114" i="57"/>
  <c r="H74" i="57"/>
  <c r="H131" i="57"/>
  <c r="H29" i="57"/>
  <c r="H176" i="57"/>
  <c r="H71" i="57"/>
  <c r="H89" i="57"/>
  <c r="H50" i="57"/>
  <c r="H118" i="57"/>
  <c r="H61" i="57"/>
  <c r="H182" i="57"/>
  <c r="H115" i="57"/>
  <c r="H107" i="57"/>
  <c r="M208" i="57"/>
  <c r="H126" i="57"/>
  <c r="H203" i="57"/>
  <c r="H34" i="57"/>
  <c r="H44" i="57"/>
  <c r="H190" i="57"/>
  <c r="H192" i="57"/>
  <c r="H136" i="57"/>
  <c r="H27" i="57"/>
  <c r="H123" i="57"/>
  <c r="H179" i="57"/>
  <c r="H184" i="57"/>
  <c r="H166" i="57"/>
  <c r="H110" i="57"/>
  <c r="H86" i="57"/>
  <c r="H97" i="57"/>
  <c r="H151" i="57"/>
  <c r="H168" i="57"/>
  <c r="H175" i="57"/>
  <c r="H32" i="57"/>
  <c r="H159" i="57"/>
  <c r="H153" i="57"/>
  <c r="H149" i="57"/>
  <c r="H187" i="57"/>
  <c r="H96" i="57"/>
  <c r="H26" i="57"/>
  <c r="H87" i="57"/>
  <c r="H157" i="57"/>
  <c r="H90" i="57"/>
  <c r="H116" i="57"/>
  <c r="H130" i="57"/>
  <c r="H196" i="57"/>
  <c r="H41" i="57"/>
  <c r="H48" i="57"/>
  <c r="H200" i="57"/>
  <c r="H46" i="57"/>
  <c r="H169" i="57"/>
  <c r="H161" i="57"/>
  <c r="H185" i="57"/>
  <c r="H33" i="57"/>
  <c r="H59" i="57"/>
  <c r="H177" i="57"/>
  <c r="H35" i="57"/>
  <c r="H181" i="57"/>
  <c r="H40" i="57"/>
  <c r="H77" i="57"/>
  <c r="H127" i="57"/>
  <c r="H54" i="57"/>
  <c r="H93" i="57"/>
  <c r="H75" i="57"/>
  <c r="H180" i="57"/>
  <c r="H57" i="57"/>
  <c r="H188" i="57"/>
  <c r="G215" i="57"/>
  <c r="H52" i="57"/>
  <c r="H164" i="57"/>
  <c r="H67" i="57"/>
  <c r="H28" i="57"/>
  <c r="H167" i="57"/>
  <c r="H172" i="57"/>
  <c r="H132" i="57"/>
  <c r="H65" i="57"/>
  <c r="H31" i="57"/>
  <c r="H37" i="57"/>
  <c r="H145" i="57"/>
  <c r="H191" i="57"/>
  <c r="H105" i="57"/>
  <c r="H69" i="57"/>
  <c r="H129" i="57"/>
  <c r="H91" i="57"/>
  <c r="H78" i="57"/>
  <c r="H174" i="57"/>
  <c r="H197" i="57"/>
  <c r="H39" i="57"/>
  <c r="H165" i="57"/>
  <c r="H106" i="57"/>
  <c r="H42" i="57"/>
  <c r="H70" i="57"/>
  <c r="H171" i="57"/>
  <c r="H140" i="57"/>
  <c r="K12" i="57"/>
  <c r="H79" i="57"/>
  <c r="H51" i="57"/>
  <c r="H83" i="57"/>
  <c r="H193" i="57"/>
  <c r="H101" i="57"/>
  <c r="H98" i="57"/>
  <c r="H108" i="57"/>
  <c r="H60" i="57"/>
  <c r="H117" i="57"/>
  <c r="H64" i="57"/>
  <c r="H88" i="57"/>
  <c r="H92" i="57"/>
  <c r="H195" i="57"/>
  <c r="H186" i="57"/>
  <c r="H189" i="57"/>
  <c r="H124" i="57"/>
  <c r="H141" i="57"/>
  <c r="H143" i="57"/>
  <c r="H201" i="57"/>
  <c r="H68" i="57"/>
  <c r="H150" i="57"/>
  <c r="H84" i="57"/>
  <c r="H125" i="57"/>
  <c r="H147" i="57"/>
  <c r="H49" i="57"/>
  <c r="H206" i="57"/>
  <c r="H205" i="57"/>
  <c r="H109" i="57"/>
  <c r="H43" i="57"/>
  <c r="H66" i="57"/>
  <c r="H133" i="57"/>
  <c r="H137" i="57"/>
  <c r="H156" i="57"/>
  <c r="H170" i="57"/>
  <c r="H111" i="57"/>
  <c r="H142" i="57"/>
  <c r="H204" i="57"/>
  <c r="H55" i="57"/>
  <c r="H72" i="57"/>
  <c r="H36" i="57"/>
  <c r="H76" i="57"/>
  <c r="C212" i="175"/>
  <c r="C215" i="175"/>
  <c r="G228" i="54"/>
  <c r="M101" i="54"/>
  <c r="M18" i="54"/>
  <c r="G31" i="97"/>
  <c r="M53" i="37"/>
  <c r="G61" i="156"/>
  <c r="G79" i="175"/>
  <c r="M14" i="64"/>
  <c r="G21" i="64"/>
  <c r="M166" i="158"/>
  <c r="M18" i="66"/>
  <c r="G21" i="66"/>
  <c r="G79" i="71"/>
  <c r="M12" i="58"/>
  <c r="E122" i="97"/>
  <c r="G188" i="97"/>
  <c r="G198" i="97"/>
  <c r="M15" i="118"/>
  <c r="G73" i="97"/>
  <c r="M12" i="133"/>
  <c r="G21" i="133"/>
  <c r="M133" i="79"/>
  <c r="G93" i="98"/>
  <c r="M49" i="79"/>
  <c r="G208" i="97"/>
  <c r="M19" i="156"/>
  <c r="G119" i="152"/>
  <c r="M148" i="79"/>
  <c r="G151" i="97"/>
  <c r="O151" i="97"/>
  <c r="M19" i="133"/>
  <c r="G61" i="155"/>
  <c r="G161" i="94"/>
  <c r="M161" i="94"/>
  <c r="M149" i="94"/>
  <c r="G152" i="97"/>
  <c r="O152" i="97"/>
  <c r="E208" i="164"/>
  <c r="G237" i="39"/>
  <c r="K15" i="39"/>
  <c r="G51" i="97"/>
  <c r="J51" i="97"/>
  <c r="G102" i="94"/>
  <c r="M102" i="94"/>
  <c r="M101" i="94"/>
  <c r="M133" i="37"/>
  <c r="G161" i="37"/>
  <c r="M161" i="37"/>
  <c r="G61" i="69"/>
  <c r="G102" i="49"/>
  <c r="D215" i="165"/>
  <c r="M13" i="63"/>
  <c r="G21" i="63"/>
  <c r="M12" i="178"/>
  <c r="M18" i="178"/>
  <c r="G21" i="97"/>
  <c r="M28" i="42"/>
  <c r="M136" i="167"/>
  <c r="M12" i="72"/>
  <c r="H221" i="102"/>
  <c r="G94" i="97"/>
  <c r="M16" i="178"/>
  <c r="G227" i="97"/>
  <c r="M31" i="79"/>
  <c r="M96" i="79"/>
  <c r="M190" i="14"/>
  <c r="G102" i="54"/>
  <c r="G161" i="63"/>
  <c r="G197" i="104"/>
  <c r="G102" i="133"/>
  <c r="C212" i="68"/>
  <c r="C215" i="68"/>
  <c r="G93" i="102"/>
  <c r="G132" i="97"/>
  <c r="G119" i="63"/>
  <c r="G120" i="97"/>
  <c r="G93" i="165"/>
  <c r="G112" i="97"/>
  <c r="G161" i="71"/>
  <c r="G45" i="97"/>
  <c r="E238" i="86"/>
  <c r="G163" i="97"/>
  <c r="G119" i="174"/>
  <c r="G81" i="97"/>
  <c r="G197" i="28"/>
  <c r="G161" i="39"/>
  <c r="D215" i="39"/>
  <c r="M11" i="58"/>
  <c r="G21" i="58"/>
  <c r="G119" i="133"/>
  <c r="G63" i="97"/>
  <c r="G61" i="85"/>
  <c r="G93" i="178"/>
  <c r="G61" i="84"/>
  <c r="M18" i="64"/>
  <c r="M70" i="79"/>
  <c r="G111" i="133"/>
  <c r="G197" i="152"/>
  <c r="M34" i="167"/>
  <c r="G236" i="167"/>
  <c r="M78" i="167"/>
  <c r="M52" i="167"/>
  <c r="M73" i="167"/>
  <c r="M142" i="167"/>
  <c r="M117" i="167"/>
  <c r="M179" i="167"/>
  <c r="M158" i="167"/>
  <c r="M148" i="167"/>
  <c r="M126" i="167"/>
  <c r="M85" i="167"/>
  <c r="M193" i="167"/>
  <c r="M205" i="167"/>
  <c r="M100" i="167"/>
  <c r="H226" i="167"/>
  <c r="M69" i="167"/>
  <c r="M171" i="167"/>
  <c r="M105" i="167"/>
  <c r="M45" i="167"/>
  <c r="M196" i="167"/>
  <c r="M116" i="167"/>
  <c r="M165" i="167"/>
  <c r="M53" i="167"/>
  <c r="M59" i="167"/>
  <c r="M149" i="167"/>
  <c r="M173" i="167"/>
  <c r="M150" i="167"/>
  <c r="M159" i="167"/>
  <c r="M42" i="167"/>
  <c r="M164" i="167"/>
  <c r="M54" i="167"/>
  <c r="M140" i="167"/>
  <c r="M108" i="167"/>
  <c r="M30" i="167"/>
  <c r="M192" i="167"/>
  <c r="M70" i="167"/>
  <c r="M151" i="167"/>
  <c r="M180" i="167"/>
  <c r="M189" i="167"/>
  <c r="M66" i="167"/>
  <c r="M67" i="167"/>
  <c r="M31" i="167"/>
  <c r="M39" i="167"/>
  <c r="M68" i="167"/>
  <c r="M183" i="167"/>
  <c r="M27" i="167"/>
  <c r="M25" i="167"/>
  <c r="M194" i="167"/>
  <c r="M166" i="167"/>
  <c r="M83" i="167"/>
  <c r="M110" i="167"/>
  <c r="M106" i="167"/>
  <c r="M176" i="167"/>
  <c r="M147" i="167"/>
  <c r="M200" i="167"/>
  <c r="M177" i="167"/>
  <c r="M56" i="167"/>
  <c r="M38" i="167"/>
  <c r="M146" i="167"/>
  <c r="M43" i="167"/>
  <c r="M201" i="167"/>
  <c r="M204" i="167"/>
  <c r="H222" i="167"/>
  <c r="M190" i="167"/>
  <c r="M82" i="167"/>
  <c r="H219" i="167"/>
  <c r="M87" i="167"/>
  <c r="M88" i="167"/>
  <c r="M35" i="167"/>
  <c r="M155" i="167"/>
  <c r="M47" i="167"/>
  <c r="H220" i="167"/>
  <c r="M86" i="167"/>
  <c r="M145" i="167"/>
  <c r="M60" i="167"/>
  <c r="M37" i="167"/>
  <c r="M107" i="167"/>
  <c r="M129" i="167"/>
  <c r="M77" i="167"/>
  <c r="M143" i="167"/>
  <c r="M133" i="167"/>
  <c r="M131" i="167"/>
  <c r="M58" i="167"/>
  <c r="M92" i="167"/>
  <c r="H221" i="167"/>
  <c r="M185" i="167"/>
  <c r="M130" i="167"/>
  <c r="M48" i="167"/>
  <c r="M160" i="167"/>
  <c r="M124" i="167"/>
  <c r="M114" i="167"/>
  <c r="M51" i="167"/>
  <c r="M125" i="167"/>
  <c r="M90" i="167"/>
  <c r="M135" i="167"/>
  <c r="M65" i="167"/>
  <c r="M137" i="167"/>
  <c r="M174" i="167"/>
  <c r="M91" i="167"/>
  <c r="M184" i="167"/>
  <c r="M138" i="167"/>
  <c r="H223" i="167"/>
  <c r="M99" i="167"/>
  <c r="M55" i="167"/>
  <c r="M57" i="167"/>
  <c r="M29" i="167"/>
  <c r="M153" i="167"/>
  <c r="M75" i="167"/>
  <c r="M84" i="167"/>
  <c r="H225" i="167"/>
  <c r="M169" i="167"/>
  <c r="M40" i="167"/>
  <c r="M109" i="167"/>
  <c r="M33" i="167"/>
  <c r="H227" i="167"/>
  <c r="M182" i="167"/>
  <c r="M175" i="167"/>
  <c r="M132" i="167"/>
  <c r="M127" i="167"/>
  <c r="M26" i="167"/>
  <c r="M46" i="167"/>
  <c r="M96" i="167"/>
  <c r="M64" i="167"/>
  <c r="M50" i="167"/>
  <c r="M152" i="167"/>
  <c r="M186" i="167"/>
  <c r="M167" i="167"/>
  <c r="M191" i="167"/>
  <c r="M44" i="167"/>
  <c r="M172" i="167"/>
  <c r="M156" i="167"/>
  <c r="M203" i="167"/>
  <c r="H228" i="167"/>
  <c r="M74" i="167"/>
  <c r="M101" i="167"/>
  <c r="M41" i="167"/>
  <c r="M36" i="167"/>
  <c r="M32" i="167"/>
  <c r="M202" i="167"/>
  <c r="M141" i="167"/>
  <c r="M76" i="167"/>
  <c r="M187" i="167"/>
  <c r="M119" i="167"/>
  <c r="H224" i="167"/>
  <c r="M168" i="167"/>
  <c r="M71" i="167"/>
  <c r="M118" i="167"/>
  <c r="M195" i="167"/>
  <c r="K13" i="167"/>
  <c r="M49" i="167"/>
  <c r="M115" i="167"/>
  <c r="M28" i="167"/>
  <c r="M79" i="167"/>
  <c r="M72" i="167"/>
  <c r="M181" i="167"/>
  <c r="M206" i="167"/>
  <c r="M61" i="167"/>
  <c r="M111" i="167"/>
  <c r="M178" i="167"/>
  <c r="M21" i="167"/>
  <c r="G161" i="53"/>
  <c r="G235" i="63"/>
  <c r="K14" i="63"/>
  <c r="G206" i="68"/>
  <c r="G206" i="97"/>
  <c r="G176" i="97"/>
  <c r="G119" i="97"/>
  <c r="G206" i="58"/>
  <c r="G161" i="68"/>
  <c r="G111" i="85"/>
  <c r="G95" i="97"/>
  <c r="G79" i="106"/>
  <c r="G228" i="66"/>
  <c r="M72" i="66"/>
  <c r="M11" i="66"/>
  <c r="M19" i="54"/>
  <c r="G230" i="97"/>
  <c r="G197" i="27"/>
  <c r="M179" i="157"/>
  <c r="M65" i="157"/>
  <c r="M72" i="157"/>
  <c r="G61" i="64"/>
  <c r="G61" i="68"/>
  <c r="G61" i="10"/>
  <c r="E237" i="155"/>
  <c r="G179" i="97"/>
  <c r="J179" i="97"/>
  <c r="M26" i="94"/>
  <c r="M97" i="94"/>
  <c r="M28" i="94"/>
  <c r="M75" i="94"/>
  <c r="M160" i="94"/>
  <c r="M110" i="94"/>
  <c r="M148" i="94"/>
  <c r="M196" i="94"/>
  <c r="M193" i="94"/>
  <c r="M108" i="94"/>
  <c r="M155" i="94"/>
  <c r="M176" i="94"/>
  <c r="H225" i="94"/>
  <c r="M192" i="94"/>
  <c r="M116" i="94"/>
  <c r="M99" i="94"/>
  <c r="M181" i="94"/>
  <c r="M151" i="94"/>
  <c r="M90" i="94"/>
  <c r="H226" i="94"/>
  <c r="M177" i="94"/>
  <c r="M88" i="94"/>
  <c r="M145" i="94"/>
  <c r="M70" i="94"/>
  <c r="M195" i="94"/>
  <c r="M132" i="94"/>
  <c r="M27" i="94"/>
  <c r="M147" i="94"/>
  <c r="M201" i="94"/>
  <c r="M124" i="94"/>
  <c r="M150" i="94"/>
  <c r="H223" i="94"/>
  <c r="M115" i="94"/>
  <c r="H221" i="94"/>
  <c r="M49" i="94"/>
  <c r="M69" i="94"/>
  <c r="M141" i="94"/>
  <c r="M87" i="94"/>
  <c r="M127" i="94"/>
  <c r="M166" i="94"/>
  <c r="M138" i="94"/>
  <c r="M105" i="94"/>
  <c r="M135" i="94"/>
  <c r="M77" i="94"/>
  <c r="M136" i="94"/>
  <c r="M68" i="94"/>
  <c r="M91" i="94"/>
  <c r="M53" i="94"/>
  <c r="M185" i="94"/>
  <c r="M153" i="94"/>
  <c r="M92" i="94"/>
  <c r="M194" i="94"/>
  <c r="M107" i="94"/>
  <c r="M85" i="94"/>
  <c r="M123" i="94"/>
  <c r="M133" i="94"/>
  <c r="M55" i="94"/>
  <c r="M30" i="94"/>
  <c r="M131" i="94"/>
  <c r="M179" i="94"/>
  <c r="M89" i="94"/>
  <c r="M168" i="94"/>
  <c r="M29" i="94"/>
  <c r="M174" i="94"/>
  <c r="M71" i="94"/>
  <c r="M130" i="94"/>
  <c r="M100" i="94"/>
  <c r="M187" i="94"/>
  <c r="H222" i="94"/>
  <c r="M106" i="94"/>
  <c r="M74" i="94"/>
  <c r="M36" i="94"/>
  <c r="M76" i="94"/>
  <c r="M117" i="94"/>
  <c r="M167" i="94"/>
  <c r="M37" i="94"/>
  <c r="M18" i="20"/>
  <c r="M75" i="38"/>
  <c r="E238" i="167"/>
  <c r="M16" i="94"/>
  <c r="G21" i="94"/>
  <c r="G59" i="97"/>
  <c r="G237" i="167"/>
  <c r="K15" i="167"/>
  <c r="M13" i="156"/>
  <c r="G21" i="156"/>
  <c r="G141" i="97"/>
  <c r="O141" i="97"/>
  <c r="G56" i="97"/>
  <c r="G161" i="98"/>
  <c r="G154" i="97"/>
  <c r="M191" i="79"/>
  <c r="M14" i="38"/>
  <c r="G21" i="38"/>
  <c r="M27" i="87"/>
  <c r="C215" i="152"/>
  <c r="C212" i="152"/>
  <c r="G136" i="97"/>
  <c r="G194" i="97"/>
  <c r="G61" i="39"/>
  <c r="K15" i="32"/>
  <c r="G237" i="32"/>
  <c r="M127" i="79"/>
  <c r="G171" i="97"/>
  <c r="O171" i="97"/>
  <c r="H222" i="165"/>
  <c r="M153" i="165"/>
  <c r="G161" i="175"/>
  <c r="G197" i="79"/>
  <c r="M197" i="79"/>
  <c r="G61" i="66"/>
  <c r="E237" i="63"/>
  <c r="G111" i="103"/>
  <c r="G109" i="97"/>
  <c r="M16" i="63"/>
  <c r="M17" i="133"/>
  <c r="E238" i="142"/>
  <c r="M73" i="86"/>
  <c r="G21" i="164"/>
  <c r="M12" i="164"/>
  <c r="G93" i="71"/>
  <c r="G79" i="10"/>
  <c r="G161" i="174"/>
  <c r="G21" i="98"/>
  <c r="G61" i="102"/>
  <c r="G61" i="37"/>
  <c r="M61" i="37"/>
  <c r="M29" i="37"/>
  <c r="G61" i="63"/>
  <c r="M15" i="71"/>
  <c r="M12" i="118"/>
  <c r="G21" i="118"/>
  <c r="G15" i="97"/>
  <c r="K13" i="64"/>
  <c r="M14" i="58"/>
  <c r="G93" i="62"/>
  <c r="K15" i="178"/>
  <c r="G161" i="178"/>
  <c r="G61" i="49"/>
  <c r="M192" i="37"/>
  <c r="G79" i="178"/>
  <c r="M149" i="83"/>
  <c r="M146" i="83"/>
  <c r="G119" i="38"/>
  <c r="G79" i="68"/>
  <c r="M12" i="71"/>
  <c r="G21" i="71"/>
  <c r="M201" i="79"/>
  <c r="G206" i="79"/>
  <c r="M206" i="79"/>
  <c r="G197" i="10"/>
  <c r="G113" i="97"/>
  <c r="G102" i="39"/>
  <c r="G207" i="97"/>
  <c r="G61" i="71"/>
  <c r="G161" i="14"/>
  <c r="G75" i="97"/>
  <c r="G235" i="97"/>
  <c r="D215" i="155"/>
  <c r="M18" i="49"/>
  <c r="M123" i="79"/>
  <c r="G161" i="79"/>
  <c r="M161" i="79"/>
  <c r="C212" i="145"/>
  <c r="C215" i="145"/>
  <c r="G119" i="98"/>
  <c r="G174" i="97"/>
  <c r="G61" i="133"/>
  <c r="G61" i="20"/>
  <c r="G197" i="155"/>
  <c r="G93" i="156"/>
  <c r="G102" i="165"/>
  <c r="G206" i="43"/>
  <c r="G204" i="97"/>
  <c r="M131" i="79"/>
  <c r="G208" i="167"/>
  <c r="M205" i="133"/>
  <c r="G93" i="64"/>
  <c r="C212" i="118"/>
  <c r="G79" i="155"/>
  <c r="G61" i="15"/>
  <c r="M17" i="178"/>
  <c r="G111" i="178"/>
  <c r="G197" i="39"/>
  <c r="G197" i="53"/>
  <c r="G93" i="83"/>
  <c r="G139" i="97"/>
  <c r="O139" i="97"/>
  <c r="G78" i="97"/>
  <c r="M175" i="94"/>
  <c r="G178" i="97"/>
  <c r="J178" i="97"/>
  <c r="G197" i="102"/>
  <c r="E236" i="58"/>
  <c r="C211" i="97"/>
  <c r="G93" i="46"/>
  <c r="G168" i="97"/>
  <c r="G197" i="178"/>
  <c r="G133" i="97"/>
  <c r="G111" i="102"/>
  <c r="G197" i="98"/>
  <c r="E215" i="167"/>
  <c r="G224" i="97"/>
  <c r="M14" i="178"/>
  <c r="M14" i="49"/>
  <c r="G35" i="97"/>
  <c r="G197" i="71"/>
  <c r="M13" i="55"/>
  <c r="G21" i="55"/>
  <c r="E236" i="63"/>
  <c r="G43" i="97"/>
  <c r="M99" i="58"/>
  <c r="G61" i="174"/>
  <c r="G102" i="43"/>
  <c r="E236" i="178"/>
  <c r="G206" i="133"/>
  <c r="M14" i="155"/>
  <c r="G228" i="155"/>
  <c r="M96" i="155"/>
  <c r="G79" i="133"/>
  <c r="G52" i="97"/>
  <c r="G102" i="55"/>
  <c r="G61" i="43"/>
  <c r="E209" i="97"/>
  <c r="E200" i="97"/>
  <c r="M203" i="58"/>
  <c r="C215" i="165"/>
  <c r="C212" i="165"/>
  <c r="G161" i="28"/>
  <c r="G119" i="64"/>
  <c r="G102" i="155"/>
  <c r="E238" i="118"/>
  <c r="G206" i="64"/>
  <c r="G16" i="97"/>
  <c r="G197" i="46"/>
  <c r="M18" i="85"/>
  <c r="G86" i="97"/>
  <c r="G161" i="152"/>
  <c r="G135" i="97"/>
  <c r="G61" i="25"/>
  <c r="G93" i="15"/>
  <c r="G93" i="47"/>
  <c r="G111" i="10"/>
  <c r="G79" i="83"/>
  <c r="G72" i="97"/>
  <c r="M35" i="37"/>
  <c r="M182" i="37"/>
  <c r="M176" i="37"/>
  <c r="M187" i="37"/>
  <c r="M167" i="37"/>
  <c r="M97" i="37"/>
  <c r="H223" i="37"/>
  <c r="M67" i="37"/>
  <c r="M92" i="37"/>
  <c r="M52" i="37"/>
  <c r="M135" i="37"/>
  <c r="M194" i="37"/>
  <c r="M99" i="37"/>
  <c r="M127" i="37"/>
  <c r="M54" i="37"/>
  <c r="M31" i="37"/>
  <c r="M116" i="37"/>
  <c r="H224" i="37"/>
  <c r="M155" i="37"/>
  <c r="M38" i="37"/>
  <c r="M191" i="37"/>
  <c r="M145" i="37"/>
  <c r="M39" i="37"/>
  <c r="M151" i="37"/>
  <c r="M188" i="37"/>
  <c r="M57" i="37"/>
  <c r="M160" i="37"/>
  <c r="M180" i="37"/>
  <c r="M28" i="37"/>
  <c r="M189" i="37"/>
  <c r="M91" i="37"/>
  <c r="M32" i="37"/>
  <c r="M86" i="37"/>
  <c r="M27" i="37"/>
  <c r="M82" i="37"/>
  <c r="H219" i="37"/>
  <c r="M69" i="37"/>
  <c r="H222" i="37"/>
  <c r="M132" i="37"/>
  <c r="M205" i="37"/>
  <c r="M200" i="37"/>
  <c r="M185" i="37"/>
  <c r="M170" i="37"/>
  <c r="M142" i="37"/>
  <c r="M117" i="37"/>
  <c r="M78" i="37"/>
  <c r="M184" i="37"/>
  <c r="M73" i="37"/>
  <c r="M159" i="37"/>
  <c r="M140" i="37"/>
  <c r="M153" i="37"/>
  <c r="M157" i="37"/>
  <c r="M55" i="37"/>
  <c r="M179" i="37"/>
  <c r="M129" i="37"/>
  <c r="M124" i="37"/>
  <c r="M98" i="37"/>
  <c r="M152" i="37"/>
  <c r="M30" i="37"/>
  <c r="M45" i="37"/>
  <c r="M190" i="37"/>
  <c r="M48" i="37"/>
  <c r="M87" i="37"/>
  <c r="M148" i="37"/>
  <c r="M65" i="37"/>
  <c r="M60" i="37"/>
  <c r="M33" i="37"/>
  <c r="M146" i="37"/>
  <c r="M105" i="37"/>
  <c r="M75" i="37"/>
  <c r="H228" i="37"/>
  <c r="M171" i="37"/>
  <c r="M141" i="37"/>
  <c r="M74" i="37"/>
  <c r="M178" i="37"/>
  <c r="M41" i="37"/>
  <c r="M181" i="37"/>
  <c r="M193" i="37"/>
  <c r="M130" i="37"/>
  <c r="M136" i="37"/>
  <c r="M77" i="37"/>
  <c r="H227" i="37"/>
  <c r="M66" i="37"/>
  <c r="M114" i="37"/>
  <c r="M59" i="37"/>
  <c r="M110" i="37"/>
  <c r="M107" i="37"/>
  <c r="M26" i="37"/>
  <c r="M96" i="37"/>
  <c r="M40" i="37"/>
  <c r="M42" i="37"/>
  <c r="M108" i="37"/>
  <c r="M138" i="37"/>
  <c r="M204" i="37"/>
  <c r="H220" i="37"/>
  <c r="M175" i="37"/>
  <c r="M72" i="37"/>
  <c r="M177" i="37"/>
  <c r="M164" i="37"/>
  <c r="M83" i="37"/>
  <c r="H225" i="37"/>
  <c r="M25" i="37"/>
  <c r="K13" i="37"/>
  <c r="M150" i="37"/>
  <c r="M201" i="37"/>
  <c r="M89" i="37"/>
  <c r="M46" i="37"/>
  <c r="M70" i="37"/>
  <c r="M85" i="37"/>
  <c r="M165" i="37"/>
  <c r="M43" i="37"/>
  <c r="M196" i="37"/>
  <c r="M174" i="37"/>
  <c r="M203" i="37"/>
  <c r="M109" i="37"/>
  <c r="M68" i="37"/>
  <c r="M76" i="37"/>
  <c r="M90" i="37"/>
  <c r="M58" i="37"/>
  <c r="M172" i="37"/>
  <c r="M101" i="37"/>
  <c r="M143" i="37"/>
  <c r="M131" i="37"/>
  <c r="M51" i="37"/>
  <c r="M47" i="37"/>
  <c r="H226" i="37"/>
  <c r="M126" i="37"/>
  <c r="M115" i="37"/>
  <c r="M36" i="37"/>
  <c r="M166" i="37"/>
  <c r="M71" i="37"/>
  <c r="M123" i="37"/>
  <c r="H221" i="37"/>
  <c r="M37" i="37"/>
  <c r="M183" i="37"/>
  <c r="M149" i="37"/>
  <c r="M137" i="37"/>
  <c r="M186" i="37"/>
  <c r="M100" i="37"/>
  <c r="M44" i="37"/>
  <c r="M202" i="37"/>
  <c r="M49" i="37"/>
  <c r="M125" i="37"/>
  <c r="M147" i="37"/>
  <c r="M56" i="37"/>
  <c r="M195" i="37"/>
  <c r="M118" i="37"/>
  <c r="M156" i="37"/>
  <c r="G111" i="39"/>
  <c r="G161" i="118"/>
  <c r="G130" i="97"/>
  <c r="O130" i="97"/>
  <c r="G93" i="103"/>
  <c r="G79" i="156"/>
  <c r="G175" i="97"/>
  <c r="O175" i="97"/>
  <c r="G119" i="58"/>
  <c r="G161" i="15"/>
  <c r="M13" i="32"/>
  <c r="G21" i="32"/>
  <c r="G111" i="97"/>
  <c r="M13" i="178"/>
  <c r="G161" i="85"/>
  <c r="K14" i="155"/>
  <c r="G235" i="155"/>
  <c r="G93" i="118"/>
  <c r="G92" i="97"/>
  <c r="G93" i="97"/>
  <c r="G111" i="68"/>
  <c r="G108" i="97"/>
  <c r="O108" i="97"/>
  <c r="G111" i="98"/>
  <c r="M13" i="46"/>
  <c r="G161" i="58"/>
  <c r="G102" i="102"/>
  <c r="G61" i="54"/>
  <c r="G146" i="97"/>
  <c r="E237" i="43"/>
  <c r="G155" i="97"/>
  <c r="M14" i="63"/>
  <c r="G225" i="97"/>
  <c r="M16" i="145"/>
  <c r="E236" i="49"/>
  <c r="M141" i="24"/>
  <c r="M123" i="24"/>
  <c r="H220" i="24"/>
  <c r="E236" i="155"/>
  <c r="G197" i="14"/>
  <c r="G102" i="98"/>
  <c r="G79" i="15"/>
  <c r="G61" i="60"/>
  <c r="G93" i="66"/>
  <c r="M45" i="94"/>
  <c r="G48" i="97"/>
  <c r="J48" i="97"/>
  <c r="M17" i="63"/>
  <c r="M164" i="79"/>
  <c r="M110" i="79"/>
  <c r="M187" i="79"/>
  <c r="M167" i="79"/>
  <c r="M48" i="79"/>
  <c r="M205" i="79"/>
  <c r="M105" i="79"/>
  <c r="M84" i="79"/>
  <c r="M67" i="79"/>
  <c r="H223" i="79"/>
  <c r="M39" i="79"/>
  <c r="M188" i="79"/>
  <c r="M179" i="79"/>
  <c r="M172" i="79"/>
  <c r="M41" i="79"/>
  <c r="M35" i="79"/>
  <c r="M165" i="79"/>
  <c r="M32" i="79"/>
  <c r="M174" i="79"/>
  <c r="M27" i="79"/>
  <c r="M192" i="79"/>
  <c r="M204" i="79"/>
  <c r="M115" i="79"/>
  <c r="M38" i="79"/>
  <c r="M82" i="79"/>
  <c r="M194" i="79"/>
  <c r="M46" i="79"/>
  <c r="H227" i="79"/>
  <c r="M200" i="79"/>
  <c r="M155" i="79"/>
  <c r="M150" i="79"/>
  <c r="H219" i="79"/>
  <c r="M83" i="79"/>
  <c r="M178" i="79"/>
  <c r="M52" i="79"/>
  <c r="M53" i="79"/>
  <c r="M75" i="79"/>
  <c r="M152" i="79"/>
  <c r="M65" i="79"/>
  <c r="M30" i="79"/>
  <c r="M101" i="79"/>
  <c r="H220" i="79"/>
  <c r="M34" i="79"/>
  <c r="M145" i="79"/>
  <c r="M68" i="79"/>
  <c r="M91" i="79"/>
  <c r="M157" i="79"/>
  <c r="M78" i="79"/>
  <c r="M59" i="79"/>
  <c r="M69" i="79"/>
  <c r="M106" i="79"/>
  <c r="M129" i="79"/>
  <c r="H225" i="79"/>
  <c r="M118" i="79"/>
  <c r="M136" i="79"/>
  <c r="M142" i="79"/>
  <c r="M55" i="79"/>
  <c r="M89" i="79"/>
  <c r="M36" i="79"/>
  <c r="M64" i="79"/>
  <c r="M177" i="79"/>
  <c r="M37" i="79"/>
  <c r="M116" i="79"/>
  <c r="M71" i="79"/>
  <c r="M98" i="79"/>
  <c r="M109" i="79"/>
  <c r="M114" i="79"/>
  <c r="M92" i="79"/>
  <c r="M57" i="79"/>
  <c r="M156" i="79"/>
  <c r="H226" i="79"/>
  <c r="M176" i="79"/>
  <c r="M107" i="79"/>
  <c r="M159" i="79"/>
  <c r="M151" i="79"/>
  <c r="M33" i="79"/>
  <c r="M43" i="79"/>
  <c r="M153" i="79"/>
  <c r="M77" i="79"/>
  <c r="M138" i="79"/>
  <c r="M173" i="79"/>
  <c r="M158" i="79"/>
  <c r="M160" i="79"/>
  <c r="M141" i="79"/>
  <c r="M168" i="79"/>
  <c r="M29" i="79"/>
  <c r="M124" i="79"/>
  <c r="M45" i="79"/>
  <c r="M184" i="79"/>
  <c r="M146" i="79"/>
  <c r="M76" i="79"/>
  <c r="M66" i="79"/>
  <c r="M42" i="79"/>
  <c r="M143" i="79"/>
  <c r="M169" i="79"/>
  <c r="M186" i="79"/>
  <c r="M99" i="79"/>
  <c r="M86" i="79"/>
  <c r="M125" i="79"/>
  <c r="M26" i="79"/>
  <c r="M196" i="79"/>
  <c r="K13" i="79"/>
  <c r="M203" i="79"/>
  <c r="M126" i="79"/>
  <c r="M50" i="79"/>
  <c r="M117" i="79"/>
  <c r="M87" i="79"/>
  <c r="M100" i="79"/>
  <c r="M166" i="79"/>
  <c r="H221" i="79"/>
  <c r="M175" i="79"/>
  <c r="M190" i="79"/>
  <c r="M181" i="79"/>
  <c r="M195" i="79"/>
  <c r="M147" i="79"/>
  <c r="H222" i="79"/>
  <c r="M90" i="79"/>
  <c r="M189" i="79"/>
  <c r="M185" i="79"/>
  <c r="M149" i="79"/>
  <c r="M137" i="79"/>
  <c r="M58" i="79"/>
  <c r="M97" i="79"/>
  <c r="M108" i="79"/>
  <c r="M170" i="79"/>
  <c r="M73" i="79"/>
  <c r="M28" i="79"/>
  <c r="M182" i="79"/>
  <c r="M54" i="79"/>
  <c r="M132" i="79"/>
  <c r="M183" i="79"/>
  <c r="M180" i="79"/>
  <c r="M85" i="79"/>
  <c r="M74" i="79"/>
  <c r="M135" i="79"/>
  <c r="M47" i="79"/>
  <c r="M193" i="79"/>
  <c r="M88" i="79"/>
  <c r="M130" i="79"/>
  <c r="M60" i="79"/>
  <c r="M44" i="79"/>
  <c r="M202" i="79"/>
  <c r="H228" i="79"/>
  <c r="H224" i="79"/>
  <c r="M72" i="79"/>
  <c r="M51" i="79"/>
  <c r="M40" i="79"/>
  <c r="G144" i="97"/>
  <c r="G229" i="97"/>
  <c r="G197" i="20"/>
  <c r="G62" i="97"/>
  <c r="G93" i="60"/>
  <c r="G93" i="58"/>
  <c r="G60" i="97"/>
  <c r="G34" i="97"/>
  <c r="G228" i="178"/>
  <c r="M69" i="178"/>
  <c r="G237" i="178"/>
  <c r="E236" i="66"/>
  <c r="G93" i="145"/>
  <c r="G76" i="97"/>
  <c r="G111" i="71"/>
  <c r="G118" i="97"/>
  <c r="E164" i="97"/>
  <c r="G119" i="55"/>
  <c r="M140" i="79"/>
  <c r="G61" i="164"/>
  <c r="G102" i="20"/>
  <c r="G93" i="133"/>
  <c r="G161" i="133"/>
  <c r="G79" i="62"/>
  <c r="G61" i="47"/>
  <c r="G79" i="165"/>
  <c r="G197" i="175"/>
  <c r="G161" i="104"/>
  <c r="G206" i="14"/>
  <c r="M201" i="14"/>
  <c r="M56" i="79"/>
  <c r="G23" i="97"/>
  <c r="G61" i="58"/>
  <c r="M19" i="178"/>
  <c r="G21" i="53"/>
  <c r="M11" i="53"/>
  <c r="G192" i="97"/>
  <c r="G161" i="32"/>
  <c r="E236" i="54"/>
  <c r="G93" i="106"/>
  <c r="G183" i="97"/>
  <c r="G161" i="103"/>
  <c r="G126" i="97"/>
  <c r="O126" i="97"/>
  <c r="M38" i="94"/>
  <c r="G41" i="97"/>
  <c r="G61" i="178"/>
  <c r="G29" i="97"/>
  <c r="O29" i="97"/>
  <c r="G61" i="28"/>
  <c r="G102" i="58"/>
  <c r="G161" i="60"/>
  <c r="G197" i="83"/>
  <c r="G93" i="176"/>
  <c r="M11" i="178"/>
  <c r="G21" i="178"/>
  <c r="G14" i="97"/>
  <c r="M11" i="46"/>
  <c r="G21" i="46"/>
  <c r="G161" i="25"/>
  <c r="G79" i="103"/>
  <c r="G77" i="97"/>
  <c r="G237" i="65"/>
  <c r="K15" i="65"/>
  <c r="G119" i="39"/>
  <c r="G119" i="155"/>
  <c r="G206" i="178"/>
  <c r="G196" i="97"/>
  <c r="J196" i="97"/>
  <c r="G61" i="92"/>
  <c r="G38" i="97"/>
  <c r="G161" i="102"/>
  <c r="G197" i="37"/>
  <c r="M197" i="37"/>
  <c r="M168" i="37"/>
  <c r="G79" i="66"/>
  <c r="G99" i="97"/>
  <c r="O99" i="97"/>
  <c r="G119" i="178"/>
  <c r="G235" i="43"/>
  <c r="K14" i="43"/>
  <c r="G79" i="145"/>
  <c r="G228" i="49"/>
  <c r="M15" i="49"/>
  <c r="G161" i="10"/>
  <c r="G40" i="97"/>
  <c r="G127" i="97"/>
  <c r="O127" i="97"/>
  <c r="H90" i="111"/>
  <c r="H42" i="111"/>
  <c r="H176" i="111"/>
  <c r="H106" i="111"/>
  <c r="H160" i="111"/>
  <c r="H26" i="111"/>
  <c r="H49" i="111"/>
  <c r="H28" i="111"/>
  <c r="H124" i="111"/>
  <c r="H208" i="111"/>
  <c r="H187" i="111"/>
  <c r="H82" i="111"/>
  <c r="H168" i="111"/>
  <c r="H79" i="111"/>
  <c r="H150" i="111"/>
  <c r="H50" i="111"/>
  <c r="H114" i="111"/>
  <c r="H47" i="111"/>
  <c r="H136" i="111"/>
  <c r="H111" i="111"/>
  <c r="H197" i="111"/>
  <c r="H148" i="111"/>
  <c r="K12" i="111"/>
  <c r="H167" i="111"/>
  <c r="H108" i="111"/>
  <c r="H203" i="111"/>
  <c r="H170" i="111"/>
  <c r="H57" i="111"/>
  <c r="H39" i="111"/>
  <c r="H126" i="111"/>
  <c r="H190" i="111"/>
  <c r="H59" i="111"/>
  <c r="H61" i="111"/>
  <c r="H48" i="111"/>
  <c r="H179" i="111"/>
  <c r="H101" i="111"/>
  <c r="H31" i="111"/>
  <c r="H151" i="111"/>
  <c r="H72" i="111"/>
  <c r="H189" i="111"/>
  <c r="H115" i="111"/>
  <c r="H41" i="111"/>
  <c r="H158" i="111"/>
  <c r="H171" i="111"/>
  <c r="H91" i="111"/>
  <c r="M208" i="111"/>
  <c r="H142" i="111"/>
  <c r="H64" i="111"/>
  <c r="H181" i="111"/>
  <c r="H105" i="111"/>
  <c r="H33" i="111"/>
  <c r="H149" i="111"/>
  <c r="H107" i="111"/>
  <c r="H156" i="111"/>
  <c r="H193" i="111"/>
  <c r="H45" i="111"/>
  <c r="H175" i="111"/>
  <c r="H68" i="111"/>
  <c r="H109" i="111"/>
  <c r="H129" i="111"/>
  <c r="H174" i="111"/>
  <c r="H177" i="111"/>
  <c r="H99" i="111"/>
  <c r="H70" i="111"/>
  <c r="H153" i="111"/>
  <c r="H43" i="111"/>
  <c r="H74" i="111"/>
  <c r="H29" i="111"/>
  <c r="H161" i="111"/>
  <c r="H83" i="111"/>
  <c r="H204" i="111"/>
  <c r="H132" i="111"/>
  <c r="H54" i="111"/>
  <c r="H173" i="111"/>
  <c r="H93" i="111"/>
  <c r="H25" i="111"/>
  <c r="H140" i="111"/>
  <c r="H152" i="111"/>
  <c r="H73" i="111"/>
  <c r="H194" i="111"/>
  <c r="H123" i="111"/>
  <c r="H46" i="111"/>
  <c r="H165" i="111"/>
  <c r="H85" i="111"/>
  <c r="H202" i="111"/>
  <c r="H130" i="111"/>
  <c r="H69" i="111"/>
  <c r="H116" i="111"/>
  <c r="H159" i="111"/>
  <c r="H196" i="111"/>
  <c r="H138" i="111"/>
  <c r="H182" i="111"/>
  <c r="H34" i="111"/>
  <c r="H71" i="111"/>
  <c r="H87" i="111"/>
  <c r="H137" i="111"/>
  <c r="H141" i="111"/>
  <c r="H180" i="111"/>
  <c r="H36" i="111"/>
  <c r="H98" i="111"/>
  <c r="H131" i="111"/>
  <c r="H40" i="111"/>
  <c r="H125" i="111"/>
  <c r="H143" i="111"/>
  <c r="H65" i="111"/>
  <c r="H186" i="111"/>
  <c r="H110" i="111"/>
  <c r="H38" i="111"/>
  <c r="H155" i="111"/>
  <c r="H75" i="111"/>
  <c r="H192" i="111"/>
  <c r="H205" i="111"/>
  <c r="H133" i="111"/>
  <c r="H55" i="111"/>
  <c r="H178" i="111"/>
  <c r="H100" i="111"/>
  <c r="H30" i="111"/>
  <c r="H146" i="111"/>
  <c r="H67" i="111"/>
  <c r="H184" i="111"/>
  <c r="H183" i="111"/>
  <c r="H35" i="111"/>
  <c r="H76" i="111"/>
  <c r="H119" i="111"/>
  <c r="H164" i="111"/>
  <c r="H97" i="111"/>
  <c r="H147" i="111"/>
  <c r="H185" i="111"/>
  <c r="H201" i="111"/>
  <c r="H51" i="111"/>
  <c r="H96" i="111"/>
  <c r="H200" i="111"/>
  <c r="H135" i="111"/>
  <c r="H127" i="111"/>
  <c r="H60" i="111"/>
  <c r="H188" i="111"/>
  <c r="H117" i="111"/>
  <c r="H84" i="111"/>
  <c r="H27" i="111"/>
  <c r="H52" i="111"/>
  <c r="H169" i="111"/>
  <c r="H118" i="111"/>
  <c r="H44" i="111"/>
  <c r="H86" i="111"/>
  <c r="H145" i="111"/>
  <c r="H56" i="111"/>
  <c r="H166" i="111"/>
  <c r="H172" i="111"/>
  <c r="H66" i="111"/>
  <c r="H58" i="111"/>
  <c r="H157" i="111"/>
  <c r="H37" i="111"/>
  <c r="H88" i="111"/>
  <c r="H77" i="111"/>
  <c r="H206" i="111"/>
  <c r="H78" i="111"/>
  <c r="H191" i="111"/>
  <c r="H53" i="111"/>
  <c r="H92" i="111"/>
  <c r="G215" i="111"/>
  <c r="H89" i="111"/>
  <c r="H102" i="111"/>
  <c r="H32" i="111"/>
  <c r="G39" i="97"/>
  <c r="G44" i="97"/>
  <c r="G121" i="97"/>
  <c r="G46" i="97"/>
  <c r="J46" i="97"/>
  <c r="G140" i="97"/>
  <c r="G177" i="97"/>
  <c r="J177" i="97"/>
  <c r="G32" i="97"/>
  <c r="G67" i="97"/>
  <c r="G184" i="97"/>
  <c r="G205" i="97"/>
  <c r="G228" i="97"/>
  <c r="G145" i="97"/>
  <c r="G22" i="97"/>
  <c r="M19" i="113"/>
  <c r="G42" i="97"/>
  <c r="G102" i="97"/>
  <c r="G104" i="97"/>
  <c r="G17" i="97"/>
  <c r="G21" i="113"/>
  <c r="M14" i="113"/>
  <c r="K14" i="113"/>
  <c r="G235" i="113"/>
  <c r="G234" i="97"/>
  <c r="M17" i="97"/>
  <c r="G148" i="97"/>
  <c r="G191" i="97"/>
  <c r="G19" i="97"/>
  <c r="M16" i="113"/>
  <c r="G33" i="97"/>
  <c r="G187" i="97"/>
  <c r="G37" i="97"/>
  <c r="G57" i="97"/>
  <c r="G180" i="97"/>
  <c r="G203" i="97"/>
  <c r="G90" i="97"/>
  <c r="G68" i="97"/>
  <c r="G150" i="97"/>
  <c r="G199" i="97"/>
  <c r="G110" i="97"/>
  <c r="G111" i="113"/>
  <c r="G189" i="97"/>
  <c r="G20" i="97"/>
  <c r="M17" i="113"/>
  <c r="E236" i="113"/>
  <c r="E231" i="97"/>
  <c r="G138" i="97"/>
  <c r="G159" i="97"/>
  <c r="G49" i="97"/>
  <c r="G80" i="97"/>
  <c r="G186" i="97"/>
  <c r="G30" i="97"/>
  <c r="E24" i="97"/>
  <c r="G153" i="97"/>
  <c r="D211" i="97"/>
  <c r="G53" i="97"/>
  <c r="J53" i="97"/>
  <c r="G85" i="97"/>
  <c r="G162" i="97"/>
  <c r="G28" i="97"/>
  <c r="G70" i="97"/>
  <c r="G89" i="97"/>
  <c r="G156" i="97"/>
  <c r="G173" i="97"/>
  <c r="G55" i="97"/>
  <c r="G228" i="113"/>
  <c r="E238" i="97"/>
  <c r="E240" i="97"/>
  <c r="E237" i="113"/>
  <c r="G169" i="97"/>
  <c r="G74" i="97"/>
  <c r="G149" i="97"/>
  <c r="F218" i="97"/>
  <c r="M61" i="10"/>
  <c r="M97" i="10"/>
  <c r="H228" i="10"/>
  <c r="M182" i="10"/>
  <c r="M200" i="10"/>
  <c r="M40" i="10"/>
  <c r="M91" i="10"/>
  <c r="M48" i="10"/>
  <c r="M193" i="10"/>
  <c r="M44" i="10"/>
  <c r="H11" i="158"/>
  <c r="K15" i="47"/>
  <c r="H220" i="158"/>
  <c r="K15" i="69"/>
  <c r="M25" i="158"/>
  <c r="M42" i="158"/>
  <c r="K11" i="24"/>
  <c r="M138" i="158"/>
  <c r="E238" i="174"/>
  <c r="G237" i="54"/>
  <c r="M130" i="172"/>
  <c r="E238" i="106"/>
  <c r="H227" i="102"/>
  <c r="M178" i="62"/>
  <c r="M101" i="62"/>
  <c r="M184" i="50"/>
  <c r="M152" i="87"/>
  <c r="M148" i="156"/>
  <c r="M177" i="156"/>
  <c r="M105" i="64"/>
  <c r="M170" i="64"/>
  <c r="M126" i="64"/>
  <c r="M173" i="32"/>
  <c r="M182" i="32"/>
  <c r="H221" i="32"/>
  <c r="M131" i="32"/>
  <c r="M46" i="32"/>
  <c r="M143" i="32"/>
  <c r="M146" i="24"/>
  <c r="M39" i="24"/>
  <c r="M110" i="24"/>
  <c r="M111" i="45"/>
  <c r="K15" i="174"/>
  <c r="M42" i="58"/>
  <c r="M83" i="64"/>
  <c r="H226" i="64"/>
  <c r="H222" i="102"/>
  <c r="M123" i="157"/>
  <c r="M96" i="157"/>
  <c r="M78" i="98"/>
  <c r="M130" i="158"/>
  <c r="M200" i="157"/>
  <c r="M180" i="102"/>
  <c r="M78" i="158"/>
  <c r="M136" i="102"/>
  <c r="M194" i="62"/>
  <c r="M93" i="60"/>
  <c r="M114" i="50"/>
  <c r="M147" i="133"/>
  <c r="M200" i="64"/>
  <c r="M64" i="64"/>
  <c r="M75" i="157"/>
  <c r="M149" i="157"/>
  <c r="M60" i="157"/>
  <c r="H226" i="157"/>
  <c r="M67" i="102"/>
  <c r="M136" i="42"/>
  <c r="M189" i="158"/>
  <c r="M149" i="158"/>
  <c r="M79" i="157"/>
  <c r="M102" i="158"/>
  <c r="K15" i="60"/>
  <c r="M148" i="42"/>
  <c r="M35" i="102"/>
  <c r="M135" i="62"/>
  <c r="M159" i="64"/>
  <c r="H221" i="62"/>
  <c r="M140" i="172"/>
  <c r="M76" i="64"/>
  <c r="M117" i="64"/>
  <c r="M168" i="157"/>
  <c r="M164" i="62"/>
  <c r="M56" i="172"/>
  <c r="M151" i="64"/>
  <c r="M138" i="64"/>
  <c r="M91" i="64"/>
  <c r="M44" i="64"/>
  <c r="M45" i="157"/>
  <c r="M54" i="157"/>
  <c r="M74" i="157"/>
  <c r="M153" i="157"/>
  <c r="M194" i="102"/>
  <c r="M153" i="47"/>
  <c r="M146" i="158"/>
  <c r="G237" i="158"/>
  <c r="M161" i="157"/>
  <c r="M38" i="133"/>
  <c r="M115" i="50"/>
  <c r="M46" i="172"/>
  <c r="M29" i="157"/>
  <c r="M203" i="158"/>
  <c r="M117" i="62"/>
  <c r="M101" i="64"/>
  <c r="G237" i="60"/>
  <c r="M129" i="62"/>
  <c r="M166" i="172"/>
  <c r="M71" i="64"/>
  <c r="M108" i="64"/>
  <c r="M114" i="157"/>
  <c r="M118" i="157"/>
  <c r="M109" i="157"/>
  <c r="M106" i="157"/>
  <c r="M64" i="102"/>
  <c r="M124" i="158"/>
  <c r="M152" i="28"/>
  <c r="M206" i="158"/>
  <c r="M176" i="157"/>
  <c r="M135" i="157"/>
  <c r="H223" i="157"/>
  <c r="M170" i="157"/>
  <c r="K13" i="157"/>
  <c r="M170" i="158"/>
  <c r="M109" i="102"/>
  <c r="M88" i="157"/>
  <c r="M56" i="157"/>
  <c r="M136" i="62"/>
  <c r="H228" i="172"/>
  <c r="M107" i="133"/>
  <c r="M146" i="64"/>
  <c r="M89" i="64"/>
  <c r="M194" i="158"/>
  <c r="M48" i="157"/>
  <c r="M91" i="157"/>
  <c r="H219" i="157"/>
  <c r="M142" i="157"/>
  <c r="M131" i="102"/>
  <c r="M183" i="158"/>
  <c r="M72" i="28"/>
  <c r="M188" i="103"/>
  <c r="M72" i="103"/>
  <c r="M182" i="103"/>
  <c r="M174" i="62"/>
  <c r="M51" i="62"/>
  <c r="M106" i="62"/>
  <c r="M45" i="24"/>
  <c r="M25" i="103"/>
  <c r="M155" i="50"/>
  <c r="M129" i="133"/>
  <c r="M57" i="94"/>
  <c r="M186" i="94"/>
  <c r="M50" i="94"/>
  <c r="M125" i="94"/>
  <c r="H219" i="94"/>
  <c r="M172" i="94"/>
  <c r="M140" i="94"/>
  <c r="M84" i="94"/>
  <c r="M41" i="94"/>
  <c r="M47" i="94"/>
  <c r="M184" i="94"/>
  <c r="H224" i="94"/>
  <c r="M43" i="94"/>
  <c r="M137" i="94"/>
  <c r="M67" i="94"/>
  <c r="H227" i="94"/>
  <c r="K13" i="94"/>
  <c r="M204" i="94"/>
  <c r="M140" i="157"/>
  <c r="M172" i="157"/>
  <c r="M124" i="157"/>
  <c r="M90" i="157"/>
  <c r="M136" i="157"/>
  <c r="M35" i="157"/>
  <c r="M51" i="157"/>
  <c r="G236" i="157"/>
  <c r="M85" i="157"/>
  <c r="M110" i="42"/>
  <c r="M58" i="28"/>
  <c r="M158" i="94"/>
  <c r="M33" i="94"/>
  <c r="M45" i="103"/>
  <c r="H222" i="62"/>
  <c r="M186" i="103"/>
  <c r="M42" i="157"/>
  <c r="M102" i="42"/>
  <c r="M176" i="103"/>
  <c r="M110" i="62"/>
  <c r="H225" i="103"/>
  <c r="M155" i="157"/>
  <c r="M26" i="157"/>
  <c r="H222" i="157"/>
  <c r="M87" i="157"/>
  <c r="M145" i="98"/>
  <c r="M200" i="62"/>
  <c r="M29" i="62"/>
  <c r="M157" i="120"/>
  <c r="M26" i="24"/>
  <c r="M152" i="94"/>
  <c r="M146" i="157"/>
  <c r="M205" i="103"/>
  <c r="M96" i="103"/>
  <c r="M51" i="50"/>
  <c r="M174" i="133"/>
  <c r="M116" i="165"/>
  <c r="M191" i="94"/>
  <c r="M146" i="94"/>
  <c r="M129" i="94"/>
  <c r="M72" i="94"/>
  <c r="M178" i="94"/>
  <c r="M143" i="94"/>
  <c r="M46" i="94"/>
  <c r="M83" i="94"/>
  <c r="M203" i="94"/>
  <c r="M165" i="94"/>
  <c r="M82" i="94"/>
  <c r="M118" i="94"/>
  <c r="H220" i="94"/>
  <c r="M66" i="94"/>
  <c r="M58" i="94"/>
  <c r="M126" i="94"/>
  <c r="M54" i="94"/>
  <c r="M114" i="94"/>
  <c r="M65" i="94"/>
  <c r="M66" i="157"/>
  <c r="M164" i="157"/>
  <c r="M69" i="157"/>
  <c r="M116" i="157"/>
  <c r="M28" i="157"/>
  <c r="M47" i="157"/>
  <c r="M204" i="157"/>
  <c r="M52" i="157"/>
  <c r="M115" i="157"/>
  <c r="M50" i="157"/>
  <c r="M33" i="42"/>
  <c r="H223" i="28"/>
  <c r="M119" i="94"/>
  <c r="M171" i="50"/>
  <c r="M37" i="133"/>
  <c r="H226" i="150"/>
  <c r="H228" i="157"/>
  <c r="M98" i="157"/>
  <c r="M129" i="28"/>
  <c r="M69" i="133"/>
  <c r="M175" i="98"/>
  <c r="M45" i="62"/>
  <c r="M54" i="62"/>
  <c r="E238" i="165"/>
  <c r="M183" i="103"/>
  <c r="M172" i="103"/>
  <c r="M147" i="174"/>
  <c r="H223" i="50"/>
  <c r="M65" i="133"/>
  <c r="M182" i="165"/>
  <c r="M159" i="94"/>
  <c r="M109" i="94"/>
  <c r="M157" i="94"/>
  <c r="H228" i="94"/>
  <c r="M56" i="94"/>
  <c r="M183" i="94"/>
  <c r="M32" i="94"/>
  <c r="M171" i="94"/>
  <c r="M64" i="94"/>
  <c r="M42" i="94"/>
  <c r="M189" i="94"/>
  <c r="M25" i="94"/>
  <c r="M86" i="94"/>
  <c r="M182" i="94"/>
  <c r="M60" i="94"/>
  <c r="M96" i="94"/>
  <c r="M40" i="94"/>
  <c r="M170" i="94"/>
  <c r="M202" i="94"/>
  <c r="M58" i="157"/>
  <c r="M185" i="157"/>
  <c r="M159" i="157"/>
  <c r="M173" i="157"/>
  <c r="M133" i="157"/>
  <c r="M148" i="157"/>
  <c r="M191" i="157"/>
  <c r="M82" i="157"/>
  <c r="M92" i="157"/>
  <c r="M88" i="42"/>
  <c r="M48" i="94"/>
  <c r="M82" i="28"/>
  <c r="M102" i="157"/>
  <c r="M59" i="133"/>
  <c r="H228" i="62"/>
  <c r="M194" i="157"/>
  <c r="M192" i="157"/>
  <c r="M25" i="157"/>
  <c r="M108" i="157"/>
  <c r="H13" i="152"/>
  <c r="M71" i="133"/>
  <c r="M176" i="98"/>
  <c r="M156" i="62"/>
  <c r="M91" i="62"/>
  <c r="H226" i="24"/>
  <c r="M166" i="103"/>
  <c r="M115" i="103"/>
  <c r="M66" i="174"/>
  <c r="M108" i="62"/>
  <c r="M36" i="50"/>
  <c r="M48" i="133"/>
  <c r="M191" i="165"/>
  <c r="M31" i="94"/>
  <c r="M190" i="94"/>
  <c r="M169" i="94"/>
  <c r="M142" i="94"/>
  <c r="M78" i="94"/>
  <c r="M156" i="94"/>
  <c r="M188" i="94"/>
  <c r="M205" i="94"/>
  <c r="M98" i="94"/>
  <c r="M44" i="94"/>
  <c r="M59" i="94"/>
  <c r="M39" i="94"/>
  <c r="M173" i="94"/>
  <c r="M180" i="94"/>
  <c r="M35" i="94"/>
  <c r="M52" i="94"/>
  <c r="M73" i="94"/>
  <c r="M51" i="94"/>
  <c r="M156" i="157"/>
  <c r="M64" i="157"/>
  <c r="M196" i="157"/>
  <c r="M184" i="157"/>
  <c r="M203" i="157"/>
  <c r="M174" i="157"/>
  <c r="M126" i="157"/>
  <c r="M129" i="157"/>
  <c r="M169" i="157"/>
  <c r="H224" i="42"/>
  <c r="M129" i="47"/>
  <c r="M160" i="28"/>
  <c r="M79" i="94"/>
  <c r="M111" i="94"/>
  <c r="M138" i="14"/>
  <c r="M152" i="14"/>
  <c r="M65" i="14"/>
  <c r="M72" i="14"/>
  <c r="M160" i="14"/>
  <c r="M33" i="14"/>
  <c r="M98" i="14"/>
  <c r="M88" i="14"/>
  <c r="M205" i="14"/>
  <c r="M110" i="14"/>
  <c r="M118" i="14"/>
  <c r="M75" i="14"/>
  <c r="M58" i="14"/>
  <c r="M143" i="14"/>
  <c r="M165" i="14"/>
  <c r="H222" i="14"/>
  <c r="M196" i="14"/>
  <c r="M156" i="14"/>
  <c r="M166" i="14"/>
  <c r="M30" i="14"/>
  <c r="M169" i="14"/>
  <c r="M31" i="14"/>
  <c r="M84" i="14"/>
  <c r="M48" i="14"/>
  <c r="M203" i="14"/>
  <c r="M32" i="14"/>
  <c r="M68" i="14"/>
  <c r="M141" i="14"/>
  <c r="M56" i="14"/>
  <c r="M188" i="14"/>
  <c r="M126" i="14"/>
  <c r="M89" i="14"/>
  <c r="M39" i="14"/>
  <c r="M46" i="14"/>
  <c r="M204" i="14"/>
  <c r="M149" i="14"/>
  <c r="M41" i="14"/>
  <c r="M43" i="14"/>
  <c r="M40" i="14"/>
  <c r="M137" i="14"/>
  <c r="M125" i="14"/>
  <c r="M202" i="14"/>
  <c r="M193" i="14"/>
  <c r="M185" i="14"/>
  <c r="M195" i="14"/>
  <c r="M150" i="14"/>
  <c r="M178" i="14"/>
  <c r="M99" i="14"/>
  <c r="M148" i="14"/>
  <c r="M109" i="14"/>
  <c r="M194" i="14"/>
  <c r="M66" i="14"/>
  <c r="M131" i="14"/>
  <c r="H225" i="14"/>
  <c r="M107" i="14"/>
  <c r="M51" i="14"/>
  <c r="M172" i="14"/>
  <c r="H226" i="14"/>
  <c r="M100" i="14"/>
  <c r="M151" i="14"/>
  <c r="M157" i="14"/>
  <c r="M164" i="14"/>
  <c r="M117" i="14"/>
  <c r="M140" i="14"/>
  <c r="K13" i="14"/>
  <c r="M26" i="14"/>
  <c r="M64" i="14"/>
  <c r="M28" i="14"/>
  <c r="M38" i="14"/>
  <c r="M124" i="14"/>
  <c r="M50" i="14"/>
  <c r="M158" i="14"/>
  <c r="M180" i="14"/>
  <c r="M44" i="14"/>
  <c r="M132" i="14"/>
  <c r="M92" i="14"/>
  <c r="M83" i="14"/>
  <c r="M55" i="14"/>
  <c r="M29" i="14"/>
  <c r="M53" i="14"/>
  <c r="M91" i="14"/>
  <c r="M192" i="14"/>
  <c r="M142" i="14"/>
  <c r="M167" i="14"/>
  <c r="M60" i="14"/>
  <c r="M47" i="14"/>
  <c r="M170" i="14"/>
  <c r="M133" i="14"/>
  <c r="M129" i="14"/>
  <c r="G236" i="14"/>
  <c r="M27" i="14"/>
  <c r="M115" i="14"/>
  <c r="M54" i="14"/>
  <c r="M123" i="14"/>
  <c r="M76" i="14"/>
  <c r="M189" i="14"/>
  <c r="M49" i="14"/>
  <c r="M25" i="14"/>
  <c r="M135" i="14"/>
  <c r="M59" i="14"/>
  <c r="M130" i="14"/>
  <c r="M159" i="14"/>
  <c r="M105" i="14"/>
  <c r="M69" i="14"/>
  <c r="M114" i="14"/>
  <c r="M78" i="14"/>
  <c r="M168" i="14"/>
  <c r="M77" i="14"/>
  <c r="H223" i="14"/>
  <c r="M200" i="14"/>
  <c r="M116" i="14"/>
  <c r="M74" i="14"/>
  <c r="M97" i="14"/>
  <c r="M186" i="14"/>
  <c r="M171" i="14"/>
  <c r="M86" i="14"/>
  <c r="M34" i="14"/>
  <c r="M36" i="14"/>
  <c r="M146" i="14"/>
  <c r="M181" i="14"/>
  <c r="M184" i="14"/>
  <c r="G237" i="152"/>
  <c r="K15" i="152"/>
  <c r="E238" i="87"/>
  <c r="M187" i="14"/>
  <c r="M136" i="14"/>
  <c r="H227" i="14"/>
  <c r="M73" i="14"/>
  <c r="M155" i="14"/>
  <c r="H221" i="14"/>
  <c r="M96" i="14"/>
  <c r="M177" i="14"/>
  <c r="M176" i="14"/>
  <c r="M145" i="14"/>
  <c r="M123" i="92"/>
  <c r="M36" i="92"/>
  <c r="M119" i="14"/>
  <c r="M59" i="142"/>
  <c r="M29" i="142"/>
  <c r="M65" i="120"/>
  <c r="M190" i="120"/>
  <c r="M60" i="120"/>
  <c r="M200" i="120"/>
  <c r="M83" i="86"/>
  <c r="M205" i="86"/>
  <c r="M42" i="86"/>
  <c r="M97" i="86"/>
  <c r="M150" i="106"/>
  <c r="M106" i="106"/>
  <c r="M107" i="106"/>
  <c r="M102" i="14"/>
  <c r="M206" i="14"/>
  <c r="M197" i="14"/>
  <c r="E238" i="158"/>
  <c r="M175" i="14"/>
  <c r="M127" i="14"/>
  <c r="M87" i="14"/>
  <c r="H228" i="14"/>
  <c r="M182" i="14"/>
  <c r="M52" i="14"/>
  <c r="M35" i="14"/>
  <c r="M183" i="14"/>
  <c r="M70" i="14"/>
  <c r="M45" i="14"/>
  <c r="M71" i="14"/>
  <c r="M174" i="14"/>
  <c r="M153" i="14"/>
  <c r="M179" i="14"/>
  <c r="M82" i="14"/>
  <c r="M147" i="14"/>
  <c r="H219" i="14"/>
  <c r="M108" i="14"/>
  <c r="H224" i="14"/>
  <c r="M37" i="14"/>
  <c r="M57" i="14"/>
  <c r="M161" i="14"/>
  <c r="M93" i="14"/>
  <c r="M61" i="28"/>
  <c r="K11" i="152"/>
  <c r="M205" i="98"/>
  <c r="K13" i="98"/>
  <c r="M74" i="24"/>
  <c r="M98" i="24"/>
  <c r="M193" i="24"/>
  <c r="M175" i="24"/>
  <c r="M25" i="24"/>
  <c r="M130" i="58"/>
  <c r="M31" i="172"/>
  <c r="M49" i="172"/>
  <c r="M54" i="172"/>
  <c r="M125" i="172"/>
  <c r="M50" i="50"/>
  <c r="M84" i="50"/>
  <c r="M58" i="50"/>
  <c r="H224" i="133"/>
  <c r="M72" i="133"/>
  <c r="M166" i="133"/>
  <c r="M189" i="133"/>
  <c r="M93" i="156"/>
  <c r="M61" i="133"/>
  <c r="H226" i="165"/>
  <c r="M142" i="165"/>
  <c r="M92" i="133"/>
  <c r="M201" i="87"/>
  <c r="M117" i="157"/>
  <c r="M83" i="157"/>
  <c r="M182" i="157"/>
  <c r="M38" i="157"/>
  <c r="M189" i="157"/>
  <c r="M131" i="157"/>
  <c r="M127" i="157"/>
  <c r="H225" i="157"/>
  <c r="M97" i="157"/>
  <c r="M180" i="157"/>
  <c r="M68" i="157"/>
  <c r="M31" i="157"/>
  <c r="M125" i="157"/>
  <c r="M175" i="157"/>
  <c r="M76" i="157"/>
  <c r="M137" i="157"/>
  <c r="M71" i="157"/>
  <c r="H224" i="157"/>
  <c r="M171" i="157"/>
  <c r="M43" i="157"/>
  <c r="M145" i="157"/>
  <c r="M78" i="157"/>
  <c r="M202" i="157"/>
  <c r="M165" i="157"/>
  <c r="M130" i="157"/>
  <c r="M110" i="157"/>
  <c r="M205" i="157"/>
  <c r="M34" i="157"/>
  <c r="M40" i="157"/>
  <c r="M158" i="157"/>
  <c r="M55" i="157"/>
  <c r="M59" i="157"/>
  <c r="M33" i="157"/>
  <c r="M32" i="157"/>
  <c r="M57" i="157"/>
  <c r="M27" i="157"/>
  <c r="M53" i="157"/>
  <c r="H220" i="157"/>
  <c r="M42" i="133"/>
  <c r="M195" i="42"/>
  <c r="M85" i="42"/>
  <c r="M52" i="42"/>
  <c r="M147" i="42"/>
  <c r="M204" i="47"/>
  <c r="M32" i="156"/>
  <c r="M84" i="28"/>
  <c r="M142" i="28"/>
  <c r="K13" i="28"/>
  <c r="M169" i="28"/>
  <c r="M59" i="28"/>
  <c r="M77" i="157"/>
  <c r="M114" i="172"/>
  <c r="M206" i="28"/>
  <c r="M61" i="157"/>
  <c r="M197" i="86"/>
  <c r="M197" i="47"/>
  <c r="H21" i="152"/>
  <c r="M82" i="133"/>
  <c r="M171" i="28"/>
  <c r="M106" i="133"/>
  <c r="M117" i="98"/>
  <c r="M156" i="98"/>
  <c r="M152" i="24"/>
  <c r="M118" i="24"/>
  <c r="M192" i="24"/>
  <c r="M78" i="24"/>
  <c r="M171" i="24"/>
  <c r="M88" i="47"/>
  <c r="M67" i="133"/>
  <c r="M34" i="172"/>
  <c r="M180" i="172"/>
  <c r="M106" i="172"/>
  <c r="M189" i="50"/>
  <c r="M91" i="50"/>
  <c r="M90" i="50"/>
  <c r="M33" i="50"/>
  <c r="M44" i="133"/>
  <c r="M68" i="133"/>
  <c r="M28" i="133"/>
  <c r="M201" i="133"/>
  <c r="M71" i="165"/>
  <c r="M184" i="165"/>
  <c r="M156" i="87"/>
  <c r="M101" i="157"/>
  <c r="M89" i="157"/>
  <c r="M187" i="157"/>
  <c r="M132" i="157"/>
  <c r="M193" i="157"/>
  <c r="M157" i="157"/>
  <c r="M160" i="157"/>
  <c r="M105" i="157"/>
  <c r="M186" i="157"/>
  <c r="M152" i="157"/>
  <c r="M41" i="157"/>
  <c r="M86" i="157"/>
  <c r="M39" i="157"/>
  <c r="M67" i="157"/>
  <c r="M188" i="157"/>
  <c r="M181" i="157"/>
  <c r="H227" i="157"/>
  <c r="M99" i="157"/>
  <c r="M100" i="157"/>
  <c r="M44" i="157"/>
  <c r="M151" i="157"/>
  <c r="M70" i="157"/>
  <c r="M166" i="157"/>
  <c r="M201" i="157"/>
  <c r="M190" i="157"/>
  <c r="M30" i="157"/>
  <c r="M147" i="157"/>
  <c r="M177" i="157"/>
  <c r="M36" i="157"/>
  <c r="H221" i="157"/>
  <c r="M138" i="157"/>
  <c r="M37" i="157"/>
  <c r="M73" i="157"/>
  <c r="M183" i="157"/>
  <c r="M84" i="157"/>
  <c r="M150" i="157"/>
  <c r="M107" i="157"/>
  <c r="M193" i="42"/>
  <c r="M138" i="42"/>
  <c r="M187" i="42"/>
  <c r="H221" i="47"/>
  <c r="M170" i="156"/>
  <c r="M136" i="28"/>
  <c r="M32" i="28"/>
  <c r="M109" i="28"/>
  <c r="M176" i="28"/>
  <c r="M48" i="28"/>
  <c r="M46" i="157"/>
  <c r="M195" i="157"/>
  <c r="M119" i="157"/>
  <c r="M161" i="165"/>
  <c r="M76" i="28"/>
  <c r="M197" i="157"/>
  <c r="M111" i="157"/>
  <c r="M79" i="14"/>
  <c r="M61" i="98"/>
  <c r="M111" i="14"/>
  <c r="M93" i="157"/>
  <c r="M197" i="50"/>
  <c r="M49" i="157"/>
  <c r="K15" i="50"/>
  <c r="K15" i="55"/>
  <c r="G237" i="55"/>
  <c r="M161" i="32"/>
  <c r="M50" i="120"/>
  <c r="H227" i="120"/>
  <c r="M78" i="120"/>
  <c r="M196" i="120"/>
  <c r="M79" i="32"/>
  <c r="M52" i="32"/>
  <c r="M197" i="120"/>
  <c r="M164" i="32"/>
  <c r="M150" i="32"/>
  <c r="M178" i="32"/>
  <c r="M126" i="32"/>
  <c r="M116" i="32"/>
  <c r="M196" i="32"/>
  <c r="M109" i="32"/>
  <c r="M56" i="32"/>
  <c r="M45" i="32"/>
  <c r="M158" i="32"/>
  <c r="M93" i="32"/>
  <c r="M92" i="142"/>
  <c r="M114" i="142"/>
  <c r="M203" i="142"/>
  <c r="H226" i="142"/>
  <c r="M41" i="142"/>
  <c r="M146" i="142"/>
  <c r="M43" i="142"/>
  <c r="M64" i="142"/>
  <c r="M110" i="142"/>
  <c r="H227" i="142"/>
  <c r="M127" i="142"/>
  <c r="M150" i="120"/>
  <c r="M82" i="120"/>
  <c r="M132" i="120"/>
  <c r="M179" i="120"/>
  <c r="M77" i="120"/>
  <c r="M56" i="142"/>
  <c r="M181" i="120"/>
  <c r="M115" i="32"/>
  <c r="M99" i="31"/>
  <c r="M164" i="31"/>
  <c r="M133" i="31"/>
  <c r="M125" i="31"/>
  <c r="M31" i="32"/>
  <c r="M108" i="32"/>
  <c r="M89" i="32"/>
  <c r="M33" i="32"/>
  <c r="M159" i="32"/>
  <c r="K11" i="149"/>
  <c r="H13" i="149"/>
  <c r="M129" i="32"/>
  <c r="M167" i="42"/>
  <c r="M58" i="42"/>
  <c r="M60" i="42"/>
  <c r="M74" i="42"/>
  <c r="H222" i="42"/>
  <c r="M65" i="42"/>
  <c r="M36" i="42"/>
  <c r="M203" i="42"/>
  <c r="M140" i="42"/>
  <c r="M183" i="42"/>
  <c r="M30" i="42"/>
  <c r="M105" i="42"/>
  <c r="M78" i="42"/>
  <c r="M72" i="42"/>
  <c r="M149" i="42"/>
  <c r="M101" i="42"/>
  <c r="M106" i="42"/>
  <c r="M174" i="42"/>
  <c r="M116" i="42"/>
  <c r="M180" i="42"/>
  <c r="H221" i="42"/>
  <c r="M158" i="42"/>
  <c r="M54" i="42"/>
  <c r="M188" i="42"/>
  <c r="M181" i="42"/>
  <c r="M179" i="42"/>
  <c r="M48" i="42"/>
  <c r="M99" i="42"/>
  <c r="H223" i="42"/>
  <c r="M44" i="42"/>
  <c r="M151" i="42"/>
  <c r="M125" i="42"/>
  <c r="M204" i="42"/>
  <c r="K13" i="42"/>
  <c r="M45" i="42"/>
  <c r="M71" i="42"/>
  <c r="M127" i="42"/>
  <c r="M123" i="42"/>
  <c r="M192" i="42"/>
  <c r="M168" i="42"/>
  <c r="M117" i="42"/>
  <c r="M69" i="42"/>
  <c r="M82" i="42"/>
  <c r="K11" i="142"/>
  <c r="H17" i="142"/>
  <c r="H18" i="142"/>
  <c r="M145" i="16"/>
  <c r="M105" i="16"/>
  <c r="M27" i="16"/>
  <c r="M73" i="120"/>
  <c r="M135" i="120"/>
  <c r="M164" i="120"/>
  <c r="M130" i="120"/>
  <c r="M183" i="120"/>
  <c r="M124" i="120"/>
  <c r="M83" i="120"/>
  <c r="M188" i="120"/>
  <c r="M52" i="120"/>
  <c r="M27" i="120"/>
  <c r="M202" i="120"/>
  <c r="M59" i="120"/>
  <c r="M205" i="120"/>
  <c r="H228" i="120"/>
  <c r="M101" i="120"/>
  <c r="M32" i="120"/>
  <c r="M28" i="120"/>
  <c r="M125" i="120"/>
  <c r="M39" i="120"/>
  <c r="M186" i="120"/>
  <c r="H14" i="172"/>
  <c r="M21" i="172"/>
  <c r="M200" i="53"/>
  <c r="M25" i="53"/>
  <c r="M59" i="53"/>
  <c r="M170" i="53"/>
  <c r="M137" i="32"/>
  <c r="M69" i="32"/>
  <c r="M205" i="32"/>
  <c r="M195" i="32"/>
  <c r="M174" i="32"/>
  <c r="M166" i="32"/>
  <c r="M168" i="32"/>
  <c r="M125" i="32"/>
  <c r="M67" i="32"/>
  <c r="M149" i="32"/>
  <c r="M96" i="32"/>
  <c r="M85" i="32"/>
  <c r="H223" i="32"/>
  <c r="M92" i="32"/>
  <c r="M41" i="32"/>
  <c r="H220" i="32"/>
  <c r="M123" i="32"/>
  <c r="H227" i="32"/>
  <c r="M132" i="32"/>
  <c r="M84" i="32"/>
  <c r="M74" i="32"/>
  <c r="M127" i="32"/>
  <c r="M65" i="32"/>
  <c r="M40" i="32"/>
  <c r="M100" i="32"/>
  <c r="M57" i="32"/>
  <c r="M133" i="32"/>
  <c r="M106" i="32"/>
  <c r="M71" i="32"/>
  <c r="M147" i="32"/>
  <c r="M38" i="32"/>
  <c r="M204" i="32"/>
  <c r="M193" i="32"/>
  <c r="M36" i="32"/>
  <c r="M167" i="32"/>
  <c r="M171" i="32"/>
  <c r="M53" i="32"/>
  <c r="M118" i="32"/>
  <c r="M50" i="32"/>
  <c r="M130" i="32"/>
  <c r="M188" i="32"/>
  <c r="M145" i="32"/>
  <c r="M190" i="32"/>
  <c r="M58" i="32"/>
  <c r="M51" i="32"/>
  <c r="M32" i="32"/>
  <c r="M146" i="32"/>
  <c r="M29" i="32"/>
  <c r="M59" i="32"/>
  <c r="M194" i="32"/>
  <c r="M135" i="32"/>
  <c r="M90" i="32"/>
  <c r="H226" i="32"/>
  <c r="M54" i="32"/>
  <c r="M203" i="32"/>
  <c r="M26" i="32"/>
  <c r="M77" i="32"/>
  <c r="M157" i="32"/>
  <c r="M136" i="32"/>
  <c r="M107" i="32"/>
  <c r="M64" i="32"/>
  <c r="M102" i="32"/>
  <c r="M73" i="32"/>
  <c r="M180" i="32"/>
  <c r="M172" i="32"/>
  <c r="M170" i="32"/>
  <c r="M101" i="32"/>
  <c r="M156" i="32"/>
  <c r="M141" i="32"/>
  <c r="M49" i="32"/>
  <c r="M83" i="32"/>
  <c r="M202" i="32"/>
  <c r="M192" i="32"/>
  <c r="H224" i="32"/>
  <c r="M91" i="32"/>
  <c r="M25" i="32"/>
  <c r="M189" i="32"/>
  <c r="M42" i="32"/>
  <c r="M187" i="32"/>
  <c r="M60" i="32"/>
  <c r="M75" i="32"/>
  <c r="M160" i="32"/>
  <c r="M148" i="32"/>
  <c r="M175" i="32"/>
  <c r="M186" i="32"/>
  <c r="M200" i="32"/>
  <c r="M124" i="32"/>
  <c r="M70" i="32"/>
  <c r="M184" i="32"/>
  <c r="M140" i="32"/>
  <c r="M176" i="32"/>
  <c r="M34" i="32"/>
  <c r="M191" i="32"/>
  <c r="M48" i="32"/>
  <c r="M82" i="32"/>
  <c r="M117" i="32"/>
  <c r="M99" i="32"/>
  <c r="M201" i="32"/>
  <c r="M37" i="32"/>
  <c r="M66" i="32"/>
  <c r="M55" i="32"/>
  <c r="M87" i="32"/>
  <c r="H222" i="32"/>
  <c r="M27" i="32"/>
  <c r="H225" i="32"/>
  <c r="M179" i="32"/>
  <c r="M183" i="32"/>
  <c r="M110" i="32"/>
  <c r="M142" i="32"/>
  <c r="H228" i="32"/>
  <c r="M44" i="32"/>
  <c r="M155" i="32"/>
  <c r="M76" i="32"/>
  <c r="M152" i="32"/>
  <c r="M30" i="32"/>
  <c r="M165" i="32"/>
  <c r="M43" i="32"/>
  <c r="M72" i="32"/>
  <c r="M35" i="32"/>
  <c r="H219" i="32"/>
  <c r="M39" i="32"/>
  <c r="M151" i="32"/>
  <c r="M28" i="32"/>
  <c r="M105" i="32"/>
  <c r="M88" i="32"/>
  <c r="M68" i="32"/>
  <c r="G236" i="32"/>
  <c r="M195" i="120"/>
  <c r="M177" i="120"/>
  <c r="M180" i="120"/>
  <c r="M96" i="120"/>
  <c r="M177" i="142"/>
  <c r="M177" i="32"/>
  <c r="M181" i="32"/>
  <c r="M86" i="32"/>
  <c r="M114" i="32"/>
  <c r="M169" i="32"/>
  <c r="K13" i="32"/>
  <c r="M138" i="32"/>
  <c r="M78" i="32"/>
  <c r="M185" i="32"/>
  <c r="M92" i="60"/>
  <c r="M173" i="60"/>
  <c r="M75" i="158"/>
  <c r="K13" i="158"/>
  <c r="M48" i="158"/>
  <c r="M33" i="158"/>
  <c r="M126" i="158"/>
  <c r="M53" i="158"/>
  <c r="M133" i="158"/>
  <c r="M188" i="158"/>
  <c r="M192" i="158"/>
  <c r="H226" i="158"/>
  <c r="M201" i="158"/>
  <c r="M27" i="158"/>
  <c r="M41" i="158"/>
  <c r="M52" i="158"/>
  <c r="M106" i="158"/>
  <c r="M49" i="158"/>
  <c r="M26" i="158"/>
  <c r="M151" i="158"/>
  <c r="M40" i="158"/>
  <c r="H223" i="158"/>
  <c r="M57" i="158"/>
  <c r="M175" i="158"/>
  <c r="M172" i="158"/>
  <c r="M46" i="158"/>
  <c r="H219" i="158"/>
  <c r="M173" i="158"/>
  <c r="M202" i="158"/>
  <c r="M54" i="158"/>
  <c r="M50" i="158"/>
  <c r="M64" i="158"/>
  <c r="M140" i="158"/>
  <c r="M135" i="158"/>
  <c r="M153" i="158"/>
  <c r="M96" i="158"/>
  <c r="M90" i="158"/>
  <c r="M68" i="158"/>
  <c r="M110" i="158"/>
  <c r="M65" i="158"/>
  <c r="M36" i="158"/>
  <c r="M114" i="158"/>
  <c r="M204" i="158"/>
  <c r="M92" i="158"/>
  <c r="M34" i="158"/>
  <c r="M84" i="158"/>
  <c r="M77" i="158"/>
  <c r="M174" i="158"/>
  <c r="M32" i="158"/>
  <c r="M71" i="158"/>
  <c r="M55" i="158"/>
  <c r="M161" i="158"/>
  <c r="M197" i="32"/>
  <c r="M93" i="158"/>
  <c r="K15" i="95"/>
  <c r="M61" i="32"/>
  <c r="M61" i="158"/>
  <c r="M119" i="32"/>
  <c r="M111" i="32"/>
  <c r="M197" i="42"/>
  <c r="M197" i="158"/>
  <c r="M206" i="32"/>
  <c r="M119" i="158"/>
  <c r="M79" i="42"/>
  <c r="M186" i="106"/>
  <c r="M146" i="174"/>
  <c r="M73" i="64"/>
  <c r="M34" i="64"/>
  <c r="M26" i="64"/>
  <c r="M191" i="87"/>
  <c r="M102" i="176"/>
  <c r="G237" i="49"/>
  <c r="M55" i="62"/>
  <c r="M176" i="62"/>
  <c r="M27" i="62"/>
  <c r="M140" i="62"/>
  <c r="M171" i="62"/>
  <c r="H223" i="62"/>
  <c r="M143" i="62"/>
  <c r="M206" i="64"/>
  <c r="H19" i="68"/>
  <c r="M153" i="174"/>
  <c r="M64" i="150"/>
  <c r="H228" i="150"/>
  <c r="M149" i="62"/>
  <c r="M153" i="106"/>
  <c r="M32" i="106"/>
  <c r="M118" i="145"/>
  <c r="M196" i="64"/>
  <c r="H225" i="64"/>
  <c r="M183" i="64"/>
  <c r="M35" i="64"/>
  <c r="M118" i="64"/>
  <c r="M98" i="64"/>
  <c r="M54" i="64"/>
  <c r="M169" i="64"/>
  <c r="M145" i="64"/>
  <c r="M185" i="64"/>
  <c r="M201" i="53"/>
  <c r="M131" i="53"/>
  <c r="M46" i="87"/>
  <c r="M165" i="87"/>
  <c r="M100" i="87"/>
  <c r="M26" i="87"/>
  <c r="M31" i="87"/>
  <c r="M185" i="39"/>
  <c r="M116" i="39"/>
  <c r="M111" i="64"/>
  <c r="M206" i="87"/>
  <c r="E238" i="16"/>
  <c r="M119" i="42"/>
  <c r="M108" i="150"/>
  <c r="M28" i="87"/>
  <c r="M202" i="87"/>
  <c r="H221" i="150"/>
  <c r="M136" i="64"/>
  <c r="M110" i="64"/>
  <c r="M83" i="39"/>
  <c r="M91" i="66"/>
  <c r="M36" i="62"/>
  <c r="M150" i="62"/>
  <c r="M82" i="62"/>
  <c r="M172" i="62"/>
  <c r="M96" i="62"/>
  <c r="M30" i="62"/>
  <c r="M34" i="62"/>
  <c r="M60" i="64"/>
  <c r="H227" i="174"/>
  <c r="M172" i="174"/>
  <c r="M42" i="87"/>
  <c r="M181" i="150"/>
  <c r="M114" i="150"/>
  <c r="M96" i="106"/>
  <c r="H227" i="106"/>
  <c r="M172" i="145"/>
  <c r="M143" i="64"/>
  <c r="M70" i="64"/>
  <c r="M173" i="64"/>
  <c r="M27" i="64"/>
  <c r="M124" i="64"/>
  <c r="M184" i="64"/>
  <c r="M167" i="64"/>
  <c r="M172" i="64"/>
  <c r="M204" i="64"/>
  <c r="M181" i="64"/>
  <c r="M147" i="53"/>
  <c r="M168" i="87"/>
  <c r="M118" i="87"/>
  <c r="M49" i="87"/>
  <c r="M185" i="87"/>
  <c r="M52" i="87"/>
  <c r="M196" i="15"/>
  <c r="M42" i="63"/>
  <c r="H19" i="175"/>
  <c r="H226" i="39"/>
  <c r="M193" i="39"/>
  <c r="M83" i="53"/>
  <c r="M100" i="150"/>
  <c r="M187" i="87"/>
  <c r="M78" i="106"/>
  <c r="M191" i="83"/>
  <c r="M158" i="64"/>
  <c r="M175" i="64"/>
  <c r="M58" i="64"/>
  <c r="H223" i="87"/>
  <c r="M79" i="62"/>
  <c r="M175" i="62"/>
  <c r="M142" i="62"/>
  <c r="M76" i="62"/>
  <c r="H227" i="62"/>
  <c r="M78" i="62"/>
  <c r="M132" i="62"/>
  <c r="M119" i="64"/>
  <c r="E238" i="60"/>
  <c r="M50" i="174"/>
  <c r="H21" i="142"/>
  <c r="M33" i="150"/>
  <c r="H224" i="150"/>
  <c r="M86" i="106"/>
  <c r="K13" i="106"/>
  <c r="M30" i="64"/>
  <c r="M168" i="64"/>
  <c r="M88" i="64"/>
  <c r="H222" i="64"/>
  <c r="M72" i="64"/>
  <c r="M164" i="64"/>
  <c r="M123" i="64"/>
  <c r="H227" i="64"/>
  <c r="M38" i="64"/>
  <c r="M47" i="53"/>
  <c r="M125" i="87"/>
  <c r="M87" i="87"/>
  <c r="M170" i="87"/>
  <c r="M50" i="87"/>
  <c r="M25" i="87"/>
  <c r="M135" i="63"/>
  <c r="M67" i="39"/>
  <c r="M167" i="39"/>
  <c r="H225" i="39"/>
  <c r="M68" i="64"/>
  <c r="M197" i="64"/>
  <c r="M114" i="87"/>
  <c r="M97" i="87"/>
  <c r="M160" i="62"/>
  <c r="M157" i="62"/>
  <c r="M193" i="62"/>
  <c r="M195" i="62"/>
  <c r="M86" i="62"/>
  <c r="M90" i="62"/>
  <c r="H226" i="62"/>
  <c r="M41" i="64"/>
  <c r="M116" i="64"/>
  <c r="M173" i="174"/>
  <c r="H13" i="142"/>
  <c r="M131" i="150"/>
  <c r="H225" i="150"/>
  <c r="M36" i="106"/>
  <c r="M175" i="106"/>
  <c r="M191" i="64"/>
  <c r="M31" i="64"/>
  <c r="M137" i="64"/>
  <c r="M49" i="64"/>
  <c r="M48" i="64"/>
  <c r="M66" i="64"/>
  <c r="M160" i="64"/>
  <c r="M133" i="64"/>
  <c r="M189" i="64"/>
  <c r="M135" i="53"/>
  <c r="M73" i="87"/>
  <c r="M136" i="87"/>
  <c r="M124" i="87"/>
  <c r="H220" i="87"/>
  <c r="M109" i="87"/>
  <c r="M61" i="64"/>
  <c r="M173" i="39"/>
  <c r="M148" i="39"/>
  <c r="E238" i="164"/>
  <c r="K15" i="119"/>
  <c r="M150" i="87"/>
  <c r="M202" i="64"/>
  <c r="M69" i="150"/>
  <c r="M98" i="106"/>
  <c r="M107" i="64"/>
  <c r="M45" i="64"/>
  <c r="M77" i="87"/>
  <c r="M74" i="87"/>
  <c r="M38" i="39"/>
  <c r="M191" i="39"/>
  <c r="M174" i="69"/>
  <c r="M64" i="62"/>
  <c r="M205" i="62"/>
  <c r="M47" i="62"/>
  <c r="M35" i="62"/>
  <c r="M146" i="62"/>
  <c r="M28" i="62"/>
  <c r="M47" i="64"/>
  <c r="M155" i="39"/>
  <c r="M68" i="174"/>
  <c r="H14" i="142"/>
  <c r="M47" i="150"/>
  <c r="H21" i="174"/>
  <c r="H223" i="106"/>
  <c r="H224" i="106"/>
  <c r="M174" i="64"/>
  <c r="M115" i="64"/>
  <c r="M178" i="64"/>
  <c r="M141" i="64"/>
  <c r="M201" i="64"/>
  <c r="M203" i="64"/>
  <c r="M40" i="64"/>
  <c r="M142" i="64"/>
  <c r="H225" i="53"/>
  <c r="M145" i="87"/>
  <c r="M84" i="87"/>
  <c r="M175" i="87"/>
  <c r="M164" i="87"/>
  <c r="H18" i="85"/>
  <c r="M56" i="118"/>
  <c r="M33" i="87"/>
  <c r="M55" i="39"/>
  <c r="M161" i="87"/>
  <c r="M52" i="39"/>
  <c r="M135" i="39"/>
  <c r="M172" i="39"/>
  <c r="M197" i="87"/>
  <c r="M79" i="64"/>
  <c r="M47" i="58"/>
  <c r="E238" i="62"/>
  <c r="M107" i="53"/>
  <c r="M39" i="174"/>
  <c r="M99" i="174"/>
  <c r="M69" i="174"/>
  <c r="M74" i="174"/>
  <c r="M149" i="174"/>
  <c r="M91" i="174"/>
  <c r="M181" i="174"/>
  <c r="M73" i="174"/>
  <c r="M65" i="174"/>
  <c r="M182" i="58"/>
  <c r="M54" i="58"/>
  <c r="M179" i="58"/>
  <c r="M115" i="25"/>
  <c r="H11" i="174"/>
  <c r="H16" i="42"/>
  <c r="M118" i="53"/>
  <c r="M195" i="53"/>
  <c r="M26" i="53"/>
  <c r="M193" i="53"/>
  <c r="M175" i="53"/>
  <c r="M136" i="53"/>
  <c r="M115" i="53"/>
  <c r="M169" i="53"/>
  <c r="M174" i="53"/>
  <c r="M148" i="53"/>
  <c r="M39" i="38"/>
  <c r="H21" i="158"/>
  <c r="M98" i="25"/>
  <c r="G237" i="42"/>
  <c r="M61" i="53"/>
  <c r="M116" i="53"/>
  <c r="M176" i="174"/>
  <c r="M200" i="174"/>
  <c r="M178" i="174"/>
  <c r="M77" i="174"/>
  <c r="M156" i="174"/>
  <c r="M205" i="174"/>
  <c r="M56" i="174"/>
  <c r="M158" i="174"/>
  <c r="M70" i="174"/>
  <c r="M48" i="174"/>
  <c r="G236" i="58"/>
  <c r="M36" i="58"/>
  <c r="M181" i="58"/>
  <c r="M153" i="25"/>
  <c r="H21" i="102"/>
  <c r="H17" i="174"/>
  <c r="M58" i="53"/>
  <c r="M49" i="53"/>
  <c r="M165" i="53"/>
  <c r="M184" i="53"/>
  <c r="M70" i="53"/>
  <c r="H223" i="53"/>
  <c r="M45" i="53"/>
  <c r="M191" i="53"/>
  <c r="M34" i="53"/>
  <c r="M100" i="38"/>
  <c r="H17" i="158"/>
  <c r="H14" i="158"/>
  <c r="K11" i="37"/>
  <c r="M93" i="118"/>
  <c r="M53" i="174"/>
  <c r="H228" i="174"/>
  <c r="M125" i="174"/>
  <c r="M136" i="174"/>
  <c r="M138" i="174"/>
  <c r="K13" i="174"/>
  <c r="M100" i="174"/>
  <c r="M165" i="174"/>
  <c r="M185" i="174"/>
  <c r="M32" i="174"/>
  <c r="M150" i="58"/>
  <c r="M50" i="58"/>
  <c r="M33" i="58"/>
  <c r="M64" i="25"/>
  <c r="H16" i="174"/>
  <c r="M44" i="58"/>
  <c r="M161" i="174"/>
  <c r="M85" i="53"/>
  <c r="M177" i="53"/>
  <c r="M127" i="53"/>
  <c r="M138" i="53"/>
  <c r="M126" i="53"/>
  <c r="M75" i="53"/>
  <c r="M125" i="53"/>
  <c r="K13" i="53"/>
  <c r="M114" i="53"/>
  <c r="M175" i="38"/>
  <c r="M169" i="38"/>
  <c r="M119" i="174"/>
  <c r="M21" i="158"/>
  <c r="H19" i="158"/>
  <c r="M206" i="174"/>
  <c r="M97" i="58"/>
  <c r="M152" i="58"/>
  <c r="M61" i="58"/>
  <c r="M167" i="174"/>
  <c r="M69" i="165"/>
  <c r="M153" i="58"/>
  <c r="M178" i="98"/>
  <c r="M34" i="98"/>
  <c r="M69" i="98"/>
  <c r="M185" i="98"/>
  <c r="M124" i="98"/>
  <c r="M105" i="98"/>
  <c r="M27" i="98"/>
  <c r="M152" i="98"/>
  <c r="H16" i="37"/>
  <c r="M143" i="58"/>
  <c r="M79" i="156"/>
  <c r="M147" i="58"/>
  <c r="H21" i="172"/>
  <c r="H17" i="172"/>
  <c r="M107" i="174"/>
  <c r="M117" i="174"/>
  <c r="M72" i="174"/>
  <c r="M47" i="174"/>
  <c r="M180" i="174"/>
  <c r="M171" i="174"/>
  <c r="M98" i="174"/>
  <c r="M49" i="174"/>
  <c r="M152" i="174"/>
  <c r="M58" i="174"/>
  <c r="M110" i="174"/>
  <c r="M79" i="174"/>
  <c r="M190" i="174"/>
  <c r="M115" i="174"/>
  <c r="M155" i="174"/>
  <c r="M179" i="174"/>
  <c r="M29" i="174"/>
  <c r="M106" i="174"/>
  <c r="M33" i="174"/>
  <c r="M137" i="174"/>
  <c r="M169" i="174"/>
  <c r="M140" i="174"/>
  <c r="M78" i="174"/>
  <c r="M166" i="174"/>
  <c r="M60" i="174"/>
  <c r="M87" i="174"/>
  <c r="M90" i="174"/>
  <c r="M201" i="174"/>
  <c r="M45" i="174"/>
  <c r="M44" i="174"/>
  <c r="M25" i="174"/>
  <c r="M31" i="174"/>
  <c r="M34" i="174"/>
  <c r="M71" i="174"/>
  <c r="M51" i="174"/>
  <c r="M150" i="174"/>
  <c r="M182" i="174"/>
  <c r="M55" i="174"/>
  <c r="M61" i="174"/>
  <c r="H228" i="58"/>
  <c r="M82" i="58"/>
  <c r="M92" i="58"/>
  <c r="M53" i="58"/>
  <c r="M148" i="58"/>
  <c r="M138" i="58"/>
  <c r="M72" i="58"/>
  <c r="M169" i="58"/>
  <c r="M137" i="58"/>
  <c r="M37" i="58"/>
  <c r="M75" i="58"/>
  <c r="M90" i="58"/>
  <c r="M51" i="84"/>
  <c r="M86" i="98"/>
  <c r="M101" i="25"/>
  <c r="M204" i="25"/>
  <c r="M36" i="25"/>
  <c r="M43" i="25"/>
  <c r="H17" i="102"/>
  <c r="H14" i="102"/>
  <c r="M70" i="172"/>
  <c r="M73" i="172"/>
  <c r="M200" i="172"/>
  <c r="M133" i="172"/>
  <c r="M127" i="172"/>
  <c r="M100" i="172"/>
  <c r="M195" i="172"/>
  <c r="M27" i="172"/>
  <c r="M181" i="172"/>
  <c r="M201" i="172"/>
  <c r="M44" i="172"/>
  <c r="M86" i="172"/>
  <c r="M110" i="50"/>
  <c r="M39" i="50"/>
  <c r="M56" i="50"/>
  <c r="M42" i="50"/>
  <c r="M166" i="50"/>
  <c r="M130" i="50"/>
  <c r="M148" i="50"/>
  <c r="M74" i="50"/>
  <c r="H222" i="50"/>
  <c r="M66" i="50"/>
  <c r="M143" i="50"/>
  <c r="M175" i="50"/>
  <c r="M177" i="50"/>
  <c r="M77" i="50"/>
  <c r="M53" i="50"/>
  <c r="H18" i="174"/>
  <c r="H20" i="174"/>
  <c r="H12" i="174"/>
  <c r="M41" i="145"/>
  <c r="M129" i="53"/>
  <c r="M188" i="53"/>
  <c r="M68" i="53"/>
  <c r="M123" i="53"/>
  <c r="M60" i="53"/>
  <c r="M72" i="53"/>
  <c r="M187" i="53"/>
  <c r="M157" i="53"/>
  <c r="M86" i="53"/>
  <c r="M82" i="53"/>
  <c r="M196" i="53"/>
  <c r="M180" i="53"/>
  <c r="M31" i="53"/>
  <c r="M153" i="53"/>
  <c r="M173" i="53"/>
  <c r="M28" i="53"/>
  <c r="M40" i="53"/>
  <c r="M132" i="53"/>
  <c r="M27" i="53"/>
  <c r="M78" i="53"/>
  <c r="M42" i="53"/>
  <c r="M33" i="53"/>
  <c r="M65" i="53"/>
  <c r="M190" i="53"/>
  <c r="M51" i="53"/>
  <c r="M176" i="53"/>
  <c r="M156" i="53"/>
  <c r="M32" i="53"/>
  <c r="M54" i="53"/>
  <c r="M205" i="53"/>
  <c r="H222" i="53"/>
  <c r="M159" i="53"/>
  <c r="M182" i="53"/>
  <c r="M130" i="53"/>
  <c r="M36" i="53"/>
  <c r="H220" i="53"/>
  <c r="M74" i="53"/>
  <c r="M164" i="53"/>
  <c r="M118" i="165"/>
  <c r="M26" i="165"/>
  <c r="M125" i="165"/>
  <c r="M74" i="165"/>
  <c r="M55" i="165"/>
  <c r="M126" i="165"/>
  <c r="M33" i="165"/>
  <c r="M52" i="165"/>
  <c r="M155" i="165"/>
  <c r="M73" i="15"/>
  <c r="H20" i="87"/>
  <c r="M48" i="58"/>
  <c r="M116" i="174"/>
  <c r="M83" i="165"/>
  <c r="M108" i="172"/>
  <c r="M91" i="58"/>
  <c r="M148" i="47"/>
  <c r="M189" i="47"/>
  <c r="M156" i="47"/>
  <c r="M127" i="47"/>
  <c r="M181" i="47"/>
  <c r="M159" i="156"/>
  <c r="M133" i="156"/>
  <c r="M187" i="156"/>
  <c r="H225" i="156"/>
  <c r="M117" i="156"/>
  <c r="M90" i="172"/>
  <c r="M96" i="50"/>
  <c r="M65" i="92"/>
  <c r="M21" i="47"/>
  <c r="E238" i="69"/>
  <c r="M161" i="50"/>
  <c r="M161" i="172"/>
  <c r="M100" i="25"/>
  <c r="M37" i="98"/>
  <c r="M206" i="53"/>
  <c r="G236" i="53"/>
  <c r="M79" i="53"/>
  <c r="E215" i="113"/>
  <c r="M93" i="172"/>
  <c r="M141" i="53"/>
  <c r="M43" i="47"/>
  <c r="M34" i="58"/>
  <c r="M89" i="165"/>
  <c r="M196" i="172"/>
  <c r="M189" i="58"/>
  <c r="M46" i="47"/>
  <c r="M84" i="98"/>
  <c r="M171" i="98"/>
  <c r="M25" i="98"/>
  <c r="M28" i="98"/>
  <c r="M148" i="98"/>
  <c r="M85" i="98"/>
  <c r="M49" i="98"/>
  <c r="M40" i="98"/>
  <c r="M93" i="145"/>
  <c r="H11" i="37"/>
  <c r="M145" i="53"/>
  <c r="M188" i="50"/>
  <c r="M132" i="174"/>
  <c r="K11" i="172"/>
  <c r="M131" i="174"/>
  <c r="H220" i="174"/>
  <c r="H219" i="174"/>
  <c r="M114" i="174"/>
  <c r="H222" i="174"/>
  <c r="M92" i="174"/>
  <c r="M177" i="174"/>
  <c r="M96" i="174"/>
  <c r="M52" i="174"/>
  <c r="M36" i="174"/>
  <c r="M109" i="174"/>
  <c r="M175" i="174"/>
  <c r="M127" i="174"/>
  <c r="M142" i="174"/>
  <c r="M101" i="174"/>
  <c r="M196" i="174"/>
  <c r="M43" i="174"/>
  <c r="M143" i="174"/>
  <c r="H224" i="174"/>
  <c r="M195" i="174"/>
  <c r="M187" i="174"/>
  <c r="M75" i="174"/>
  <c r="M86" i="174"/>
  <c r="M28" i="174"/>
  <c r="M130" i="174"/>
  <c r="M118" i="174"/>
  <c r="M126" i="174"/>
  <c r="H225" i="174"/>
  <c r="M85" i="174"/>
  <c r="M145" i="174"/>
  <c r="M46" i="174"/>
  <c r="M54" i="174"/>
  <c r="M135" i="174"/>
  <c r="M105" i="174"/>
  <c r="M183" i="174"/>
  <c r="M204" i="174"/>
  <c r="M193" i="174"/>
  <c r="M174" i="174"/>
  <c r="M186" i="174"/>
  <c r="M27" i="174"/>
  <c r="M168" i="58"/>
  <c r="M157" i="58"/>
  <c r="H221" i="58"/>
  <c r="M100" i="58"/>
  <c r="M40" i="58"/>
  <c r="M38" i="58"/>
  <c r="M132" i="58"/>
  <c r="M164" i="58"/>
  <c r="M188" i="58"/>
  <c r="M86" i="58"/>
  <c r="M76" i="58"/>
  <c r="M65" i="58"/>
  <c r="M77" i="58"/>
  <c r="M59" i="58"/>
  <c r="M117" i="25"/>
  <c r="M183" i="25"/>
  <c r="M59" i="25"/>
  <c r="M46" i="25"/>
  <c r="M192" i="53"/>
  <c r="H20" i="102"/>
  <c r="M87" i="172"/>
  <c r="M171" i="172"/>
  <c r="M75" i="172"/>
  <c r="M97" i="172"/>
  <c r="M26" i="172"/>
  <c r="M167" i="172"/>
  <c r="M36" i="172"/>
  <c r="M148" i="172"/>
  <c r="H223" i="172"/>
  <c r="M165" i="172"/>
  <c r="M205" i="172"/>
  <c r="M173" i="172"/>
  <c r="M92" i="172"/>
  <c r="M190" i="50"/>
  <c r="M173" i="50"/>
  <c r="M67" i="50"/>
  <c r="M97" i="50"/>
  <c r="M86" i="50"/>
  <c r="M156" i="50"/>
  <c r="M146" i="50"/>
  <c r="M140" i="50"/>
  <c r="M34" i="50"/>
  <c r="M44" i="50"/>
  <c r="M76" i="50"/>
  <c r="M181" i="50"/>
  <c r="H219" i="50"/>
  <c r="M54" i="50"/>
  <c r="M101" i="50"/>
  <c r="M97" i="165"/>
  <c r="H14" i="174"/>
  <c r="H15" i="174"/>
  <c r="M21" i="174"/>
  <c r="M133" i="53"/>
  <c r="M77" i="98"/>
  <c r="M160" i="145"/>
  <c r="M28" i="145"/>
  <c r="M129" i="174"/>
  <c r="M203" i="53"/>
  <c r="M158" i="53"/>
  <c r="M41" i="53"/>
  <c r="M168" i="53"/>
  <c r="M37" i="53"/>
  <c r="M140" i="53"/>
  <c r="M100" i="53"/>
  <c r="M91" i="53"/>
  <c r="M69" i="53"/>
  <c r="M89" i="53"/>
  <c r="M30" i="53"/>
  <c r="M105" i="53"/>
  <c r="M167" i="53"/>
  <c r="H228" i="53"/>
  <c r="M152" i="53"/>
  <c r="M137" i="53"/>
  <c r="H221" i="53"/>
  <c r="M178" i="53"/>
  <c r="M110" i="53"/>
  <c r="M48" i="53"/>
  <c r="M171" i="53"/>
  <c r="M160" i="53"/>
  <c r="M179" i="53"/>
  <c r="M88" i="53"/>
  <c r="M202" i="53"/>
  <c r="M52" i="53"/>
  <c r="M96" i="53"/>
  <c r="M185" i="53"/>
  <c r="M108" i="53"/>
  <c r="H219" i="53"/>
  <c r="M194" i="53"/>
  <c r="M117" i="53"/>
  <c r="M204" i="53"/>
  <c r="M43" i="53"/>
  <c r="M53" i="53"/>
  <c r="M155" i="53"/>
  <c r="M55" i="53"/>
  <c r="M39" i="53"/>
  <c r="M72" i="165"/>
  <c r="M105" i="165"/>
  <c r="M30" i="165"/>
  <c r="M25" i="165"/>
  <c r="M49" i="165"/>
  <c r="M131" i="165"/>
  <c r="M53" i="165"/>
  <c r="M70" i="165"/>
  <c r="H220" i="165"/>
  <c r="M123" i="98"/>
  <c r="M64" i="15"/>
  <c r="M37" i="174"/>
  <c r="M161" i="53"/>
  <c r="M170" i="174"/>
  <c r="M151" i="58"/>
  <c r="M149" i="53"/>
  <c r="M146" i="47"/>
  <c r="M192" i="47"/>
  <c r="M66" i="47"/>
  <c r="M203" i="47"/>
  <c r="M108" i="165"/>
  <c r="M35" i="156"/>
  <c r="M180" i="156"/>
  <c r="M82" i="156"/>
  <c r="M164" i="156"/>
  <c r="M156" i="156"/>
  <c r="M59" i="156"/>
  <c r="M61" i="156"/>
  <c r="M38" i="84"/>
  <c r="M36" i="165"/>
  <c r="M152" i="172"/>
  <c r="K15" i="42"/>
  <c r="M100" i="84"/>
  <c r="M159" i="174"/>
  <c r="M44" i="165"/>
  <c r="M111" i="53"/>
  <c r="E238" i="24"/>
  <c r="M102" i="53"/>
  <c r="M119" i="53"/>
  <c r="M102" i="174"/>
  <c r="M101" i="53"/>
  <c r="M197" i="174"/>
  <c r="M164" i="174"/>
  <c r="M102" i="58"/>
  <c r="M59" i="174"/>
  <c r="M172" i="47"/>
  <c r="M46" i="165"/>
  <c r="M31" i="98"/>
  <c r="M89" i="98"/>
  <c r="M55" i="98"/>
  <c r="M110" i="98"/>
  <c r="M115" i="98"/>
  <c r="M96" i="98"/>
  <c r="M53" i="98"/>
  <c r="M32" i="98"/>
  <c r="M93" i="58"/>
  <c r="H15" i="37"/>
  <c r="H19" i="37"/>
  <c r="M93" i="47"/>
  <c r="M118" i="58"/>
  <c r="M160" i="165"/>
  <c r="H12" i="172"/>
  <c r="M39" i="156"/>
  <c r="M38" i="174"/>
  <c r="M168" i="174"/>
  <c r="M57" i="174"/>
  <c r="M191" i="174"/>
  <c r="M188" i="174"/>
  <c r="M84" i="174"/>
  <c r="M67" i="174"/>
  <c r="M26" i="174"/>
  <c r="M88" i="174"/>
  <c r="M189" i="174"/>
  <c r="M64" i="174"/>
  <c r="H226" i="174"/>
  <c r="M108" i="174"/>
  <c r="M151" i="174"/>
  <c r="M89" i="174"/>
  <c r="M192" i="174"/>
  <c r="M141" i="174"/>
  <c r="H223" i="174"/>
  <c r="M42" i="174"/>
  <c r="M157" i="174"/>
  <c r="H221" i="174"/>
  <c r="M123" i="174"/>
  <c r="M202" i="174"/>
  <c r="M148" i="174"/>
  <c r="M41" i="174"/>
  <c r="M194" i="174"/>
  <c r="M83" i="174"/>
  <c r="M82" i="174"/>
  <c r="M124" i="174"/>
  <c r="M30" i="174"/>
  <c r="M203" i="174"/>
  <c r="M160" i="174"/>
  <c r="M184" i="174"/>
  <c r="G236" i="174"/>
  <c r="G238" i="174"/>
  <c r="M93" i="174"/>
  <c r="M76" i="174"/>
  <c r="M97" i="174"/>
  <c r="M174" i="58"/>
  <c r="M176" i="58"/>
  <c r="M165" i="58"/>
  <c r="M117" i="58"/>
  <c r="M114" i="58"/>
  <c r="M32" i="58"/>
  <c r="M41" i="58"/>
  <c r="H225" i="58"/>
  <c r="M142" i="58"/>
  <c r="M43" i="58"/>
  <c r="M200" i="58"/>
  <c r="M57" i="58"/>
  <c r="M177" i="25"/>
  <c r="M145" i="25"/>
  <c r="M84" i="25"/>
  <c r="M151" i="25"/>
  <c r="M197" i="53"/>
  <c r="H16" i="102"/>
  <c r="H220" i="172"/>
  <c r="M116" i="172"/>
  <c r="M135" i="172"/>
  <c r="M115" i="172"/>
  <c r="M53" i="172"/>
  <c r="M52" i="172"/>
  <c r="M48" i="172"/>
  <c r="M194" i="172"/>
  <c r="M192" i="172"/>
  <c r="M189" i="172"/>
  <c r="M42" i="172"/>
  <c r="M98" i="172"/>
  <c r="M150" i="172"/>
  <c r="M38" i="50"/>
  <c r="M141" i="50"/>
  <c r="M60" i="50"/>
  <c r="M176" i="50"/>
  <c r="M68" i="50"/>
  <c r="M107" i="50"/>
  <c r="M170" i="50"/>
  <c r="M105" i="50"/>
  <c r="M27" i="50"/>
  <c r="H221" i="50"/>
  <c r="M41" i="50"/>
  <c r="M149" i="50"/>
  <c r="M83" i="50"/>
  <c r="M168" i="50"/>
  <c r="H226" i="50"/>
  <c r="M35" i="174"/>
  <c r="M77" i="165"/>
  <c r="H13" i="174"/>
  <c r="K11" i="174"/>
  <c r="M77" i="145"/>
  <c r="H228" i="145"/>
  <c r="M98" i="53"/>
  <c r="M44" i="53"/>
  <c r="M90" i="53"/>
  <c r="H224" i="53"/>
  <c r="M50" i="53"/>
  <c r="M38" i="53"/>
  <c r="M106" i="53"/>
  <c r="M84" i="53"/>
  <c r="M186" i="53"/>
  <c r="H226" i="53"/>
  <c r="M97" i="53"/>
  <c r="M183" i="53"/>
  <c r="M71" i="53"/>
  <c r="M46" i="53"/>
  <c r="M57" i="53"/>
  <c r="M181" i="53"/>
  <c r="M146" i="53"/>
  <c r="M92" i="53"/>
  <c r="M189" i="53"/>
  <c r="M73" i="53"/>
  <c r="M77" i="53"/>
  <c r="M29" i="53"/>
  <c r="M109" i="53"/>
  <c r="M35" i="53"/>
  <c r="M56" i="53"/>
  <c r="M151" i="53"/>
  <c r="H227" i="53"/>
  <c r="M76" i="53"/>
  <c r="M172" i="53"/>
  <c r="M87" i="53"/>
  <c r="M166" i="53"/>
  <c r="M143" i="53"/>
  <c r="M64" i="53"/>
  <c r="M66" i="53"/>
  <c r="M67" i="53"/>
  <c r="M142" i="53"/>
  <c r="M150" i="53"/>
  <c r="M28" i="165"/>
  <c r="M117" i="165"/>
  <c r="M68" i="165"/>
  <c r="M137" i="165"/>
  <c r="M27" i="165"/>
  <c r="M194" i="165"/>
  <c r="M179" i="165"/>
  <c r="M92" i="165"/>
  <c r="M205" i="165"/>
  <c r="M205" i="15"/>
  <c r="M47" i="156"/>
  <c r="M124" i="53"/>
  <c r="H15" i="87"/>
  <c r="M109" i="98"/>
  <c r="M38" i="47"/>
  <c r="M138" i="47"/>
  <c r="M141" i="47"/>
  <c r="M182" i="47"/>
  <c r="M65" i="156"/>
  <c r="M127" i="156"/>
  <c r="H220" i="156"/>
  <c r="M109" i="156"/>
  <c r="M43" i="156"/>
  <c r="M133" i="174"/>
  <c r="M127" i="98"/>
  <c r="M117" i="172"/>
  <c r="M111" i="92"/>
  <c r="M21" i="165"/>
  <c r="M61" i="50"/>
  <c r="M67" i="25"/>
  <c r="M79" i="58"/>
  <c r="M111" i="50"/>
  <c r="M93" i="53"/>
  <c r="G237" i="25"/>
  <c r="M206" i="157"/>
  <c r="M111" i="174"/>
  <c r="K15" i="31"/>
  <c r="K15" i="45"/>
  <c r="M118" i="39"/>
  <c r="M124" i="165"/>
  <c r="M115" i="150"/>
  <c r="M44" i="103"/>
  <c r="M159" i="103"/>
  <c r="M174" i="103"/>
  <c r="M203" i="103"/>
  <c r="M204" i="103"/>
  <c r="M29" i="103"/>
  <c r="H227" i="103"/>
  <c r="M41" i="103"/>
  <c r="M169" i="103"/>
  <c r="M177" i="103"/>
  <c r="H221" i="103"/>
  <c r="M127" i="103"/>
  <c r="M47" i="103"/>
  <c r="M167" i="72"/>
  <c r="M41" i="83"/>
  <c r="M189" i="102"/>
  <c r="M166" i="39"/>
  <c r="M102" i="165"/>
  <c r="M110" i="150"/>
  <c r="K13" i="150"/>
  <c r="M42" i="150"/>
  <c r="M59" i="150"/>
  <c r="M78" i="150"/>
  <c r="M165" i="150"/>
  <c r="M129" i="150"/>
  <c r="M71" i="150"/>
  <c r="M158" i="150"/>
  <c r="M123" i="150"/>
  <c r="M88" i="150"/>
  <c r="M109" i="150"/>
  <c r="M53" i="150"/>
  <c r="M55" i="150"/>
  <c r="M124" i="150"/>
  <c r="M66" i="106"/>
  <c r="M115" i="106"/>
  <c r="M133" i="106"/>
  <c r="M192" i="106"/>
  <c r="M202" i="106"/>
  <c r="M77" i="106"/>
  <c r="M200" i="106"/>
  <c r="M201" i="106"/>
  <c r="M204" i="106"/>
  <c r="M142" i="106"/>
  <c r="M46" i="106"/>
  <c r="M145" i="106"/>
  <c r="M83" i="106"/>
  <c r="M109" i="83"/>
  <c r="M171" i="83"/>
  <c r="M73" i="83"/>
  <c r="M197" i="150"/>
  <c r="M173" i="165"/>
  <c r="M51" i="165"/>
  <c r="M170" i="165"/>
  <c r="M40" i="165"/>
  <c r="M187" i="165"/>
  <c r="M174" i="165"/>
  <c r="K13" i="165"/>
  <c r="M171" i="165"/>
  <c r="M141" i="165"/>
  <c r="M32" i="165"/>
  <c r="M82" i="165"/>
  <c r="M100" i="165"/>
  <c r="M193" i="165"/>
  <c r="M145" i="165"/>
  <c r="M203" i="165"/>
  <c r="M99" i="165"/>
  <c r="M176" i="165"/>
  <c r="M58" i="165"/>
  <c r="M98" i="165"/>
  <c r="H219" i="165"/>
  <c r="M56" i="165"/>
  <c r="M42" i="165"/>
  <c r="M143" i="165"/>
  <c r="M31" i="165"/>
  <c r="M57" i="165"/>
  <c r="M132" i="165"/>
  <c r="M149" i="165"/>
  <c r="M73" i="165"/>
  <c r="M41" i="165"/>
  <c r="M85" i="165"/>
  <c r="M178" i="165"/>
  <c r="M35" i="165"/>
  <c r="M172" i="165"/>
  <c r="M96" i="165"/>
  <c r="M169" i="165"/>
  <c r="M166" i="87"/>
  <c r="M90" i="87"/>
  <c r="M92" i="87"/>
  <c r="M41" i="87"/>
  <c r="M43" i="87"/>
  <c r="M159" i="87"/>
  <c r="M195" i="87"/>
  <c r="M86" i="87"/>
  <c r="M189" i="87"/>
  <c r="M110" i="87"/>
  <c r="M176" i="87"/>
  <c r="M69" i="87"/>
  <c r="M141" i="87"/>
  <c r="M182" i="87"/>
  <c r="M105" i="87"/>
  <c r="M70" i="87"/>
  <c r="M53" i="87"/>
  <c r="M188" i="87"/>
  <c r="M133" i="87"/>
  <c r="M32" i="87"/>
  <c r="M171" i="87"/>
  <c r="M148" i="87"/>
  <c r="M39" i="87"/>
  <c r="M55" i="87"/>
  <c r="M178" i="87"/>
  <c r="M106" i="87"/>
  <c r="M174" i="87"/>
  <c r="M57" i="87"/>
  <c r="H227" i="87"/>
  <c r="M37" i="87"/>
  <c r="M200" i="87"/>
  <c r="M78" i="87"/>
  <c r="M65" i="87"/>
  <c r="M140" i="87"/>
  <c r="M96" i="87"/>
  <c r="M58" i="87"/>
  <c r="M91" i="87"/>
  <c r="M151" i="87"/>
  <c r="H20" i="149"/>
  <c r="M30" i="38"/>
  <c r="M70" i="38"/>
  <c r="M105" i="38"/>
  <c r="M83" i="38"/>
  <c r="M151" i="38"/>
  <c r="M203" i="38"/>
  <c r="M75" i="106"/>
  <c r="M195" i="89"/>
  <c r="M110" i="106"/>
  <c r="M161" i="39"/>
  <c r="M93" i="165"/>
  <c r="M106" i="102"/>
  <c r="M74" i="102"/>
  <c r="M26" i="102"/>
  <c r="K13" i="102"/>
  <c r="M181" i="102"/>
  <c r="M205" i="102"/>
  <c r="M68" i="102"/>
  <c r="M158" i="102"/>
  <c r="M132" i="102"/>
  <c r="M176" i="102"/>
  <c r="M98" i="87"/>
  <c r="M200" i="63"/>
  <c r="G236" i="39"/>
  <c r="E238" i="133"/>
  <c r="M56" i="39"/>
  <c r="M93" i="39"/>
  <c r="M146" i="39"/>
  <c r="H14" i="92"/>
  <c r="M187" i="39"/>
  <c r="M71" i="31"/>
  <c r="M195" i="31"/>
  <c r="M132" i="31"/>
  <c r="M61" i="106"/>
  <c r="M197" i="165"/>
  <c r="M192" i="39"/>
  <c r="M203" i="39"/>
  <c r="M64" i="39"/>
  <c r="M88" i="39"/>
  <c r="M145" i="39"/>
  <c r="M164" i="39"/>
  <c r="M91" i="39"/>
  <c r="M96" i="39"/>
  <c r="M153" i="39"/>
  <c r="M98" i="39"/>
  <c r="H222" i="39"/>
  <c r="H228" i="39"/>
  <c r="H227" i="39"/>
  <c r="M43" i="39"/>
  <c r="M201" i="39"/>
  <c r="M168" i="39"/>
  <c r="M161" i="106"/>
  <c r="M197" i="103"/>
  <c r="M206" i="39"/>
  <c r="M111" i="150"/>
  <c r="M34" i="38"/>
  <c r="E238" i="14"/>
  <c r="M98" i="103"/>
  <c r="M119" i="39"/>
  <c r="M161" i="103"/>
  <c r="M93" i="106"/>
  <c r="M161" i="104"/>
  <c r="M91" i="165"/>
  <c r="M76" i="87"/>
  <c r="M108" i="39"/>
  <c r="M37" i="165"/>
  <c r="M170" i="103"/>
  <c r="M190" i="103"/>
  <c r="M118" i="103"/>
  <c r="M126" i="103"/>
  <c r="M202" i="103"/>
  <c r="M171" i="103"/>
  <c r="M107" i="103"/>
  <c r="H224" i="103"/>
  <c r="M46" i="103"/>
  <c r="M90" i="103"/>
  <c r="M173" i="103"/>
  <c r="K13" i="103"/>
  <c r="M99" i="103"/>
  <c r="M30" i="106"/>
  <c r="M87" i="103"/>
  <c r="M197" i="39"/>
  <c r="M131" i="87"/>
  <c r="M186" i="150"/>
  <c r="M29" i="150"/>
  <c r="M70" i="150"/>
  <c r="M201" i="150"/>
  <c r="M160" i="150"/>
  <c r="M68" i="150"/>
  <c r="M40" i="150"/>
  <c r="M149" i="150"/>
  <c r="M189" i="150"/>
  <c r="M72" i="150"/>
  <c r="M101" i="150"/>
  <c r="M58" i="150"/>
  <c r="M48" i="150"/>
  <c r="M182" i="150"/>
  <c r="M171" i="106"/>
  <c r="M118" i="106"/>
  <c r="M143" i="106"/>
  <c r="M160" i="106"/>
  <c r="M38" i="106"/>
  <c r="M117" i="106"/>
  <c r="M51" i="106"/>
  <c r="M60" i="106"/>
  <c r="M100" i="106"/>
  <c r="M185" i="106"/>
  <c r="H226" i="106"/>
  <c r="M108" i="106"/>
  <c r="H16" i="79"/>
  <c r="M39" i="83"/>
  <c r="M65" i="83"/>
  <c r="M115" i="83"/>
  <c r="H17" i="104"/>
  <c r="M87" i="165"/>
  <c r="H221" i="165"/>
  <c r="M183" i="165"/>
  <c r="M189" i="165"/>
  <c r="M177" i="165"/>
  <c r="M133" i="165"/>
  <c r="M48" i="165"/>
  <c r="M157" i="165"/>
  <c r="M202" i="165"/>
  <c r="M66" i="165"/>
  <c r="M140" i="165"/>
  <c r="M67" i="165"/>
  <c r="H225" i="165"/>
  <c r="M65" i="165"/>
  <c r="M47" i="165"/>
  <c r="M138" i="165"/>
  <c r="M109" i="165"/>
  <c r="M38" i="165"/>
  <c r="M159" i="165"/>
  <c r="M106" i="165"/>
  <c r="M60" i="165"/>
  <c r="M127" i="165"/>
  <c r="M84" i="165"/>
  <c r="M34" i="165"/>
  <c r="M135" i="165"/>
  <c r="G236" i="165"/>
  <c r="G238" i="165"/>
  <c r="M64" i="165"/>
  <c r="M188" i="165"/>
  <c r="M86" i="165"/>
  <c r="M75" i="165"/>
  <c r="M123" i="165"/>
  <c r="M76" i="165"/>
  <c r="H227" i="165"/>
  <c r="M175" i="165"/>
  <c r="M204" i="165"/>
  <c r="M201" i="165"/>
  <c r="M61" i="39"/>
  <c r="M59" i="87"/>
  <c r="M172" i="87"/>
  <c r="M204" i="87"/>
  <c r="M89" i="87"/>
  <c r="M82" i="87"/>
  <c r="M99" i="87"/>
  <c r="M147" i="87"/>
  <c r="M153" i="87"/>
  <c r="M108" i="87"/>
  <c r="H224" i="87"/>
  <c r="M54" i="87"/>
  <c r="G236" i="87"/>
  <c r="G238" i="87"/>
  <c r="M29" i="87"/>
  <c r="M107" i="87"/>
  <c r="M158" i="87"/>
  <c r="M149" i="87"/>
  <c r="M132" i="87"/>
  <c r="M135" i="87"/>
  <c r="M56" i="87"/>
  <c r="M192" i="87"/>
  <c r="M45" i="87"/>
  <c r="M36" i="87"/>
  <c r="M51" i="87"/>
  <c r="M40" i="87"/>
  <c r="M184" i="87"/>
  <c r="M117" i="87"/>
  <c r="M75" i="87"/>
  <c r="M83" i="87"/>
  <c r="M194" i="87"/>
  <c r="H228" i="87"/>
  <c r="M186" i="87"/>
  <c r="M47" i="87"/>
  <c r="M190" i="87"/>
  <c r="M85" i="87"/>
  <c r="M167" i="87"/>
  <c r="M193" i="87"/>
  <c r="M66" i="87"/>
  <c r="M138" i="87"/>
  <c r="M196" i="87"/>
  <c r="H16" i="149"/>
  <c r="K13" i="38"/>
  <c r="M171" i="38"/>
  <c r="M44" i="38"/>
  <c r="M42" i="38"/>
  <c r="M202" i="38"/>
  <c r="M115" i="165"/>
  <c r="M100" i="39"/>
  <c r="M130" i="165"/>
  <c r="M174" i="102"/>
  <c r="M190" i="102"/>
  <c r="M191" i="102"/>
  <c r="M156" i="102"/>
  <c r="M97" i="102"/>
  <c r="M54" i="102"/>
  <c r="H219" i="102"/>
  <c r="M110" i="102"/>
  <c r="M34" i="102"/>
  <c r="M205" i="63"/>
  <c r="M99" i="63"/>
  <c r="M21" i="92"/>
  <c r="M114" i="106"/>
  <c r="M41" i="31"/>
  <c r="M55" i="31"/>
  <c r="M155" i="31"/>
  <c r="M205" i="39"/>
  <c r="M188" i="39"/>
  <c r="M46" i="39"/>
  <c r="M72" i="39"/>
  <c r="H223" i="39"/>
  <c r="M133" i="39"/>
  <c r="M65" i="39"/>
  <c r="M176" i="39"/>
  <c r="M30" i="39"/>
  <c r="M177" i="39"/>
  <c r="M170" i="39"/>
  <c r="M126" i="39"/>
  <c r="M35" i="39"/>
  <c r="M152" i="39"/>
  <c r="M42" i="39"/>
  <c r="M37" i="39"/>
  <c r="M79" i="87"/>
  <c r="M61" i="87"/>
  <c r="M93" i="87"/>
  <c r="M119" i="87"/>
  <c r="M79" i="39"/>
  <c r="M143" i="83"/>
  <c r="M119" i="165"/>
  <c r="M164" i="38"/>
  <c r="M150" i="165"/>
  <c r="M180" i="39"/>
  <c r="M92" i="150"/>
  <c r="M29" i="39"/>
  <c r="H16" i="119"/>
  <c r="M77" i="103"/>
  <c r="M48" i="39"/>
  <c r="M111" i="39"/>
  <c r="M33" i="103"/>
  <c r="M142" i="103"/>
  <c r="M65" i="103"/>
  <c r="M37" i="103"/>
  <c r="M132" i="103"/>
  <c r="M184" i="103"/>
  <c r="M82" i="103"/>
  <c r="M88" i="103"/>
  <c r="H222" i="103"/>
  <c r="M179" i="103"/>
  <c r="M31" i="103"/>
  <c r="M42" i="103"/>
  <c r="M156" i="103"/>
  <c r="M196" i="150"/>
  <c r="M193" i="150"/>
  <c r="M132" i="150"/>
  <c r="M178" i="150"/>
  <c r="M183" i="150"/>
  <c r="M52" i="150"/>
  <c r="M32" i="150"/>
  <c r="M205" i="150"/>
  <c r="M173" i="150"/>
  <c r="M195" i="150"/>
  <c r="M96" i="150"/>
  <c r="M97" i="150"/>
  <c r="M159" i="150"/>
  <c r="M194" i="150"/>
  <c r="M36" i="150"/>
  <c r="M168" i="106"/>
  <c r="M159" i="106"/>
  <c r="M148" i="106"/>
  <c r="M174" i="106"/>
  <c r="M125" i="106"/>
  <c r="M169" i="106"/>
  <c r="M187" i="106"/>
  <c r="M64" i="106"/>
  <c r="H219" i="106"/>
  <c r="M50" i="106"/>
  <c r="M49" i="106"/>
  <c r="M48" i="106"/>
  <c r="M88" i="106"/>
  <c r="M97" i="39"/>
  <c r="M195" i="83"/>
  <c r="H228" i="83"/>
  <c r="M142" i="87"/>
  <c r="M152" i="165"/>
  <c r="M78" i="165"/>
  <c r="H228" i="165"/>
  <c r="M129" i="165"/>
  <c r="M146" i="165"/>
  <c r="H224" i="165"/>
  <c r="M29" i="165"/>
  <c r="M43" i="165"/>
  <c r="M114" i="165"/>
  <c r="M167" i="165"/>
  <c r="M54" i="165"/>
  <c r="M192" i="165"/>
  <c r="M185" i="165"/>
  <c r="M200" i="165"/>
  <c r="M186" i="165"/>
  <c r="H223" i="165"/>
  <c r="M165" i="165"/>
  <c r="M195" i="165"/>
  <c r="M190" i="165"/>
  <c r="M166" i="165"/>
  <c r="M164" i="165"/>
  <c r="M151" i="165"/>
  <c r="M59" i="165"/>
  <c r="M156" i="165"/>
  <c r="M110" i="165"/>
  <c r="M196" i="165"/>
  <c r="M136" i="165"/>
  <c r="M90" i="165"/>
  <c r="M180" i="165"/>
  <c r="M50" i="165"/>
  <c r="M168" i="165"/>
  <c r="M158" i="165"/>
  <c r="M39" i="165"/>
  <c r="M45" i="165"/>
  <c r="M148" i="165"/>
  <c r="K13" i="87"/>
  <c r="H225" i="87"/>
  <c r="H219" i="87"/>
  <c r="M115" i="87"/>
  <c r="M146" i="87"/>
  <c r="M157" i="87"/>
  <c r="M67" i="87"/>
  <c r="M130" i="87"/>
  <c r="M64" i="87"/>
  <c r="M88" i="87"/>
  <c r="M44" i="87"/>
  <c r="M169" i="87"/>
  <c r="M183" i="87"/>
  <c r="M35" i="87"/>
  <c r="M177" i="87"/>
  <c r="M160" i="87"/>
  <c r="M68" i="87"/>
  <c r="M101" i="87"/>
  <c r="H226" i="87"/>
  <c r="M116" i="87"/>
  <c r="M38" i="87"/>
  <c r="M60" i="87"/>
  <c r="M129" i="87"/>
  <c r="H222" i="87"/>
  <c r="M155" i="87"/>
  <c r="M173" i="87"/>
  <c r="M126" i="87"/>
  <c r="M205" i="87"/>
  <c r="M180" i="87"/>
  <c r="M127" i="87"/>
  <c r="M48" i="87"/>
  <c r="M123" i="87"/>
  <c r="M203" i="87"/>
  <c r="M30" i="87"/>
  <c r="M72" i="87"/>
  <c r="M34" i="87"/>
  <c r="M143" i="87"/>
  <c r="H221" i="87"/>
  <c r="H18" i="149"/>
  <c r="M96" i="38"/>
  <c r="M157" i="38"/>
  <c r="M179" i="38"/>
  <c r="M152" i="38"/>
  <c r="M69" i="38"/>
  <c r="M101" i="165"/>
  <c r="M179" i="87"/>
  <c r="M125" i="39"/>
  <c r="M186" i="102"/>
  <c r="M175" i="102"/>
  <c r="M184" i="102"/>
  <c r="H225" i="102"/>
  <c r="M91" i="102"/>
  <c r="M89" i="102"/>
  <c r="M192" i="102"/>
  <c r="M71" i="102"/>
  <c r="M98" i="102"/>
  <c r="M59" i="63"/>
  <c r="M49" i="63"/>
  <c r="M71" i="87"/>
  <c r="M178" i="143"/>
  <c r="M111" i="165"/>
  <c r="M25" i="39"/>
  <c r="M47" i="39"/>
  <c r="M157" i="31"/>
  <c r="M147" i="165"/>
  <c r="M36" i="39"/>
  <c r="M57" i="39"/>
  <c r="M184" i="39"/>
  <c r="M39" i="39"/>
  <c r="M196" i="39"/>
  <c r="M190" i="39"/>
  <c r="M107" i="39"/>
  <c r="M76" i="39"/>
  <c r="M84" i="39"/>
  <c r="M183" i="39"/>
  <c r="M58" i="39"/>
  <c r="M142" i="39"/>
  <c r="M169" i="39"/>
  <c r="M179" i="39"/>
  <c r="M115" i="39"/>
  <c r="M132" i="39"/>
  <c r="M41" i="39"/>
  <c r="G236" i="102"/>
  <c r="M181" i="87"/>
  <c r="M61" i="165"/>
  <c r="M111" i="87"/>
  <c r="M66" i="83"/>
  <c r="M206" i="106"/>
  <c r="M93" i="38"/>
  <c r="E238" i="64"/>
  <c r="M102" i="87"/>
  <c r="M197" i="85"/>
  <c r="M177" i="85"/>
  <c r="M140" i="85"/>
  <c r="M182" i="85"/>
  <c r="E238" i="32"/>
  <c r="M195" i="24"/>
  <c r="M69" i="24"/>
  <c r="M70" i="24"/>
  <c r="M65" i="24"/>
  <c r="M97" i="24"/>
  <c r="H12" i="42"/>
  <c r="M26" i="10"/>
  <c r="M192" i="10"/>
  <c r="M43" i="10"/>
  <c r="M158" i="10"/>
  <c r="M145" i="10"/>
  <c r="M29" i="10"/>
  <c r="M90" i="10"/>
  <c r="M183" i="10"/>
  <c r="M31" i="10"/>
  <c r="M168" i="10"/>
  <c r="K13" i="10"/>
  <c r="M33" i="10"/>
  <c r="M140" i="10"/>
  <c r="M108" i="10"/>
  <c r="M171" i="10"/>
  <c r="M115" i="10"/>
  <c r="M46" i="10"/>
  <c r="M111" i="24"/>
  <c r="M191" i="10"/>
  <c r="M102" i="24"/>
  <c r="H18" i="24"/>
  <c r="M40" i="24"/>
  <c r="M106" i="24"/>
  <c r="M64" i="24"/>
  <c r="M82" i="24"/>
  <c r="M53" i="24"/>
  <c r="M105" i="24"/>
  <c r="M100" i="24"/>
  <c r="M177" i="24"/>
  <c r="M186" i="24"/>
  <c r="M124" i="24"/>
  <c r="M57" i="24"/>
  <c r="M200" i="24"/>
  <c r="M88" i="24"/>
  <c r="M126" i="24"/>
  <c r="M116" i="24"/>
  <c r="M173" i="24"/>
  <c r="M158" i="24"/>
  <c r="M27" i="24"/>
  <c r="M49" i="24"/>
  <c r="M91" i="25"/>
  <c r="M86" i="25"/>
  <c r="M171" i="25"/>
  <c r="M192" i="25"/>
  <c r="M179" i="25"/>
  <c r="H11" i="102"/>
  <c r="H19" i="102"/>
  <c r="H13" i="176"/>
  <c r="H11" i="95"/>
  <c r="M190" i="15"/>
  <c r="H12" i="60"/>
  <c r="M127" i="89"/>
  <c r="H20" i="86"/>
  <c r="M68" i="10"/>
  <c r="M175" i="10"/>
  <c r="E238" i="90"/>
  <c r="M79" i="24"/>
  <c r="M184" i="10"/>
  <c r="M132" i="10"/>
  <c r="M169" i="10"/>
  <c r="M155" i="10"/>
  <c r="M28" i="10"/>
  <c r="M47" i="10"/>
  <c r="M202" i="10"/>
  <c r="M101" i="10"/>
  <c r="M185" i="10"/>
  <c r="M25" i="10"/>
  <c r="M116" i="10"/>
  <c r="M35" i="10"/>
  <c r="M69" i="10"/>
  <c r="M181" i="10"/>
  <c r="H221" i="10"/>
  <c r="M73" i="10"/>
  <c r="M50" i="25"/>
  <c r="M53" i="10"/>
  <c r="E238" i="38"/>
  <c r="M50" i="10"/>
  <c r="M160" i="10"/>
  <c r="M93" i="24"/>
  <c r="M119" i="10"/>
  <c r="M187" i="10"/>
  <c r="H17" i="60"/>
  <c r="M43" i="24"/>
  <c r="M101" i="24"/>
  <c r="M183" i="24"/>
  <c r="M76" i="24"/>
  <c r="M108" i="24"/>
  <c r="M65" i="10"/>
  <c r="M174" i="10"/>
  <c r="H223" i="10"/>
  <c r="M89" i="10"/>
  <c r="M114" i="24"/>
  <c r="M166" i="24"/>
  <c r="M51" i="24"/>
  <c r="M36" i="24"/>
  <c r="M66" i="24"/>
  <c r="M179" i="24"/>
  <c r="H223" i="24"/>
  <c r="M50" i="24"/>
  <c r="M135" i="24"/>
  <c r="M72" i="24"/>
  <c r="M140" i="24"/>
  <c r="K13" i="24"/>
  <c r="M87" i="24"/>
  <c r="M86" i="24"/>
  <c r="M150" i="24"/>
  <c r="H227" i="24"/>
  <c r="M28" i="24"/>
  <c r="M30" i="24"/>
  <c r="M174" i="24"/>
  <c r="M59" i="24"/>
  <c r="M48" i="84"/>
  <c r="H18" i="172"/>
  <c r="H20" i="172"/>
  <c r="M39" i="25"/>
  <c r="M35" i="25"/>
  <c r="M167" i="25"/>
  <c r="M185" i="25"/>
  <c r="K11" i="102"/>
  <c r="K11" i="176"/>
  <c r="H20" i="95"/>
  <c r="H12" i="95"/>
  <c r="M79" i="10"/>
  <c r="E238" i="103"/>
  <c r="M169" i="15"/>
  <c r="H18" i="60"/>
  <c r="M137" i="89"/>
  <c r="E238" i="98"/>
  <c r="K11" i="175"/>
  <c r="M54" i="10"/>
  <c r="M126" i="10"/>
  <c r="M151" i="10"/>
  <c r="M83" i="10"/>
  <c r="M32" i="10"/>
  <c r="M203" i="10"/>
  <c r="M92" i="10"/>
  <c r="M59" i="10"/>
  <c r="M55" i="10"/>
  <c r="M190" i="10"/>
  <c r="M153" i="10"/>
  <c r="M152" i="10"/>
  <c r="M36" i="10"/>
  <c r="M42" i="10"/>
  <c r="M127" i="10"/>
  <c r="M51" i="10"/>
  <c r="M165" i="25"/>
  <c r="M167" i="10"/>
  <c r="M197" i="25"/>
  <c r="M114" i="60"/>
  <c r="M148" i="10"/>
  <c r="M135" i="10"/>
  <c r="M194" i="10"/>
  <c r="E238" i="42"/>
  <c r="M29" i="69"/>
  <c r="M56" i="24"/>
  <c r="M180" i="24"/>
  <c r="M127" i="24"/>
  <c r="M32" i="24"/>
  <c r="M194" i="24"/>
  <c r="H13" i="95"/>
  <c r="M156" i="24"/>
  <c r="M142" i="24"/>
  <c r="H17" i="95"/>
  <c r="M188" i="10"/>
  <c r="M57" i="10"/>
  <c r="M118" i="89"/>
  <c r="M137" i="10"/>
  <c r="M100" i="10"/>
  <c r="H219" i="10"/>
  <c r="M195" i="10"/>
  <c r="M172" i="10"/>
  <c r="M149" i="10"/>
  <c r="H227" i="10"/>
  <c r="M34" i="10"/>
  <c r="M197" i="24"/>
  <c r="M206" i="10"/>
  <c r="M107" i="24"/>
  <c r="H12" i="39"/>
  <c r="M161" i="10"/>
  <c r="M60" i="24"/>
  <c r="M172" i="24"/>
  <c r="M188" i="24"/>
  <c r="M115" i="24"/>
  <c r="M38" i="24"/>
  <c r="M109" i="24"/>
  <c r="M155" i="24"/>
  <c r="H228" i="24"/>
  <c r="M67" i="24"/>
  <c r="M178" i="24"/>
  <c r="M204" i="24"/>
  <c r="M138" i="24"/>
  <c r="M54" i="24"/>
  <c r="M169" i="24"/>
  <c r="M77" i="24"/>
  <c r="M34" i="24"/>
  <c r="M205" i="24"/>
  <c r="M31" i="24"/>
  <c r="M44" i="24"/>
  <c r="M140" i="46"/>
  <c r="M161" i="15"/>
  <c r="M111" i="10"/>
  <c r="H13" i="172"/>
  <c r="H11" i="172"/>
  <c r="H224" i="25"/>
  <c r="M143" i="25"/>
  <c r="M78" i="25"/>
  <c r="M108" i="25"/>
  <c r="H18" i="102"/>
  <c r="H16" i="176"/>
  <c r="H15" i="95"/>
  <c r="H16" i="95"/>
  <c r="M140" i="15"/>
  <c r="H13" i="60"/>
  <c r="M166" i="89"/>
  <c r="M186" i="89"/>
  <c r="M111" i="25"/>
  <c r="M161" i="24"/>
  <c r="H11" i="175"/>
  <c r="M124" i="10"/>
  <c r="M56" i="10"/>
  <c r="M77" i="10"/>
  <c r="M142" i="10"/>
  <c r="M186" i="10"/>
  <c r="M70" i="10"/>
  <c r="M166" i="10"/>
  <c r="M189" i="10"/>
  <c r="M130" i="10"/>
  <c r="M41" i="10"/>
  <c r="M178" i="10"/>
  <c r="M133" i="10"/>
  <c r="G236" i="10"/>
  <c r="G238" i="10"/>
  <c r="M176" i="10"/>
  <c r="H224" i="10"/>
  <c r="M82" i="10"/>
  <c r="M150" i="10"/>
  <c r="M85" i="24"/>
  <c r="M206" i="24"/>
  <c r="M99" i="24"/>
  <c r="E238" i="15"/>
  <c r="M68" i="24"/>
  <c r="M153" i="24"/>
  <c r="M52" i="24"/>
  <c r="H225" i="24"/>
  <c r="M37" i="10"/>
  <c r="M91" i="24"/>
  <c r="H224" i="24"/>
  <c r="M151" i="24"/>
  <c r="M42" i="24"/>
  <c r="M130" i="24"/>
  <c r="M165" i="24"/>
  <c r="M83" i="24"/>
  <c r="M123" i="10"/>
  <c r="M141" i="10"/>
  <c r="M179" i="10"/>
  <c r="M156" i="10"/>
  <c r="M178" i="15"/>
  <c r="M125" i="10"/>
  <c r="E215" i="133"/>
  <c r="M79" i="15"/>
  <c r="M47" i="24"/>
  <c r="M145" i="24"/>
  <c r="M131" i="24"/>
  <c r="M176" i="24"/>
  <c r="M170" i="24"/>
  <c r="M29" i="24"/>
  <c r="M92" i="24"/>
  <c r="M157" i="24"/>
  <c r="M185" i="24"/>
  <c r="M190" i="24"/>
  <c r="M33" i="24"/>
  <c r="M132" i="24"/>
  <c r="M71" i="24"/>
  <c r="M187" i="24"/>
  <c r="M37" i="24"/>
  <c r="M168" i="24"/>
  <c r="M196" i="24"/>
  <c r="M73" i="24"/>
  <c r="M123" i="15"/>
  <c r="M105" i="10"/>
  <c r="H16" i="172"/>
  <c r="H15" i="172"/>
  <c r="M194" i="25"/>
  <c r="M170" i="25"/>
  <c r="M66" i="25"/>
  <c r="M31" i="25"/>
  <c r="H13" i="102"/>
  <c r="H15" i="102"/>
  <c r="H19" i="176"/>
  <c r="M29" i="60"/>
  <c r="M197" i="10"/>
  <c r="H14" i="95"/>
  <c r="H19" i="95"/>
  <c r="M52" i="54"/>
  <c r="M180" i="10"/>
  <c r="M91" i="15"/>
  <c r="M97" i="89"/>
  <c r="M106" i="10"/>
  <c r="M133" i="84"/>
  <c r="M102" i="10"/>
  <c r="H21" i="175"/>
  <c r="M61" i="24"/>
  <c r="M131" i="10"/>
  <c r="M107" i="10"/>
  <c r="M78" i="10"/>
  <c r="M74" i="10"/>
  <c r="M170" i="10"/>
  <c r="M49" i="10"/>
  <c r="M84" i="10"/>
  <c r="M138" i="10"/>
  <c r="M143" i="10"/>
  <c r="H222" i="10"/>
  <c r="M159" i="10"/>
  <c r="M109" i="10"/>
  <c r="M66" i="10"/>
  <c r="M177" i="10"/>
  <c r="M30" i="10"/>
  <c r="M117" i="10"/>
  <c r="M85" i="10"/>
  <c r="M102" i="25"/>
  <c r="M110" i="10"/>
  <c r="M201" i="24"/>
  <c r="M39" i="10"/>
  <c r="M136" i="10"/>
  <c r="M159" i="24"/>
  <c r="M93" i="10"/>
  <c r="M119" i="24"/>
  <c r="M96" i="24"/>
  <c r="M21" i="24"/>
  <c r="M75" i="24"/>
  <c r="M125" i="24"/>
  <c r="M129" i="24"/>
  <c r="M143" i="24"/>
  <c r="M117" i="24"/>
  <c r="H16" i="24"/>
  <c r="G236" i="24"/>
  <c r="H221" i="24"/>
  <c r="M149" i="24"/>
  <c r="M148" i="24"/>
  <c r="M203" i="24"/>
  <c r="K11" i="95"/>
  <c r="H11" i="60"/>
  <c r="M196" i="10"/>
  <c r="H225" i="10"/>
  <c r="M75" i="10"/>
  <c r="M76" i="10"/>
  <c r="M206" i="113"/>
  <c r="M55" i="84"/>
  <c r="H17" i="24"/>
  <c r="M136" i="24"/>
  <c r="M84" i="24"/>
  <c r="M202" i="24"/>
  <c r="M55" i="24"/>
  <c r="M58" i="24"/>
  <c r="M90" i="24"/>
  <c r="M133" i="24"/>
  <c r="M181" i="24"/>
  <c r="H222" i="24"/>
  <c r="H219" i="24"/>
  <c r="M191" i="24"/>
  <c r="M147" i="24"/>
  <c r="M184" i="24"/>
  <c r="M160" i="24"/>
  <c r="M46" i="24"/>
  <c r="M189" i="24"/>
  <c r="M164" i="24"/>
  <c r="M167" i="24"/>
  <c r="M48" i="24"/>
  <c r="M41" i="24"/>
  <c r="M93" i="15"/>
  <c r="H19" i="172"/>
  <c r="M168" i="25"/>
  <c r="H228" i="25"/>
  <c r="M74" i="25"/>
  <c r="M133" i="25"/>
  <c r="H20" i="176"/>
  <c r="M164" i="10"/>
  <c r="H18" i="95"/>
  <c r="M52" i="89"/>
  <c r="M124" i="60"/>
  <c r="M157" i="10"/>
  <c r="M55" i="177"/>
  <c r="M96" i="10"/>
  <c r="M98" i="10"/>
  <c r="M87" i="10"/>
  <c r="M88" i="10"/>
  <c r="M114" i="10"/>
  <c r="M204" i="10"/>
  <c r="M72" i="10"/>
  <c r="M146" i="10"/>
  <c r="M165" i="10"/>
  <c r="M45" i="10"/>
  <c r="M38" i="10"/>
  <c r="M147" i="10"/>
  <c r="M205" i="10"/>
  <c r="M58" i="10"/>
  <c r="M118" i="10"/>
  <c r="M64" i="10"/>
  <c r="M60" i="10"/>
  <c r="H226" i="10"/>
  <c r="M21" i="95"/>
  <c r="M79" i="25"/>
  <c r="M137" i="24"/>
  <c r="M182" i="24"/>
  <c r="M89" i="24"/>
  <c r="H20" i="79"/>
  <c r="K11" i="79"/>
  <c r="M21" i="79"/>
  <c r="M202" i="72"/>
  <c r="M66" i="72"/>
  <c r="M169" i="72"/>
  <c r="M174" i="72"/>
  <c r="M75" i="72"/>
  <c r="M68" i="72"/>
  <c r="M177" i="72"/>
  <c r="H220" i="72"/>
  <c r="M100" i="72"/>
  <c r="M42" i="72"/>
  <c r="M83" i="72"/>
  <c r="M141" i="72"/>
  <c r="H223" i="72"/>
  <c r="H222" i="72"/>
  <c r="M97" i="72"/>
  <c r="M129" i="72"/>
  <c r="M153" i="72"/>
  <c r="M92" i="72"/>
  <c r="H221" i="72"/>
  <c r="H228" i="72"/>
  <c r="M173" i="72"/>
  <c r="M146" i="72"/>
  <c r="M44" i="120"/>
  <c r="M127" i="60"/>
  <c r="M48" i="120"/>
  <c r="M146" i="25"/>
  <c r="M201" i="120"/>
  <c r="M192" i="120"/>
  <c r="M64" i="120"/>
  <c r="M100" i="120"/>
  <c r="M170" i="120"/>
  <c r="M117" i="120"/>
  <c r="G236" i="120"/>
  <c r="G238" i="120"/>
  <c r="M138" i="120"/>
  <c r="M118" i="120"/>
  <c r="M107" i="120"/>
  <c r="M29" i="120"/>
  <c r="M142" i="120"/>
  <c r="M171" i="120"/>
  <c r="M146" i="120"/>
  <c r="M123" i="120"/>
  <c r="M167" i="120"/>
  <c r="M140" i="120"/>
  <c r="M41" i="120"/>
  <c r="M194" i="120"/>
  <c r="M97" i="120"/>
  <c r="M91" i="120"/>
  <c r="M152" i="120"/>
  <c r="M133" i="120"/>
  <c r="M40" i="120"/>
  <c r="M88" i="120"/>
  <c r="M178" i="120"/>
  <c r="M49" i="120"/>
  <c r="M56" i="120"/>
  <c r="M173" i="120"/>
  <c r="M116" i="120"/>
  <c r="M176" i="120"/>
  <c r="M155" i="120"/>
  <c r="H226" i="120"/>
  <c r="M76" i="120"/>
  <c r="M189" i="120"/>
  <c r="M34" i="120"/>
  <c r="H13" i="119"/>
  <c r="H219" i="142"/>
  <c r="M69" i="142"/>
  <c r="H221" i="142"/>
  <c r="M133" i="142"/>
  <c r="M148" i="142"/>
  <c r="M98" i="142"/>
  <c r="M108" i="142"/>
  <c r="M99" i="142"/>
  <c r="M65" i="142"/>
  <c r="M55" i="142"/>
  <c r="M30" i="142"/>
  <c r="M147" i="142"/>
  <c r="M186" i="142"/>
  <c r="M166" i="142"/>
  <c r="M157" i="142"/>
  <c r="M172" i="60"/>
  <c r="M137" i="25"/>
  <c r="M93" i="120"/>
  <c r="H13" i="68"/>
  <c r="M68" i="120"/>
  <c r="M206" i="25"/>
  <c r="M58" i="25"/>
  <c r="M193" i="25"/>
  <c r="M69" i="25"/>
  <c r="M109" i="25"/>
  <c r="H219" i="25"/>
  <c r="M89" i="25"/>
  <c r="M205" i="25"/>
  <c r="H220" i="25"/>
  <c r="K13" i="25"/>
  <c r="M124" i="25"/>
  <c r="M142" i="25"/>
  <c r="M172" i="25"/>
  <c r="M76" i="25"/>
  <c r="M160" i="25"/>
  <c r="M203" i="25"/>
  <c r="M187" i="25"/>
  <c r="M188" i="25"/>
  <c r="M28" i="25"/>
  <c r="H227" i="25"/>
  <c r="M26" i="25"/>
  <c r="M75" i="25"/>
  <c r="M123" i="25"/>
  <c r="M164" i="25"/>
  <c r="M56" i="25"/>
  <c r="M131" i="25"/>
  <c r="M118" i="25"/>
  <c r="M127" i="25"/>
  <c r="M87" i="25"/>
  <c r="M202" i="25"/>
  <c r="M130" i="25"/>
  <c r="M110" i="25"/>
  <c r="M57" i="25"/>
  <c r="M85" i="25"/>
  <c r="M147" i="25"/>
  <c r="M47" i="25"/>
  <c r="M166" i="25"/>
  <c r="M152" i="16"/>
  <c r="M125" i="16"/>
  <c r="M115" i="16"/>
  <c r="H12" i="85"/>
  <c r="M185" i="120"/>
  <c r="M159" i="25"/>
  <c r="H21" i="20"/>
  <c r="M177" i="60"/>
  <c r="M30" i="60"/>
  <c r="M76" i="60"/>
  <c r="M187" i="60"/>
  <c r="E238" i="1"/>
  <c r="M119" i="25"/>
  <c r="M52" i="25"/>
  <c r="M55" i="25"/>
  <c r="G208" i="113"/>
  <c r="M206" i="165"/>
  <c r="K15" i="103"/>
  <c r="G237" i="103"/>
  <c r="M161" i="25"/>
  <c r="M161" i="60"/>
  <c r="M84" i="120"/>
  <c r="M86" i="120"/>
  <c r="M151" i="120"/>
  <c r="M47" i="120"/>
  <c r="M36" i="120"/>
  <c r="M70" i="120"/>
  <c r="M98" i="120"/>
  <c r="M182" i="120"/>
  <c r="M26" i="120"/>
  <c r="M37" i="120"/>
  <c r="M45" i="120"/>
  <c r="M38" i="120"/>
  <c r="M69" i="120"/>
  <c r="M43" i="120"/>
  <c r="M46" i="120"/>
  <c r="M114" i="120"/>
  <c r="M126" i="120"/>
  <c r="M137" i="120"/>
  <c r="M203" i="120"/>
  <c r="M108" i="120"/>
  <c r="M166" i="120"/>
  <c r="M148" i="120"/>
  <c r="M75" i="120"/>
  <c r="M187" i="120"/>
  <c r="H223" i="120"/>
  <c r="M129" i="120"/>
  <c r="M169" i="120"/>
  <c r="H221" i="120"/>
  <c r="M143" i="120"/>
  <c r="H219" i="120"/>
  <c r="M30" i="120"/>
  <c r="M35" i="120"/>
  <c r="M25" i="120"/>
  <c r="M115" i="120"/>
  <c r="M153" i="120"/>
  <c r="M127" i="120"/>
  <c r="M55" i="120"/>
  <c r="H225" i="120"/>
  <c r="H14" i="119"/>
  <c r="M72" i="142"/>
  <c r="M52" i="142"/>
  <c r="M206" i="142"/>
  <c r="M188" i="142"/>
  <c r="M60" i="142"/>
  <c r="M67" i="142"/>
  <c r="M124" i="142"/>
  <c r="M164" i="142"/>
  <c r="M45" i="142"/>
  <c r="M191" i="142"/>
  <c r="M86" i="142"/>
  <c r="M141" i="142"/>
  <c r="M204" i="142"/>
  <c r="M83" i="142"/>
  <c r="M61" i="25"/>
  <c r="M58" i="120"/>
  <c r="M155" i="175"/>
  <c r="M125" i="25"/>
  <c r="M178" i="25"/>
  <c r="M195" i="25"/>
  <c r="M174" i="25"/>
  <c r="M157" i="25"/>
  <c r="M129" i="25"/>
  <c r="M141" i="25"/>
  <c r="G236" i="25"/>
  <c r="M135" i="25"/>
  <c r="M72" i="25"/>
  <c r="M38" i="25"/>
  <c r="M182" i="25"/>
  <c r="H221" i="25"/>
  <c r="M132" i="25"/>
  <c r="M148" i="25"/>
  <c r="H223" i="25"/>
  <c r="M173" i="25"/>
  <c r="M77" i="25"/>
  <c r="M149" i="25"/>
  <c r="M29" i="25"/>
  <c r="M65" i="25"/>
  <c r="M83" i="25"/>
  <c r="M155" i="25"/>
  <c r="M90" i="25"/>
  <c r="M116" i="25"/>
  <c r="M169" i="25"/>
  <c r="M60" i="25"/>
  <c r="M48" i="25"/>
  <c r="M114" i="25"/>
  <c r="M136" i="25"/>
  <c r="M138" i="25"/>
  <c r="M180" i="25"/>
  <c r="M107" i="25"/>
  <c r="M150" i="25"/>
  <c r="H225" i="25"/>
  <c r="M189" i="25"/>
  <c r="M90" i="120"/>
  <c r="M45" i="25"/>
  <c r="M190" i="25"/>
  <c r="M70" i="16"/>
  <c r="M168" i="16"/>
  <c r="M189" i="16"/>
  <c r="H227" i="16"/>
  <c r="H12" i="104"/>
  <c r="M99" i="120"/>
  <c r="H14" i="85"/>
  <c r="M105" i="120"/>
  <c r="M53" i="25"/>
  <c r="M192" i="60"/>
  <c r="M116" i="60"/>
  <c r="M108" i="60"/>
  <c r="M91" i="60"/>
  <c r="M118" i="60"/>
  <c r="M175" i="104"/>
  <c r="M130" i="60"/>
  <c r="M83" i="60"/>
  <c r="M161" i="120"/>
  <c r="M70" i="25"/>
  <c r="M34" i="25"/>
  <c r="M21" i="25"/>
  <c r="M79" i="120"/>
  <c r="M54" i="25"/>
  <c r="M111" i="120"/>
  <c r="M191" i="60"/>
  <c r="M92" i="120"/>
  <c r="M42" i="120"/>
  <c r="M89" i="120"/>
  <c r="M51" i="120"/>
  <c r="M54" i="120"/>
  <c r="M141" i="120"/>
  <c r="M174" i="120"/>
  <c r="M136" i="120"/>
  <c r="M158" i="120"/>
  <c r="M33" i="120"/>
  <c r="M193" i="120"/>
  <c r="M145" i="120"/>
  <c r="H222" i="120"/>
  <c r="M147" i="120"/>
  <c r="H220" i="120"/>
  <c r="M110" i="120"/>
  <c r="M87" i="120"/>
  <c r="M109" i="120"/>
  <c r="M66" i="120"/>
  <c r="M175" i="120"/>
  <c r="M74" i="120"/>
  <c r="M57" i="120"/>
  <c r="M67" i="120"/>
  <c r="M184" i="120"/>
  <c r="M106" i="120"/>
  <c r="M204" i="120"/>
  <c r="M71" i="120"/>
  <c r="H224" i="120"/>
  <c r="M131" i="120"/>
  <c r="M172" i="120"/>
  <c r="M53" i="120"/>
  <c r="M31" i="120"/>
  <c r="M85" i="120"/>
  <c r="M165" i="120"/>
  <c r="K13" i="120"/>
  <c r="M168" i="120"/>
  <c r="M72" i="120"/>
  <c r="M25" i="60"/>
  <c r="M90" i="142"/>
  <c r="M97" i="142"/>
  <c r="M105" i="142"/>
  <c r="M175" i="142"/>
  <c r="M142" i="142"/>
  <c r="M169" i="142"/>
  <c r="M66" i="142"/>
  <c r="M184" i="142"/>
  <c r="M185" i="142"/>
  <c r="M196" i="142"/>
  <c r="M192" i="142"/>
  <c r="M155" i="142"/>
  <c r="M190" i="142"/>
  <c r="M153" i="142"/>
  <c r="M160" i="120"/>
  <c r="M149" i="120"/>
  <c r="H21" i="68"/>
  <c r="M41" i="25"/>
  <c r="M37" i="25"/>
  <c r="H226" i="25"/>
  <c r="M186" i="25"/>
  <c r="M99" i="25"/>
  <c r="M92" i="25"/>
  <c r="M156" i="25"/>
  <c r="M33" i="25"/>
  <c r="M184" i="25"/>
  <c r="M51" i="25"/>
  <c r="M176" i="25"/>
  <c r="M126" i="25"/>
  <c r="M96" i="25"/>
  <c r="M105" i="25"/>
  <c r="M140" i="25"/>
  <c r="M25" i="25"/>
  <c r="M32" i="25"/>
  <c r="M88" i="25"/>
  <c r="M97" i="25"/>
  <c r="M42" i="25"/>
  <c r="M30" i="25"/>
  <c r="M73" i="25"/>
  <c r="M152" i="25"/>
  <c r="M27" i="25"/>
  <c r="M181" i="25"/>
  <c r="M175" i="25"/>
  <c r="M200" i="25"/>
  <c r="M196" i="25"/>
  <c r="M201" i="25"/>
  <c r="H222" i="25"/>
  <c r="M44" i="25"/>
  <c r="M82" i="25"/>
  <c r="M158" i="25"/>
  <c r="M40" i="25"/>
  <c r="M106" i="25"/>
  <c r="M191" i="25"/>
  <c r="M191" i="120"/>
  <c r="M117" i="16"/>
  <c r="M201" i="16"/>
  <c r="M148" i="16"/>
  <c r="M78" i="16"/>
  <c r="H19" i="85"/>
  <c r="M159" i="120"/>
  <c r="M37" i="60"/>
  <c r="M152" i="60"/>
  <c r="M51" i="60"/>
  <c r="M72" i="60"/>
  <c r="M185" i="60"/>
  <c r="M171" i="104"/>
  <c r="M119" i="120"/>
  <c r="M133" i="60"/>
  <c r="M102" i="120"/>
  <c r="M61" i="120"/>
  <c r="M111" i="142"/>
  <c r="M49" i="25"/>
  <c r="M159" i="60"/>
  <c r="M71" i="25"/>
  <c r="M57" i="152"/>
  <c r="M206" i="120"/>
  <c r="M102" i="60"/>
  <c r="M93" i="25"/>
  <c r="M111" i="158"/>
  <c r="M204" i="145"/>
  <c r="M181" i="145"/>
  <c r="M50" i="145"/>
  <c r="M146" i="145"/>
  <c r="M142" i="145"/>
  <c r="M50" i="177"/>
  <c r="M167" i="177"/>
  <c r="M202" i="177"/>
  <c r="M193" i="177"/>
  <c r="E215" i="27"/>
  <c r="M140" i="27"/>
  <c r="M124" i="133"/>
  <c r="M93" i="133"/>
  <c r="M166" i="98"/>
  <c r="M107" i="98"/>
  <c r="M146" i="98"/>
  <c r="M46" i="98"/>
  <c r="M126" i="98"/>
  <c r="M68" i="98"/>
  <c r="M202" i="98"/>
  <c r="M75" i="98"/>
  <c r="M191" i="98"/>
  <c r="M189" i="98"/>
  <c r="M151" i="133"/>
  <c r="M159" i="133"/>
  <c r="H228" i="133"/>
  <c r="M179" i="133"/>
  <c r="M132" i="133"/>
  <c r="M57" i="133"/>
  <c r="M66" i="133"/>
  <c r="M74" i="133"/>
  <c r="M180" i="133"/>
  <c r="M43" i="133"/>
  <c r="M71" i="98"/>
  <c r="H227" i="86"/>
  <c r="M67" i="86"/>
  <c r="K13" i="86"/>
  <c r="H221" i="86"/>
  <c r="M143" i="98"/>
  <c r="H14" i="87"/>
  <c r="H16" i="87"/>
  <c r="M168" i="98"/>
  <c r="M108" i="28"/>
  <c r="M117" i="28"/>
  <c r="H225" i="28"/>
  <c r="M69" i="28"/>
  <c r="M53" i="28"/>
  <c r="M130" i="28"/>
  <c r="M179" i="28"/>
  <c r="M96" i="28"/>
  <c r="M64" i="28"/>
  <c r="M41" i="28"/>
  <c r="M107" i="28"/>
  <c r="M37" i="28"/>
  <c r="M77" i="28"/>
  <c r="M193" i="28"/>
  <c r="H220" i="28"/>
  <c r="M25" i="28"/>
  <c r="M71" i="28"/>
  <c r="M36" i="69"/>
  <c r="M52" i="133"/>
  <c r="M21" i="69"/>
  <c r="M74" i="103"/>
  <c r="M69" i="50"/>
  <c r="M85" i="106"/>
  <c r="H14" i="152"/>
  <c r="M161" i="133"/>
  <c r="H224" i="98"/>
  <c r="M108" i="98"/>
  <c r="M133" i="98"/>
  <c r="H226" i="98"/>
  <c r="M100" i="98"/>
  <c r="M204" i="98"/>
  <c r="M141" i="98"/>
  <c r="M180" i="98"/>
  <c r="M184" i="98"/>
  <c r="M192" i="98"/>
  <c r="M114" i="98"/>
  <c r="M59" i="98"/>
  <c r="H220" i="98"/>
  <c r="M45" i="98"/>
  <c r="M130" i="98"/>
  <c r="M183" i="98"/>
  <c r="M87" i="98"/>
  <c r="M111" i="98"/>
  <c r="M85" i="103"/>
  <c r="M30" i="103"/>
  <c r="M167" i="103"/>
  <c r="M131" i="103"/>
  <c r="M67" i="103"/>
  <c r="M101" i="103"/>
  <c r="M39" i="103"/>
  <c r="M66" i="103"/>
  <c r="M180" i="103"/>
  <c r="M148" i="103"/>
  <c r="M91" i="103"/>
  <c r="M32" i="103"/>
  <c r="M73" i="103"/>
  <c r="M75" i="103"/>
  <c r="M38" i="103"/>
  <c r="M92" i="103"/>
  <c r="M192" i="103"/>
  <c r="M28" i="103"/>
  <c r="M21" i="157"/>
  <c r="M92" i="106"/>
  <c r="K11" i="68"/>
  <c r="M65" i="72"/>
  <c r="M56" i="72"/>
  <c r="M132" i="72"/>
  <c r="M140" i="72"/>
  <c r="M194" i="72"/>
  <c r="M203" i="72"/>
  <c r="M189" i="72"/>
  <c r="M149" i="72"/>
  <c r="M47" i="28"/>
  <c r="M64" i="50"/>
  <c r="M178" i="50"/>
  <c r="M191" i="50"/>
  <c r="M186" i="50"/>
  <c r="M192" i="50"/>
  <c r="M174" i="50"/>
  <c r="M133" i="50"/>
  <c r="M40" i="50"/>
  <c r="M136" i="50"/>
  <c r="M194" i="50"/>
  <c r="M196" i="50"/>
  <c r="M125" i="50"/>
  <c r="M117" i="50"/>
  <c r="M164" i="50"/>
  <c r="M78" i="50"/>
  <c r="M82" i="50"/>
  <c r="H228" i="50"/>
  <c r="M99" i="50"/>
  <c r="M150" i="50"/>
  <c r="M132" i="50"/>
  <c r="M90" i="133"/>
  <c r="M58" i="133"/>
  <c r="M182" i="133"/>
  <c r="M118" i="133"/>
  <c r="M140" i="133"/>
  <c r="M185" i="133"/>
  <c r="M138" i="133"/>
  <c r="M149" i="133"/>
  <c r="M195" i="133"/>
  <c r="M45" i="133"/>
  <c r="M25" i="133"/>
  <c r="M186" i="133"/>
  <c r="M171" i="133"/>
  <c r="M152" i="133"/>
  <c r="M145" i="133"/>
  <c r="M177" i="133"/>
  <c r="H15" i="142"/>
  <c r="M27" i="133"/>
  <c r="M132" i="106"/>
  <c r="M97" i="106"/>
  <c r="M147" i="106"/>
  <c r="M177" i="106"/>
  <c r="M146" i="106"/>
  <c r="M196" i="106"/>
  <c r="M180" i="106"/>
  <c r="M39" i="106"/>
  <c r="M70" i="106"/>
  <c r="M190" i="106"/>
  <c r="M44" i="106"/>
  <c r="M73" i="106"/>
  <c r="M72" i="106"/>
  <c r="M109" i="106"/>
  <c r="M189" i="106"/>
  <c r="M131" i="106"/>
  <c r="M71" i="106"/>
  <c r="M167" i="106"/>
  <c r="M186" i="28"/>
  <c r="M86" i="86"/>
  <c r="M127" i="86"/>
  <c r="M137" i="86"/>
  <c r="M187" i="86"/>
  <c r="M141" i="86"/>
  <c r="H21" i="104"/>
  <c r="M131" i="98"/>
  <c r="M133" i="103"/>
  <c r="M142" i="158"/>
  <c r="M79" i="106"/>
  <c r="H15" i="60"/>
  <c r="M127" i="106"/>
  <c r="H19" i="87"/>
  <c r="K11" i="87"/>
  <c r="M105" i="133"/>
  <c r="M34" i="133"/>
  <c r="M197" i="28"/>
  <c r="M193" i="106"/>
  <c r="M190" i="42"/>
  <c r="M200" i="42"/>
  <c r="M108" i="42"/>
  <c r="M34" i="42"/>
  <c r="M46" i="42"/>
  <c r="M152" i="42"/>
  <c r="M157" i="42"/>
  <c r="M142" i="42"/>
  <c r="M189" i="42"/>
  <c r="M115" i="42"/>
  <c r="M67" i="42"/>
  <c r="M164" i="42"/>
  <c r="M132" i="42"/>
  <c r="M51" i="42"/>
  <c r="M32" i="42"/>
  <c r="M98" i="42"/>
  <c r="M26" i="42"/>
  <c r="M169" i="42"/>
  <c r="M59" i="158"/>
  <c r="M152" i="158"/>
  <c r="M187" i="158"/>
  <c r="M86" i="158"/>
  <c r="M156" i="158"/>
  <c r="G236" i="158"/>
  <c r="M118" i="158"/>
  <c r="M83" i="158"/>
  <c r="M143" i="158"/>
  <c r="M85" i="158"/>
  <c r="M70" i="158"/>
  <c r="M87" i="158"/>
  <c r="M109" i="158"/>
  <c r="M47" i="158"/>
  <c r="M137" i="158"/>
  <c r="M181" i="158"/>
  <c r="M89" i="158"/>
  <c r="M117" i="158"/>
  <c r="M118" i="28"/>
  <c r="K11" i="158"/>
  <c r="H18" i="158"/>
  <c r="M111" i="28"/>
  <c r="M203" i="71"/>
  <c r="M178" i="28"/>
  <c r="M174" i="28"/>
  <c r="M86" i="28"/>
  <c r="M168" i="28"/>
  <c r="M180" i="28"/>
  <c r="M191" i="28"/>
  <c r="M90" i="28"/>
  <c r="M65" i="28"/>
  <c r="M189" i="28"/>
  <c r="M155" i="28"/>
  <c r="H219" i="28"/>
  <c r="M31" i="28"/>
  <c r="M196" i="28"/>
  <c r="M49" i="28"/>
  <c r="M145" i="28"/>
  <c r="M149" i="31"/>
  <c r="M115" i="28"/>
  <c r="H16" i="69"/>
  <c r="M21" i="103"/>
  <c r="H18" i="175"/>
  <c r="M124" i="92"/>
  <c r="M189" i="31"/>
  <c r="H221" i="31"/>
  <c r="M57" i="31"/>
  <c r="M182" i="31"/>
  <c r="M111" i="106"/>
  <c r="M93" i="50"/>
  <c r="M43" i="28"/>
  <c r="M206" i="69"/>
  <c r="M60" i="133"/>
  <c r="M58" i="69"/>
  <c r="M88" i="28"/>
  <c r="M182" i="86"/>
  <c r="M194" i="69"/>
  <c r="M96" i="69"/>
  <c r="M93" i="28"/>
  <c r="M70" i="42"/>
  <c r="M166" i="42"/>
  <c r="M114" i="42"/>
  <c r="K15" i="71"/>
  <c r="G237" i="71"/>
  <c r="M44" i="98"/>
  <c r="M101" i="98"/>
  <c r="M203" i="98"/>
  <c r="M181" i="98"/>
  <c r="M90" i="98"/>
  <c r="M52" i="98"/>
  <c r="M142" i="98"/>
  <c r="M87" i="133"/>
  <c r="M158" i="133"/>
  <c r="M125" i="133"/>
  <c r="M29" i="133"/>
  <c r="M169" i="133"/>
  <c r="M56" i="133"/>
  <c r="M51" i="86"/>
  <c r="M33" i="133"/>
  <c r="M64" i="133"/>
  <c r="M126" i="133"/>
  <c r="M109" i="92"/>
  <c r="M118" i="98"/>
  <c r="M25" i="69"/>
  <c r="M42" i="69"/>
  <c r="M158" i="50"/>
  <c r="M133" i="133"/>
  <c r="M45" i="106"/>
  <c r="H20" i="152"/>
  <c r="M127" i="133"/>
  <c r="M173" i="28"/>
  <c r="M57" i="98"/>
  <c r="M164" i="98"/>
  <c r="M173" i="98"/>
  <c r="M76" i="98"/>
  <c r="M39" i="98"/>
  <c r="H222" i="98"/>
  <c r="M48" i="98"/>
  <c r="M43" i="98"/>
  <c r="M190" i="98"/>
  <c r="M149" i="98"/>
  <c r="M65" i="98"/>
  <c r="M70" i="98"/>
  <c r="M56" i="98"/>
  <c r="M182" i="98"/>
  <c r="M196" i="98"/>
  <c r="H223" i="98"/>
  <c r="M106" i="98"/>
  <c r="M165" i="42"/>
  <c r="M97" i="42"/>
  <c r="M168" i="103"/>
  <c r="M34" i="103"/>
  <c r="M124" i="103"/>
  <c r="M140" i="103"/>
  <c r="M54" i="103"/>
  <c r="M48" i="103"/>
  <c r="M136" i="103"/>
  <c r="M56" i="103"/>
  <c r="H220" i="103"/>
  <c r="H223" i="103"/>
  <c r="M175" i="103"/>
  <c r="M64" i="103"/>
  <c r="M78" i="103"/>
  <c r="M149" i="103"/>
  <c r="M59" i="103"/>
  <c r="M36" i="103"/>
  <c r="M194" i="103"/>
  <c r="M71" i="103"/>
  <c r="H14" i="157"/>
  <c r="H14" i="68"/>
  <c r="H16" i="68"/>
  <c r="M39" i="72"/>
  <c r="M64" i="72"/>
  <c r="M106" i="72"/>
  <c r="M101" i="72"/>
  <c r="M88" i="72"/>
  <c r="M152" i="72"/>
  <c r="M160" i="72"/>
  <c r="M206" i="133"/>
  <c r="M30" i="50"/>
  <c r="M49" i="50"/>
  <c r="M92" i="50"/>
  <c r="M106" i="50"/>
  <c r="M47" i="50"/>
  <c r="M123" i="50"/>
  <c r="M65" i="50"/>
  <c r="M108" i="50"/>
  <c r="M167" i="50"/>
  <c r="M135" i="50"/>
  <c r="H224" i="50"/>
  <c r="M172" i="50"/>
  <c r="H225" i="50"/>
  <c r="M88" i="50"/>
  <c r="M57" i="50"/>
  <c r="M204" i="50"/>
  <c r="M195" i="50"/>
  <c r="M157" i="50"/>
  <c r="M25" i="50"/>
  <c r="M75" i="50"/>
  <c r="M176" i="133"/>
  <c r="M190" i="133"/>
  <c r="H219" i="133"/>
  <c r="M36" i="133"/>
  <c r="M143" i="133"/>
  <c r="M88" i="133"/>
  <c r="M142" i="133"/>
  <c r="M148" i="133"/>
  <c r="M170" i="133"/>
  <c r="M123" i="133"/>
  <c r="M99" i="133"/>
  <c r="M202" i="133"/>
  <c r="M165" i="133"/>
  <c r="M167" i="133"/>
  <c r="M203" i="133"/>
  <c r="M26" i="133"/>
  <c r="H16" i="142"/>
  <c r="M30" i="133"/>
  <c r="M191" i="106"/>
  <c r="M89" i="106"/>
  <c r="M205" i="106"/>
  <c r="M179" i="106"/>
  <c r="M40" i="106"/>
  <c r="M124" i="106"/>
  <c r="M184" i="106"/>
  <c r="M28" i="106"/>
  <c r="M136" i="106"/>
  <c r="M152" i="106"/>
  <c r="H228" i="106"/>
  <c r="M74" i="106"/>
  <c r="M43" i="106"/>
  <c r="M130" i="106"/>
  <c r="M170" i="106"/>
  <c r="M90" i="106"/>
  <c r="M116" i="106"/>
  <c r="M68" i="106"/>
  <c r="M186" i="86"/>
  <c r="M58" i="86"/>
  <c r="M179" i="86"/>
  <c r="M64" i="86"/>
  <c r="M115" i="86"/>
  <c r="M140" i="98"/>
  <c r="M169" i="158"/>
  <c r="M89" i="133"/>
  <c r="M102" i="50"/>
  <c r="H20" i="60"/>
  <c r="M137" i="103"/>
  <c r="H12" i="87"/>
  <c r="M31" i="106"/>
  <c r="M111" i="133"/>
  <c r="M167" i="28"/>
  <c r="M171" i="42"/>
  <c r="M175" i="42"/>
  <c r="M133" i="42"/>
  <c r="M109" i="42"/>
  <c r="M29" i="42"/>
  <c r="M89" i="42"/>
  <c r="M47" i="42"/>
  <c r="H226" i="42"/>
  <c r="M92" i="42"/>
  <c r="M64" i="42"/>
  <c r="M172" i="42"/>
  <c r="M42" i="42"/>
  <c r="M68" i="42"/>
  <c r="M155" i="42"/>
  <c r="M205" i="42"/>
  <c r="M129" i="42"/>
  <c r="M35" i="42"/>
  <c r="M159" i="42"/>
  <c r="M59" i="106"/>
  <c r="M56" i="158"/>
  <c r="M123" i="158"/>
  <c r="M205" i="158"/>
  <c r="M148" i="158"/>
  <c r="M116" i="158"/>
  <c r="M182" i="158"/>
  <c r="M99" i="158"/>
  <c r="M171" i="158"/>
  <c r="M196" i="158"/>
  <c r="M51" i="158"/>
  <c r="M150" i="158"/>
  <c r="M58" i="158"/>
  <c r="M115" i="158"/>
  <c r="M35" i="158"/>
  <c r="M164" i="158"/>
  <c r="M200" i="158"/>
  <c r="M69" i="158"/>
  <c r="M60" i="158"/>
  <c r="M138" i="86"/>
  <c r="M188" i="28"/>
  <c r="M21" i="106"/>
  <c r="M35" i="28"/>
  <c r="H15" i="158"/>
  <c r="H20" i="158"/>
  <c r="M39" i="28"/>
  <c r="M131" i="28"/>
  <c r="M66" i="28"/>
  <c r="H227" i="28"/>
  <c r="M124" i="28"/>
  <c r="M44" i="28"/>
  <c r="M200" i="28"/>
  <c r="H221" i="28"/>
  <c r="M26" i="28"/>
  <c r="M46" i="28"/>
  <c r="M70" i="28"/>
  <c r="M164" i="28"/>
  <c r="M45" i="28"/>
  <c r="M201" i="28"/>
  <c r="M140" i="28"/>
  <c r="M87" i="28"/>
  <c r="M98" i="28"/>
  <c r="M91" i="28"/>
  <c r="M155" i="158"/>
  <c r="M26" i="106"/>
  <c r="M119" i="28"/>
  <c r="M146" i="28"/>
  <c r="H20" i="69"/>
  <c r="M197" i="133"/>
  <c r="M102" i="106"/>
  <c r="M119" i="102"/>
  <c r="H17" i="175"/>
  <c r="M25" i="106"/>
  <c r="M125" i="92"/>
  <c r="K13" i="31"/>
  <c r="M107" i="31"/>
  <c r="M159" i="31"/>
  <c r="M170" i="28"/>
  <c r="M29" i="28"/>
  <c r="M135" i="28"/>
  <c r="E215" i="1"/>
  <c r="M36" i="28"/>
  <c r="M93" i="42"/>
  <c r="M102" i="86"/>
  <c r="M206" i="98"/>
  <c r="M161" i="42"/>
  <c r="M107" i="42"/>
  <c r="M57" i="42"/>
  <c r="M111" i="42"/>
  <c r="M43" i="50"/>
  <c r="M124" i="50"/>
  <c r="M180" i="50"/>
  <c r="M52" i="50"/>
  <c r="M70" i="50"/>
  <c r="M87" i="50"/>
  <c r="M72" i="50"/>
  <c r="M203" i="50"/>
  <c r="M205" i="50"/>
  <c r="M26" i="50"/>
  <c r="M28" i="50"/>
  <c r="M91" i="133"/>
  <c r="M160" i="133"/>
  <c r="H221" i="133"/>
  <c r="M54" i="133"/>
  <c r="H222" i="133"/>
  <c r="M155" i="133"/>
  <c r="M156" i="133"/>
  <c r="H225" i="133"/>
  <c r="M31" i="133"/>
  <c r="M77" i="133"/>
  <c r="M135" i="133"/>
  <c r="M73" i="133"/>
  <c r="M115" i="133"/>
  <c r="M130" i="133"/>
  <c r="M175" i="133"/>
  <c r="M53" i="133"/>
  <c r="H11" i="142"/>
  <c r="H20" i="142"/>
  <c r="M177" i="28"/>
  <c r="M119" i="98"/>
  <c r="M160" i="158"/>
  <c r="M203" i="106"/>
  <c r="G236" i="106"/>
  <c r="G238" i="106"/>
  <c r="M151" i="106"/>
  <c r="M156" i="106"/>
  <c r="M33" i="106"/>
  <c r="M84" i="106"/>
  <c r="M149" i="106"/>
  <c r="M35" i="106"/>
  <c r="M41" i="106"/>
  <c r="M165" i="106"/>
  <c r="M176" i="106"/>
  <c r="M173" i="106"/>
  <c r="H220" i="106"/>
  <c r="M195" i="106"/>
  <c r="M27" i="106"/>
  <c r="M194" i="106"/>
  <c r="M183" i="106"/>
  <c r="M52" i="106"/>
  <c r="M190" i="86"/>
  <c r="M101" i="86"/>
  <c r="M40" i="86"/>
  <c r="M53" i="86"/>
  <c r="M49" i="86"/>
  <c r="H15" i="104"/>
  <c r="M27" i="42"/>
  <c r="H16" i="60"/>
  <c r="H18" i="72"/>
  <c r="H17" i="87"/>
  <c r="M119" i="133"/>
  <c r="M73" i="98"/>
  <c r="H15" i="86"/>
  <c r="M191" i="42"/>
  <c r="H220" i="42"/>
  <c r="M126" i="42"/>
  <c r="M196" i="42"/>
  <c r="M53" i="42"/>
  <c r="M77" i="42"/>
  <c r="M173" i="42"/>
  <c r="M170" i="42"/>
  <c r="M124" i="42"/>
  <c r="M91" i="42"/>
  <c r="M141" i="42"/>
  <c r="M202" i="42"/>
  <c r="M130" i="42"/>
  <c r="M41" i="42"/>
  <c r="M86" i="42"/>
  <c r="M160" i="42"/>
  <c r="G236" i="42"/>
  <c r="M93" i="98"/>
  <c r="M151" i="98"/>
  <c r="M125" i="158"/>
  <c r="M127" i="158"/>
  <c r="M108" i="158"/>
  <c r="M180" i="158"/>
  <c r="M101" i="158"/>
  <c r="M43" i="158"/>
  <c r="M195" i="158"/>
  <c r="H221" i="158"/>
  <c r="H224" i="158"/>
  <c r="M186" i="158"/>
  <c r="M82" i="158"/>
  <c r="M38" i="158"/>
  <c r="M72" i="158"/>
  <c r="M73" i="158"/>
  <c r="M157" i="158"/>
  <c r="M165" i="158"/>
  <c r="H222" i="158"/>
  <c r="M75" i="28"/>
  <c r="M141" i="28"/>
  <c r="H16" i="158"/>
  <c r="M153" i="28"/>
  <c r="M143" i="28"/>
  <c r="M33" i="28"/>
  <c r="M106" i="28"/>
  <c r="M175" i="28"/>
  <c r="M55" i="28"/>
  <c r="M204" i="28"/>
  <c r="M187" i="28"/>
  <c r="M54" i="28"/>
  <c r="M99" i="28"/>
  <c r="M27" i="28"/>
  <c r="M172" i="28"/>
  <c r="M34" i="28"/>
  <c r="H228" i="28"/>
  <c r="M151" i="28"/>
  <c r="M181" i="28"/>
  <c r="M141" i="133"/>
  <c r="M67" i="158"/>
  <c r="M147" i="50"/>
  <c r="H15" i="175"/>
  <c r="H16" i="175"/>
  <c r="M172" i="92"/>
  <c r="M169" i="31"/>
  <c r="M150" i="31"/>
  <c r="H227" i="31"/>
  <c r="M206" i="72"/>
  <c r="M40" i="69"/>
  <c r="M54" i="69"/>
  <c r="M206" i="103"/>
  <c r="M119" i="106"/>
  <c r="M67" i="28"/>
  <c r="M51" i="69"/>
  <c r="M206" i="42"/>
  <c r="M55" i="152"/>
  <c r="M79" i="50"/>
  <c r="M27" i="103"/>
  <c r="M79" i="69"/>
  <c r="M92" i="28"/>
  <c r="M78" i="69"/>
  <c r="M197" i="106"/>
  <c r="H21" i="157"/>
  <c r="M155" i="98"/>
  <c r="M197" i="98"/>
  <c r="M187" i="133"/>
  <c r="H223" i="133"/>
  <c r="M76" i="133"/>
  <c r="H226" i="133"/>
  <c r="M184" i="133"/>
  <c r="M191" i="133"/>
  <c r="M51" i="133"/>
  <c r="M84" i="133"/>
  <c r="K13" i="133"/>
  <c r="M135" i="98"/>
  <c r="M70" i="86"/>
  <c r="M140" i="86"/>
  <c r="M189" i="86"/>
  <c r="M116" i="133"/>
  <c r="M60" i="98"/>
  <c r="M138" i="98"/>
  <c r="M79" i="98"/>
  <c r="M126" i="28"/>
  <c r="M125" i="28"/>
  <c r="M182" i="28"/>
  <c r="M73" i="28"/>
  <c r="M147" i="28"/>
  <c r="M195" i="28"/>
  <c r="M83" i="28"/>
  <c r="M133" i="28"/>
  <c r="M85" i="28"/>
  <c r="M192" i="28"/>
  <c r="M205" i="28"/>
  <c r="M156" i="28"/>
  <c r="M148" i="28"/>
  <c r="E238" i="175"/>
  <c r="M158" i="28"/>
  <c r="M160" i="98"/>
  <c r="H221" i="98"/>
  <c r="M36" i="98"/>
  <c r="M30" i="98"/>
  <c r="M186" i="98"/>
  <c r="M58" i="98"/>
  <c r="M172" i="98"/>
  <c r="M88" i="98"/>
  <c r="H225" i="98"/>
  <c r="M195" i="98"/>
  <c r="M92" i="98"/>
  <c r="M82" i="98"/>
  <c r="M147" i="103"/>
  <c r="M102" i="98"/>
  <c r="M54" i="98"/>
  <c r="M108" i="103"/>
  <c r="M116" i="103"/>
  <c r="M117" i="103"/>
  <c r="M129" i="103"/>
  <c r="M57" i="103"/>
  <c r="M191" i="103"/>
  <c r="M69" i="103"/>
  <c r="M58" i="103"/>
  <c r="M200" i="103"/>
  <c r="M100" i="103"/>
  <c r="M149" i="28"/>
  <c r="H20" i="68"/>
  <c r="H17" i="68"/>
  <c r="H226" i="72"/>
  <c r="M51" i="72"/>
  <c r="M190" i="72"/>
  <c r="M49" i="72"/>
  <c r="M48" i="72"/>
  <c r="M86" i="133"/>
  <c r="M119" i="50"/>
  <c r="M145" i="50"/>
  <c r="M109" i="50"/>
  <c r="M37" i="50"/>
  <c r="M59" i="50"/>
  <c r="M202" i="50"/>
  <c r="M35" i="50"/>
  <c r="M29" i="72"/>
  <c r="H15" i="145"/>
  <c r="E238" i="143"/>
  <c r="M35" i="98"/>
  <c r="M33" i="98"/>
  <c r="M170" i="98"/>
  <c r="M193" i="98"/>
  <c r="M174" i="98"/>
  <c r="M42" i="98"/>
  <c r="M29" i="98"/>
  <c r="M167" i="98"/>
  <c r="M188" i="98"/>
  <c r="H228" i="98"/>
  <c r="M201" i="98"/>
  <c r="M132" i="98"/>
  <c r="M187" i="98"/>
  <c r="M66" i="98"/>
  <c r="G236" i="98"/>
  <c r="M150" i="98"/>
  <c r="M200" i="98"/>
  <c r="M91" i="98"/>
  <c r="M141" i="103"/>
  <c r="M97" i="98"/>
  <c r="M86" i="103"/>
  <c r="M26" i="103"/>
  <c r="M53" i="103"/>
  <c r="M157" i="103"/>
  <c r="M43" i="103"/>
  <c r="H219" i="103"/>
  <c r="M193" i="103"/>
  <c r="M89" i="103"/>
  <c r="G236" i="103"/>
  <c r="M97" i="103"/>
  <c r="H226" i="103"/>
  <c r="M105" i="103"/>
  <c r="M145" i="103"/>
  <c r="M153" i="103"/>
  <c r="M83" i="103"/>
  <c r="M164" i="103"/>
  <c r="M68" i="103"/>
  <c r="M160" i="103"/>
  <c r="M110" i="103"/>
  <c r="M161" i="28"/>
  <c r="H15" i="68"/>
  <c r="H18" i="68"/>
  <c r="M40" i="72"/>
  <c r="M35" i="72"/>
  <c r="M99" i="72"/>
  <c r="M115" i="72"/>
  <c r="M168" i="72"/>
  <c r="M41" i="72"/>
  <c r="M32" i="72"/>
  <c r="M158" i="98"/>
  <c r="M131" i="42"/>
  <c r="M118" i="50"/>
  <c r="M85" i="50"/>
  <c r="M31" i="50"/>
  <c r="G236" i="50"/>
  <c r="M169" i="50"/>
  <c r="M182" i="50"/>
  <c r="M187" i="50"/>
  <c r="M116" i="50"/>
  <c r="M127" i="50"/>
  <c r="M32" i="50"/>
  <c r="M138" i="50"/>
  <c r="M29" i="50"/>
  <c r="H227" i="50"/>
  <c r="M71" i="50"/>
  <c r="M200" i="50"/>
  <c r="M193" i="50"/>
  <c r="H220" i="50"/>
  <c r="M46" i="50"/>
  <c r="M131" i="50"/>
  <c r="M150" i="133"/>
  <c r="M192" i="133"/>
  <c r="M114" i="133"/>
  <c r="M183" i="133"/>
  <c r="M35" i="133"/>
  <c r="M164" i="133"/>
  <c r="M194" i="133"/>
  <c r="M78" i="133"/>
  <c r="H220" i="133"/>
  <c r="G236" i="133"/>
  <c r="M50" i="133"/>
  <c r="M153" i="133"/>
  <c r="M49" i="133"/>
  <c r="M96" i="133"/>
  <c r="M178" i="133"/>
  <c r="M47" i="133"/>
  <c r="H19" i="142"/>
  <c r="M116" i="98"/>
  <c r="M137" i="106"/>
  <c r="M140" i="106"/>
  <c r="M82" i="106"/>
  <c r="M34" i="106"/>
  <c r="M141" i="106"/>
  <c r="M58" i="106"/>
  <c r="M56" i="106"/>
  <c r="M55" i="106"/>
  <c r="M129" i="106"/>
  <c r="M172" i="106"/>
  <c r="M138" i="106"/>
  <c r="M67" i="106"/>
  <c r="M182" i="106"/>
  <c r="H221" i="106"/>
  <c r="H225" i="106"/>
  <c r="M37" i="106"/>
  <c r="M29" i="106"/>
  <c r="H222" i="106"/>
  <c r="M30" i="86"/>
  <c r="M202" i="86"/>
  <c r="M26" i="86"/>
  <c r="M54" i="86"/>
  <c r="M27" i="86"/>
  <c r="H13" i="104"/>
  <c r="M99" i="106"/>
  <c r="M87" i="106"/>
  <c r="K11" i="60"/>
  <c r="H19" i="60"/>
  <c r="H11" i="87"/>
  <c r="M21" i="87"/>
  <c r="H15" i="143"/>
  <c r="M36" i="72"/>
  <c r="H18" i="86"/>
  <c r="M98" i="133"/>
  <c r="M76" i="42"/>
  <c r="M182" i="42"/>
  <c r="M56" i="42"/>
  <c r="M185" i="42"/>
  <c r="M66" i="42"/>
  <c r="M75" i="42"/>
  <c r="M31" i="42"/>
  <c r="M55" i="42"/>
  <c r="M87" i="42"/>
  <c r="M135" i="42"/>
  <c r="H228" i="42"/>
  <c r="M146" i="42"/>
  <c r="M156" i="42"/>
  <c r="M49" i="42"/>
  <c r="M178" i="42"/>
  <c r="M96" i="42"/>
  <c r="M50" i="42"/>
  <c r="M100" i="42"/>
  <c r="M145" i="42"/>
  <c r="M46" i="69"/>
  <c r="M83" i="98"/>
  <c r="M158" i="158"/>
  <c r="M100" i="158"/>
  <c r="M98" i="158"/>
  <c r="M74" i="158"/>
  <c r="M131" i="158"/>
  <c r="M176" i="158"/>
  <c r="M76" i="158"/>
  <c r="M141" i="158"/>
  <c r="M28" i="158"/>
  <c r="M177" i="158"/>
  <c r="M88" i="158"/>
  <c r="M145" i="158"/>
  <c r="M66" i="158"/>
  <c r="M129" i="158"/>
  <c r="M185" i="158"/>
  <c r="M31" i="158"/>
  <c r="H228" i="158"/>
  <c r="M179" i="158"/>
  <c r="M105" i="158"/>
  <c r="M102" i="28"/>
  <c r="M203" i="28"/>
  <c r="M60" i="28"/>
  <c r="M132" i="28"/>
  <c r="M78" i="28"/>
  <c r="M89" i="28"/>
  <c r="M105" i="28"/>
  <c r="M116" i="28"/>
  <c r="M150" i="28"/>
  <c r="M42" i="28"/>
  <c r="M183" i="28"/>
  <c r="H222" i="28"/>
  <c r="M97" i="28"/>
  <c r="M185" i="28"/>
  <c r="M166" i="28"/>
  <c r="M157" i="28"/>
  <c r="M51" i="28"/>
  <c r="M100" i="133"/>
  <c r="H14" i="175"/>
  <c r="H12" i="175"/>
  <c r="M73" i="31"/>
  <c r="M89" i="31"/>
  <c r="M148" i="31"/>
  <c r="M203" i="31"/>
  <c r="M97" i="158"/>
  <c r="M65" i="69"/>
  <c r="M38" i="28"/>
  <c r="M197" i="69"/>
  <c r="M50" i="28"/>
  <c r="M30" i="69"/>
  <c r="M61" i="42"/>
  <c r="M114" i="69"/>
  <c r="M79" i="28"/>
  <c r="M73" i="42"/>
  <c r="M117" i="133"/>
  <c r="M204" i="133"/>
  <c r="M74" i="98"/>
  <c r="M46" i="133"/>
  <c r="M64" i="98"/>
  <c r="M55" i="133"/>
  <c r="M181" i="133"/>
  <c r="M83" i="133"/>
  <c r="M39" i="133"/>
  <c r="M70" i="133"/>
  <c r="M136" i="133"/>
  <c r="M108" i="133"/>
  <c r="M38" i="98"/>
  <c r="M118" i="86"/>
  <c r="H21" i="87"/>
  <c r="M159" i="98"/>
  <c r="M202" i="28"/>
  <c r="M190" i="28"/>
  <c r="M52" i="28"/>
  <c r="M159" i="28"/>
  <c r="M27" i="69"/>
  <c r="M40" i="28"/>
  <c r="M102" i="69"/>
  <c r="M105" i="106"/>
  <c r="H11" i="152"/>
  <c r="M194" i="98"/>
  <c r="M41" i="98"/>
  <c r="M136" i="98"/>
  <c r="M177" i="98"/>
  <c r="M56" i="46"/>
  <c r="M50" i="103"/>
  <c r="M70" i="103"/>
  <c r="M201" i="103"/>
  <c r="M155" i="103"/>
  <c r="M143" i="103"/>
  <c r="M125" i="103"/>
  <c r="M189" i="103"/>
  <c r="M60" i="103"/>
  <c r="M131" i="72"/>
  <c r="M110" i="72"/>
  <c r="M165" i="98"/>
  <c r="M201" i="50"/>
  <c r="M155" i="106"/>
  <c r="M123" i="103"/>
  <c r="M159" i="158"/>
  <c r="M137" i="98"/>
  <c r="M169" i="98"/>
  <c r="M157" i="98"/>
  <c r="H227" i="98"/>
  <c r="M125" i="98"/>
  <c r="M179" i="98"/>
  <c r="M50" i="98"/>
  <c r="H219" i="98"/>
  <c r="M129" i="98"/>
  <c r="M72" i="98"/>
  <c r="M51" i="98"/>
  <c r="M47" i="98"/>
  <c r="M153" i="98"/>
  <c r="M26" i="98"/>
  <c r="M99" i="98"/>
  <c r="M98" i="98"/>
  <c r="M147" i="98"/>
  <c r="M93" i="103"/>
  <c r="M187" i="103"/>
  <c r="M178" i="103"/>
  <c r="M35" i="103"/>
  <c r="M158" i="103"/>
  <c r="M196" i="103"/>
  <c r="M181" i="103"/>
  <c r="M76" i="103"/>
  <c r="M114" i="103"/>
  <c r="M84" i="103"/>
  <c r="M51" i="103"/>
  <c r="M185" i="103"/>
  <c r="M195" i="103"/>
  <c r="H228" i="103"/>
  <c r="M165" i="103"/>
  <c r="M109" i="103"/>
  <c r="M152" i="103"/>
  <c r="M55" i="103"/>
  <c r="M40" i="103"/>
  <c r="M109" i="133"/>
  <c r="H12" i="68"/>
  <c r="M131" i="133"/>
  <c r="M172" i="72"/>
  <c r="M182" i="72"/>
  <c r="M150" i="72"/>
  <c r="M69" i="72"/>
  <c r="M33" i="72"/>
  <c r="M77" i="72"/>
  <c r="M175" i="72"/>
  <c r="M130" i="72"/>
  <c r="M79" i="133"/>
  <c r="M185" i="50"/>
  <c r="M126" i="50"/>
  <c r="M48" i="50"/>
  <c r="M165" i="50"/>
  <c r="M129" i="50"/>
  <c r="M159" i="50"/>
  <c r="M183" i="50"/>
  <c r="M45" i="50"/>
  <c r="M98" i="50"/>
  <c r="M142" i="50"/>
  <c r="M179" i="50"/>
  <c r="M89" i="50"/>
  <c r="M137" i="50"/>
  <c r="K13" i="50"/>
  <c r="M100" i="50"/>
  <c r="M152" i="50"/>
  <c r="M153" i="50"/>
  <c r="M55" i="50"/>
  <c r="M73" i="50"/>
  <c r="M151" i="50"/>
  <c r="M137" i="133"/>
  <c r="M146" i="133"/>
  <c r="M32" i="133"/>
  <c r="M173" i="133"/>
  <c r="M172" i="133"/>
  <c r="H227" i="133"/>
  <c r="M41" i="133"/>
  <c r="M188" i="133"/>
  <c r="M101" i="133"/>
  <c r="M110" i="133"/>
  <c r="M200" i="133"/>
  <c r="M40" i="133"/>
  <c r="M97" i="133"/>
  <c r="M193" i="133"/>
  <c r="M85" i="133"/>
  <c r="M21" i="142"/>
  <c r="M91" i="106"/>
  <c r="M75" i="133"/>
  <c r="M164" i="106"/>
  <c r="M76" i="106"/>
  <c r="M166" i="106"/>
  <c r="M57" i="106"/>
  <c r="M54" i="106"/>
  <c r="M47" i="106"/>
  <c r="M178" i="106"/>
  <c r="M157" i="106"/>
  <c r="M158" i="106"/>
  <c r="M65" i="106"/>
  <c r="M188" i="106"/>
  <c r="M42" i="106"/>
  <c r="M101" i="106"/>
  <c r="M181" i="106"/>
  <c r="M135" i="106"/>
  <c r="M126" i="106"/>
  <c r="M53" i="106"/>
  <c r="M69" i="106"/>
  <c r="M136" i="86"/>
  <c r="M66" i="86"/>
  <c r="M126" i="86"/>
  <c r="M56" i="86"/>
  <c r="M132" i="158"/>
  <c r="M161" i="98"/>
  <c r="M123" i="106"/>
  <c r="H21" i="60"/>
  <c r="H13" i="87"/>
  <c r="H13" i="86"/>
  <c r="M102" i="133"/>
  <c r="M177" i="42"/>
  <c r="M84" i="42"/>
  <c r="M176" i="42"/>
  <c r="M201" i="42"/>
  <c r="M37" i="42"/>
  <c r="M143" i="42"/>
  <c r="H225" i="42"/>
  <c r="M184" i="42"/>
  <c r="M186" i="42"/>
  <c r="M43" i="42"/>
  <c r="M150" i="42"/>
  <c r="M38" i="42"/>
  <c r="M153" i="42"/>
  <c r="H219" i="42"/>
  <c r="M90" i="42"/>
  <c r="M137" i="42"/>
  <c r="H227" i="42"/>
  <c r="M39" i="42"/>
  <c r="M25" i="42"/>
  <c r="M61" i="69"/>
  <c r="M190" i="158"/>
  <c r="M91" i="158"/>
  <c r="M167" i="158"/>
  <c r="M44" i="158"/>
  <c r="M168" i="158"/>
  <c r="M136" i="158"/>
  <c r="M37" i="158"/>
  <c r="H225" i="158"/>
  <c r="M178" i="158"/>
  <c r="M184" i="158"/>
  <c r="M147" i="158"/>
  <c r="M30" i="158"/>
  <c r="M45" i="158"/>
  <c r="M191" i="158"/>
  <c r="M29" i="158"/>
  <c r="M39" i="158"/>
  <c r="M193" i="158"/>
  <c r="M107" i="158"/>
  <c r="M101" i="28"/>
  <c r="E238" i="71"/>
  <c r="H12" i="158"/>
  <c r="H224" i="28"/>
  <c r="M123" i="28"/>
  <c r="M28" i="28"/>
  <c r="M100" i="28"/>
  <c r="M114" i="28"/>
  <c r="M57" i="28"/>
  <c r="M138" i="28"/>
  <c r="M30" i="28"/>
  <c r="M74" i="28"/>
  <c r="M127" i="28"/>
  <c r="H226" i="28"/>
  <c r="M56" i="28"/>
  <c r="M194" i="28"/>
  <c r="M137" i="28"/>
  <c r="M110" i="28"/>
  <c r="M184" i="28"/>
  <c r="H20" i="175"/>
  <c r="M98" i="31"/>
  <c r="M192" i="31"/>
  <c r="M118" i="31"/>
  <c r="M165" i="28"/>
  <c r="M79" i="72"/>
  <c r="M79" i="158"/>
  <c r="M115" i="69"/>
  <c r="M206" i="50"/>
  <c r="M32" i="69"/>
  <c r="M194" i="42"/>
  <c r="K15" i="141"/>
  <c r="G237" i="141"/>
  <c r="H21" i="149"/>
  <c r="H19" i="149"/>
  <c r="H15" i="149"/>
  <c r="H14" i="149"/>
  <c r="H17" i="149"/>
  <c r="H12" i="149"/>
  <c r="E215" i="149"/>
  <c r="H11" i="149"/>
  <c r="M157" i="27"/>
  <c r="M197" i="62"/>
  <c r="M40" i="177"/>
  <c r="M108" i="177"/>
  <c r="M53" i="177"/>
  <c r="M79" i="177"/>
  <c r="E238" i="177"/>
  <c r="M197" i="164"/>
  <c r="M79" i="164"/>
  <c r="M83" i="164"/>
  <c r="H11" i="155"/>
  <c r="H20" i="155"/>
  <c r="H15" i="155"/>
  <c r="H16" i="155"/>
  <c r="H12" i="155"/>
  <c r="H19" i="155"/>
  <c r="H13" i="155"/>
  <c r="H21" i="155"/>
  <c r="K15" i="104"/>
  <c r="E238" i="95"/>
  <c r="M187" i="63"/>
  <c r="H21" i="42"/>
  <c r="M68" i="145"/>
  <c r="M83" i="145"/>
  <c r="M85" i="145"/>
  <c r="M91" i="145"/>
  <c r="M169" i="145"/>
  <c r="M174" i="145"/>
  <c r="M153" i="145"/>
  <c r="H221" i="145"/>
  <c r="M84" i="145"/>
  <c r="M165" i="145"/>
  <c r="M143" i="145"/>
  <c r="M127" i="145"/>
  <c r="M188" i="89"/>
  <c r="M168" i="89"/>
  <c r="M21" i="89"/>
  <c r="M54" i="89"/>
  <c r="M90" i="89"/>
  <c r="M176" i="89"/>
  <c r="M150" i="89"/>
  <c r="H222" i="89"/>
  <c r="M82" i="89"/>
  <c r="M60" i="63"/>
  <c r="M100" i="63"/>
  <c r="M66" i="63"/>
  <c r="M90" i="63"/>
  <c r="M173" i="63"/>
  <c r="M92" i="63"/>
  <c r="M158" i="143"/>
  <c r="M124" i="145"/>
  <c r="M168" i="145"/>
  <c r="M192" i="145"/>
  <c r="M26" i="145"/>
  <c r="H18" i="155"/>
  <c r="M51" i="47"/>
  <c r="M175" i="47"/>
  <c r="M47" i="47"/>
  <c r="M110" i="47"/>
  <c r="M27" i="47"/>
  <c r="M52" i="47"/>
  <c r="H227" i="47"/>
  <c r="H220" i="47"/>
  <c r="M158" i="47"/>
  <c r="M74" i="47"/>
  <c r="M165" i="47"/>
  <c r="M125" i="47"/>
  <c r="M186" i="47"/>
  <c r="M124" i="47"/>
  <c r="M170" i="47"/>
  <c r="M190" i="47"/>
  <c r="M137" i="47"/>
  <c r="M185" i="47"/>
  <c r="H224" i="47"/>
  <c r="M200" i="47"/>
  <c r="M145" i="47"/>
  <c r="M67" i="47"/>
  <c r="M195" i="47"/>
  <c r="M174" i="47"/>
  <c r="M101" i="47"/>
  <c r="M99" i="47"/>
  <c r="M78" i="47"/>
  <c r="M115" i="47"/>
  <c r="M64" i="47"/>
  <c r="M151" i="47"/>
  <c r="M28" i="47"/>
  <c r="M149" i="47"/>
  <c r="M59" i="47"/>
  <c r="M109" i="47"/>
  <c r="M147" i="47"/>
  <c r="M130" i="47"/>
  <c r="M39" i="47"/>
  <c r="M187" i="47"/>
  <c r="M166" i="47"/>
  <c r="M77" i="47"/>
  <c r="M53" i="47"/>
  <c r="M69" i="47"/>
  <c r="H219" i="47"/>
  <c r="M75" i="47"/>
  <c r="M86" i="47"/>
  <c r="M152" i="47"/>
  <c r="M177" i="47"/>
  <c r="M73" i="47"/>
  <c r="M71" i="47"/>
  <c r="H225" i="47"/>
  <c r="M41" i="47"/>
  <c r="M44" i="47"/>
  <c r="M25" i="47"/>
  <c r="M180" i="47"/>
  <c r="M118" i="47"/>
  <c r="M142" i="47"/>
  <c r="M54" i="47"/>
  <c r="M188" i="47"/>
  <c r="M30" i="47"/>
  <c r="M87" i="47"/>
  <c r="M131" i="47"/>
  <c r="M126" i="47"/>
  <c r="M106" i="47"/>
  <c r="M168" i="47"/>
  <c r="M159" i="47"/>
  <c r="M91" i="47"/>
  <c r="M133" i="47"/>
  <c r="M98" i="47"/>
  <c r="M58" i="47"/>
  <c r="M97" i="47"/>
  <c r="M40" i="47"/>
  <c r="M140" i="47"/>
  <c r="H226" i="47"/>
  <c r="M179" i="47"/>
  <c r="M167" i="47"/>
  <c r="M31" i="47"/>
  <c r="M32" i="47"/>
  <c r="M157" i="47"/>
  <c r="M34" i="47"/>
  <c r="M82" i="47"/>
  <c r="M173" i="47"/>
  <c r="M193" i="47"/>
  <c r="H228" i="47"/>
  <c r="M116" i="47"/>
  <c r="M155" i="47"/>
  <c r="M135" i="47"/>
  <c r="M92" i="47"/>
  <c r="M68" i="47"/>
  <c r="M57" i="47"/>
  <c r="M48" i="47"/>
  <c r="M107" i="47"/>
  <c r="M84" i="47"/>
  <c r="M150" i="47"/>
  <c r="M70" i="47"/>
  <c r="M100" i="47"/>
  <c r="M42" i="47"/>
  <c r="M72" i="47"/>
  <c r="M36" i="63"/>
  <c r="M86" i="60"/>
  <c r="H21" i="24"/>
  <c r="M92" i="156"/>
  <c r="H20" i="37"/>
  <c r="M68" i="142"/>
  <c r="M172" i="142"/>
  <c r="M109" i="142"/>
  <c r="M32" i="142"/>
  <c r="M31" i="142"/>
  <c r="M76" i="142"/>
  <c r="M101" i="142"/>
  <c r="M136" i="142"/>
  <c r="M205" i="142"/>
  <c r="M84" i="142"/>
  <c r="M149" i="142"/>
  <c r="M50" i="142"/>
  <c r="M115" i="142"/>
  <c r="M178" i="142"/>
  <c r="M140" i="142"/>
  <c r="M174" i="142"/>
  <c r="M116" i="142"/>
  <c r="M145" i="142"/>
  <c r="M143" i="142"/>
  <c r="M27" i="63"/>
  <c r="M85" i="47"/>
  <c r="M73" i="150"/>
  <c r="M64" i="156"/>
  <c r="M89" i="156"/>
  <c r="M106" i="150"/>
  <c r="M153" i="150"/>
  <c r="M176" i="150"/>
  <c r="M87" i="150"/>
  <c r="M75" i="150"/>
  <c r="M185" i="150"/>
  <c r="M86" i="150"/>
  <c r="M170" i="150"/>
  <c r="M91" i="150"/>
  <c r="M66" i="150"/>
  <c r="M107" i="150"/>
  <c r="M84" i="150"/>
  <c r="M157" i="150"/>
  <c r="M34" i="150"/>
  <c r="M145" i="150"/>
  <c r="M82" i="150"/>
  <c r="M148" i="150"/>
  <c r="M49" i="150"/>
  <c r="M25" i="150"/>
  <c r="M21" i="42"/>
  <c r="M90" i="145"/>
  <c r="M182" i="83"/>
  <c r="M101" i="83"/>
  <c r="M160" i="83"/>
  <c r="M78" i="145"/>
  <c r="H224" i="145"/>
  <c r="M190" i="145"/>
  <c r="M176" i="145"/>
  <c r="M194" i="145"/>
  <c r="K13" i="145"/>
  <c r="M40" i="145"/>
  <c r="M43" i="145"/>
  <c r="M167" i="145"/>
  <c r="M158" i="145"/>
  <c r="M175" i="145"/>
  <c r="M100" i="145"/>
  <c r="M178" i="145"/>
  <c r="M146" i="16"/>
  <c r="M170" i="16"/>
  <c r="M92" i="16"/>
  <c r="M35" i="16"/>
  <c r="H222" i="16"/>
  <c r="M49" i="47"/>
  <c r="M90" i="38"/>
  <c r="M82" i="38"/>
  <c r="M74" i="38"/>
  <c r="M57" i="38"/>
  <c r="M187" i="38"/>
  <c r="M131" i="38"/>
  <c r="M185" i="89"/>
  <c r="M165" i="89"/>
  <c r="M69" i="89"/>
  <c r="H227" i="89"/>
  <c r="M203" i="89"/>
  <c r="M136" i="89"/>
  <c r="M130" i="89"/>
  <c r="M181" i="63"/>
  <c r="M106" i="63"/>
  <c r="M46" i="63"/>
  <c r="M175" i="63"/>
  <c r="M72" i="63"/>
  <c r="M195" i="63"/>
  <c r="M45" i="47"/>
  <c r="M33" i="47"/>
  <c r="M89" i="47"/>
  <c r="M191" i="47"/>
  <c r="M114" i="47"/>
  <c r="M164" i="47"/>
  <c r="M132" i="47"/>
  <c r="M46" i="156"/>
  <c r="M172" i="156"/>
  <c r="M136" i="156"/>
  <c r="M202" i="156"/>
  <c r="H224" i="156"/>
  <c r="M116" i="156"/>
  <c r="M74" i="156"/>
  <c r="M150" i="60"/>
  <c r="M132" i="60"/>
  <c r="M188" i="60"/>
  <c r="M74" i="60"/>
  <c r="M77" i="60"/>
  <c r="M169" i="47"/>
  <c r="M96" i="47"/>
  <c r="M78" i="60"/>
  <c r="M164" i="145"/>
  <c r="M140" i="63"/>
  <c r="H17" i="155"/>
  <c r="M161" i="38"/>
  <c r="M194" i="38"/>
  <c r="M99" i="38"/>
  <c r="M201" i="47"/>
  <c r="M137" i="145"/>
  <c r="M93" i="66"/>
  <c r="H19" i="24"/>
  <c r="H20" i="24"/>
  <c r="M88" i="89"/>
  <c r="H18" i="37"/>
  <c r="H17" i="37"/>
  <c r="M79" i="150"/>
  <c r="M202" i="142"/>
  <c r="M53" i="142"/>
  <c r="M34" i="142"/>
  <c r="M132" i="142"/>
  <c r="M181" i="142"/>
  <c r="M77" i="142"/>
  <c r="M47" i="142"/>
  <c r="M57" i="142"/>
  <c r="M39" i="142"/>
  <c r="M151" i="142"/>
  <c r="M158" i="142"/>
  <c r="M176" i="142"/>
  <c r="M87" i="142"/>
  <c r="M156" i="142"/>
  <c r="M118" i="142"/>
  <c r="H225" i="142"/>
  <c r="M89" i="142"/>
  <c r="M107" i="142"/>
  <c r="M125" i="142"/>
  <c r="M76" i="150"/>
  <c r="M110" i="43"/>
  <c r="M175" i="150"/>
  <c r="M143" i="150"/>
  <c r="M141" i="150"/>
  <c r="M77" i="150"/>
  <c r="M164" i="150"/>
  <c r="M45" i="150"/>
  <c r="M57" i="150"/>
  <c r="M140" i="150"/>
  <c r="M177" i="150"/>
  <c r="M169" i="150"/>
  <c r="M126" i="150"/>
  <c r="M105" i="150"/>
  <c r="M43" i="150"/>
  <c r="M142" i="150"/>
  <c r="H220" i="150"/>
  <c r="M156" i="150"/>
  <c r="M187" i="150"/>
  <c r="M39" i="150"/>
  <c r="M190" i="150"/>
  <c r="H18" i="42"/>
  <c r="H15" i="42"/>
  <c r="M33" i="83"/>
  <c r="H222" i="83"/>
  <c r="M180" i="145"/>
  <c r="M96" i="145"/>
  <c r="M99" i="145"/>
  <c r="H222" i="145"/>
  <c r="M201" i="145"/>
  <c r="M187" i="145"/>
  <c r="M159" i="145"/>
  <c r="M105" i="145"/>
  <c r="M156" i="145"/>
  <c r="M46" i="145"/>
  <c r="M145" i="145"/>
  <c r="M47" i="145"/>
  <c r="M66" i="156"/>
  <c r="M33" i="63"/>
  <c r="M176" i="16"/>
  <c r="M114" i="16"/>
  <c r="M38" i="16"/>
  <c r="M137" i="16"/>
  <c r="M88" i="16"/>
  <c r="M143" i="156"/>
  <c r="M32" i="38"/>
  <c r="M191" i="38"/>
  <c r="M45" i="38"/>
  <c r="H227" i="38"/>
  <c r="M145" i="38"/>
  <c r="M33" i="38"/>
  <c r="M146" i="38"/>
  <c r="M156" i="60"/>
  <c r="M110" i="89"/>
  <c r="M83" i="89"/>
  <c r="M78" i="89"/>
  <c r="M205" i="89"/>
  <c r="M175" i="89"/>
  <c r="M34" i="89"/>
  <c r="M156" i="89"/>
  <c r="M105" i="47"/>
  <c r="M126" i="63"/>
  <c r="M192" i="63"/>
  <c r="M189" i="63"/>
  <c r="M167" i="63"/>
  <c r="M108" i="63"/>
  <c r="M52" i="63"/>
  <c r="H222" i="47"/>
  <c r="H223" i="47"/>
  <c r="M35" i="47"/>
  <c r="M108" i="47"/>
  <c r="M196" i="47"/>
  <c r="M117" i="47"/>
  <c r="M136" i="47"/>
  <c r="M195" i="156"/>
  <c r="M41" i="156"/>
  <c r="M60" i="156"/>
  <c r="M27" i="156"/>
  <c r="M124" i="156"/>
  <c r="M107" i="156"/>
  <c r="M196" i="156"/>
  <c r="M160" i="60"/>
  <c r="M158" i="60"/>
  <c r="M184" i="60"/>
  <c r="M123" i="60"/>
  <c r="M54" i="60"/>
  <c r="M155" i="60"/>
  <c r="M79" i="47"/>
  <c r="M195" i="145"/>
  <c r="M49" i="145"/>
  <c r="M69" i="145"/>
  <c r="M202" i="145"/>
  <c r="M132" i="145"/>
  <c r="M66" i="145"/>
  <c r="H219" i="145"/>
  <c r="M191" i="145"/>
  <c r="M27" i="145"/>
  <c r="M189" i="145"/>
  <c r="M123" i="145"/>
  <c r="M55" i="145"/>
  <c r="M114" i="145"/>
  <c r="M109" i="145"/>
  <c r="M116" i="145"/>
  <c r="M188" i="145"/>
  <c r="M35" i="145"/>
  <c r="M157" i="145"/>
  <c r="M44" i="145"/>
  <c r="M115" i="145"/>
  <c r="M45" i="145"/>
  <c r="M138" i="145"/>
  <c r="M38" i="145"/>
  <c r="M74" i="145"/>
  <c r="M149" i="145"/>
  <c r="M31" i="145"/>
  <c r="M87" i="145"/>
  <c r="M75" i="145"/>
  <c r="H223" i="145"/>
  <c r="M76" i="145"/>
  <c r="M183" i="145"/>
  <c r="M57" i="145"/>
  <c r="M70" i="145"/>
  <c r="H220" i="145"/>
  <c r="M71" i="145"/>
  <c r="M88" i="145"/>
  <c r="M32" i="145"/>
  <c r="M65" i="145"/>
  <c r="M136" i="145"/>
  <c r="M205" i="145"/>
  <c r="M34" i="145"/>
  <c r="M108" i="145"/>
  <c r="M39" i="145"/>
  <c r="M141" i="145"/>
  <c r="M107" i="145"/>
  <c r="M98" i="145"/>
  <c r="M130" i="145"/>
  <c r="M147" i="145"/>
  <c r="M203" i="145"/>
  <c r="M166" i="145"/>
  <c r="M73" i="145"/>
  <c r="M97" i="63"/>
  <c r="M183" i="63"/>
  <c r="M101" i="63"/>
  <c r="M172" i="63"/>
  <c r="M151" i="63"/>
  <c r="M107" i="63"/>
  <c r="M136" i="63"/>
  <c r="M166" i="63"/>
  <c r="M158" i="63"/>
  <c r="M179" i="63"/>
  <c r="M98" i="63"/>
  <c r="H228" i="63"/>
  <c r="M87" i="63"/>
  <c r="M190" i="63"/>
  <c r="M39" i="63"/>
  <c r="M191" i="63"/>
  <c r="M26" i="63"/>
  <c r="M55" i="63"/>
  <c r="M64" i="63"/>
  <c r="M132" i="63"/>
  <c r="M105" i="63"/>
  <c r="M142" i="63"/>
  <c r="M115" i="63"/>
  <c r="M164" i="63"/>
  <c r="M53" i="63"/>
  <c r="M96" i="63"/>
  <c r="M71" i="63"/>
  <c r="M184" i="63"/>
  <c r="M114" i="63"/>
  <c r="M174" i="63"/>
  <c r="M194" i="63"/>
  <c r="M118" i="63"/>
  <c r="M110" i="63"/>
  <c r="M125" i="63"/>
  <c r="M159" i="63"/>
  <c r="M117" i="63"/>
  <c r="M30" i="63"/>
  <c r="M25" i="63"/>
  <c r="M67" i="63"/>
  <c r="H227" i="63"/>
  <c r="M188" i="63"/>
  <c r="H220" i="63"/>
  <c r="M41" i="63"/>
  <c r="M83" i="63"/>
  <c r="M202" i="63"/>
  <c r="M38" i="63"/>
  <c r="M150" i="63"/>
  <c r="M186" i="63"/>
  <c r="M88" i="63"/>
  <c r="M73" i="63"/>
  <c r="M74" i="63"/>
  <c r="M109" i="63"/>
  <c r="M169" i="63"/>
  <c r="M155" i="63"/>
  <c r="M131" i="63"/>
  <c r="M156" i="63"/>
  <c r="M176" i="63"/>
  <c r="M116" i="63"/>
  <c r="K13" i="63"/>
  <c r="M196" i="63"/>
  <c r="M129" i="63"/>
  <c r="M147" i="63"/>
  <c r="M58" i="63"/>
  <c r="M76" i="63"/>
  <c r="M29" i="63"/>
  <c r="M171" i="63"/>
  <c r="M82" i="63"/>
  <c r="M35" i="63"/>
  <c r="M178" i="63"/>
  <c r="M165" i="63"/>
  <c r="H219" i="63"/>
  <c r="M177" i="63"/>
  <c r="M47" i="63"/>
  <c r="M180" i="63"/>
  <c r="M149" i="63"/>
  <c r="M127" i="63"/>
  <c r="M130" i="63"/>
  <c r="M65" i="63"/>
  <c r="M44" i="63"/>
  <c r="M91" i="63"/>
  <c r="M56" i="63"/>
  <c r="H223" i="63"/>
  <c r="M182" i="63"/>
  <c r="M57" i="63"/>
  <c r="H224" i="63"/>
  <c r="M89" i="63"/>
  <c r="M78" i="63"/>
  <c r="M141" i="63"/>
  <c r="M170" i="63"/>
  <c r="M70" i="63"/>
  <c r="M168" i="63"/>
  <c r="M146" i="63"/>
  <c r="M37" i="63"/>
  <c r="M123" i="89"/>
  <c r="M55" i="89"/>
  <c r="M36" i="89"/>
  <c r="M142" i="89"/>
  <c r="M141" i="89"/>
  <c r="M174" i="89"/>
  <c r="M75" i="89"/>
  <c r="M117" i="89"/>
  <c r="M167" i="89"/>
  <c r="M184" i="89"/>
  <c r="M148" i="89"/>
  <c r="M192" i="89"/>
  <c r="M143" i="89"/>
  <c r="H225" i="89"/>
  <c r="M59" i="89"/>
  <c r="M133" i="89"/>
  <c r="M146" i="89"/>
  <c r="M38" i="89"/>
  <c r="M201" i="89"/>
  <c r="M126" i="89"/>
  <c r="M158" i="89"/>
  <c r="M70" i="89"/>
  <c r="M108" i="89"/>
  <c r="M35" i="89"/>
  <c r="M44" i="89"/>
  <c r="M155" i="89"/>
  <c r="M49" i="89"/>
  <c r="M77" i="89"/>
  <c r="M56" i="89"/>
  <c r="M58" i="89"/>
  <c r="K13" i="89"/>
  <c r="M106" i="89"/>
  <c r="M100" i="89"/>
  <c r="M135" i="89"/>
  <c r="M48" i="89"/>
  <c r="M37" i="89"/>
  <c r="M169" i="89"/>
  <c r="M140" i="89"/>
  <c r="M152" i="89"/>
  <c r="M170" i="89"/>
  <c r="M86" i="89"/>
  <c r="M145" i="89"/>
  <c r="M92" i="89"/>
  <c r="M40" i="89"/>
  <c r="M29" i="89"/>
  <c r="M138" i="89"/>
  <c r="M187" i="89"/>
  <c r="M43" i="89"/>
  <c r="M39" i="89"/>
  <c r="M200" i="89"/>
  <c r="M45" i="89"/>
  <c r="M67" i="89"/>
  <c r="M180" i="89"/>
  <c r="M157" i="89"/>
  <c r="M42" i="89"/>
  <c r="M87" i="89"/>
  <c r="M194" i="89"/>
  <c r="M47" i="89"/>
  <c r="M131" i="89"/>
  <c r="M76" i="89"/>
  <c r="M65" i="89"/>
  <c r="M164" i="89"/>
  <c r="M114" i="89"/>
  <c r="M85" i="89"/>
  <c r="M96" i="89"/>
  <c r="M171" i="89"/>
  <c r="M50" i="89"/>
  <c r="M71" i="89"/>
  <c r="M196" i="89"/>
  <c r="H226" i="89"/>
  <c r="H228" i="89"/>
  <c r="M153" i="89"/>
  <c r="M183" i="89"/>
  <c r="M41" i="89"/>
  <c r="M33" i="89"/>
  <c r="M51" i="89"/>
  <c r="M193" i="89"/>
  <c r="M119" i="89"/>
  <c r="M107" i="89"/>
  <c r="M79" i="89"/>
  <c r="M147" i="89"/>
  <c r="M159" i="89"/>
  <c r="M98" i="89"/>
  <c r="M132" i="89"/>
  <c r="M28" i="89"/>
  <c r="M60" i="89"/>
  <c r="M27" i="89"/>
  <c r="M25" i="89"/>
  <c r="H219" i="89"/>
  <c r="M189" i="89"/>
  <c r="M115" i="89"/>
  <c r="M109" i="89"/>
  <c r="M66" i="89"/>
  <c r="H220" i="89"/>
  <c r="M191" i="89"/>
  <c r="M149" i="89"/>
  <c r="M101" i="89"/>
  <c r="M68" i="89"/>
  <c r="M111" i="89"/>
  <c r="M28" i="63"/>
  <c r="M72" i="89"/>
  <c r="M105" i="89"/>
  <c r="H221" i="89"/>
  <c r="M116" i="89"/>
  <c r="M190" i="89"/>
  <c r="M51" i="63"/>
  <c r="M86" i="63"/>
  <c r="M152" i="63"/>
  <c r="M25" i="142"/>
  <c r="M187" i="142"/>
  <c r="M183" i="142"/>
  <c r="M67" i="83"/>
  <c r="M140" i="83"/>
  <c r="E238" i="65"/>
  <c r="M166" i="150"/>
  <c r="M192" i="150"/>
  <c r="M37" i="150"/>
  <c r="M147" i="150"/>
  <c r="M50" i="150"/>
  <c r="M203" i="150"/>
  <c r="M58" i="60"/>
  <c r="M34" i="60"/>
  <c r="M53" i="60"/>
  <c r="M69" i="60"/>
  <c r="M151" i="60"/>
  <c r="M26" i="60"/>
  <c r="M96" i="60"/>
  <c r="G236" i="60"/>
  <c r="M99" i="60"/>
  <c r="M168" i="60"/>
  <c r="M67" i="60"/>
  <c r="M115" i="60"/>
  <c r="M169" i="60"/>
  <c r="M32" i="60"/>
  <c r="M106" i="60"/>
  <c r="H227" i="60"/>
  <c r="H224" i="60"/>
  <c r="M50" i="60"/>
  <c r="M205" i="60"/>
  <c r="M200" i="60"/>
  <c r="H228" i="60"/>
  <c r="M90" i="60"/>
  <c r="M75" i="60"/>
  <c r="M70" i="60"/>
  <c r="M175" i="60"/>
  <c r="M203" i="60"/>
  <c r="M165" i="60"/>
  <c r="M28" i="60"/>
  <c r="M44" i="60"/>
  <c r="M167" i="60"/>
  <c r="M71" i="60"/>
  <c r="M101" i="60"/>
  <c r="M98" i="60"/>
  <c r="M36" i="60"/>
  <c r="M201" i="60"/>
  <c r="M45" i="60"/>
  <c r="M66" i="60"/>
  <c r="M140" i="60"/>
  <c r="M48" i="60"/>
  <c r="M180" i="60"/>
  <c r="M196" i="60"/>
  <c r="M43" i="60"/>
  <c r="H221" i="60"/>
  <c r="M42" i="60"/>
  <c r="M38" i="60"/>
  <c r="M142" i="60"/>
  <c r="M52" i="60"/>
  <c r="M49" i="60"/>
  <c r="M82" i="60"/>
  <c r="M136" i="60"/>
  <c r="H225" i="60"/>
  <c r="H219" i="60"/>
  <c r="M204" i="60"/>
  <c r="M141" i="60"/>
  <c r="M117" i="60"/>
  <c r="H223" i="60"/>
  <c r="M166" i="60"/>
  <c r="M181" i="60"/>
  <c r="M195" i="60"/>
  <c r="M148" i="60"/>
  <c r="M182" i="60"/>
  <c r="M39" i="60"/>
  <c r="M31" i="60"/>
  <c r="M87" i="60"/>
  <c r="M125" i="60"/>
  <c r="M21" i="60"/>
  <c r="M57" i="60"/>
  <c r="M190" i="60"/>
  <c r="M27" i="60"/>
  <c r="M73" i="60"/>
  <c r="M105" i="60"/>
  <c r="M100" i="60"/>
  <c r="M179" i="60"/>
  <c r="M41" i="60"/>
  <c r="M157" i="60"/>
  <c r="M153" i="60"/>
  <c r="M131" i="60"/>
  <c r="H222" i="60"/>
  <c r="M146" i="60"/>
  <c r="M137" i="60"/>
  <c r="M33" i="60"/>
  <c r="M178" i="60"/>
  <c r="M206" i="60"/>
  <c r="M64" i="60"/>
  <c r="M145" i="60"/>
  <c r="M176" i="60"/>
  <c r="M56" i="60"/>
  <c r="M171" i="60"/>
  <c r="M59" i="60"/>
  <c r="M107" i="60"/>
  <c r="M88" i="60"/>
  <c r="H226" i="60"/>
  <c r="M189" i="60"/>
  <c r="M143" i="60"/>
  <c r="M84" i="60"/>
  <c r="M183" i="60"/>
  <c r="M68" i="60"/>
  <c r="M85" i="60"/>
  <c r="M129" i="60"/>
  <c r="M55" i="60"/>
  <c r="M47" i="60"/>
  <c r="M60" i="60"/>
  <c r="M204" i="38"/>
  <c r="M142" i="38"/>
  <c r="M28" i="38"/>
  <c r="M84" i="38"/>
  <c r="M85" i="38"/>
  <c r="M59" i="38"/>
  <c r="M67" i="38"/>
  <c r="M115" i="38"/>
  <c r="M55" i="38"/>
  <c r="M156" i="38"/>
  <c r="H226" i="38"/>
  <c r="H222" i="38"/>
  <c r="M65" i="38"/>
  <c r="M108" i="38"/>
  <c r="M50" i="38"/>
  <c r="M140" i="38"/>
  <c r="M170" i="38"/>
  <c r="M177" i="38"/>
  <c r="M79" i="38"/>
  <c r="M54" i="38"/>
  <c r="M206" i="38"/>
  <c r="M125" i="38"/>
  <c r="H228" i="38"/>
  <c r="M129" i="38"/>
  <c r="M41" i="38"/>
  <c r="M172" i="38"/>
  <c r="M167" i="38"/>
  <c r="H223" i="38"/>
  <c r="M143" i="38"/>
  <c r="M47" i="38"/>
  <c r="M77" i="38"/>
  <c r="M127" i="38"/>
  <c r="M118" i="38"/>
  <c r="M185" i="38"/>
  <c r="M53" i="38"/>
  <c r="M160" i="38"/>
  <c r="H221" i="38"/>
  <c r="M58" i="38"/>
  <c r="M138" i="38"/>
  <c r="M124" i="38"/>
  <c r="M98" i="38"/>
  <c r="M123" i="38"/>
  <c r="M109" i="38"/>
  <c r="M106" i="38"/>
  <c r="M26" i="38"/>
  <c r="M116" i="38"/>
  <c r="M86" i="38"/>
  <c r="M200" i="38"/>
  <c r="M37" i="38"/>
  <c r="M141" i="38"/>
  <c r="M153" i="38"/>
  <c r="M51" i="38"/>
  <c r="M176" i="38"/>
  <c r="M114" i="38"/>
  <c r="M35" i="38"/>
  <c r="M180" i="38"/>
  <c r="M40" i="38"/>
  <c r="M52" i="38"/>
  <c r="M196" i="38"/>
  <c r="M87" i="38"/>
  <c r="M166" i="38"/>
  <c r="M29" i="38"/>
  <c r="M110" i="38"/>
  <c r="M189" i="38"/>
  <c r="M132" i="38"/>
  <c r="M158" i="38"/>
  <c r="M97" i="38"/>
  <c r="M107" i="38"/>
  <c r="M155" i="38"/>
  <c r="M178" i="38"/>
  <c r="M133" i="38"/>
  <c r="M135" i="38"/>
  <c r="M201" i="38"/>
  <c r="H220" i="38"/>
  <c r="M60" i="38"/>
  <c r="M205" i="38"/>
  <c r="M183" i="38"/>
  <c r="M66" i="38"/>
  <c r="H224" i="38"/>
  <c r="M71" i="38"/>
  <c r="M186" i="38"/>
  <c r="M92" i="38"/>
  <c r="M182" i="38"/>
  <c r="M64" i="38"/>
  <c r="M174" i="38"/>
  <c r="M78" i="38"/>
  <c r="M31" i="38"/>
  <c r="M73" i="38"/>
  <c r="M168" i="38"/>
  <c r="M72" i="38"/>
  <c r="M165" i="38"/>
  <c r="H225" i="38"/>
  <c r="M149" i="38"/>
  <c r="M137" i="38"/>
  <c r="M181" i="38"/>
  <c r="G236" i="38"/>
  <c r="M101" i="38"/>
  <c r="M130" i="38"/>
  <c r="M46" i="38"/>
  <c r="M190" i="38"/>
  <c r="M195" i="38"/>
  <c r="M133" i="63"/>
  <c r="M79" i="145"/>
  <c r="M91" i="16"/>
  <c r="M29" i="47"/>
  <c r="E215" i="71"/>
  <c r="H12" i="24"/>
  <c r="H11" i="24"/>
  <c r="M50" i="63"/>
  <c r="H12" i="37"/>
  <c r="M21" i="37"/>
  <c r="M75" i="142"/>
  <c r="M48" i="142"/>
  <c r="M123" i="142"/>
  <c r="M38" i="142"/>
  <c r="M150" i="142"/>
  <c r="M58" i="142"/>
  <c r="M135" i="142"/>
  <c r="M85" i="142"/>
  <c r="M74" i="142"/>
  <c r="M165" i="142"/>
  <c r="M106" i="142"/>
  <c r="H224" i="142"/>
  <c r="M27" i="142"/>
  <c r="M170" i="142"/>
  <c r="M73" i="142"/>
  <c r="M194" i="142"/>
  <c r="M159" i="142"/>
  <c r="M138" i="142"/>
  <c r="M129" i="142"/>
  <c r="M34" i="63"/>
  <c r="M155" i="43"/>
  <c r="M206" i="150"/>
  <c r="M118" i="150"/>
  <c r="M127" i="150"/>
  <c r="M60" i="150"/>
  <c r="M90" i="150"/>
  <c r="M46" i="150"/>
  <c r="M152" i="150"/>
  <c r="M54" i="150"/>
  <c r="M136" i="150"/>
  <c r="M99" i="150"/>
  <c r="M27" i="150"/>
  <c r="M28" i="150"/>
  <c r="M125" i="150"/>
  <c r="M146" i="150"/>
  <c r="M133" i="150"/>
  <c r="M202" i="150"/>
  <c r="M200" i="150"/>
  <c r="M167" i="150"/>
  <c r="M174" i="150"/>
  <c r="H19" i="42"/>
  <c r="H14" i="42"/>
  <c r="M137" i="83"/>
  <c r="M55" i="83"/>
  <c r="M25" i="83"/>
  <c r="M171" i="145"/>
  <c r="M185" i="145"/>
  <c r="M177" i="145"/>
  <c r="M37" i="145"/>
  <c r="M133" i="145"/>
  <c r="M125" i="145"/>
  <c r="M186" i="145"/>
  <c r="M173" i="145"/>
  <c r="H225" i="145"/>
  <c r="M58" i="145"/>
  <c r="M60" i="145"/>
  <c r="M25" i="145"/>
  <c r="M130" i="16"/>
  <c r="M68" i="16"/>
  <c r="M48" i="16"/>
  <c r="M51" i="16"/>
  <c r="M91" i="38"/>
  <c r="H219" i="38"/>
  <c r="M193" i="38"/>
  <c r="M27" i="38"/>
  <c r="M136" i="38"/>
  <c r="M173" i="38"/>
  <c r="M150" i="38"/>
  <c r="M73" i="89"/>
  <c r="M99" i="89"/>
  <c r="M26" i="89"/>
  <c r="M91" i="89"/>
  <c r="M181" i="89"/>
  <c r="M89" i="89"/>
  <c r="M179" i="89"/>
  <c r="H224" i="89"/>
  <c r="M193" i="63"/>
  <c r="M157" i="63"/>
  <c r="M85" i="63"/>
  <c r="M148" i="63"/>
  <c r="M68" i="63"/>
  <c r="M40" i="63"/>
  <c r="H225" i="63"/>
  <c r="M123" i="47"/>
  <c r="M143" i="47"/>
  <c r="M176" i="47"/>
  <c r="M83" i="47"/>
  <c r="M65" i="47"/>
  <c r="M160" i="47"/>
  <c r="G236" i="47"/>
  <c r="H226" i="156"/>
  <c r="M45" i="156"/>
  <c r="M193" i="156"/>
  <c r="M37" i="156"/>
  <c r="M91" i="156"/>
  <c r="M165" i="156"/>
  <c r="M37" i="47"/>
  <c r="M135" i="60"/>
  <c r="M174" i="60"/>
  <c r="M186" i="60"/>
  <c r="M194" i="60"/>
  <c r="M97" i="60"/>
  <c r="M126" i="60"/>
  <c r="M161" i="145"/>
  <c r="M133" i="15"/>
  <c r="H222" i="15"/>
  <c r="M51" i="15"/>
  <c r="M177" i="15"/>
  <c r="M76" i="15"/>
  <c r="H227" i="15"/>
  <c r="H223" i="15"/>
  <c r="M75" i="15"/>
  <c r="M125" i="15"/>
  <c r="M172" i="15"/>
  <c r="M115" i="15"/>
  <c r="H220" i="15"/>
  <c r="M167" i="15"/>
  <c r="M132" i="15"/>
  <c r="H219" i="15"/>
  <c r="M49" i="15"/>
  <c r="G237" i="104"/>
  <c r="M97" i="19"/>
  <c r="M25" i="19"/>
  <c r="M97" i="145"/>
  <c r="M21" i="150"/>
  <c r="M102" i="63"/>
  <c r="M188" i="38"/>
  <c r="E215" i="157"/>
  <c r="M161" i="47"/>
  <c r="M111" i="63"/>
  <c r="M119" i="83"/>
  <c r="M202" i="143"/>
  <c r="M72" i="143"/>
  <c r="H228" i="143"/>
  <c r="M78" i="143"/>
  <c r="M200" i="143"/>
  <c r="M165" i="143"/>
  <c r="M56" i="143"/>
  <c r="M137" i="143"/>
  <c r="M167" i="143"/>
  <c r="E238" i="39"/>
  <c r="M86" i="145"/>
  <c r="M129" i="89"/>
  <c r="H17" i="42"/>
  <c r="H13" i="42"/>
  <c r="M117" i="145"/>
  <c r="M51" i="145"/>
  <c r="M92" i="145"/>
  <c r="M36" i="145"/>
  <c r="M82" i="145"/>
  <c r="M30" i="145"/>
  <c r="M64" i="145"/>
  <c r="M182" i="145"/>
  <c r="M135" i="145"/>
  <c r="M32" i="89"/>
  <c r="M84" i="89"/>
  <c r="M57" i="89"/>
  <c r="G236" i="63"/>
  <c r="M54" i="63"/>
  <c r="M45" i="63"/>
  <c r="M32" i="63"/>
  <c r="M77" i="63"/>
  <c r="M40" i="156"/>
  <c r="K13" i="156"/>
  <c r="M87" i="156"/>
  <c r="M183" i="156"/>
  <c r="M118" i="156"/>
  <c r="M149" i="156"/>
  <c r="M129" i="156"/>
  <c r="M203" i="156"/>
  <c r="M182" i="156"/>
  <c r="M84" i="156"/>
  <c r="M54" i="156"/>
  <c r="M155" i="156"/>
  <c r="M130" i="156"/>
  <c r="M34" i="156"/>
  <c r="M157" i="156"/>
  <c r="M191" i="156"/>
  <c r="M68" i="156"/>
  <c r="M105" i="156"/>
  <c r="M192" i="156"/>
  <c r="M168" i="156"/>
  <c r="M67" i="156"/>
  <c r="M44" i="156"/>
  <c r="M137" i="156"/>
  <c r="M70" i="156"/>
  <c r="M51" i="156"/>
  <c r="M30" i="156"/>
  <c r="M179" i="156"/>
  <c r="M140" i="156"/>
  <c r="M76" i="156"/>
  <c r="M152" i="156"/>
  <c r="M147" i="156"/>
  <c r="M85" i="156"/>
  <c r="M160" i="156"/>
  <c r="M166" i="156"/>
  <c r="M145" i="156"/>
  <c r="M108" i="156"/>
  <c r="M36" i="156"/>
  <c r="M204" i="156"/>
  <c r="M189" i="156"/>
  <c r="M106" i="156"/>
  <c r="M71" i="156"/>
  <c r="M141" i="156"/>
  <c r="M29" i="156"/>
  <c r="M90" i="156"/>
  <c r="M171" i="156"/>
  <c r="H223" i="156"/>
  <c r="M88" i="156"/>
  <c r="M52" i="156"/>
  <c r="H222" i="156"/>
  <c r="M181" i="156"/>
  <c r="M173" i="156"/>
  <c r="M135" i="156"/>
  <c r="M78" i="156"/>
  <c r="M50" i="156"/>
  <c r="M31" i="156"/>
  <c r="M153" i="156"/>
  <c r="M176" i="156"/>
  <c r="M194" i="156"/>
  <c r="M167" i="156"/>
  <c r="M142" i="156"/>
  <c r="M98" i="156"/>
  <c r="M73" i="156"/>
  <c r="M206" i="156"/>
  <c r="M188" i="156"/>
  <c r="M26" i="156"/>
  <c r="M42" i="156"/>
  <c r="M150" i="156"/>
  <c r="M146" i="156"/>
  <c r="M125" i="156"/>
  <c r="M28" i="156"/>
  <c r="M114" i="156"/>
  <c r="M75" i="156"/>
  <c r="M72" i="156"/>
  <c r="H219" i="156"/>
  <c r="M132" i="156"/>
  <c r="M151" i="156"/>
  <c r="M77" i="156"/>
  <c r="H228" i="156"/>
  <c r="M57" i="156"/>
  <c r="M48" i="156"/>
  <c r="M185" i="156"/>
  <c r="M49" i="156"/>
  <c r="M201" i="156"/>
  <c r="M55" i="156"/>
  <c r="M25" i="156"/>
  <c r="M169" i="156"/>
  <c r="M174" i="156"/>
  <c r="M123" i="156"/>
  <c r="M96" i="156"/>
  <c r="M131" i="156"/>
  <c r="M56" i="156"/>
  <c r="M110" i="156"/>
  <c r="M138" i="156"/>
  <c r="M33" i="156"/>
  <c r="M69" i="156"/>
  <c r="M190" i="156"/>
  <c r="M58" i="156"/>
  <c r="M186" i="156"/>
  <c r="M83" i="156"/>
  <c r="M184" i="156"/>
  <c r="G236" i="156"/>
  <c r="G238" i="156"/>
  <c r="M205" i="156"/>
  <c r="M90" i="16"/>
  <c r="M60" i="16"/>
  <c r="M96" i="16"/>
  <c r="H224" i="16"/>
  <c r="M196" i="16"/>
  <c r="M136" i="16"/>
  <c r="M66" i="16"/>
  <c r="M108" i="16"/>
  <c r="M131" i="16"/>
  <c r="H223" i="16"/>
  <c r="M119" i="16"/>
  <c r="M53" i="16"/>
  <c r="M135" i="16"/>
  <c r="M153" i="16"/>
  <c r="M34" i="16"/>
  <c r="M49" i="16"/>
  <c r="H228" i="16"/>
  <c r="M42" i="16"/>
  <c r="M72" i="16"/>
  <c r="M151" i="16"/>
  <c r="M155" i="16"/>
  <c r="M45" i="16"/>
  <c r="M71" i="16"/>
  <c r="M143" i="16"/>
  <c r="M59" i="16"/>
  <c r="M205" i="16"/>
  <c r="M28" i="16"/>
  <c r="M167" i="16"/>
  <c r="M140" i="16"/>
  <c r="M194" i="16"/>
  <c r="H221" i="16"/>
  <c r="M149" i="16"/>
  <c r="M106" i="16"/>
  <c r="M174" i="16"/>
  <c r="M147" i="16"/>
  <c r="M179" i="16"/>
  <c r="M169" i="16"/>
  <c r="M85" i="16"/>
  <c r="M47" i="16"/>
  <c r="M200" i="156"/>
  <c r="M61" i="47"/>
  <c r="M50" i="47"/>
  <c r="H14" i="24"/>
  <c r="H13" i="24"/>
  <c r="H21" i="37"/>
  <c r="M37" i="142"/>
  <c r="M70" i="142"/>
  <c r="M100" i="142"/>
  <c r="M152" i="142"/>
  <c r="M51" i="142"/>
  <c r="M173" i="142"/>
  <c r="M180" i="142"/>
  <c r="M171" i="142"/>
  <c r="M160" i="142"/>
  <c r="M167" i="142"/>
  <c r="K13" i="142"/>
  <c r="M49" i="142"/>
  <c r="H222" i="142"/>
  <c r="M78" i="142"/>
  <c r="M28" i="142"/>
  <c r="M201" i="142"/>
  <c r="M126" i="142"/>
  <c r="M182" i="142"/>
  <c r="M117" i="142"/>
  <c r="M33" i="142"/>
  <c r="M53" i="66"/>
  <c r="M64" i="83"/>
  <c r="M186" i="43"/>
  <c r="E238" i="157"/>
  <c r="M102" i="150"/>
  <c r="H227" i="150"/>
  <c r="M41" i="150"/>
  <c r="M98" i="150"/>
  <c r="M204" i="150"/>
  <c r="M188" i="150"/>
  <c r="M26" i="150"/>
  <c r="M85" i="150"/>
  <c r="M31" i="150"/>
  <c r="M135" i="150"/>
  <c r="H223" i="150"/>
  <c r="M67" i="150"/>
  <c r="M65" i="150"/>
  <c r="M35" i="150"/>
  <c r="M74" i="150"/>
  <c r="G236" i="150"/>
  <c r="G238" i="150"/>
  <c r="M171" i="150"/>
  <c r="M168" i="150"/>
  <c r="M150" i="150"/>
  <c r="K11" i="42"/>
  <c r="H20" i="42"/>
  <c r="M192" i="38"/>
  <c r="M204" i="83"/>
  <c r="H223" i="83"/>
  <c r="M192" i="83"/>
  <c r="M72" i="145"/>
  <c r="H227" i="145"/>
  <c r="M184" i="145"/>
  <c r="M140" i="145"/>
  <c r="M33" i="145"/>
  <c r="M148" i="145"/>
  <c r="M200" i="145"/>
  <c r="M151" i="145"/>
  <c r="M129" i="145"/>
  <c r="M54" i="145"/>
  <c r="M52" i="145"/>
  <c r="M59" i="145"/>
  <c r="M137" i="63"/>
  <c r="M190" i="16"/>
  <c r="M171" i="16"/>
  <c r="M74" i="16"/>
  <c r="M165" i="16"/>
  <c r="M182" i="16"/>
  <c r="M159" i="38"/>
  <c r="M56" i="38"/>
  <c r="M184" i="38"/>
  <c r="M49" i="38"/>
  <c r="M88" i="38"/>
  <c r="M147" i="38"/>
  <c r="M38" i="38"/>
  <c r="M64" i="89"/>
  <c r="M173" i="89"/>
  <c r="M172" i="89"/>
  <c r="M160" i="89"/>
  <c r="M178" i="89"/>
  <c r="M182" i="89"/>
  <c r="M46" i="89"/>
  <c r="M151" i="89"/>
  <c r="M161" i="63"/>
  <c r="M136" i="143"/>
  <c r="M203" i="63"/>
  <c r="M31" i="63"/>
  <c r="M201" i="63"/>
  <c r="H226" i="63"/>
  <c r="M160" i="63"/>
  <c r="H222" i="63"/>
  <c r="M204" i="63"/>
  <c r="M178" i="47"/>
  <c r="M90" i="47"/>
  <c r="M76" i="47"/>
  <c r="M60" i="47"/>
  <c r="M171" i="47"/>
  <c r="M26" i="47"/>
  <c r="M202" i="47"/>
  <c r="M99" i="143"/>
  <c r="M115" i="156"/>
  <c r="M101" i="156"/>
  <c r="M97" i="156"/>
  <c r="M86" i="156"/>
  <c r="M175" i="156"/>
  <c r="M100" i="156"/>
  <c r="M102" i="156"/>
  <c r="M202" i="60"/>
  <c r="M193" i="60"/>
  <c r="M40" i="60"/>
  <c r="M65" i="60"/>
  <c r="K13" i="60"/>
  <c r="M177" i="89"/>
  <c r="M109" i="60"/>
  <c r="H15" i="20"/>
  <c r="H16" i="20"/>
  <c r="H17" i="20"/>
  <c r="K11" i="20"/>
  <c r="H18" i="20"/>
  <c r="M111" i="47"/>
  <c r="H14" i="155"/>
  <c r="H15" i="72"/>
  <c r="K11" i="72"/>
  <c r="H14" i="72"/>
  <c r="M111" i="38"/>
  <c r="M119" i="143"/>
  <c r="M35" i="60"/>
  <c r="M145" i="63"/>
  <c r="M106" i="145"/>
  <c r="M29" i="145"/>
  <c r="M131" i="145"/>
  <c r="M196" i="145"/>
  <c r="M93" i="89"/>
  <c r="M101" i="145"/>
  <c r="M140" i="143"/>
  <c r="M56" i="145"/>
  <c r="M124" i="63"/>
  <c r="M205" i="47"/>
  <c r="H13" i="37"/>
  <c r="M46" i="142"/>
  <c r="M130" i="142"/>
  <c r="M71" i="142"/>
  <c r="H223" i="142"/>
  <c r="M82" i="142"/>
  <c r="M195" i="142"/>
  <c r="M88" i="142"/>
  <c r="H228" i="142"/>
  <c r="M54" i="142"/>
  <c r="M40" i="142"/>
  <c r="M42" i="142"/>
  <c r="M26" i="142"/>
  <c r="M168" i="142"/>
  <c r="H220" i="142"/>
  <c r="M91" i="142"/>
  <c r="G236" i="142"/>
  <c r="G238" i="142"/>
  <c r="M96" i="142"/>
  <c r="M200" i="142"/>
  <c r="M193" i="142"/>
  <c r="M143" i="63"/>
  <c r="M170" i="43"/>
  <c r="M83" i="150"/>
  <c r="M51" i="150"/>
  <c r="M30" i="150"/>
  <c r="H222" i="150"/>
  <c r="M180" i="150"/>
  <c r="M89" i="150"/>
  <c r="M151" i="150"/>
  <c r="M179" i="150"/>
  <c r="M117" i="150"/>
  <c r="M184" i="150"/>
  <c r="M116" i="150"/>
  <c r="M38" i="150"/>
  <c r="M172" i="150"/>
  <c r="M56" i="150"/>
  <c r="M155" i="150"/>
  <c r="H219" i="150"/>
  <c r="M130" i="150"/>
  <c r="M137" i="150"/>
  <c r="M138" i="150"/>
  <c r="H11" i="42"/>
  <c r="M117" i="38"/>
  <c r="M77" i="83"/>
  <c r="M187" i="83"/>
  <c r="H219" i="83"/>
  <c r="M170" i="145"/>
  <c r="M126" i="145"/>
  <c r="H226" i="145"/>
  <c r="M89" i="145"/>
  <c r="M110" i="145"/>
  <c r="M42" i="145"/>
  <c r="M152" i="145"/>
  <c r="M150" i="145"/>
  <c r="M193" i="145"/>
  <c r="M179" i="145"/>
  <c r="M67" i="145"/>
  <c r="M155" i="145"/>
  <c r="M142" i="16"/>
  <c r="M192" i="16"/>
  <c r="M83" i="16"/>
  <c r="M50" i="16"/>
  <c r="M110" i="16"/>
  <c r="M89" i="38"/>
  <c r="M36" i="38"/>
  <c r="M76" i="38"/>
  <c r="M68" i="38"/>
  <c r="M148" i="38"/>
  <c r="M126" i="38"/>
  <c r="M43" i="38"/>
  <c r="M100" i="143"/>
  <c r="M204" i="89"/>
  <c r="H223" i="89"/>
  <c r="M125" i="89"/>
  <c r="M30" i="89"/>
  <c r="M124" i="89"/>
  <c r="M31" i="89"/>
  <c r="M202" i="89"/>
  <c r="E238" i="152"/>
  <c r="M123" i="63"/>
  <c r="M48" i="145"/>
  <c r="M69" i="63"/>
  <c r="M185" i="63"/>
  <c r="H221" i="63"/>
  <c r="M43" i="63"/>
  <c r="M84" i="63"/>
  <c r="M153" i="63"/>
  <c r="M48" i="63"/>
  <c r="M138" i="63"/>
  <c r="M93" i="150"/>
  <c r="M184" i="47"/>
  <c r="M56" i="47"/>
  <c r="M36" i="47"/>
  <c r="M183" i="47"/>
  <c r="M55" i="47"/>
  <c r="K13" i="47"/>
  <c r="H224" i="143"/>
  <c r="M38" i="156"/>
  <c r="H221" i="156"/>
  <c r="M178" i="156"/>
  <c r="M53" i="156"/>
  <c r="M126" i="156"/>
  <c r="M99" i="156"/>
  <c r="M158" i="156"/>
  <c r="M119" i="150"/>
  <c r="M138" i="60"/>
  <c r="M46" i="60"/>
  <c r="M170" i="60"/>
  <c r="M110" i="60"/>
  <c r="M149" i="60"/>
  <c r="M164" i="60"/>
  <c r="M147" i="60"/>
  <c r="M53" i="89"/>
  <c r="M44" i="150"/>
  <c r="M35" i="142"/>
  <c r="M161" i="150"/>
  <c r="M145" i="84"/>
  <c r="M142" i="84"/>
  <c r="M176" i="84"/>
  <c r="M180" i="84"/>
  <c r="M33" i="84"/>
  <c r="M130" i="84"/>
  <c r="M67" i="84"/>
  <c r="M34" i="84"/>
  <c r="M48" i="38"/>
  <c r="M178" i="16"/>
  <c r="M119" i="145"/>
  <c r="M89" i="60"/>
  <c r="M197" i="63"/>
  <c r="M111" i="145"/>
  <c r="M161" i="142"/>
  <c r="M119" i="60"/>
  <c r="M102" i="89"/>
  <c r="M102" i="145"/>
  <c r="M75" i="45"/>
  <c r="M93" i="63"/>
  <c r="M197" i="156"/>
  <c r="M197" i="89"/>
  <c r="M61" i="89"/>
  <c r="M102" i="47"/>
  <c r="M93" i="142"/>
  <c r="M161" i="156"/>
  <c r="M206" i="62"/>
  <c r="M206" i="47"/>
  <c r="M86" i="69"/>
  <c r="M61" i="63"/>
  <c r="M119" i="63"/>
  <c r="M206" i="63"/>
  <c r="M111" i="60"/>
  <c r="M206" i="89"/>
  <c r="M197" i="143"/>
  <c r="M93" i="143"/>
  <c r="G236" i="145"/>
  <c r="M79" i="63"/>
  <c r="M197" i="38"/>
  <c r="M197" i="60"/>
  <c r="M197" i="142"/>
  <c r="M161" i="89"/>
  <c r="M197" i="145"/>
  <c r="M61" i="38"/>
  <c r="G208" i="16"/>
  <c r="H127" i="16"/>
  <c r="M119" i="156"/>
  <c r="M119" i="47"/>
  <c r="M79" i="60"/>
  <c r="M197" i="16"/>
  <c r="M102" i="16"/>
  <c r="M34" i="69"/>
  <c r="M111" i="156"/>
  <c r="M61" i="145"/>
  <c r="M61" i="150"/>
  <c r="M93" i="31"/>
  <c r="M206" i="145"/>
  <c r="M102" i="38"/>
  <c r="M83" i="42"/>
  <c r="M59" i="42"/>
  <c r="M118" i="42"/>
  <c r="H17" i="92"/>
  <c r="H16" i="92"/>
  <c r="M132" i="92"/>
  <c r="M188" i="92"/>
  <c r="M97" i="92"/>
  <c r="M93" i="92"/>
  <c r="M61" i="92"/>
  <c r="H17" i="39"/>
  <c r="M197" i="175"/>
  <c r="H15" i="119"/>
  <c r="H220" i="46"/>
  <c r="M65" i="86"/>
  <c r="M74" i="86"/>
  <c r="M76" i="86"/>
  <c r="H228" i="86"/>
  <c r="M181" i="92"/>
  <c r="M52" i="152"/>
  <c r="H18" i="39"/>
  <c r="H16" i="152"/>
  <c r="H15" i="152"/>
  <c r="E215" i="156"/>
  <c r="E215" i="20"/>
  <c r="K11" i="119"/>
  <c r="M149" i="46"/>
  <c r="M79" i="83"/>
  <c r="E215" i="53"/>
  <c r="H18" i="157"/>
  <c r="H13" i="157"/>
  <c r="M69" i="86"/>
  <c r="M177" i="83"/>
  <c r="M88" i="83"/>
  <c r="M39" i="172"/>
  <c r="H219" i="172"/>
  <c r="M118" i="172"/>
  <c r="M151" i="172"/>
  <c r="M35" i="172"/>
  <c r="M37" i="172"/>
  <c r="M82" i="172"/>
  <c r="M131" i="172"/>
  <c r="M126" i="172"/>
  <c r="M33" i="172"/>
  <c r="M184" i="172"/>
  <c r="M28" i="172"/>
  <c r="M59" i="172"/>
  <c r="H225" i="172"/>
  <c r="M202" i="172"/>
  <c r="M124" i="172"/>
  <c r="M30" i="172"/>
  <c r="M206" i="172"/>
  <c r="H21" i="79"/>
  <c r="H14" i="79"/>
  <c r="M102" i="83"/>
  <c r="H224" i="83"/>
  <c r="H225" i="83"/>
  <c r="M36" i="83"/>
  <c r="M168" i="83"/>
  <c r="M56" i="83"/>
  <c r="M172" i="83"/>
  <c r="M126" i="83"/>
  <c r="M92" i="83"/>
  <c r="M105" i="86"/>
  <c r="M133" i="86"/>
  <c r="M155" i="86"/>
  <c r="M173" i="86"/>
  <c r="H219" i="86"/>
  <c r="M108" i="86"/>
  <c r="M130" i="86"/>
  <c r="M55" i="86"/>
  <c r="M75" i="86"/>
  <c r="G236" i="86"/>
  <c r="G238" i="86"/>
  <c r="H220" i="86"/>
  <c r="M45" i="86"/>
  <c r="M117" i="86"/>
  <c r="M172" i="86"/>
  <c r="M150" i="86"/>
  <c r="M159" i="86"/>
  <c r="M166" i="86"/>
  <c r="M52" i="86"/>
  <c r="M170" i="86"/>
  <c r="M155" i="143"/>
  <c r="M64" i="172"/>
  <c r="H12" i="86"/>
  <c r="M76" i="143"/>
  <c r="M179" i="143"/>
  <c r="M143" i="143"/>
  <c r="M101" i="143"/>
  <c r="M189" i="143"/>
  <c r="H13" i="20"/>
  <c r="M173" i="152"/>
  <c r="M123" i="119"/>
  <c r="K11" i="69"/>
  <c r="H13" i="92"/>
  <c r="M164" i="92"/>
  <c r="M86" i="92"/>
  <c r="M135" i="92"/>
  <c r="M195" i="92"/>
  <c r="M186" i="92"/>
  <c r="H224" i="92"/>
  <c r="E215" i="176"/>
  <c r="M119" i="1"/>
  <c r="K11" i="31"/>
  <c r="M108" i="83"/>
  <c r="M93" i="45"/>
  <c r="M161" i="45"/>
  <c r="M44" i="45"/>
  <c r="M40" i="45"/>
  <c r="M201" i="45"/>
  <c r="M175" i="45"/>
  <c r="H19" i="39"/>
  <c r="K11" i="157"/>
  <c r="M107" i="86"/>
  <c r="M47" i="86"/>
  <c r="M125" i="86"/>
  <c r="M175" i="86"/>
  <c r="M60" i="86"/>
  <c r="M151" i="86"/>
  <c r="M192" i="86"/>
  <c r="H19" i="92"/>
  <c r="M116" i="92"/>
  <c r="H21" i="39"/>
  <c r="H12" i="152"/>
  <c r="H19" i="119"/>
  <c r="M176" i="46"/>
  <c r="M160" i="86"/>
  <c r="M32" i="172"/>
  <c r="M108" i="143"/>
  <c r="H17" i="157"/>
  <c r="M93" i="83"/>
  <c r="M71" i="172"/>
  <c r="M65" i="172"/>
  <c r="M101" i="172"/>
  <c r="M190" i="172"/>
  <c r="M72" i="172"/>
  <c r="K13" i="172"/>
  <c r="M99" i="172"/>
  <c r="M51" i="172"/>
  <c r="M40" i="172"/>
  <c r="M83" i="172"/>
  <c r="M74" i="172"/>
  <c r="H224" i="172"/>
  <c r="M143" i="172"/>
  <c r="H227" i="172"/>
  <c r="M141" i="172"/>
  <c r="M69" i="172"/>
  <c r="M109" i="172"/>
  <c r="M29" i="172"/>
  <c r="H12" i="79"/>
  <c r="H19" i="79"/>
  <c r="M78" i="83"/>
  <c r="M68" i="83"/>
  <c r="M174" i="83"/>
  <c r="K13" i="83"/>
  <c r="H220" i="83"/>
  <c r="M150" i="83"/>
  <c r="M46" i="83"/>
  <c r="M96" i="83"/>
  <c r="H226" i="83"/>
  <c r="M184" i="86"/>
  <c r="M194" i="86"/>
  <c r="M142" i="86"/>
  <c r="M28" i="86"/>
  <c r="M92" i="86"/>
  <c r="M177" i="86"/>
  <c r="M167" i="86"/>
  <c r="M145" i="86"/>
  <c r="M98" i="86"/>
  <c r="M178" i="86"/>
  <c r="M77" i="86"/>
  <c r="M114" i="86"/>
  <c r="M32" i="86"/>
  <c r="M89" i="86"/>
  <c r="M34" i="86"/>
  <c r="M149" i="86"/>
  <c r="M85" i="86"/>
  <c r="M168" i="86"/>
  <c r="H226" i="86"/>
  <c r="H17" i="86"/>
  <c r="H16" i="86"/>
  <c r="M66" i="143"/>
  <c r="H225" i="143"/>
  <c r="M26" i="143"/>
  <c r="M97" i="143"/>
  <c r="M133" i="143"/>
  <c r="M206" i="86"/>
  <c r="H18" i="69"/>
  <c r="E215" i="143"/>
  <c r="M102" i="143"/>
  <c r="H12" i="92"/>
  <c r="H11" i="92"/>
  <c r="M126" i="92"/>
  <c r="M133" i="92"/>
  <c r="M173" i="92"/>
  <c r="M51" i="92"/>
  <c r="M67" i="92"/>
  <c r="M201" i="92"/>
  <c r="M197" i="172"/>
  <c r="M161" i="86"/>
  <c r="M132" i="86"/>
  <c r="M84" i="86"/>
  <c r="M93" i="86"/>
  <c r="M109" i="86"/>
  <c r="M156" i="45"/>
  <c r="M52" i="45"/>
  <c r="M28" i="45"/>
  <c r="M206" i="45"/>
  <c r="K15" i="90"/>
  <c r="G237" i="90"/>
  <c r="K15" i="66"/>
  <c r="M124" i="46"/>
  <c r="M140" i="92"/>
  <c r="M196" i="92"/>
  <c r="M59" i="92"/>
  <c r="M196" i="86"/>
  <c r="M165" i="83"/>
  <c r="H20" i="39"/>
  <c r="M197" i="83"/>
  <c r="H19" i="152"/>
  <c r="H20" i="119"/>
  <c r="H18" i="119"/>
  <c r="M47" i="83"/>
  <c r="M108" i="46"/>
  <c r="M91" i="46"/>
  <c r="M138" i="172"/>
  <c r="M67" i="172"/>
  <c r="H11" i="157"/>
  <c r="H19" i="157"/>
  <c r="M164" i="172"/>
  <c r="M66" i="172"/>
  <c r="M145" i="172"/>
  <c r="M172" i="172"/>
  <c r="M132" i="172"/>
  <c r="M89" i="172"/>
  <c r="M157" i="172"/>
  <c r="M204" i="172"/>
  <c r="M174" i="172"/>
  <c r="M178" i="172"/>
  <c r="M84" i="172"/>
  <c r="M105" i="172"/>
  <c r="M191" i="172"/>
  <c r="G236" i="172"/>
  <c r="G238" i="172"/>
  <c r="M110" i="172"/>
  <c r="M137" i="172"/>
  <c r="H226" i="172"/>
  <c r="M168" i="172"/>
  <c r="H15" i="79"/>
  <c r="H11" i="79"/>
  <c r="M178" i="83"/>
  <c r="M58" i="83"/>
  <c r="M53" i="83"/>
  <c r="M82" i="83"/>
  <c r="M86" i="83"/>
  <c r="M167" i="83"/>
  <c r="M91" i="83"/>
  <c r="M176" i="83"/>
  <c r="M153" i="83"/>
  <c r="M90" i="86"/>
  <c r="M35" i="86"/>
  <c r="M71" i="86"/>
  <c r="M96" i="86"/>
  <c r="H222" i="86"/>
  <c r="M188" i="86"/>
  <c r="M106" i="86"/>
  <c r="M204" i="86"/>
  <c r="M180" i="86"/>
  <c r="M72" i="86"/>
  <c r="M146" i="86"/>
  <c r="M99" i="86"/>
  <c r="M38" i="86"/>
  <c r="M171" i="86"/>
  <c r="M48" i="86"/>
  <c r="M157" i="86"/>
  <c r="H225" i="86"/>
  <c r="M37" i="86"/>
  <c r="M195" i="86"/>
  <c r="M21" i="86"/>
  <c r="H21" i="86"/>
  <c r="M59" i="86"/>
  <c r="M181" i="143"/>
  <c r="M194" i="143"/>
  <c r="M169" i="143"/>
  <c r="H223" i="143"/>
  <c r="M115" i="143"/>
  <c r="H12" i="20"/>
  <c r="H19" i="69"/>
  <c r="K11" i="92"/>
  <c r="H20" i="92"/>
  <c r="M56" i="92"/>
  <c r="M204" i="92"/>
  <c r="M88" i="92"/>
  <c r="H226" i="92"/>
  <c r="M106" i="92"/>
  <c r="M46" i="92"/>
  <c r="M31" i="92"/>
  <c r="M111" i="83"/>
  <c r="M111" i="86"/>
  <c r="M119" i="86"/>
  <c r="M191" i="45"/>
  <c r="M86" i="45"/>
  <c r="G208" i="45"/>
  <c r="H53" i="45"/>
  <c r="M191" i="69"/>
  <c r="M119" i="69"/>
  <c r="M42" i="92"/>
  <c r="M138" i="46"/>
  <c r="M169" i="86"/>
  <c r="M31" i="86"/>
  <c r="M183" i="86"/>
  <c r="M205" i="92"/>
  <c r="M192" i="92"/>
  <c r="M93" i="49"/>
  <c r="M21" i="39"/>
  <c r="H17" i="152"/>
  <c r="E238" i="28"/>
  <c r="H11" i="119"/>
  <c r="H21" i="119"/>
  <c r="M54" i="46"/>
  <c r="M36" i="46"/>
  <c r="H15" i="157"/>
  <c r="H20" i="157"/>
  <c r="M182" i="172"/>
  <c r="M77" i="172"/>
  <c r="M187" i="172"/>
  <c r="M177" i="172"/>
  <c r="M60" i="172"/>
  <c r="M175" i="172"/>
  <c r="M136" i="172"/>
  <c r="M57" i="172"/>
  <c r="H222" i="172"/>
  <c r="M142" i="172"/>
  <c r="M123" i="172"/>
  <c r="M43" i="172"/>
  <c r="M78" i="172"/>
  <c r="M146" i="172"/>
  <c r="M41" i="172"/>
  <c r="M158" i="172"/>
  <c r="M85" i="172"/>
  <c r="H17" i="79"/>
  <c r="H13" i="79"/>
  <c r="M69" i="83"/>
  <c r="M130" i="83"/>
  <c r="M142" i="83"/>
  <c r="M124" i="83"/>
  <c r="M117" i="83"/>
  <c r="M75" i="83"/>
  <c r="M28" i="83"/>
  <c r="M48" i="83"/>
  <c r="M157" i="83"/>
  <c r="M129" i="86"/>
  <c r="M57" i="86"/>
  <c r="M181" i="86"/>
  <c r="M88" i="86"/>
  <c r="M123" i="86"/>
  <c r="M46" i="86"/>
  <c r="M82" i="86"/>
  <c r="M68" i="86"/>
  <c r="M29" i="86"/>
  <c r="M153" i="86"/>
  <c r="M203" i="86"/>
  <c r="M147" i="86"/>
  <c r="M87" i="86"/>
  <c r="M44" i="86"/>
  <c r="H223" i="86"/>
  <c r="M185" i="86"/>
  <c r="M156" i="86"/>
  <c r="M100" i="86"/>
  <c r="M25" i="86"/>
  <c r="M57" i="83"/>
  <c r="E215" i="38"/>
  <c r="M111" i="172"/>
  <c r="H11" i="86"/>
  <c r="H19" i="86"/>
  <c r="M46" i="143"/>
  <c r="M147" i="143"/>
  <c r="M74" i="143"/>
  <c r="M191" i="143"/>
  <c r="H20" i="20"/>
  <c r="H11" i="20"/>
  <c r="H18" i="92"/>
  <c r="M79" i="172"/>
  <c r="M55" i="92"/>
  <c r="M117" i="92"/>
  <c r="M57" i="92"/>
  <c r="M54" i="92"/>
  <c r="H220" i="92"/>
  <c r="M43" i="92"/>
  <c r="M60" i="152"/>
  <c r="M54" i="83"/>
  <c r="M41" i="86"/>
  <c r="M119" i="31"/>
  <c r="M111" i="58"/>
  <c r="M101" i="45"/>
  <c r="M142" i="45"/>
  <c r="M167" i="45"/>
  <c r="M151" i="45"/>
  <c r="M56" i="45"/>
  <c r="M127" i="45"/>
  <c r="M41" i="69"/>
  <c r="M193" i="86"/>
  <c r="E238" i="25"/>
  <c r="M150" i="46"/>
  <c r="H16" i="157"/>
  <c r="M158" i="86"/>
  <c r="M148" i="86"/>
  <c r="M116" i="86"/>
  <c r="H221" i="92"/>
  <c r="M115" i="92"/>
  <c r="E238" i="145"/>
  <c r="M135" i="83"/>
  <c r="H12" i="119"/>
  <c r="M158" i="46"/>
  <c r="M27" i="46"/>
  <c r="M43" i="86"/>
  <c r="M203" i="172"/>
  <c r="M91" i="172"/>
  <c r="M45" i="172"/>
  <c r="H221" i="172"/>
  <c r="M25" i="172"/>
  <c r="M68" i="172"/>
  <c r="M155" i="172"/>
  <c r="M55" i="172"/>
  <c r="M170" i="172"/>
  <c r="M193" i="172"/>
  <c r="M169" i="172"/>
  <c r="M88" i="172"/>
  <c r="M183" i="172"/>
  <c r="M156" i="172"/>
  <c r="M176" i="172"/>
  <c r="M188" i="172"/>
  <c r="M145" i="83"/>
  <c r="M110" i="83"/>
  <c r="M164" i="83"/>
  <c r="M136" i="83"/>
  <c r="M186" i="83"/>
  <c r="M44" i="83"/>
  <c r="M181" i="83"/>
  <c r="M183" i="83"/>
  <c r="M26" i="83"/>
  <c r="M91" i="86"/>
  <c r="M200" i="86"/>
  <c r="M36" i="86"/>
  <c r="M39" i="86"/>
  <c r="M124" i="86"/>
  <c r="M110" i="86"/>
  <c r="M174" i="86"/>
  <c r="M78" i="86"/>
  <c r="M164" i="86"/>
  <c r="M165" i="86"/>
  <c r="M191" i="86"/>
  <c r="M143" i="86"/>
  <c r="M131" i="86"/>
  <c r="M50" i="86"/>
  <c r="H224" i="86"/>
  <c r="M135" i="86"/>
  <c r="M152" i="86"/>
  <c r="M201" i="86"/>
  <c r="M176" i="86"/>
  <c r="H14" i="86"/>
  <c r="M86" i="143"/>
  <c r="M188" i="143"/>
  <c r="M45" i="143"/>
  <c r="H14" i="20"/>
  <c r="M61" i="86"/>
  <c r="H15" i="92"/>
  <c r="M130" i="92"/>
  <c r="M72" i="92"/>
  <c r="M146" i="92"/>
  <c r="M48" i="92"/>
  <c r="M84" i="92"/>
  <c r="H228" i="92"/>
  <c r="M79" i="85"/>
  <c r="M61" i="172"/>
  <c r="M97" i="152"/>
  <c r="M118" i="83"/>
  <c r="M33" i="86"/>
  <c r="M171" i="45"/>
  <c r="M96" i="45"/>
  <c r="H18" i="145"/>
  <c r="K11" i="145"/>
  <c r="M202" i="90"/>
  <c r="M38" i="90"/>
  <c r="M138" i="43"/>
  <c r="M109" i="43"/>
  <c r="M126" i="43"/>
  <c r="M196" i="31"/>
  <c r="M126" i="31"/>
  <c r="M59" i="31"/>
  <c r="M36" i="31"/>
  <c r="M146" i="31"/>
  <c r="H224" i="31"/>
  <c r="H225" i="31"/>
  <c r="M130" i="31"/>
  <c r="M37" i="31"/>
  <c r="M174" i="31"/>
  <c r="M106" i="31"/>
  <c r="M46" i="31"/>
  <c r="M76" i="31"/>
  <c r="M116" i="31"/>
  <c r="M78" i="31"/>
  <c r="M143" i="31"/>
  <c r="M168" i="31"/>
  <c r="M68" i="31"/>
  <c r="M25" i="31"/>
  <c r="M50" i="31"/>
  <c r="M153" i="31"/>
  <c r="M191" i="31"/>
  <c r="M181" i="31"/>
  <c r="M32" i="31"/>
  <c r="G236" i="31"/>
  <c r="M100" i="31"/>
  <c r="M193" i="31"/>
  <c r="M74" i="31"/>
  <c r="M183" i="31"/>
  <c r="M34" i="31"/>
  <c r="M180" i="31"/>
  <c r="M90" i="31"/>
  <c r="M175" i="31"/>
  <c r="M33" i="31"/>
  <c r="M97" i="31"/>
  <c r="M75" i="31"/>
  <c r="M91" i="31"/>
  <c r="M54" i="31"/>
  <c r="M38" i="31"/>
  <c r="M65" i="31"/>
  <c r="M110" i="31"/>
  <c r="M179" i="31"/>
  <c r="H223" i="31"/>
  <c r="H220" i="31"/>
  <c r="M87" i="31"/>
  <c r="M170" i="31"/>
  <c r="M88" i="31"/>
  <c r="M188" i="31"/>
  <c r="M101" i="31"/>
  <c r="M129" i="31"/>
  <c r="M145" i="31"/>
  <c r="M124" i="31"/>
  <c r="H222" i="31"/>
  <c r="M194" i="31"/>
  <c r="M51" i="31"/>
  <c r="M77" i="31"/>
  <c r="M137" i="31"/>
  <c r="M197" i="31"/>
  <c r="M158" i="31"/>
  <c r="M114" i="31"/>
  <c r="M140" i="31"/>
  <c r="M69" i="31"/>
  <c r="M160" i="31"/>
  <c r="M56" i="31"/>
  <c r="M45" i="31"/>
  <c r="M84" i="31"/>
  <c r="M201" i="31"/>
  <c r="M108" i="31"/>
  <c r="H228" i="31"/>
  <c r="M178" i="31"/>
  <c r="M30" i="31"/>
  <c r="M204" i="31"/>
  <c r="M27" i="31"/>
  <c r="M115" i="31"/>
  <c r="M166" i="31"/>
  <c r="M48" i="31"/>
  <c r="M109" i="31"/>
  <c r="M102" i="31"/>
  <c r="M64" i="152"/>
  <c r="M166" i="152"/>
  <c r="M203" i="152"/>
  <c r="M61" i="152"/>
  <c r="H17" i="145"/>
  <c r="M89" i="118"/>
  <c r="M161" i="118"/>
  <c r="M166" i="43"/>
  <c r="M43" i="43"/>
  <c r="M167" i="43"/>
  <c r="M195" i="43"/>
  <c r="M175" i="27"/>
  <c r="M72" i="27"/>
  <c r="M93" i="27"/>
  <c r="H14" i="141"/>
  <c r="M111" i="152"/>
  <c r="M165" i="31"/>
  <c r="M190" i="31"/>
  <c r="M83" i="31"/>
  <c r="M117" i="31"/>
  <c r="M186" i="31"/>
  <c r="M202" i="31"/>
  <c r="M47" i="31"/>
  <c r="M82" i="31"/>
  <c r="M177" i="31"/>
  <c r="M39" i="31"/>
  <c r="E215" i="54"/>
  <c r="M115" i="152"/>
  <c r="M119" i="84"/>
  <c r="M71" i="84"/>
  <c r="M106" i="84"/>
  <c r="M138" i="84"/>
  <c r="M27" i="84"/>
  <c r="M109" i="84"/>
  <c r="M190" i="84"/>
  <c r="M40" i="84"/>
  <c r="M42" i="84"/>
  <c r="M126" i="84"/>
  <c r="M31" i="84"/>
  <c r="M45" i="152"/>
  <c r="M179" i="177"/>
  <c r="M57" i="177"/>
  <c r="M107" i="177"/>
  <c r="M136" i="177"/>
  <c r="M96" i="177"/>
  <c r="M119" i="177"/>
  <c r="M32" i="177"/>
  <c r="M86" i="177"/>
  <c r="M192" i="177"/>
  <c r="M84" i="177"/>
  <c r="M65" i="177"/>
  <c r="M92" i="177"/>
  <c r="M32" i="152"/>
  <c r="M27" i="152"/>
  <c r="M189" i="152"/>
  <c r="H11" i="90"/>
  <c r="H21" i="90"/>
  <c r="H17" i="90"/>
  <c r="M102" i="152"/>
  <c r="M170" i="152"/>
  <c r="M175" i="152"/>
  <c r="M171" i="152"/>
  <c r="M196" i="152"/>
  <c r="M37" i="152"/>
  <c r="M118" i="152"/>
  <c r="M148" i="152"/>
  <c r="M49" i="152"/>
  <c r="M105" i="152"/>
  <c r="M76" i="152"/>
  <c r="M142" i="152"/>
  <c r="M106" i="152"/>
  <c r="M180" i="152"/>
  <c r="M99" i="152"/>
  <c r="M178" i="152"/>
  <c r="G236" i="152"/>
  <c r="M77" i="152"/>
  <c r="M182" i="152"/>
  <c r="M140" i="152"/>
  <c r="M91" i="152"/>
  <c r="M43" i="152"/>
  <c r="M172" i="152"/>
  <c r="M83" i="152"/>
  <c r="M160" i="152"/>
  <c r="M90" i="152"/>
  <c r="M67" i="152"/>
  <c r="M126" i="152"/>
  <c r="M82" i="152"/>
  <c r="M59" i="152"/>
  <c r="M141" i="152"/>
  <c r="M117" i="152"/>
  <c r="M25" i="152"/>
  <c r="M133" i="152"/>
  <c r="M177" i="152"/>
  <c r="M73" i="152"/>
  <c r="M127" i="152"/>
  <c r="M72" i="152"/>
  <c r="M74" i="152"/>
  <c r="M33" i="152"/>
  <c r="M71" i="152"/>
  <c r="M114" i="152"/>
  <c r="M153" i="152"/>
  <c r="M185" i="152"/>
  <c r="M164" i="152"/>
  <c r="M193" i="152"/>
  <c r="M110" i="152"/>
  <c r="M155" i="152"/>
  <c r="M200" i="152"/>
  <c r="M156" i="152"/>
  <c r="M109" i="152"/>
  <c r="M147" i="152"/>
  <c r="M136" i="152"/>
  <c r="H228" i="152"/>
  <c r="M206" i="152"/>
  <c r="M169" i="152"/>
  <c r="M75" i="152"/>
  <c r="M190" i="43"/>
  <c r="M173" i="27"/>
  <c r="M98" i="27"/>
  <c r="H12" i="145"/>
  <c r="M21" i="152"/>
  <c r="M145" i="27"/>
  <c r="M164" i="43"/>
  <c r="M57" i="43"/>
  <c r="M87" i="43"/>
  <c r="M86" i="43"/>
  <c r="M106" i="43"/>
  <c r="M61" i="43"/>
  <c r="M73" i="27"/>
  <c r="M50" i="27"/>
  <c r="M197" i="152"/>
  <c r="H13" i="141"/>
  <c r="M92" i="152"/>
  <c r="M72" i="31"/>
  <c r="M187" i="31"/>
  <c r="M172" i="31"/>
  <c r="M53" i="31"/>
  <c r="M151" i="31"/>
  <c r="M70" i="31"/>
  <c r="M60" i="31"/>
  <c r="M26" i="31"/>
  <c r="M142" i="31"/>
  <c r="M92" i="31"/>
  <c r="K15" i="118"/>
  <c r="M61" i="27"/>
  <c r="M159" i="152"/>
  <c r="M54" i="152"/>
  <c r="M96" i="152"/>
  <c r="H219" i="152"/>
  <c r="M41" i="27"/>
  <c r="M30" i="27"/>
  <c r="M151" i="27"/>
  <c r="M155" i="27"/>
  <c r="H220" i="27"/>
  <c r="M201" i="27"/>
  <c r="M205" i="27"/>
  <c r="M55" i="27"/>
  <c r="M177" i="27"/>
  <c r="M170" i="27"/>
  <c r="M51" i="27"/>
  <c r="H227" i="27"/>
  <c r="M110" i="27"/>
  <c r="M34" i="27"/>
  <c r="M189" i="27"/>
  <c r="M31" i="27"/>
  <c r="M64" i="27"/>
  <c r="M88" i="27"/>
  <c r="M182" i="27"/>
  <c r="E238" i="94"/>
  <c r="M39" i="43"/>
  <c r="M72" i="43"/>
  <c r="M132" i="27"/>
  <c r="M180" i="27"/>
  <c r="M21" i="141"/>
  <c r="M161" i="27"/>
  <c r="M201" i="152"/>
  <c r="E215" i="142"/>
  <c r="M138" i="152"/>
  <c r="M131" i="152"/>
  <c r="E215" i="177"/>
  <c r="H19" i="145"/>
  <c r="M125" i="152"/>
  <c r="M193" i="43"/>
  <c r="M124" i="43"/>
  <c r="H227" i="43"/>
  <c r="M52" i="27"/>
  <c r="M203" i="27"/>
  <c r="M32" i="27"/>
  <c r="H20" i="141"/>
  <c r="E238" i="20"/>
  <c r="M146" i="152"/>
  <c r="M79" i="152"/>
  <c r="M58" i="31"/>
  <c r="M31" i="31"/>
  <c r="M138" i="31"/>
  <c r="M42" i="31"/>
  <c r="M131" i="31"/>
  <c r="M176" i="31"/>
  <c r="M29" i="31"/>
  <c r="M127" i="31"/>
  <c r="M28" i="31"/>
  <c r="M43" i="31"/>
  <c r="M86" i="31"/>
  <c r="M107" i="143"/>
  <c r="M33" i="143"/>
  <c r="M98" i="143"/>
  <c r="M39" i="143"/>
  <c r="M87" i="143"/>
  <c r="M150" i="143"/>
  <c r="M192" i="143"/>
  <c r="M177" i="143"/>
  <c r="M172" i="143"/>
  <c r="M124" i="143"/>
  <c r="M111" i="143"/>
  <c r="M183" i="143"/>
  <c r="M185" i="143"/>
  <c r="M40" i="143"/>
  <c r="M149" i="143"/>
  <c r="M106" i="143"/>
  <c r="M184" i="143"/>
  <c r="M65" i="143"/>
  <c r="M160" i="143"/>
  <c r="M171" i="143"/>
  <c r="M166" i="143"/>
  <c r="M131" i="143"/>
  <c r="M204" i="143"/>
  <c r="K13" i="143"/>
  <c r="M125" i="143"/>
  <c r="M110" i="143"/>
  <c r="M41" i="143"/>
  <c r="M203" i="143"/>
  <c r="M82" i="143"/>
  <c r="M83" i="143"/>
  <c r="M36" i="143"/>
  <c r="M55" i="143"/>
  <c r="M29" i="143"/>
  <c r="M175" i="143"/>
  <c r="M38" i="143"/>
  <c r="M43" i="143"/>
  <c r="M96" i="143"/>
  <c r="M42" i="143"/>
  <c r="M190" i="143"/>
  <c r="M50" i="143"/>
  <c r="M109" i="143"/>
  <c r="M140" i="95"/>
  <c r="M195" i="95"/>
  <c r="M168" i="95"/>
  <c r="M149" i="84"/>
  <c r="M206" i="143"/>
  <c r="M168" i="152"/>
  <c r="M129" i="152"/>
  <c r="M202" i="152"/>
  <c r="M50" i="152"/>
  <c r="H16" i="72"/>
  <c r="H13" i="72"/>
  <c r="H17" i="72"/>
  <c r="H21" i="72"/>
  <c r="H11" i="72"/>
  <c r="H20" i="72"/>
  <c r="H12" i="72"/>
  <c r="M184" i="152"/>
  <c r="M152" i="152"/>
  <c r="M33" i="64"/>
  <c r="M130" i="64"/>
  <c r="M149" i="64"/>
  <c r="M109" i="64"/>
  <c r="M179" i="64"/>
  <c r="H224" i="64"/>
  <c r="M96" i="64"/>
  <c r="M53" i="64"/>
  <c r="M75" i="64"/>
  <c r="H228" i="64"/>
  <c r="M92" i="64"/>
  <c r="H220" i="64"/>
  <c r="M176" i="64"/>
  <c r="M153" i="64"/>
  <c r="M131" i="64"/>
  <c r="H223" i="64"/>
  <c r="M150" i="64"/>
  <c r="M100" i="64"/>
  <c r="M129" i="64"/>
  <c r="M156" i="64"/>
  <c r="M90" i="64"/>
  <c r="M192" i="64"/>
  <c r="M152" i="64"/>
  <c r="M171" i="64"/>
  <c r="M51" i="64"/>
  <c r="H219" i="64"/>
  <c r="M140" i="64"/>
  <c r="M55" i="64"/>
  <c r="M67" i="64"/>
  <c r="M97" i="64"/>
  <c r="M155" i="64"/>
  <c r="M195" i="64"/>
  <c r="M99" i="64"/>
  <c r="M193" i="64"/>
  <c r="M182" i="64"/>
  <c r="M46" i="64"/>
  <c r="M77" i="64"/>
  <c r="M205" i="64"/>
  <c r="M188" i="64"/>
  <c r="M148" i="64"/>
  <c r="M166" i="64"/>
  <c r="M74" i="64"/>
  <c r="M132" i="64"/>
  <c r="M36" i="64"/>
  <c r="M85" i="64"/>
  <c r="M177" i="64"/>
  <c r="M186" i="64"/>
  <c r="M106" i="64"/>
  <c r="M43" i="64"/>
  <c r="M187" i="64"/>
  <c r="M135" i="64"/>
  <c r="M84" i="64"/>
  <c r="M59" i="64"/>
  <c r="M78" i="64"/>
  <c r="H221" i="64"/>
  <c r="M69" i="64"/>
  <c r="M57" i="64"/>
  <c r="M52" i="64"/>
  <c r="M32" i="64"/>
  <c r="M50" i="64"/>
  <c r="M39" i="64"/>
  <c r="M147" i="64"/>
  <c r="M87" i="64"/>
  <c r="M114" i="64"/>
  <c r="M37" i="64"/>
  <c r="M65" i="64"/>
  <c r="M165" i="64"/>
  <c r="G236" i="64"/>
  <c r="M42" i="64"/>
  <c r="M56" i="64"/>
  <c r="M180" i="64"/>
  <c r="M157" i="64"/>
  <c r="M190" i="64"/>
  <c r="M82" i="64"/>
  <c r="M28" i="64"/>
  <c r="M21" i="177"/>
  <c r="M41" i="43"/>
  <c r="M200" i="27"/>
  <c r="M79" i="118"/>
  <c r="M138" i="118"/>
  <c r="H14" i="145"/>
  <c r="M161" i="152"/>
  <c r="M50" i="43"/>
  <c r="H220" i="43"/>
  <c r="M147" i="43"/>
  <c r="M101" i="43"/>
  <c r="M156" i="27"/>
  <c r="M75" i="27"/>
  <c r="E215" i="25"/>
  <c r="M124" i="152"/>
  <c r="M93" i="152"/>
  <c r="M165" i="152"/>
  <c r="M35" i="31"/>
  <c r="H219" i="31"/>
  <c r="M152" i="31"/>
  <c r="M52" i="31"/>
  <c r="M49" i="31"/>
  <c r="M105" i="31"/>
  <c r="M173" i="31"/>
  <c r="M66" i="31"/>
  <c r="M67" i="31"/>
  <c r="M64" i="31"/>
  <c r="M108" i="152"/>
  <c r="M78" i="152"/>
  <c r="M85" i="152"/>
  <c r="M36" i="152"/>
  <c r="H12" i="143"/>
  <c r="H13" i="143"/>
  <c r="E215" i="95"/>
  <c r="G208" i="150"/>
  <c r="H79" i="150"/>
  <c r="M189" i="142"/>
  <c r="M36" i="142"/>
  <c r="M131" i="142"/>
  <c r="M137" i="142"/>
  <c r="M44" i="142"/>
  <c r="M97" i="16"/>
  <c r="M84" i="16"/>
  <c r="M54" i="16"/>
  <c r="M46" i="16"/>
  <c r="M123" i="16"/>
  <c r="K13" i="16"/>
  <c r="M184" i="16"/>
  <c r="M67" i="16"/>
  <c r="M157" i="16"/>
  <c r="M111" i="16"/>
  <c r="M89" i="16"/>
  <c r="M158" i="16"/>
  <c r="M75" i="16"/>
  <c r="M193" i="16"/>
  <c r="M129" i="16"/>
  <c r="M30" i="16"/>
  <c r="M101" i="16"/>
  <c r="H225" i="16"/>
  <c r="M43" i="16"/>
  <c r="M37" i="16"/>
  <c r="M56" i="16"/>
  <c r="M40" i="16"/>
  <c r="M191" i="16"/>
  <c r="M156" i="16"/>
  <c r="M93" i="16"/>
  <c r="M172" i="16"/>
  <c r="M58" i="16"/>
  <c r="H226" i="16"/>
  <c r="M39" i="16"/>
  <c r="M26" i="16"/>
  <c r="M173" i="16"/>
  <c r="M159" i="16"/>
  <c r="M132" i="16"/>
  <c r="H220" i="16"/>
  <c r="M32" i="16"/>
  <c r="M138" i="16"/>
  <c r="M107" i="16"/>
  <c r="M41" i="16"/>
  <c r="M33" i="16"/>
  <c r="M183" i="16"/>
  <c r="M76" i="16"/>
  <c r="M100" i="16"/>
  <c r="M31" i="16"/>
  <c r="M64" i="16"/>
  <c r="M126" i="16"/>
  <c r="M98" i="16"/>
  <c r="M127" i="16"/>
  <c r="M99" i="16"/>
  <c r="M195" i="16"/>
  <c r="M73" i="16"/>
  <c r="M55" i="16"/>
  <c r="M52" i="16"/>
  <c r="M29" i="16"/>
  <c r="M141" i="16"/>
  <c r="M164" i="16"/>
  <c r="M204" i="16"/>
  <c r="M116" i="16"/>
  <c r="M57" i="16"/>
  <c r="G236" i="16"/>
  <c r="G238" i="16"/>
  <c r="M44" i="16"/>
  <c r="M203" i="16"/>
  <c r="M150" i="16"/>
  <c r="M87" i="16"/>
  <c r="M186" i="16"/>
  <c r="M175" i="16"/>
  <c r="M187" i="16"/>
  <c r="M177" i="16"/>
  <c r="M118" i="16"/>
  <c r="M25" i="16"/>
  <c r="M77" i="16"/>
  <c r="M180" i="16"/>
  <c r="M200" i="16"/>
  <c r="M202" i="16"/>
  <c r="H219" i="16"/>
  <c r="M124" i="16"/>
  <c r="M185" i="16"/>
  <c r="M160" i="16"/>
  <c r="M188" i="16"/>
  <c r="M69" i="16"/>
  <c r="M65" i="16"/>
  <c r="M82" i="16"/>
  <c r="M109" i="16"/>
  <c r="M133" i="16"/>
  <c r="M181" i="16"/>
  <c r="M206" i="16"/>
  <c r="M36" i="16"/>
  <c r="M86" i="16"/>
  <c r="M49" i="103"/>
  <c r="M138" i="103"/>
  <c r="M106" i="103"/>
  <c r="M102" i="103"/>
  <c r="M151" i="103"/>
  <c r="M150" i="103"/>
  <c r="M135" i="103"/>
  <c r="M146" i="103"/>
  <c r="M130" i="103"/>
  <c r="E215" i="89"/>
  <c r="K11" i="141"/>
  <c r="H11" i="141"/>
  <c r="H16" i="141"/>
  <c r="H18" i="141"/>
  <c r="H12" i="141"/>
  <c r="H17" i="141"/>
  <c r="H15" i="141"/>
  <c r="E215" i="19"/>
  <c r="M137" i="152"/>
  <c r="M69" i="152"/>
  <c r="M192" i="152"/>
  <c r="M54" i="43"/>
  <c r="M202" i="43"/>
  <c r="M167" i="152"/>
  <c r="M65" i="27"/>
  <c r="M184" i="27"/>
  <c r="H19" i="141"/>
  <c r="M186" i="15"/>
  <c r="M127" i="15"/>
  <c r="M107" i="15"/>
  <c r="M153" i="15"/>
  <c r="M145" i="15"/>
  <c r="M43" i="15"/>
  <c r="M108" i="15"/>
  <c r="M131" i="15"/>
  <c r="M193" i="15"/>
  <c r="M26" i="15"/>
  <c r="M67" i="15"/>
  <c r="M74" i="15"/>
  <c r="K13" i="15"/>
  <c r="M102" i="15"/>
  <c r="M35" i="15"/>
  <c r="M48" i="15"/>
  <c r="M203" i="15"/>
  <c r="M151" i="15"/>
  <c r="M46" i="15"/>
  <c r="M32" i="15"/>
  <c r="M181" i="15"/>
  <c r="M70" i="15"/>
  <c r="H224" i="15"/>
  <c r="M142" i="15"/>
  <c r="M87" i="15"/>
  <c r="M150" i="15"/>
  <c r="M179" i="15"/>
  <c r="M85" i="31"/>
  <c r="M184" i="31"/>
  <c r="M185" i="31"/>
  <c r="M167" i="31"/>
  <c r="M40" i="31"/>
  <c r="M136" i="31"/>
  <c r="H226" i="31"/>
  <c r="M200" i="31"/>
  <c r="M44" i="31"/>
  <c r="M26" i="152"/>
  <c r="M205" i="152"/>
  <c r="H225" i="152"/>
  <c r="M151" i="152"/>
  <c r="E215" i="46"/>
  <c r="M102" i="64"/>
  <c r="M98" i="83"/>
  <c r="M206" i="83"/>
  <c r="M184" i="83"/>
  <c r="M30" i="83"/>
  <c r="M151" i="83"/>
  <c r="M129" i="83"/>
  <c r="M169" i="83"/>
  <c r="M99" i="83"/>
  <c r="M52" i="83"/>
  <c r="M49" i="83"/>
  <c r="M116" i="83"/>
  <c r="M35" i="83"/>
  <c r="M201" i="83"/>
  <c r="M89" i="83"/>
  <c r="M141" i="83"/>
  <c r="M84" i="83"/>
  <c r="M87" i="83"/>
  <c r="M161" i="175"/>
  <c r="M38" i="83"/>
  <c r="M102" i="90"/>
  <c r="H223" i="175"/>
  <c r="M79" i="84"/>
  <c r="H11" i="69"/>
  <c r="H12" i="69"/>
  <c r="M21" i="16"/>
  <c r="M34" i="39"/>
  <c r="H219" i="39"/>
  <c r="M99" i="39"/>
  <c r="M51" i="39"/>
  <c r="M105" i="39"/>
  <c r="M50" i="39"/>
  <c r="H220" i="39"/>
  <c r="M31" i="39"/>
  <c r="M110" i="39"/>
  <c r="M150" i="39"/>
  <c r="M27" i="39"/>
  <c r="M33" i="39"/>
  <c r="M90" i="39"/>
  <c r="M151" i="39"/>
  <c r="M130" i="39"/>
  <c r="M74" i="39"/>
  <c r="M161" i="83"/>
  <c r="M61" i="16"/>
  <c r="M161" i="1"/>
  <c r="M161" i="84"/>
  <c r="M131" i="83"/>
  <c r="M170" i="83"/>
  <c r="M79" i="16"/>
  <c r="M93" i="69"/>
  <c r="M179" i="69"/>
  <c r="M31" i="69"/>
  <c r="M147" i="69"/>
  <c r="M185" i="83"/>
  <c r="M107" i="83"/>
  <c r="M71" i="83"/>
  <c r="M175" i="83"/>
  <c r="M155" i="83"/>
  <c r="M148" i="83"/>
  <c r="H227" i="83"/>
  <c r="M188" i="83"/>
  <c r="M106" i="83"/>
  <c r="M97" i="83"/>
  <c r="M202" i="83"/>
  <c r="M42" i="83"/>
  <c r="M74" i="83"/>
  <c r="M179" i="83"/>
  <c r="M138" i="83"/>
  <c r="M173" i="83"/>
  <c r="M90" i="83"/>
  <c r="M158" i="83"/>
  <c r="M206" i="15"/>
  <c r="M49" i="39"/>
  <c r="M114" i="39"/>
  <c r="M85" i="39"/>
  <c r="H15" i="69"/>
  <c r="H17" i="69"/>
  <c r="M136" i="39"/>
  <c r="M119" i="103"/>
  <c r="M161" i="16"/>
  <c r="M61" i="83"/>
  <c r="M137" i="39"/>
  <c r="M86" i="39"/>
  <c r="M40" i="39"/>
  <c r="M75" i="39"/>
  <c r="M156" i="39"/>
  <c r="M82" i="39"/>
  <c r="M157" i="39"/>
  <c r="M71" i="39"/>
  <c r="M78" i="39"/>
  <c r="M200" i="39"/>
  <c r="M204" i="39"/>
  <c r="M53" i="39"/>
  <c r="M70" i="39"/>
  <c r="M123" i="39"/>
  <c r="M68" i="39"/>
  <c r="M102" i="84"/>
  <c r="M79" i="142"/>
  <c r="M29" i="83"/>
  <c r="M111" i="95"/>
  <c r="M206" i="46"/>
  <c r="M161" i="69"/>
  <c r="M93" i="64"/>
  <c r="M102" i="39"/>
  <c r="M76" i="83"/>
  <c r="M31" i="83"/>
  <c r="M51" i="83"/>
  <c r="M72" i="83"/>
  <c r="M203" i="83"/>
  <c r="M45" i="83"/>
  <c r="M133" i="83"/>
  <c r="M196" i="83"/>
  <c r="M180" i="83"/>
  <c r="M40" i="83"/>
  <c r="H221" i="83"/>
  <c r="M166" i="83"/>
  <c r="M85" i="83"/>
  <c r="M152" i="83"/>
  <c r="M32" i="83"/>
  <c r="M114" i="83"/>
  <c r="M83" i="83"/>
  <c r="M193" i="83"/>
  <c r="M111" i="103"/>
  <c r="M178" i="39"/>
  <c r="M37" i="83"/>
  <c r="M174" i="39"/>
  <c r="M111" i="84"/>
  <c r="H14" i="69"/>
  <c r="H13" i="69"/>
  <c r="M66" i="39"/>
  <c r="M60" i="39"/>
  <c r="M175" i="39"/>
  <c r="M181" i="39"/>
  <c r="M194" i="39"/>
  <c r="M101" i="39"/>
  <c r="M143" i="39"/>
  <c r="M73" i="39"/>
  <c r="M195" i="39"/>
  <c r="M186" i="39"/>
  <c r="M131" i="39"/>
  <c r="H221" i="39"/>
  <c r="M124" i="39"/>
  <c r="M117" i="39"/>
  <c r="M160" i="39"/>
  <c r="M87" i="39"/>
  <c r="M189" i="39"/>
  <c r="M158" i="39"/>
  <c r="M202" i="39"/>
  <c r="M119" i="142"/>
  <c r="M34" i="83"/>
  <c r="M182" i="39"/>
  <c r="M171" i="39"/>
  <c r="M156" i="83"/>
  <c r="M189" i="83"/>
  <c r="M127" i="83"/>
  <c r="M147" i="83"/>
  <c r="M205" i="83"/>
  <c r="M194" i="83"/>
  <c r="M123" i="83"/>
  <c r="M200" i="83"/>
  <c r="M100" i="83"/>
  <c r="M125" i="83"/>
  <c r="M59" i="83"/>
  <c r="M60" i="83"/>
  <c r="M27" i="83"/>
  <c r="M190" i="83"/>
  <c r="M132" i="83"/>
  <c r="M159" i="83"/>
  <c r="G236" i="83"/>
  <c r="M105" i="83"/>
  <c r="M26" i="39"/>
  <c r="M61" i="84"/>
  <c r="M50" i="83"/>
  <c r="M70" i="83"/>
  <c r="E238" i="46"/>
  <c r="H21" i="69"/>
  <c r="M21" i="27"/>
  <c r="M45" i="39"/>
  <c r="M92" i="39"/>
  <c r="M141" i="39"/>
  <c r="M149" i="39"/>
  <c r="M127" i="39"/>
  <c r="K13" i="39"/>
  <c r="M129" i="39"/>
  <c r="M77" i="39"/>
  <c r="M140" i="39"/>
  <c r="M89" i="39"/>
  <c r="M69" i="39"/>
  <c r="M59" i="39"/>
  <c r="H224" i="39"/>
  <c r="M106" i="39"/>
  <c r="M138" i="39"/>
  <c r="M159" i="39"/>
  <c r="M54" i="39"/>
  <c r="M61" i="31"/>
  <c r="M161" i="64"/>
  <c r="M61" i="103"/>
  <c r="M102" i="142"/>
  <c r="M147" i="39"/>
  <c r="M61" i="177"/>
  <c r="M200" i="69"/>
  <c r="M175" i="69"/>
  <c r="M52" i="69"/>
  <c r="M155" i="69"/>
  <c r="M56" i="69"/>
  <c r="M117" i="69"/>
  <c r="M141" i="69"/>
  <c r="M84" i="69"/>
  <c r="M28" i="69"/>
  <c r="M177" i="69"/>
  <c r="M75" i="69"/>
  <c r="M59" i="69"/>
  <c r="M73" i="69"/>
  <c r="H222" i="69"/>
  <c r="M33" i="69"/>
  <c r="M157" i="69"/>
  <c r="M171" i="69"/>
  <c r="M72" i="69"/>
  <c r="M151" i="69"/>
  <c r="G236" i="69"/>
  <c r="G238" i="69"/>
  <c r="M148" i="69"/>
  <c r="M187" i="69"/>
  <c r="M74" i="69"/>
  <c r="M188" i="69"/>
  <c r="M49" i="69"/>
  <c r="M182" i="69"/>
  <c r="M167" i="69"/>
  <c r="M205" i="69"/>
  <c r="M149" i="69"/>
  <c r="H225" i="69"/>
  <c r="M88" i="69"/>
  <c r="M185" i="69"/>
  <c r="M165" i="69"/>
  <c r="M202" i="69"/>
  <c r="M68" i="69"/>
  <c r="M169" i="69"/>
  <c r="M158" i="69"/>
  <c r="M203" i="69"/>
  <c r="H228" i="69"/>
  <c r="M69" i="69"/>
  <c r="M99" i="69"/>
  <c r="M164" i="69"/>
  <c r="M109" i="69"/>
  <c r="M130" i="69"/>
  <c r="M138" i="69"/>
  <c r="M168" i="69"/>
  <c r="M97" i="69"/>
  <c r="M127" i="69"/>
  <c r="M43" i="69"/>
  <c r="M201" i="69"/>
  <c r="M150" i="69"/>
  <c r="M136" i="69"/>
  <c r="M152" i="69"/>
  <c r="M44" i="69"/>
  <c r="M66" i="69"/>
  <c r="M137" i="69"/>
  <c r="M116" i="69"/>
  <c r="M38" i="69"/>
  <c r="M190" i="69"/>
  <c r="M178" i="69"/>
  <c r="M153" i="69"/>
  <c r="M39" i="69"/>
  <c r="M145" i="69"/>
  <c r="M156" i="69"/>
  <c r="M176" i="69"/>
  <c r="M146" i="69"/>
  <c r="M132" i="69"/>
  <c r="M184" i="69"/>
  <c r="H219" i="69"/>
  <c r="M71" i="69"/>
  <c r="H224" i="69"/>
  <c r="M143" i="69"/>
  <c r="M126" i="69"/>
  <c r="K13" i="69"/>
  <c r="M192" i="69"/>
  <c r="M90" i="69"/>
  <c r="M160" i="69"/>
  <c r="M195" i="69"/>
  <c r="M189" i="69"/>
  <c r="M124" i="69"/>
  <c r="M70" i="69"/>
  <c r="M140" i="69"/>
  <c r="M67" i="69"/>
  <c r="M193" i="69"/>
  <c r="M170" i="69"/>
  <c r="M106" i="69"/>
  <c r="M172" i="69"/>
  <c r="M53" i="69"/>
  <c r="M125" i="69"/>
  <c r="H220" i="69"/>
  <c r="M131" i="69"/>
  <c r="M166" i="69"/>
  <c r="M129" i="69"/>
  <c r="M83" i="69"/>
  <c r="M76" i="69"/>
  <c r="M118" i="69"/>
  <c r="M186" i="69"/>
  <c r="M173" i="69"/>
  <c r="M91" i="69"/>
  <c r="M37" i="69"/>
  <c r="M107" i="69"/>
  <c r="M110" i="69"/>
  <c r="M181" i="69"/>
  <c r="M82" i="69"/>
  <c r="M180" i="69"/>
  <c r="H227" i="69"/>
  <c r="M105" i="69"/>
  <c r="M57" i="69"/>
  <c r="M101" i="69"/>
  <c r="M45" i="69"/>
  <c r="M196" i="69"/>
  <c r="M35" i="69"/>
  <c r="M108" i="69"/>
  <c r="M87" i="69"/>
  <c r="M26" i="69"/>
  <c r="M142" i="69"/>
  <c r="H223" i="69"/>
  <c r="M48" i="69"/>
  <c r="M204" i="69"/>
  <c r="M64" i="69"/>
  <c r="M89" i="69"/>
  <c r="H226" i="69"/>
  <c r="M98" i="69"/>
  <c r="M77" i="69"/>
  <c r="M135" i="69"/>
  <c r="H221" i="69"/>
  <c r="M92" i="69"/>
  <c r="M123" i="69"/>
  <c r="M133" i="69"/>
  <c r="M47" i="69"/>
  <c r="M55" i="69"/>
  <c r="M60" i="69"/>
  <c r="M100" i="69"/>
  <c r="M159" i="69"/>
  <c r="M183" i="69"/>
  <c r="M107" i="165"/>
  <c r="M181" i="165"/>
  <c r="M143" i="157"/>
  <c r="M141" i="157"/>
  <c r="M167" i="157"/>
  <c r="M50" i="69"/>
  <c r="M111" i="69"/>
  <c r="M168" i="133"/>
  <c r="M157" i="133"/>
  <c r="M71" i="113"/>
  <c r="M181" i="175"/>
  <c r="M158" i="175"/>
  <c r="M140" i="19"/>
  <c r="M136" i="19"/>
  <c r="M169" i="19"/>
  <c r="M187" i="19"/>
  <c r="M183" i="19"/>
  <c r="M85" i="19"/>
  <c r="M130" i="19"/>
  <c r="M137" i="19"/>
  <c r="M47" i="19"/>
  <c r="H227" i="19"/>
  <c r="H222" i="19"/>
  <c r="M131" i="19"/>
  <c r="M177" i="19"/>
  <c r="M111" i="19"/>
  <c r="M58" i="19"/>
  <c r="M67" i="19"/>
  <c r="M75" i="19"/>
  <c r="M205" i="19"/>
  <c r="M76" i="19"/>
  <c r="M129" i="19"/>
  <c r="M68" i="19"/>
  <c r="M149" i="19"/>
  <c r="H223" i="19"/>
  <c r="E215" i="104"/>
  <c r="M135" i="65"/>
  <c r="M31" i="65"/>
  <c r="M27" i="65"/>
  <c r="H130" i="21"/>
  <c r="H84" i="21"/>
  <c r="H107" i="21"/>
  <c r="H109" i="21"/>
  <c r="H111" i="21"/>
  <c r="H200" i="21"/>
  <c r="H153" i="21"/>
  <c r="H124" i="21"/>
  <c r="H166" i="21"/>
  <c r="H155" i="21"/>
  <c r="H85" i="21"/>
  <c r="H145" i="21"/>
  <c r="H31" i="21"/>
  <c r="H60" i="21"/>
  <c r="H72" i="21"/>
  <c r="H148" i="21"/>
  <c r="H102" i="21"/>
  <c r="H90" i="21"/>
  <c r="H47" i="21"/>
  <c r="H190" i="21"/>
  <c r="H75" i="21"/>
  <c r="H110" i="21"/>
  <c r="H132" i="21"/>
  <c r="H69" i="21"/>
  <c r="H133" i="21"/>
  <c r="H48" i="21"/>
  <c r="H66" i="21"/>
  <c r="H142" i="21"/>
  <c r="H89" i="21"/>
  <c r="H25" i="21"/>
  <c r="H59" i="21"/>
  <c r="H36" i="21"/>
  <c r="H116" i="21"/>
  <c r="H138" i="21"/>
  <c r="H100" i="21"/>
  <c r="H131" i="21"/>
  <c r="H50" i="21"/>
  <c r="H46" i="21"/>
  <c r="H74" i="21"/>
  <c r="H117" i="21"/>
  <c r="H76" i="21"/>
  <c r="H28" i="21"/>
  <c r="H34" i="21"/>
  <c r="H51" i="21"/>
  <c r="H157" i="21"/>
  <c r="H27" i="21"/>
  <c r="H174" i="21"/>
  <c r="H170" i="21"/>
  <c r="H86" i="21"/>
  <c r="H197" i="21"/>
  <c r="H186" i="21"/>
  <c r="H26" i="21"/>
  <c r="H114" i="21"/>
  <c r="H205" i="21"/>
  <c r="H73" i="21"/>
  <c r="H40" i="21"/>
  <c r="H53" i="21"/>
  <c r="H192" i="21"/>
  <c r="H82" i="21"/>
  <c r="H129" i="21"/>
  <c r="H188" i="21"/>
  <c r="H123" i="21"/>
  <c r="H87" i="21"/>
  <c r="H77" i="21"/>
  <c r="H57" i="21"/>
  <c r="H136" i="21"/>
  <c r="H165" i="21"/>
  <c r="H141" i="21"/>
  <c r="H106" i="21"/>
  <c r="H176" i="21"/>
  <c r="H202" i="21"/>
  <c r="H175" i="21"/>
  <c r="H172" i="21"/>
  <c r="H108" i="21"/>
  <c r="H181" i="21"/>
  <c r="H127" i="21"/>
  <c r="H147" i="21"/>
  <c r="H168" i="21"/>
  <c r="H135" i="21"/>
  <c r="H43" i="21"/>
  <c r="H193" i="21"/>
  <c r="H125" i="21"/>
  <c r="H68" i="21"/>
  <c r="H105" i="21"/>
  <c r="H156" i="21"/>
  <c r="H191" i="21"/>
  <c r="H54" i="21"/>
  <c r="H55" i="21"/>
  <c r="H204" i="21"/>
  <c r="H194" i="21"/>
  <c r="H49" i="21"/>
  <c r="H83" i="21"/>
  <c r="H208" i="21"/>
  <c r="H167" i="21"/>
  <c r="H64" i="21"/>
  <c r="H93" i="21"/>
  <c r="H196" i="21"/>
  <c r="H206" i="21"/>
  <c r="H179" i="21"/>
  <c r="H189" i="21"/>
  <c r="H171" i="21"/>
  <c r="H99" i="21"/>
  <c r="H164" i="21"/>
  <c r="H98" i="21"/>
  <c r="H33" i="21"/>
  <c r="H32" i="21"/>
  <c r="H118" i="21"/>
  <c r="H96" i="21"/>
  <c r="H67" i="21"/>
  <c r="H78" i="21"/>
  <c r="H42" i="21"/>
  <c r="H161" i="21"/>
  <c r="H158" i="21"/>
  <c r="H149" i="21"/>
  <c r="H183" i="21"/>
  <c r="H97" i="21"/>
  <c r="H152" i="21"/>
  <c r="H185" i="21"/>
  <c r="H201" i="21"/>
  <c r="H38" i="21"/>
  <c r="H45" i="21"/>
  <c r="H126" i="21"/>
  <c r="H184" i="21"/>
  <c r="H160" i="21"/>
  <c r="H180" i="21"/>
  <c r="H92" i="21"/>
  <c r="H195" i="21"/>
  <c r="H177" i="21"/>
  <c r="H178" i="21"/>
  <c r="H169" i="21"/>
  <c r="H101" i="21"/>
  <c r="H70" i="21"/>
  <c r="H65" i="21"/>
  <c r="H41" i="21"/>
  <c r="H44" i="21"/>
  <c r="H88" i="21"/>
  <c r="H39" i="21"/>
  <c r="H150" i="21"/>
  <c r="K12" i="21"/>
  <c r="H137" i="21"/>
  <c r="H79" i="21"/>
  <c r="H56" i="21"/>
  <c r="H58" i="21"/>
  <c r="H91" i="21"/>
  <c r="H203" i="21"/>
  <c r="H37" i="21"/>
  <c r="H119" i="21"/>
  <c r="H52" i="21"/>
  <c r="H187" i="21"/>
  <c r="H115" i="21"/>
  <c r="H35" i="21"/>
  <c r="H146" i="21"/>
  <c r="H140" i="21"/>
  <c r="H159" i="21"/>
  <c r="H143" i="21"/>
  <c r="H71" i="21"/>
  <c r="H173" i="21"/>
  <c r="H151" i="21"/>
  <c r="H61" i="21"/>
  <c r="M208" i="21"/>
  <c r="H182" i="21"/>
  <c r="H29" i="21"/>
  <c r="H30" i="21"/>
  <c r="G215" i="21"/>
  <c r="E215" i="72"/>
  <c r="M34" i="46"/>
  <c r="M168" i="46"/>
  <c r="M191" i="46"/>
  <c r="M160" i="46"/>
  <c r="M159" i="46"/>
  <c r="M43" i="46"/>
  <c r="M115" i="46"/>
  <c r="M73" i="19"/>
  <c r="M206" i="104"/>
  <c r="M174" i="175"/>
  <c r="M75" i="175"/>
  <c r="E215" i="66"/>
  <c r="H16" i="145"/>
  <c r="H13" i="145"/>
  <c r="H21" i="145"/>
  <c r="M21" i="145"/>
  <c r="H20" i="145"/>
  <c r="M61" i="55"/>
  <c r="M116" i="55"/>
  <c r="E215" i="49"/>
  <c r="E215" i="94"/>
  <c r="M92" i="43"/>
  <c r="M83" i="43"/>
  <c r="M135" i="43"/>
  <c r="M185" i="43"/>
  <c r="M44" i="43"/>
  <c r="M73" i="43"/>
  <c r="M116" i="43"/>
  <c r="M30" i="43"/>
  <c r="M180" i="43"/>
  <c r="M85" i="43"/>
  <c r="M169" i="43"/>
  <c r="M123" i="43"/>
  <c r="M68" i="43"/>
  <c r="M201" i="43"/>
  <c r="M145" i="43"/>
  <c r="M91" i="43"/>
  <c r="M150" i="43"/>
  <c r="H226" i="43"/>
  <c r="M34" i="43"/>
  <c r="M38" i="43"/>
  <c r="M146" i="43"/>
  <c r="M172" i="43"/>
  <c r="M31" i="43"/>
  <c r="H223" i="43"/>
  <c r="M108" i="43"/>
  <c r="M74" i="43"/>
  <c r="M191" i="43"/>
  <c r="M51" i="43"/>
  <c r="M26" i="43"/>
  <c r="M158" i="43"/>
  <c r="H228" i="43"/>
  <c r="K13" i="43"/>
  <c r="M33" i="43"/>
  <c r="M156" i="43"/>
  <c r="M117" i="43"/>
  <c r="M153" i="43"/>
  <c r="M114" i="43"/>
  <c r="M192" i="43"/>
  <c r="M88" i="43"/>
  <c r="H222" i="43"/>
  <c r="M25" i="43"/>
  <c r="M49" i="43"/>
  <c r="M84" i="43"/>
  <c r="M46" i="43"/>
  <c r="M160" i="43"/>
  <c r="M55" i="43"/>
  <c r="M165" i="43"/>
  <c r="M96" i="43"/>
  <c r="M133" i="43"/>
  <c r="M35" i="43"/>
  <c r="M130" i="43"/>
  <c r="M69" i="43"/>
  <c r="M141" i="43"/>
  <c r="E215" i="119"/>
  <c r="M109" i="62"/>
  <c r="M151" i="62"/>
  <c r="M173" i="62"/>
  <c r="M67" i="62"/>
  <c r="M179" i="62"/>
  <c r="M137" i="62"/>
  <c r="M165" i="62"/>
  <c r="M77" i="62"/>
  <c r="M177" i="62"/>
  <c r="M46" i="62"/>
  <c r="M43" i="62"/>
  <c r="M191" i="62"/>
  <c r="M125" i="62"/>
  <c r="M152" i="62"/>
  <c r="M59" i="62"/>
  <c r="M182" i="62"/>
  <c r="M201" i="62"/>
  <c r="M105" i="62"/>
  <c r="M126" i="62"/>
  <c r="M97" i="62"/>
  <c r="M187" i="62"/>
  <c r="M41" i="62"/>
  <c r="M204" i="62"/>
  <c r="M100" i="62"/>
  <c r="M153" i="62"/>
  <c r="M123" i="62"/>
  <c r="K13" i="62"/>
  <c r="H224" i="62"/>
  <c r="M130" i="62"/>
  <c r="M181" i="62"/>
  <c r="M31" i="62"/>
  <c r="M87" i="62"/>
  <c r="M89" i="62"/>
  <c r="M107" i="62"/>
  <c r="M85" i="62"/>
  <c r="M99" i="62"/>
  <c r="M155" i="62"/>
  <c r="M180" i="62"/>
  <c r="M145" i="62"/>
  <c r="M84" i="62"/>
  <c r="M33" i="62"/>
  <c r="M74" i="62"/>
  <c r="M49" i="62"/>
  <c r="M70" i="62"/>
  <c r="H220" i="62"/>
  <c r="M116" i="62"/>
  <c r="M71" i="62"/>
  <c r="M73" i="62"/>
  <c r="M138" i="62"/>
  <c r="M60" i="62"/>
  <c r="M169" i="62"/>
  <c r="M69" i="62"/>
  <c r="M203" i="62"/>
  <c r="M88" i="62"/>
  <c r="M37" i="62"/>
  <c r="M53" i="62"/>
  <c r="M114" i="62"/>
  <c r="M159" i="62"/>
  <c r="M170" i="62"/>
  <c r="M39" i="62"/>
  <c r="M52" i="62"/>
  <c r="M147" i="62"/>
  <c r="M127" i="62"/>
  <c r="M58" i="62"/>
  <c r="M192" i="62"/>
  <c r="M38" i="62"/>
  <c r="M42" i="62"/>
  <c r="M75" i="62"/>
  <c r="M25" i="62"/>
  <c r="M202" i="62"/>
  <c r="H225" i="62"/>
  <c r="M148" i="62"/>
  <c r="M124" i="62"/>
  <c r="M44" i="62"/>
  <c r="M68" i="62"/>
  <c r="M57" i="62"/>
  <c r="M72" i="62"/>
  <c r="M185" i="62"/>
  <c r="M196" i="62"/>
  <c r="M168" i="62"/>
  <c r="M40" i="62"/>
  <c r="M184" i="62"/>
  <c r="M166" i="62"/>
  <c r="M50" i="62"/>
  <c r="H219" i="62"/>
  <c r="M56" i="62"/>
  <c r="M32" i="62"/>
  <c r="M26" i="62"/>
  <c r="M92" i="62"/>
  <c r="M115" i="62"/>
  <c r="M83" i="62"/>
  <c r="M133" i="62"/>
  <c r="M188" i="62"/>
  <c r="M189" i="62"/>
  <c r="M131" i="62"/>
  <c r="M167" i="62"/>
  <c r="G236" i="62"/>
  <c r="G238" i="62"/>
  <c r="M66" i="62"/>
  <c r="M141" i="62"/>
  <c r="M186" i="62"/>
  <c r="M183" i="62"/>
  <c r="H14" i="143"/>
  <c r="K11" i="143"/>
  <c r="H19" i="143"/>
  <c r="H11" i="143"/>
  <c r="H18" i="143"/>
  <c r="H17" i="143"/>
  <c r="H16" i="143"/>
  <c r="H20" i="143"/>
  <c r="E238" i="27"/>
  <c r="M193" i="58"/>
  <c r="M185" i="58"/>
  <c r="M105" i="58"/>
  <c r="M145" i="58"/>
  <c r="M85" i="58"/>
  <c r="M83" i="58"/>
  <c r="M125" i="58"/>
  <c r="M184" i="58"/>
  <c r="M204" i="58"/>
  <c r="M45" i="58"/>
  <c r="M39" i="58"/>
  <c r="M180" i="58"/>
  <c r="M84" i="58"/>
  <c r="M96" i="58"/>
  <c r="M173" i="58"/>
  <c r="M35" i="58"/>
  <c r="M67" i="58"/>
  <c r="M155" i="58"/>
  <c r="M98" i="58"/>
  <c r="M107" i="58"/>
  <c r="M131" i="58"/>
  <c r="M202" i="58"/>
  <c r="M141" i="58"/>
  <c r="M25" i="58"/>
  <c r="M29" i="58"/>
  <c r="M106" i="58"/>
  <c r="H220" i="58"/>
  <c r="M160" i="58"/>
  <c r="H226" i="58"/>
  <c r="M71" i="58"/>
  <c r="M88" i="58"/>
  <c r="M178" i="58"/>
  <c r="M30" i="58"/>
  <c r="H223" i="58"/>
  <c r="M46" i="58"/>
  <c r="M194" i="58"/>
  <c r="M26" i="58"/>
  <c r="M133" i="58"/>
  <c r="M58" i="58"/>
  <c r="M115" i="58"/>
  <c r="M68" i="58"/>
  <c r="M78" i="58"/>
  <c r="M129" i="58"/>
  <c r="M171" i="58"/>
  <c r="M28" i="58"/>
  <c r="M116" i="58"/>
  <c r="M70" i="58"/>
  <c r="M49" i="58"/>
  <c r="M110" i="58"/>
  <c r="M89" i="58"/>
  <c r="M177" i="58"/>
  <c r="M158" i="58"/>
  <c r="M149" i="58"/>
  <c r="M64" i="58"/>
  <c r="M170" i="58"/>
  <c r="H224" i="58"/>
  <c r="M159" i="58"/>
  <c r="M192" i="58"/>
  <c r="M186" i="58"/>
  <c r="M27" i="58"/>
  <c r="M74" i="58"/>
  <c r="M191" i="58"/>
  <c r="M175" i="58"/>
  <c r="M156" i="58"/>
  <c r="M108" i="58"/>
  <c r="M205" i="58"/>
  <c r="M126" i="58"/>
  <c r="M172" i="58"/>
  <c r="H219" i="58"/>
  <c r="H222" i="58"/>
  <c r="M135" i="58"/>
  <c r="M73" i="58"/>
  <c r="M196" i="58"/>
  <c r="M187" i="58"/>
  <c r="M31" i="58"/>
  <c r="M166" i="58"/>
  <c r="M183" i="58"/>
  <c r="M109" i="58"/>
  <c r="M69" i="58"/>
  <c r="M190" i="58"/>
  <c r="M101" i="58"/>
  <c r="M195" i="58"/>
  <c r="K13" i="58"/>
  <c r="M56" i="58"/>
  <c r="M167" i="58"/>
  <c r="M66" i="58"/>
  <c r="M51" i="58"/>
  <c r="M60" i="58"/>
  <c r="M127" i="58"/>
  <c r="M140" i="58"/>
  <c r="M124" i="58"/>
  <c r="M123" i="58"/>
  <c r="M52" i="58"/>
  <c r="H227" i="58"/>
  <c r="M146" i="58"/>
  <c r="M201" i="58"/>
  <c r="M136" i="58"/>
  <c r="M87" i="58"/>
  <c r="M135" i="72"/>
  <c r="M30" i="72"/>
  <c r="M142" i="72"/>
  <c r="M138" i="72"/>
  <c r="M114" i="72"/>
  <c r="M124" i="72"/>
  <c r="M54" i="72"/>
  <c r="M187" i="72"/>
  <c r="M176" i="72"/>
  <c r="M191" i="72"/>
  <c r="H219" i="72"/>
  <c r="M74" i="72"/>
  <c r="M67" i="72"/>
  <c r="M45" i="72"/>
  <c r="M55" i="72"/>
  <c r="M148" i="72"/>
  <c r="M127" i="72"/>
  <c r="M196" i="72"/>
  <c r="M47" i="72"/>
  <c r="M143" i="72"/>
  <c r="M179" i="72"/>
  <c r="M164" i="72"/>
  <c r="M184" i="72"/>
  <c r="M201" i="72"/>
  <c r="M52" i="72"/>
  <c r="M78" i="72"/>
  <c r="M188" i="72"/>
  <c r="M166" i="72"/>
  <c r="M31" i="72"/>
  <c r="M44" i="72"/>
  <c r="M58" i="72"/>
  <c r="M89" i="72"/>
  <c r="M200" i="72"/>
  <c r="H227" i="72"/>
  <c r="M155" i="72"/>
  <c r="M126" i="72"/>
  <c r="H225" i="72"/>
  <c r="M171" i="72"/>
  <c r="M123" i="72"/>
  <c r="M183" i="72"/>
  <c r="M72" i="72"/>
  <c r="M46" i="72"/>
  <c r="M21" i="72"/>
  <c r="M53" i="72"/>
  <c r="M137" i="72"/>
  <c r="M107" i="72"/>
  <c r="M186" i="72"/>
  <c r="M34" i="72"/>
  <c r="M86" i="72"/>
  <c r="M70" i="72"/>
  <c r="M60" i="72"/>
  <c r="M178" i="72"/>
  <c r="M37" i="72"/>
  <c r="M170" i="72"/>
  <c r="M91" i="72"/>
  <c r="M205" i="72"/>
  <c r="M157" i="72"/>
  <c r="M105" i="72"/>
  <c r="M204" i="72"/>
  <c r="M25" i="72"/>
  <c r="M98" i="72"/>
  <c r="M57" i="72"/>
  <c r="M161" i="72"/>
  <c r="M82" i="72"/>
  <c r="M108" i="72"/>
  <c r="M116" i="72"/>
  <c r="M84" i="72"/>
  <c r="H224" i="72"/>
  <c r="M43" i="72"/>
  <c r="M159" i="72"/>
  <c r="M117" i="72"/>
  <c r="M71" i="72"/>
  <c r="M118" i="72"/>
  <c r="M59" i="72"/>
  <c r="M73" i="72"/>
  <c r="M136" i="72"/>
  <c r="M125" i="72"/>
  <c r="M109" i="72"/>
  <c r="M181" i="72"/>
  <c r="M85" i="72"/>
  <c r="M26" i="72"/>
  <c r="M133" i="72"/>
  <c r="M93" i="72"/>
  <c r="M76" i="72"/>
  <c r="M192" i="72"/>
  <c r="M158" i="72"/>
  <c r="M147" i="72"/>
  <c r="M96" i="72"/>
  <c r="M185" i="72"/>
  <c r="M195" i="72"/>
  <c r="M90" i="72"/>
  <c r="M193" i="72"/>
  <c r="M156" i="72"/>
  <c r="M145" i="72"/>
  <c r="M165" i="72"/>
  <c r="M50" i="72"/>
  <c r="M28" i="72"/>
  <c r="M38" i="72"/>
  <c r="M27" i="72"/>
  <c r="M180" i="72"/>
  <c r="K13" i="72"/>
  <c r="M111" i="72"/>
  <c r="M87" i="72"/>
  <c r="E215" i="50"/>
  <c r="H20" i="31"/>
  <c r="H16" i="31"/>
  <c r="M21" i="31"/>
  <c r="H18" i="31"/>
  <c r="H15" i="31"/>
  <c r="H21" i="31"/>
  <c r="H12" i="31"/>
  <c r="H17" i="31"/>
  <c r="H19" i="31"/>
  <c r="H15" i="39"/>
  <c r="H14" i="39"/>
  <c r="H13" i="39"/>
  <c r="K11" i="39"/>
  <c r="H11" i="39"/>
  <c r="M79" i="65"/>
  <c r="M197" i="65"/>
  <c r="H195" i="45"/>
  <c r="H130" i="45"/>
  <c r="H177" i="45"/>
  <c r="H96" i="45"/>
  <c r="H183" i="45"/>
  <c r="H151" i="45"/>
  <c r="H184" i="45"/>
  <c r="H189" i="45"/>
  <c r="H187" i="45"/>
  <c r="H83" i="45"/>
  <c r="H97" i="45"/>
  <c r="H205" i="45"/>
  <c r="H69" i="45"/>
  <c r="H124" i="45"/>
  <c r="H175" i="45"/>
  <c r="H54" i="45"/>
  <c r="H131" i="45"/>
  <c r="H88" i="45"/>
  <c r="H28" i="45"/>
  <c r="H66" i="45"/>
  <c r="H156" i="45"/>
  <c r="H38" i="45"/>
  <c r="H147" i="45"/>
  <c r="H180" i="45"/>
  <c r="H192" i="45"/>
  <c r="H194" i="45"/>
  <c r="H141" i="45"/>
  <c r="H71" i="45"/>
  <c r="H108" i="45"/>
  <c r="H193" i="45"/>
  <c r="H148" i="45"/>
  <c r="H61" i="45"/>
  <c r="H160" i="45"/>
  <c r="H158" i="45"/>
  <c r="H50" i="45"/>
  <c r="H68" i="45"/>
  <c r="H173" i="45"/>
  <c r="H40" i="45"/>
  <c r="H107" i="45"/>
  <c r="H133" i="45"/>
  <c r="H78" i="45"/>
  <c r="H206" i="45"/>
  <c r="H89" i="45"/>
  <c r="H47" i="45"/>
  <c r="H26" i="45"/>
  <c r="H31" i="45"/>
  <c r="H129" i="45"/>
  <c r="H136" i="45"/>
  <c r="H57" i="45"/>
  <c r="H46" i="45"/>
  <c r="H82" i="45"/>
  <c r="H143" i="45"/>
  <c r="H37" i="45"/>
  <c r="H34" i="45"/>
  <c r="H101" i="45"/>
  <c r="H166" i="45"/>
  <c r="H200" i="45"/>
  <c r="H105" i="45"/>
  <c r="H137" i="45"/>
  <c r="H149" i="45"/>
  <c r="H169" i="45"/>
  <c r="H93" i="45"/>
  <c r="H161" i="45"/>
  <c r="H60" i="45"/>
  <c r="H72" i="45"/>
  <c r="H48" i="45"/>
  <c r="H208" i="45"/>
  <c r="H115" i="45"/>
  <c r="H98" i="45"/>
  <c r="H181" i="45"/>
  <c r="H201" i="45"/>
  <c r="H27" i="45"/>
  <c r="H49" i="45"/>
  <c r="H165" i="45"/>
  <c r="H170" i="45"/>
  <c r="H123" i="45"/>
  <c r="H25" i="45"/>
  <c r="H157" i="45"/>
  <c r="H43" i="45"/>
  <c r="H142" i="45"/>
  <c r="H153" i="45"/>
  <c r="H179" i="45"/>
  <c r="H16" i="45"/>
  <c r="K11" i="45"/>
  <c r="H14" i="45"/>
  <c r="H11" i="45"/>
  <c r="H20" i="45"/>
  <c r="H21" i="45"/>
  <c r="H18" i="45"/>
  <c r="H15" i="45"/>
  <c r="H17" i="45"/>
  <c r="H12" i="45"/>
  <c r="H13" i="45"/>
  <c r="M21" i="45"/>
  <c r="H19" i="45"/>
  <c r="G215" i="45"/>
  <c r="M147" i="113"/>
  <c r="M188" i="113"/>
  <c r="M93" i="113"/>
  <c r="M166" i="113"/>
  <c r="H224" i="46"/>
  <c r="M33" i="19"/>
  <c r="M152" i="175"/>
  <c r="G238" i="159"/>
  <c r="M181" i="113"/>
  <c r="M26" i="46"/>
  <c r="K13" i="46"/>
  <c r="M71" i="46"/>
  <c r="M55" i="46"/>
  <c r="H226" i="46"/>
  <c r="M50" i="46"/>
  <c r="H228" i="46"/>
  <c r="M118" i="46"/>
  <c r="H17" i="49"/>
  <c r="M190" i="19"/>
  <c r="M201" i="19"/>
  <c r="M100" i="175"/>
  <c r="M93" i="43"/>
  <c r="M111" i="104"/>
  <c r="M43" i="65"/>
  <c r="H14" i="31"/>
  <c r="M161" i="62"/>
  <c r="M86" i="113"/>
  <c r="M183" i="113"/>
  <c r="M186" i="113"/>
  <c r="M177" i="113"/>
  <c r="E215" i="120"/>
  <c r="H20" i="83"/>
  <c r="H12" i="83"/>
  <c r="M21" i="83"/>
  <c r="H21" i="83"/>
  <c r="H15" i="49"/>
  <c r="M52" i="68"/>
  <c r="M40" i="68"/>
  <c r="M135" i="68"/>
  <c r="E215" i="172"/>
  <c r="M146" i="113"/>
  <c r="M197" i="113"/>
  <c r="H11" i="83"/>
  <c r="H16" i="83"/>
  <c r="M45" i="46"/>
  <c r="M73" i="46"/>
  <c r="M78" i="46"/>
  <c r="M69" i="46"/>
  <c r="M142" i="46"/>
  <c r="M180" i="46"/>
  <c r="M145" i="46"/>
  <c r="M106" i="46"/>
  <c r="H12" i="49"/>
  <c r="M90" i="19"/>
  <c r="M37" i="19"/>
  <c r="M90" i="175"/>
  <c r="M79" i="104"/>
  <c r="M161" i="19"/>
  <c r="M206" i="19"/>
  <c r="H13" i="31"/>
  <c r="G238" i="57"/>
  <c r="E215" i="165"/>
  <c r="H19" i="15"/>
  <c r="H11" i="15"/>
  <c r="H15" i="15"/>
  <c r="K15" i="94"/>
  <c r="G237" i="94"/>
  <c r="G238" i="94"/>
  <c r="M79" i="46"/>
  <c r="M100" i="46"/>
  <c r="M177" i="46"/>
  <c r="M83" i="46"/>
  <c r="E215" i="39"/>
  <c r="M54" i="113"/>
  <c r="M102" i="113"/>
  <c r="M28" i="46"/>
  <c r="M175" i="46"/>
  <c r="M88" i="46"/>
  <c r="M48" i="46"/>
  <c r="M125" i="46"/>
  <c r="G236" i="46"/>
  <c r="G238" i="46"/>
  <c r="M46" i="46"/>
  <c r="E215" i="15"/>
  <c r="M186" i="19"/>
  <c r="G236" i="19"/>
  <c r="M108" i="92"/>
  <c r="G236" i="92"/>
  <c r="M202" i="92"/>
  <c r="M99" i="92"/>
  <c r="H223" i="92"/>
  <c r="M156" i="92"/>
  <c r="G236" i="28"/>
  <c r="G237" i="28"/>
  <c r="K15" i="28"/>
  <c r="G238" i="136"/>
  <c r="H11" i="49"/>
  <c r="H18" i="49"/>
  <c r="H16" i="49"/>
  <c r="H21" i="49"/>
  <c r="H19" i="49"/>
  <c r="H13" i="49"/>
  <c r="H20" i="49"/>
  <c r="H14" i="49"/>
  <c r="M188" i="46"/>
  <c r="M126" i="46"/>
  <c r="M44" i="46"/>
  <c r="M76" i="46"/>
  <c r="M30" i="46"/>
  <c r="M96" i="46"/>
  <c r="M39" i="46"/>
  <c r="M173" i="46"/>
  <c r="M110" i="46"/>
  <c r="M89" i="46"/>
  <c r="M202" i="46"/>
  <c r="M77" i="46"/>
  <c r="M72" i="46"/>
  <c r="M92" i="46"/>
  <c r="M164" i="46"/>
  <c r="M143" i="46"/>
  <c r="M51" i="46"/>
  <c r="M49" i="46"/>
  <c r="M135" i="46"/>
  <c r="M169" i="46"/>
  <c r="M119" i="46"/>
  <c r="M182" i="46"/>
  <c r="M65" i="46"/>
  <c r="M31" i="46"/>
  <c r="M25" i="46"/>
  <c r="M132" i="46"/>
  <c r="M174" i="46"/>
  <c r="M99" i="46"/>
  <c r="M167" i="46"/>
  <c r="M47" i="46"/>
  <c r="M185" i="46"/>
  <c r="M205" i="46"/>
  <c r="M127" i="46"/>
  <c r="M68" i="46"/>
  <c r="M41" i="46"/>
  <c r="M74" i="46"/>
  <c r="H227" i="46"/>
  <c r="M179" i="46"/>
  <c r="M38" i="46"/>
  <c r="M32" i="46"/>
  <c r="M101" i="46"/>
  <c r="M102" i="46"/>
  <c r="M84" i="46"/>
  <c r="M87" i="46"/>
  <c r="M33" i="46"/>
  <c r="M116" i="46"/>
  <c r="M131" i="46"/>
  <c r="M67" i="46"/>
  <c r="M187" i="46"/>
  <c r="M183" i="46"/>
  <c r="H223" i="46"/>
  <c r="M203" i="46"/>
  <c r="H225" i="46"/>
  <c r="M136" i="46"/>
  <c r="M133" i="46"/>
  <c r="M195" i="46"/>
  <c r="H222" i="46"/>
  <c r="M186" i="46"/>
  <c r="M204" i="46"/>
  <c r="M53" i="46"/>
  <c r="M171" i="46"/>
  <c r="M59" i="46"/>
  <c r="M172" i="46"/>
  <c r="M111" i="46"/>
  <c r="M152" i="46"/>
  <c r="M148" i="46"/>
  <c r="M114" i="46"/>
  <c r="M151" i="46"/>
  <c r="M35" i="46"/>
  <c r="M70" i="46"/>
  <c r="M129" i="46"/>
  <c r="M58" i="46"/>
  <c r="H219" i="46"/>
  <c r="M156" i="46"/>
  <c r="M147" i="46"/>
  <c r="M190" i="46"/>
  <c r="M64" i="46"/>
  <c r="M196" i="46"/>
  <c r="M189" i="46"/>
  <c r="M165" i="46"/>
  <c r="M105" i="46"/>
  <c r="M200" i="46"/>
  <c r="M157" i="46"/>
  <c r="M194" i="46"/>
  <c r="M181" i="46"/>
  <c r="M52" i="46"/>
  <c r="M75" i="46"/>
  <c r="M85" i="46"/>
  <c r="M141" i="46"/>
  <c r="M97" i="46"/>
  <c r="M109" i="46"/>
  <c r="M170" i="46"/>
  <c r="M201" i="46"/>
  <c r="M90" i="46"/>
  <c r="M86" i="46"/>
  <c r="M40" i="46"/>
  <c r="M153" i="46"/>
  <c r="M155" i="46"/>
  <c r="M66" i="46"/>
  <c r="H221" i="46"/>
  <c r="M98" i="46"/>
  <c r="M130" i="46"/>
  <c r="M107" i="46"/>
  <c r="M147" i="175"/>
  <c r="M43" i="175"/>
  <c r="M82" i="175"/>
  <c r="M190" i="175"/>
  <c r="M159" i="175"/>
  <c r="M183" i="175"/>
  <c r="M57" i="175"/>
  <c r="M97" i="175"/>
  <c r="M84" i="175"/>
  <c r="M171" i="175"/>
  <c r="M166" i="175"/>
  <c r="M127" i="175"/>
  <c r="H220" i="175"/>
  <c r="M149" i="175"/>
  <c r="M28" i="175"/>
  <c r="M74" i="175"/>
  <c r="M201" i="175"/>
  <c r="M49" i="175"/>
  <c r="H228" i="175"/>
  <c r="H219" i="175"/>
  <c r="M32" i="175"/>
  <c r="M98" i="175"/>
  <c r="M29" i="46"/>
  <c r="M178" i="46"/>
  <c r="M184" i="46"/>
  <c r="M136" i="104"/>
  <c r="M52" i="104"/>
  <c r="M21" i="104"/>
  <c r="M56" i="104"/>
  <c r="M93" i="104"/>
  <c r="M149" i="104"/>
  <c r="M182" i="104"/>
  <c r="M186" i="104"/>
  <c r="M82" i="104"/>
  <c r="M74" i="104"/>
  <c r="M127" i="104"/>
  <c r="M110" i="104"/>
  <c r="M96" i="104"/>
  <c r="M147" i="104"/>
  <c r="M124" i="104"/>
  <c r="M167" i="104"/>
  <c r="M203" i="104"/>
  <c r="M27" i="113"/>
  <c r="G236" i="65"/>
  <c r="M79" i="113"/>
  <c r="M161" i="113"/>
  <c r="M60" i="46"/>
  <c r="M166" i="46"/>
  <c r="M146" i="46"/>
  <c r="M192" i="46"/>
  <c r="M37" i="46"/>
  <c r="M82" i="46"/>
  <c r="M197" i="46"/>
  <c r="M135" i="19"/>
  <c r="M51" i="19"/>
  <c r="M123" i="175"/>
  <c r="M91" i="141"/>
  <c r="M123" i="141"/>
  <c r="M150" i="141"/>
  <c r="M165" i="141"/>
  <c r="M111" i="15"/>
  <c r="M200" i="15"/>
  <c r="M57" i="15"/>
  <c r="M88" i="15"/>
  <c r="M152" i="15"/>
  <c r="M204" i="15"/>
  <c r="H225" i="15"/>
  <c r="M118" i="15"/>
  <c r="M194" i="15"/>
  <c r="M109" i="15"/>
  <c r="M59" i="15"/>
  <c r="M182" i="15"/>
  <c r="M156" i="15"/>
  <c r="M58" i="15"/>
  <c r="M159" i="15"/>
  <c r="M42" i="15"/>
  <c r="M30" i="15"/>
  <c r="M39" i="15"/>
  <c r="M82" i="15"/>
  <c r="M71" i="15"/>
  <c r="M45" i="15"/>
  <c r="M188" i="15"/>
  <c r="M53" i="15"/>
  <c r="M114" i="15"/>
  <c r="M189" i="15"/>
  <c r="M40" i="15"/>
  <c r="M175" i="15"/>
  <c r="M155" i="15"/>
  <c r="M101" i="15"/>
  <c r="M50" i="15"/>
  <c r="M27" i="15"/>
  <c r="M195" i="15"/>
  <c r="M54" i="15"/>
  <c r="M192" i="15"/>
  <c r="M148" i="15"/>
  <c r="M41" i="15"/>
  <c r="M191" i="15"/>
  <c r="M47" i="15"/>
  <c r="M85" i="15"/>
  <c r="H221" i="15"/>
  <c r="M52" i="15"/>
  <c r="M98" i="15"/>
  <c r="M34" i="15"/>
  <c r="M157" i="15"/>
  <c r="M135" i="15"/>
  <c r="M168" i="15"/>
  <c r="M68" i="15"/>
  <c r="M56" i="15"/>
  <c r="M187" i="15"/>
  <c r="M201" i="15"/>
  <c r="M86" i="15"/>
  <c r="M72" i="15"/>
  <c r="M171" i="15"/>
  <c r="M69" i="15"/>
  <c r="M146" i="15"/>
  <c r="M185" i="15"/>
  <c r="M28" i="15"/>
  <c r="M44" i="15"/>
  <c r="M55" i="15"/>
  <c r="M66" i="15"/>
  <c r="M33" i="15"/>
  <c r="M65" i="15"/>
  <c r="M100" i="15"/>
  <c r="M106" i="15"/>
  <c r="M136" i="15"/>
  <c r="M83" i="15"/>
  <c r="G236" i="15"/>
  <c r="G238" i="15"/>
  <c r="M36" i="15"/>
  <c r="M138" i="15"/>
  <c r="M126" i="15"/>
  <c r="M141" i="15"/>
  <c r="M143" i="15"/>
  <c r="M147" i="15"/>
  <c r="M166" i="15"/>
  <c r="M180" i="15"/>
  <c r="M90" i="15"/>
  <c r="M60" i="15"/>
  <c r="M173" i="15"/>
  <c r="M78" i="15"/>
  <c r="M183" i="15"/>
  <c r="M25" i="15"/>
  <c r="H226" i="15"/>
  <c r="M77" i="15"/>
  <c r="M174" i="15"/>
  <c r="H228" i="15"/>
  <c r="M184" i="15"/>
  <c r="M164" i="15"/>
  <c r="M116" i="15"/>
  <c r="M129" i="15"/>
  <c r="M92" i="15"/>
  <c r="M130" i="15"/>
  <c r="M176" i="15"/>
  <c r="M202" i="15"/>
  <c r="M124" i="15"/>
  <c r="M31" i="15"/>
  <c r="M143" i="43"/>
  <c r="M161" i="92"/>
  <c r="H227" i="92"/>
  <c r="M37" i="92"/>
  <c r="M77" i="92"/>
  <c r="K13" i="92"/>
  <c r="M151" i="92"/>
  <c r="M100" i="92"/>
  <c r="M150" i="92"/>
  <c r="M64" i="92"/>
  <c r="M180" i="92"/>
  <c r="M169" i="92"/>
  <c r="M145" i="92"/>
  <c r="H222" i="92"/>
  <c r="M89" i="92"/>
  <c r="M92" i="92"/>
  <c r="M184" i="92"/>
  <c r="M159" i="92"/>
  <c r="M45" i="92"/>
  <c r="M175" i="92"/>
  <c r="M143" i="92"/>
  <c r="M73" i="92"/>
  <c r="M30" i="92"/>
  <c r="M187" i="92"/>
  <c r="M185" i="92"/>
  <c r="M76" i="92"/>
  <c r="M179" i="92"/>
  <c r="M74" i="92"/>
  <c r="M40" i="92"/>
  <c r="H219" i="92"/>
  <c r="M193" i="92"/>
  <c r="M41" i="92"/>
  <c r="M174" i="92"/>
  <c r="M148" i="92"/>
  <c r="M96" i="92"/>
  <c r="M203" i="92"/>
  <c r="M25" i="92"/>
  <c r="M136" i="92"/>
  <c r="M39" i="92"/>
  <c r="M32" i="92"/>
  <c r="M129" i="92"/>
  <c r="M182" i="92"/>
  <c r="M167" i="92"/>
  <c r="M87" i="92"/>
  <c r="M118" i="92"/>
  <c r="M47" i="92"/>
  <c r="M35" i="92"/>
  <c r="M178" i="92"/>
  <c r="M78" i="92"/>
  <c r="M82" i="92"/>
  <c r="M105" i="92"/>
  <c r="M160" i="92"/>
  <c r="H225" i="92"/>
  <c r="M114" i="92"/>
  <c r="M68" i="92"/>
  <c r="M149" i="92"/>
  <c r="M138" i="92"/>
  <c r="M171" i="92"/>
  <c r="M153" i="92"/>
  <c r="M131" i="92"/>
  <c r="M69" i="92"/>
  <c r="M190" i="92"/>
  <c r="M155" i="92"/>
  <c r="M90" i="92"/>
  <c r="M33" i="92"/>
  <c r="M157" i="92"/>
  <c r="M29" i="92"/>
  <c r="M110" i="92"/>
  <c r="M147" i="92"/>
  <c r="M91" i="92"/>
  <c r="M58" i="92"/>
  <c r="M27" i="92"/>
  <c r="M127" i="92"/>
  <c r="M49" i="92"/>
  <c r="M176" i="92"/>
  <c r="M53" i="92"/>
  <c r="M102" i="92"/>
  <c r="M107" i="92"/>
  <c r="M83" i="92"/>
  <c r="M85" i="92"/>
  <c r="M71" i="92"/>
  <c r="M141" i="92"/>
  <c r="M38" i="92"/>
  <c r="M191" i="92"/>
  <c r="M200" i="92"/>
  <c r="M170" i="92"/>
  <c r="M137" i="92"/>
  <c r="M52" i="92"/>
  <c r="M101" i="92"/>
  <c r="M183" i="92"/>
  <c r="M50" i="92"/>
  <c r="M177" i="92"/>
  <c r="M119" i="92"/>
  <c r="M158" i="92"/>
  <c r="M75" i="92"/>
  <c r="M194" i="92"/>
  <c r="M102" i="62"/>
  <c r="M206" i="85"/>
  <c r="M187" i="85"/>
  <c r="M70" i="85"/>
  <c r="M142" i="71"/>
  <c r="H226" i="71"/>
  <c r="E215" i="150"/>
  <c r="H21" i="177"/>
  <c r="H18" i="177"/>
  <c r="H15" i="177"/>
  <c r="H14" i="177"/>
  <c r="M111" i="62"/>
  <c r="G208" i="86"/>
  <c r="H100" i="86"/>
  <c r="M102" i="55"/>
  <c r="M197" i="104"/>
  <c r="M101" i="1"/>
  <c r="M102" i="72"/>
  <c r="K12" i="159"/>
  <c r="H97" i="159"/>
  <c r="H118" i="159"/>
  <c r="H82" i="159"/>
  <c r="H119" i="159"/>
  <c r="H174" i="159"/>
  <c r="H45" i="159"/>
  <c r="H49" i="159"/>
  <c r="H129" i="159"/>
  <c r="H48" i="159"/>
  <c r="H203" i="159"/>
  <c r="H202" i="159"/>
  <c r="H114" i="159"/>
  <c r="H204" i="159"/>
  <c r="H159" i="159"/>
  <c r="H39" i="159"/>
  <c r="H164" i="159"/>
  <c r="H143" i="159"/>
  <c r="H46" i="159"/>
  <c r="H187" i="159"/>
  <c r="H142" i="159"/>
  <c r="H151" i="159"/>
  <c r="H75" i="159"/>
  <c r="H27" i="159"/>
  <c r="H137" i="159"/>
  <c r="H44" i="159"/>
  <c r="H55" i="159"/>
  <c r="H78" i="159"/>
  <c r="H131" i="159"/>
  <c r="H98" i="159"/>
  <c r="H169" i="159"/>
  <c r="H43" i="159"/>
  <c r="H25" i="159"/>
  <c r="H133" i="159"/>
  <c r="H141" i="159"/>
  <c r="H157" i="159"/>
  <c r="H138" i="159"/>
  <c r="H29" i="159"/>
  <c r="H135" i="159"/>
  <c r="H173" i="159"/>
  <c r="H152" i="159"/>
  <c r="H69" i="159"/>
  <c r="H36" i="159"/>
  <c r="H51" i="159"/>
  <c r="H178" i="159"/>
  <c r="H106" i="159"/>
  <c r="H33" i="159"/>
  <c r="H155" i="159"/>
  <c r="H99" i="159"/>
  <c r="H66" i="159"/>
  <c r="H140" i="159"/>
  <c r="H208" i="159"/>
  <c r="H196" i="159"/>
  <c r="H64" i="159"/>
  <c r="H35" i="159"/>
  <c r="H176" i="159"/>
  <c r="H182" i="159"/>
  <c r="H146" i="159"/>
  <c r="H205" i="159"/>
  <c r="H60" i="159"/>
  <c r="H171" i="159"/>
  <c r="H177" i="159"/>
  <c r="H47" i="159"/>
  <c r="H34" i="159"/>
  <c r="H86" i="159"/>
  <c r="H165" i="159"/>
  <c r="H188" i="159"/>
  <c r="H191" i="159"/>
  <c r="H167" i="159"/>
  <c r="H65" i="159"/>
  <c r="H105" i="159"/>
  <c r="H116" i="159"/>
  <c r="H52" i="159"/>
  <c r="H147" i="159"/>
  <c r="H61" i="159"/>
  <c r="H193" i="159"/>
  <c r="H166" i="159"/>
  <c r="H184" i="159"/>
  <c r="H59" i="159"/>
  <c r="H87" i="159"/>
  <c r="H200" i="159"/>
  <c r="H58" i="159"/>
  <c r="H79" i="159"/>
  <c r="H57" i="159"/>
  <c r="H107" i="159"/>
  <c r="H89" i="159"/>
  <c r="H77" i="159"/>
  <c r="H96" i="159"/>
  <c r="H53" i="159"/>
  <c r="H111" i="159"/>
  <c r="H179" i="159"/>
  <c r="H136" i="159"/>
  <c r="H145" i="159"/>
  <c r="H56" i="159"/>
  <c r="H175" i="159"/>
  <c r="H189" i="159"/>
  <c r="H168" i="159"/>
  <c r="H148" i="159"/>
  <c r="H100" i="159"/>
  <c r="H124" i="159"/>
  <c r="H132" i="159"/>
  <c r="H101" i="159"/>
  <c r="H170" i="159"/>
  <c r="H186" i="159"/>
  <c r="H201" i="159"/>
  <c r="H150" i="159"/>
  <c r="H38" i="159"/>
  <c r="H194" i="159"/>
  <c r="H180" i="159"/>
  <c r="H115" i="159"/>
  <c r="H127" i="159"/>
  <c r="H92" i="159"/>
  <c r="H206" i="159"/>
  <c r="H28" i="159"/>
  <c r="H85" i="159"/>
  <c r="H108" i="159"/>
  <c r="H93" i="159"/>
  <c r="H160" i="159"/>
  <c r="H67" i="159"/>
  <c r="H185" i="159"/>
  <c r="H123" i="159"/>
  <c r="H172" i="159"/>
  <c r="H76" i="159"/>
  <c r="H192" i="159"/>
  <c r="H110" i="159"/>
  <c r="H26" i="159"/>
  <c r="H91" i="159"/>
  <c r="H72" i="159"/>
  <c r="H68" i="159"/>
  <c r="H32" i="159"/>
  <c r="H125" i="159"/>
  <c r="H197" i="159"/>
  <c r="H161" i="159"/>
  <c r="H84" i="159"/>
  <c r="H41" i="159"/>
  <c r="H88" i="159"/>
  <c r="H156" i="159"/>
  <c r="H40" i="159"/>
  <c r="H74" i="159"/>
  <c r="H195" i="159"/>
  <c r="H158" i="159"/>
  <c r="H102" i="159"/>
  <c r="H149" i="159"/>
  <c r="H153" i="159"/>
  <c r="H73" i="159"/>
  <c r="H54" i="159"/>
  <c r="M208" i="159"/>
  <c r="H90" i="159"/>
  <c r="H37" i="159"/>
  <c r="H117" i="159"/>
  <c r="H30" i="159"/>
  <c r="H190" i="159"/>
  <c r="H31" i="159"/>
  <c r="H183" i="159"/>
  <c r="H50" i="159"/>
  <c r="H126" i="159"/>
  <c r="H181" i="159"/>
  <c r="H42" i="159"/>
  <c r="H130" i="159"/>
  <c r="H71" i="159"/>
  <c r="H70" i="159"/>
  <c r="H83" i="159"/>
  <c r="H109" i="159"/>
  <c r="G215" i="159"/>
  <c r="E238" i="53"/>
  <c r="H222" i="45"/>
  <c r="H221" i="45"/>
  <c r="H227" i="45"/>
  <c r="M76" i="45"/>
  <c r="M189" i="45"/>
  <c r="M92" i="45"/>
  <c r="M91" i="45"/>
  <c r="M105" i="45"/>
  <c r="M118" i="45"/>
  <c r="M194" i="45"/>
  <c r="M200" i="45"/>
  <c r="M188" i="45"/>
  <c r="M69" i="45"/>
  <c r="M58" i="45"/>
  <c r="M50" i="45"/>
  <c r="M42" i="45"/>
  <c r="M34" i="45"/>
  <c r="M26" i="45"/>
  <c r="M143" i="45"/>
  <c r="M133" i="45"/>
  <c r="M124" i="45"/>
  <c r="M64" i="45"/>
  <c r="M181" i="45"/>
  <c r="M98" i="45"/>
  <c r="M55" i="45"/>
  <c r="M47" i="45"/>
  <c r="M39" i="45"/>
  <c r="M31" i="45"/>
  <c r="M152" i="45"/>
  <c r="H223" i="45"/>
  <c r="H224" i="45"/>
  <c r="M157" i="45"/>
  <c r="M74" i="45"/>
  <c r="M110" i="45"/>
  <c r="M155" i="45"/>
  <c r="M73" i="45"/>
  <c r="M196" i="45"/>
  <c r="M99" i="45"/>
  <c r="M158" i="45"/>
  <c r="M65" i="45"/>
  <c r="M54" i="45"/>
  <c r="M46" i="45"/>
  <c r="M38" i="45"/>
  <c r="M30" i="45"/>
  <c r="M170" i="45"/>
  <c r="M148" i="45"/>
  <c r="M138" i="45"/>
  <c r="M129" i="45"/>
  <c r="M68" i="45"/>
  <c r="M176" i="45"/>
  <c r="M59" i="45"/>
  <c r="M51" i="45"/>
  <c r="M43" i="45"/>
  <c r="M35" i="45"/>
  <c r="M83" i="45"/>
  <c r="H219" i="45"/>
  <c r="M185" i="45"/>
  <c r="M159" i="45"/>
  <c r="M87" i="45"/>
  <c r="M89" i="45"/>
  <c r="M190" i="45"/>
  <c r="M172" i="45"/>
  <c r="M135" i="45"/>
  <c r="M141" i="45"/>
  <c r="M70" i="45"/>
  <c r="M178" i="45"/>
  <c r="M45" i="45"/>
  <c r="M29" i="45"/>
  <c r="H228" i="45"/>
  <c r="M117" i="45"/>
  <c r="M88" i="45"/>
  <c r="M116" i="45"/>
  <c r="M145" i="45"/>
  <c r="M125" i="45"/>
  <c r="M182" i="45"/>
  <c r="M153" i="45"/>
  <c r="M131" i="45"/>
  <c r="M203" i="45"/>
  <c r="M169" i="45"/>
  <c r="M53" i="45"/>
  <c r="M37" i="45"/>
  <c r="M85" i="45"/>
  <c r="H225" i="45"/>
  <c r="M78" i="45"/>
  <c r="M109" i="45"/>
  <c r="M180" i="45"/>
  <c r="M130" i="45"/>
  <c r="M168" i="45"/>
  <c r="M66" i="45"/>
  <c r="M57" i="45"/>
  <c r="M25" i="45"/>
  <c r="M72" i="45"/>
  <c r="M106" i="45"/>
  <c r="M184" i="45"/>
  <c r="M192" i="45"/>
  <c r="M146" i="45"/>
  <c r="M49" i="45"/>
  <c r="M204" i="45"/>
  <c r="K13" i="45"/>
  <c r="M149" i="45"/>
  <c r="M174" i="45"/>
  <c r="M150" i="45"/>
  <c r="H226" i="45"/>
  <c r="M77" i="45"/>
  <c r="M140" i="45"/>
  <c r="M177" i="45"/>
  <c r="M165" i="45"/>
  <c r="H220" i="45"/>
  <c r="M193" i="45"/>
  <c r="M164" i="45"/>
  <c r="M126" i="45"/>
  <c r="M33" i="45"/>
  <c r="M136" i="45"/>
  <c r="M100" i="45"/>
  <c r="M41" i="45"/>
  <c r="M173" i="45"/>
  <c r="M186" i="45"/>
  <c r="M84" i="45"/>
  <c r="G236" i="45"/>
  <c r="G238" i="45"/>
  <c r="M197" i="45"/>
  <c r="M102" i="43"/>
  <c r="M61" i="15"/>
  <c r="M93" i="62"/>
  <c r="M119" i="43"/>
  <c r="M197" i="72"/>
  <c r="M79" i="90"/>
  <c r="M119" i="172"/>
  <c r="M119" i="175"/>
  <c r="M71" i="45"/>
  <c r="M202" i="45"/>
  <c r="M36" i="45"/>
  <c r="M90" i="45"/>
  <c r="M132" i="45"/>
  <c r="M108" i="45"/>
  <c r="M48" i="45"/>
  <c r="M119" i="58"/>
  <c r="M206" i="58"/>
  <c r="M21" i="62"/>
  <c r="M119" i="72"/>
  <c r="M161" i="46"/>
  <c r="M79" i="45"/>
  <c r="M179" i="45"/>
  <c r="M61" i="45"/>
  <c r="K15" i="53"/>
  <c r="G237" i="53"/>
  <c r="M119" i="55"/>
  <c r="M161" i="58"/>
  <c r="M93" i="46"/>
  <c r="M161" i="43"/>
  <c r="M197" i="58"/>
  <c r="M49" i="1"/>
  <c r="M61" i="72"/>
  <c r="M67" i="45"/>
  <c r="E238" i="45"/>
  <c r="M60" i="45"/>
  <c r="M195" i="45"/>
  <c r="M187" i="45"/>
  <c r="M27" i="45"/>
  <c r="E215" i="45"/>
  <c r="M32" i="45"/>
  <c r="M206" i="43"/>
  <c r="M111" i="43"/>
  <c r="M93" i="175"/>
  <c r="M105" i="90"/>
  <c r="M61" i="62"/>
  <c r="M197" i="55"/>
  <c r="M93" i="55"/>
  <c r="M79" i="43"/>
  <c r="M61" i="46"/>
  <c r="M130" i="152"/>
  <c r="M48" i="152"/>
  <c r="H227" i="152"/>
  <c r="M123" i="152"/>
  <c r="M195" i="152"/>
  <c r="M187" i="152"/>
  <c r="M132" i="152"/>
  <c r="M190" i="152"/>
  <c r="M149" i="152"/>
  <c r="M31" i="152"/>
  <c r="M186" i="152"/>
  <c r="M150" i="152"/>
  <c r="M56" i="152"/>
  <c r="M65" i="152"/>
  <c r="M87" i="152"/>
  <c r="M86" i="152"/>
  <c r="M46" i="152"/>
  <c r="M66" i="152"/>
  <c r="M145" i="152"/>
  <c r="M42" i="152"/>
  <c r="M84" i="152"/>
  <c r="M58" i="152"/>
  <c r="K13" i="152"/>
  <c r="M188" i="152"/>
  <c r="M204" i="152"/>
  <c r="M98" i="152"/>
  <c r="H220" i="152"/>
  <c r="M183" i="152"/>
  <c r="M88" i="152"/>
  <c r="M34" i="152"/>
  <c r="M101" i="152"/>
  <c r="M194" i="152"/>
  <c r="H226" i="152"/>
  <c r="M51" i="152"/>
  <c r="M30" i="152"/>
  <c r="M39" i="152"/>
  <c r="M41" i="152"/>
  <c r="M158" i="152"/>
  <c r="M35" i="152"/>
  <c r="M135" i="152"/>
  <c r="M40" i="152"/>
  <c r="M143" i="152"/>
  <c r="H223" i="152"/>
  <c r="M179" i="152"/>
  <c r="M47" i="152"/>
  <c r="M116" i="152"/>
  <c r="H222" i="152"/>
  <c r="M174" i="152"/>
  <c r="M89" i="152"/>
  <c r="H221" i="152"/>
  <c r="M68" i="152"/>
  <c r="H224" i="152"/>
  <c r="M53" i="152"/>
  <c r="M38" i="152"/>
  <c r="M100" i="152"/>
  <c r="M176" i="152"/>
  <c r="M157" i="152"/>
  <c r="M70" i="152"/>
  <c r="M107" i="152"/>
  <c r="M44" i="152"/>
  <c r="M28" i="152"/>
  <c r="M181" i="152"/>
  <c r="M191" i="152"/>
  <c r="M205" i="45"/>
  <c r="M97" i="45"/>
  <c r="M166" i="45"/>
  <c r="M160" i="45"/>
  <c r="J18" i="97"/>
  <c r="N15" i="141"/>
  <c r="G237" i="89"/>
  <c r="K15" i="89"/>
  <c r="M161" i="102"/>
  <c r="M165" i="175"/>
  <c r="M168" i="175"/>
  <c r="M79" i="86"/>
  <c r="H12" i="90"/>
  <c r="H13" i="90"/>
  <c r="M110" i="68"/>
  <c r="H17" i="15"/>
  <c r="M188" i="71"/>
  <c r="M193" i="102"/>
  <c r="M172" i="102"/>
  <c r="M76" i="102"/>
  <c r="M170" i="102"/>
  <c r="M187" i="102"/>
  <c r="M116" i="102"/>
  <c r="M41" i="102"/>
  <c r="M86" i="102"/>
  <c r="M151" i="102"/>
  <c r="M77" i="102"/>
  <c r="M51" i="102"/>
  <c r="M129" i="102"/>
  <c r="M142" i="102"/>
  <c r="M55" i="102"/>
  <c r="M179" i="102"/>
  <c r="M92" i="102"/>
  <c r="M82" i="102"/>
  <c r="M65" i="102"/>
  <c r="M138" i="175"/>
  <c r="M89" i="19"/>
  <c r="M69" i="19"/>
  <c r="M173" i="19"/>
  <c r="M160" i="19"/>
  <c r="M127" i="19"/>
  <c r="M133" i="19"/>
  <c r="M56" i="19"/>
  <c r="M165" i="19"/>
  <c r="M178" i="19"/>
  <c r="M200" i="19"/>
  <c r="M145" i="19"/>
  <c r="M126" i="19"/>
  <c r="M108" i="19"/>
  <c r="M31" i="19"/>
  <c r="M70" i="19"/>
  <c r="H221" i="19"/>
  <c r="M194" i="19"/>
  <c r="M116" i="68"/>
  <c r="M71" i="19"/>
  <c r="M150" i="175"/>
  <c r="M52" i="175"/>
  <c r="M186" i="175"/>
  <c r="M89" i="175"/>
  <c r="H222" i="175"/>
  <c r="M41" i="175"/>
  <c r="M44" i="175"/>
  <c r="M40" i="175"/>
  <c r="M83" i="175"/>
  <c r="M109" i="175"/>
  <c r="M108" i="175"/>
  <c r="M204" i="175"/>
  <c r="M99" i="175"/>
  <c r="M124" i="175"/>
  <c r="M145" i="175"/>
  <c r="M146" i="71"/>
  <c r="M165" i="71"/>
  <c r="M85" i="175"/>
  <c r="M102" i="19"/>
  <c r="M110" i="175"/>
  <c r="M179" i="71"/>
  <c r="M147" i="177"/>
  <c r="M78" i="177"/>
  <c r="M71" i="177"/>
  <c r="M175" i="177"/>
  <c r="M83" i="177"/>
  <c r="M185" i="177"/>
  <c r="M52" i="177"/>
  <c r="M169" i="177"/>
  <c r="M68" i="177"/>
  <c r="M59" i="177"/>
  <c r="M125" i="177"/>
  <c r="H20" i="177"/>
  <c r="M36" i="19"/>
  <c r="M170" i="177"/>
  <c r="M116" i="175"/>
  <c r="M119" i="19"/>
  <c r="M197" i="1"/>
  <c r="M145" i="95"/>
  <c r="M206" i="92"/>
  <c r="K15" i="27"/>
  <c r="M189" i="164"/>
  <c r="M145" i="164"/>
  <c r="M136" i="164"/>
  <c r="M45" i="164"/>
  <c r="H223" i="164"/>
  <c r="M70" i="164"/>
  <c r="M148" i="164"/>
  <c r="M58" i="164"/>
  <c r="M84" i="164"/>
  <c r="M168" i="164"/>
  <c r="M156" i="164"/>
  <c r="M29" i="164"/>
  <c r="M48" i="164"/>
  <c r="M39" i="164"/>
  <c r="M138" i="164"/>
  <c r="M167" i="164"/>
  <c r="M85" i="164"/>
  <c r="M110" i="164"/>
  <c r="M178" i="164"/>
  <c r="M160" i="164"/>
  <c r="M98" i="164"/>
  <c r="M32" i="164"/>
  <c r="M140" i="164"/>
  <c r="M90" i="164"/>
  <c r="M196" i="164"/>
  <c r="M171" i="164"/>
  <c r="M82" i="164"/>
  <c r="M164" i="164"/>
  <c r="M143" i="164"/>
  <c r="M116" i="164"/>
  <c r="M176" i="164"/>
  <c r="M26" i="164"/>
  <c r="M172" i="164"/>
  <c r="M179" i="164"/>
  <c r="M42" i="164"/>
  <c r="M133" i="164"/>
  <c r="M43" i="164"/>
  <c r="M71" i="164"/>
  <c r="M170" i="164"/>
  <c r="M204" i="164"/>
  <c r="M106" i="164"/>
  <c r="M155" i="164"/>
  <c r="M123" i="164"/>
  <c r="M78" i="164"/>
  <c r="M28" i="164"/>
  <c r="H228" i="164"/>
  <c r="M115" i="164"/>
  <c r="M27" i="164"/>
  <c r="M181" i="164"/>
  <c r="M127" i="164"/>
  <c r="M46" i="164"/>
  <c r="M157" i="164"/>
  <c r="M114" i="164"/>
  <c r="M31" i="164"/>
  <c r="M183" i="164"/>
  <c r="M201" i="164"/>
  <c r="M44" i="164"/>
  <c r="M117" i="164"/>
  <c r="M91" i="164"/>
  <c r="M180" i="164"/>
  <c r="H227" i="164"/>
  <c r="M107" i="164"/>
  <c r="M184" i="164"/>
  <c r="M47" i="164"/>
  <c r="M124" i="164"/>
  <c r="M173" i="164"/>
  <c r="M165" i="164"/>
  <c r="M205" i="164"/>
  <c r="M182" i="164"/>
  <c r="M193" i="164"/>
  <c r="M86" i="164"/>
  <c r="M68" i="164"/>
  <c r="M175" i="164"/>
  <c r="M187" i="164"/>
  <c r="M146" i="164"/>
  <c r="M131" i="164"/>
  <c r="M74" i="164"/>
  <c r="M65" i="164"/>
  <c r="M53" i="164"/>
  <c r="H219" i="164"/>
  <c r="M96" i="164"/>
  <c r="M194" i="164"/>
  <c r="M33" i="164"/>
  <c r="H224" i="164"/>
  <c r="M41" i="164"/>
  <c r="M60" i="164"/>
  <c r="H225" i="164"/>
  <c r="M25" i="164"/>
  <c r="M76" i="164"/>
  <c r="M51" i="164"/>
  <c r="M130" i="164"/>
  <c r="M141" i="164"/>
  <c r="M152" i="164"/>
  <c r="M118" i="164"/>
  <c r="M188" i="164"/>
  <c r="M99" i="164"/>
  <c r="M50" i="164"/>
  <c r="H220" i="164"/>
  <c r="M101" i="164"/>
  <c r="M87" i="164"/>
  <c r="M100" i="164"/>
  <c r="M30" i="164"/>
  <c r="M108" i="164"/>
  <c r="M142" i="164"/>
  <c r="M202" i="164"/>
  <c r="M77" i="164"/>
  <c r="M206" i="164"/>
  <c r="M153" i="164"/>
  <c r="M105" i="164"/>
  <c r="M149" i="164"/>
  <c r="M137" i="164"/>
  <c r="M159" i="164"/>
  <c r="M57" i="164"/>
  <c r="M186" i="164"/>
  <c r="M151" i="164"/>
  <c r="M40" i="164"/>
  <c r="M36" i="164"/>
  <c r="M158" i="164"/>
  <c r="M174" i="164"/>
  <c r="M126" i="164"/>
  <c r="M64" i="164"/>
  <c r="M75" i="164"/>
  <c r="M69" i="164"/>
  <c r="H222" i="164"/>
  <c r="M35" i="164"/>
  <c r="M203" i="164"/>
  <c r="M190" i="164"/>
  <c r="M73" i="164"/>
  <c r="M97" i="164"/>
  <c r="M147" i="164"/>
  <c r="M185" i="164"/>
  <c r="M195" i="164"/>
  <c r="M34" i="164"/>
  <c r="H226" i="164"/>
  <c r="M72" i="164"/>
  <c r="M37" i="164"/>
  <c r="M38" i="164"/>
  <c r="M191" i="164"/>
  <c r="M135" i="164"/>
  <c r="M54" i="164"/>
  <c r="M52" i="164"/>
  <c r="M92" i="164"/>
  <c r="M56" i="164"/>
  <c r="M169" i="164"/>
  <c r="H221" i="164"/>
  <c r="M88" i="164"/>
  <c r="M109" i="164"/>
  <c r="M177" i="164"/>
  <c r="M150" i="164"/>
  <c r="M67" i="164"/>
  <c r="K13" i="164"/>
  <c r="M166" i="164"/>
  <c r="M49" i="164"/>
  <c r="M200" i="164"/>
  <c r="M132" i="164"/>
  <c r="M55" i="164"/>
  <c r="M192" i="164"/>
  <c r="M89" i="164"/>
  <c r="M129" i="164"/>
  <c r="M119" i="164"/>
  <c r="M125" i="164"/>
  <c r="M39" i="102"/>
  <c r="M152" i="102"/>
  <c r="M21" i="102"/>
  <c r="H14" i="90"/>
  <c r="H12" i="15"/>
  <c r="H21" i="15"/>
  <c r="M151" i="175"/>
  <c r="G236" i="89"/>
  <c r="M66" i="164"/>
  <c r="M123" i="102"/>
  <c r="M148" i="102"/>
  <c r="M57" i="102"/>
  <c r="M66" i="102"/>
  <c r="M118" i="102"/>
  <c r="M178" i="102"/>
  <c r="M160" i="102"/>
  <c r="M27" i="102"/>
  <c r="M44" i="102"/>
  <c r="M115" i="102"/>
  <c r="H223" i="102"/>
  <c r="M153" i="102"/>
  <c r="M56" i="102"/>
  <c r="M145" i="102"/>
  <c r="M114" i="102"/>
  <c r="M135" i="102"/>
  <c r="M47" i="102"/>
  <c r="M201" i="102"/>
  <c r="M69" i="102"/>
  <c r="M195" i="175"/>
  <c r="M50" i="19"/>
  <c r="M45" i="19"/>
  <c r="M196" i="19"/>
  <c r="M57" i="19"/>
  <c r="M38" i="19"/>
  <c r="M181" i="19"/>
  <c r="M155" i="19"/>
  <c r="M49" i="19"/>
  <c r="H224" i="19"/>
  <c r="M203" i="19"/>
  <c r="M204" i="19"/>
  <c r="M158" i="19"/>
  <c r="M43" i="19"/>
  <c r="M189" i="19"/>
  <c r="M74" i="19"/>
  <c r="M202" i="19"/>
  <c r="M193" i="19"/>
  <c r="M167" i="175"/>
  <c r="M51" i="175"/>
  <c r="M30" i="175"/>
  <c r="M140" i="175"/>
  <c r="K13" i="175"/>
  <c r="M160" i="175"/>
  <c r="M55" i="175"/>
  <c r="M27" i="175"/>
  <c r="M125" i="175"/>
  <c r="M173" i="175"/>
  <c r="M130" i="175"/>
  <c r="H227" i="175"/>
  <c r="M72" i="175"/>
  <c r="M180" i="175"/>
  <c r="H221" i="175"/>
  <c r="M135" i="175"/>
  <c r="M168" i="19"/>
  <c r="M47" i="71"/>
  <c r="M126" i="71"/>
  <c r="M93" i="164"/>
  <c r="M101" i="19"/>
  <c r="M190" i="177"/>
  <c r="M110" i="177"/>
  <c r="M127" i="177"/>
  <c r="M88" i="177"/>
  <c r="M30" i="177"/>
  <c r="M160" i="177"/>
  <c r="M117" i="177"/>
  <c r="H226" i="177"/>
  <c r="M73" i="177"/>
  <c r="M27" i="177"/>
  <c r="H11" i="177"/>
  <c r="M152" i="19"/>
  <c r="M206" i="1"/>
  <c r="M183" i="95"/>
  <c r="M72" i="1"/>
  <c r="M197" i="92"/>
  <c r="M176" i="95"/>
  <c r="M33" i="1"/>
  <c r="M93" i="1"/>
  <c r="G208" i="143"/>
  <c r="H127" i="143"/>
  <c r="M79" i="55"/>
  <c r="M29" i="64"/>
  <c r="M127" i="64"/>
  <c r="M194" i="64"/>
  <c r="M86" i="64"/>
  <c r="M25" i="64"/>
  <c r="M111" i="164"/>
  <c r="E238" i="150"/>
  <c r="M77" i="175"/>
  <c r="M61" i="164"/>
  <c r="M59" i="164"/>
  <c r="M100" i="102"/>
  <c r="H19" i="90"/>
  <c r="M140" i="102"/>
  <c r="H14" i="15"/>
  <c r="K11" i="15"/>
  <c r="M46" i="175"/>
  <c r="M182" i="102"/>
  <c r="M149" i="102"/>
  <c r="M147" i="102"/>
  <c r="M124" i="102"/>
  <c r="M177" i="102"/>
  <c r="M203" i="102"/>
  <c r="M126" i="102"/>
  <c r="M166" i="102"/>
  <c r="M50" i="102"/>
  <c r="M33" i="102"/>
  <c r="M159" i="102"/>
  <c r="M88" i="102"/>
  <c r="M40" i="102"/>
  <c r="M138" i="102"/>
  <c r="M29" i="102"/>
  <c r="M155" i="102"/>
  <c r="M53" i="102"/>
  <c r="M38" i="102"/>
  <c r="M65" i="175"/>
  <c r="M91" i="19"/>
  <c r="M148" i="19"/>
  <c r="M151" i="19"/>
  <c r="M172" i="19"/>
  <c r="M40" i="19"/>
  <c r="M188" i="19"/>
  <c r="M191" i="19"/>
  <c r="M107" i="19"/>
  <c r="K13" i="19"/>
  <c r="M83" i="19"/>
  <c r="M192" i="19"/>
  <c r="M146" i="19"/>
  <c r="H228" i="19"/>
  <c r="M98" i="19"/>
  <c r="M141" i="19"/>
  <c r="M55" i="19"/>
  <c r="M29" i="19"/>
  <c r="M117" i="19"/>
  <c r="M157" i="19"/>
  <c r="M26" i="175"/>
  <c r="M87" i="175"/>
  <c r="M203" i="175"/>
  <c r="M38" i="175"/>
  <c r="M66" i="175"/>
  <c r="M184" i="175"/>
  <c r="M115" i="175"/>
  <c r="M205" i="175"/>
  <c r="M54" i="175"/>
  <c r="M50" i="175"/>
  <c r="M96" i="175"/>
  <c r="M64" i="175"/>
  <c r="M39" i="175"/>
  <c r="M117" i="175"/>
  <c r="M146" i="175"/>
  <c r="M182" i="175"/>
  <c r="H219" i="71"/>
  <c r="M157" i="71"/>
  <c r="M102" i="177"/>
  <c r="M131" i="177"/>
  <c r="H227" i="177"/>
  <c r="M34" i="177"/>
  <c r="M194" i="177"/>
  <c r="M115" i="177"/>
  <c r="M159" i="177"/>
  <c r="M100" i="177"/>
  <c r="M70" i="177"/>
  <c r="M51" i="177"/>
  <c r="H12" i="177"/>
  <c r="M88" i="175"/>
  <c r="M132" i="175"/>
  <c r="M93" i="19"/>
  <c r="M125" i="95"/>
  <c r="M197" i="84"/>
  <c r="M206" i="31"/>
  <c r="M189" i="175"/>
  <c r="G236" i="164"/>
  <c r="G238" i="164"/>
  <c r="E238" i="89"/>
  <c r="M102" i="164"/>
  <c r="E215" i="158"/>
  <c r="M102" i="102"/>
  <c r="M143" i="102"/>
  <c r="M169" i="175"/>
  <c r="M111" i="102"/>
  <c r="H16" i="90"/>
  <c r="M61" i="102"/>
  <c r="M21" i="15"/>
  <c r="H20" i="15"/>
  <c r="M42" i="175"/>
  <c r="M172" i="175"/>
  <c r="M93" i="102"/>
  <c r="M59" i="102"/>
  <c r="M101" i="102"/>
  <c r="M75" i="102"/>
  <c r="M30" i="102"/>
  <c r="H226" i="102"/>
  <c r="M73" i="102"/>
  <c r="M90" i="102"/>
  <c r="H224" i="102"/>
  <c r="M169" i="102"/>
  <c r="M84" i="102"/>
  <c r="M58" i="102"/>
  <c r="M70" i="102"/>
  <c r="M49" i="102"/>
  <c r="M32" i="102"/>
  <c r="M87" i="102"/>
  <c r="M31" i="102"/>
  <c r="M137" i="102"/>
  <c r="M150" i="102"/>
  <c r="M79" i="175"/>
  <c r="E215" i="85"/>
  <c r="M125" i="71"/>
  <c r="M35" i="19"/>
  <c r="M114" i="19"/>
  <c r="M150" i="19"/>
  <c r="M195" i="19"/>
  <c r="M166" i="19"/>
  <c r="M116" i="19"/>
  <c r="M180" i="19"/>
  <c r="M42" i="19"/>
  <c r="M110" i="19"/>
  <c r="M159" i="19"/>
  <c r="M26" i="19"/>
  <c r="H220" i="19"/>
  <c r="M87" i="19"/>
  <c r="M72" i="19"/>
  <c r="M125" i="19"/>
  <c r="M185" i="19"/>
  <c r="M105" i="19"/>
  <c r="H219" i="19"/>
  <c r="M93" i="177"/>
  <c r="M100" i="71"/>
  <c r="M129" i="175"/>
  <c r="M48" i="175"/>
  <c r="M126" i="175"/>
  <c r="M35" i="175"/>
  <c r="M191" i="175"/>
  <c r="M45" i="175"/>
  <c r="H224" i="175"/>
  <c r="G236" i="175"/>
  <c r="G238" i="175"/>
  <c r="M176" i="175"/>
  <c r="M70" i="175"/>
  <c r="M170" i="175"/>
  <c r="M29" i="175"/>
  <c r="M141" i="175"/>
  <c r="M136" i="175"/>
  <c r="M34" i="175"/>
  <c r="M202" i="175"/>
  <c r="M148" i="71"/>
  <c r="M83" i="71"/>
  <c r="M164" i="19"/>
  <c r="M137" i="177"/>
  <c r="M201" i="177"/>
  <c r="M156" i="177"/>
  <c r="M42" i="177"/>
  <c r="H228" i="177"/>
  <c r="M188" i="177"/>
  <c r="M49" i="177"/>
  <c r="M174" i="177"/>
  <c r="M203" i="177"/>
  <c r="M204" i="177"/>
  <c r="M192" i="175"/>
  <c r="H17" i="177"/>
  <c r="H19" i="177"/>
  <c r="M178" i="175"/>
  <c r="M61" i="19"/>
  <c r="M21" i="175"/>
  <c r="M44" i="19"/>
  <c r="M61" i="175"/>
  <c r="M79" i="54"/>
  <c r="E215" i="178"/>
  <c r="M102" i="20"/>
  <c r="M99" i="102"/>
  <c r="M127" i="102"/>
  <c r="M86" i="20"/>
  <c r="M58" i="175"/>
  <c r="M46" i="102"/>
  <c r="M105" i="102"/>
  <c r="K11" i="90"/>
  <c r="H18" i="90"/>
  <c r="M28" i="102"/>
  <c r="H16" i="15"/>
  <c r="H13" i="15"/>
  <c r="M59" i="175"/>
  <c r="M71" i="175"/>
  <c r="M83" i="102"/>
  <c r="M43" i="102"/>
  <c r="M36" i="102"/>
  <c r="H220" i="102"/>
  <c r="M195" i="102"/>
  <c r="M200" i="102"/>
  <c r="M37" i="102"/>
  <c r="M78" i="102"/>
  <c r="M164" i="102"/>
  <c r="M204" i="102"/>
  <c r="M141" i="102"/>
  <c r="M130" i="102"/>
  <c r="M183" i="102"/>
  <c r="M60" i="102"/>
  <c r="M165" i="102"/>
  <c r="M85" i="102"/>
  <c r="M125" i="102"/>
  <c r="M173" i="102"/>
  <c r="M48" i="102"/>
  <c r="M196" i="102"/>
  <c r="M111" i="175"/>
  <c r="M176" i="19"/>
  <c r="M48" i="19"/>
  <c r="M143" i="19"/>
  <c r="M82" i="19"/>
  <c r="M96" i="19"/>
  <c r="H225" i="19"/>
  <c r="M78" i="19"/>
  <c r="M52" i="19"/>
  <c r="M184" i="19"/>
  <c r="M34" i="19"/>
  <c r="M171" i="19"/>
  <c r="M156" i="19"/>
  <c r="M118" i="19"/>
  <c r="M153" i="19"/>
  <c r="M138" i="19"/>
  <c r="M66" i="19"/>
  <c r="M137" i="175"/>
  <c r="M143" i="175"/>
  <c r="M206" i="175"/>
  <c r="M53" i="175"/>
  <c r="M86" i="175"/>
  <c r="M164" i="175"/>
  <c r="M33" i="175"/>
  <c r="M76" i="175"/>
  <c r="M60" i="175"/>
  <c r="M101" i="175"/>
  <c r="M200" i="175"/>
  <c r="M107" i="175"/>
  <c r="M69" i="175"/>
  <c r="H225" i="175"/>
  <c r="M73" i="175"/>
  <c r="M148" i="175"/>
  <c r="M36" i="175"/>
  <c r="H222" i="71"/>
  <c r="M175" i="175"/>
  <c r="M187" i="177"/>
  <c r="M143" i="177"/>
  <c r="M44" i="177"/>
  <c r="M35" i="177"/>
  <c r="M98" i="177"/>
  <c r="M184" i="177"/>
  <c r="M114" i="177"/>
  <c r="M200" i="177"/>
  <c r="M28" i="177"/>
  <c r="M165" i="177"/>
  <c r="M179" i="19"/>
  <c r="H16" i="177"/>
  <c r="H13" i="177"/>
  <c r="M156" i="71"/>
  <c r="M175" i="19"/>
  <c r="M206" i="102"/>
  <c r="M161" i="95"/>
  <c r="M61" i="95"/>
  <c r="M79" i="95"/>
  <c r="H12" i="25"/>
  <c r="H14" i="25"/>
  <c r="H16" i="25"/>
  <c r="H21" i="25"/>
  <c r="H20" i="25"/>
  <c r="H18" i="25"/>
  <c r="K11" i="25"/>
  <c r="H15" i="25"/>
  <c r="H13" i="25"/>
  <c r="H11" i="25"/>
  <c r="H19" i="25"/>
  <c r="H17" i="25"/>
  <c r="G208" i="158"/>
  <c r="H53" i="158"/>
  <c r="M102" i="68"/>
  <c r="M92" i="175"/>
  <c r="M37" i="175"/>
  <c r="M68" i="175"/>
  <c r="M194" i="175"/>
  <c r="M67" i="175"/>
  <c r="M78" i="175"/>
  <c r="M118" i="175"/>
  <c r="M157" i="175"/>
  <c r="M47" i="175"/>
  <c r="M48" i="20"/>
  <c r="M197" i="102"/>
  <c r="H15" i="90"/>
  <c r="M56" i="175"/>
  <c r="M107" i="102"/>
  <c r="M52" i="102"/>
  <c r="M157" i="102"/>
  <c r="M185" i="102"/>
  <c r="M146" i="102"/>
  <c r="M167" i="102"/>
  <c r="M117" i="102"/>
  <c r="M171" i="102"/>
  <c r="M42" i="102"/>
  <c r="H228" i="102"/>
  <c r="M96" i="102"/>
  <c r="M45" i="102"/>
  <c r="M168" i="102"/>
  <c r="M25" i="102"/>
  <c r="M188" i="102"/>
  <c r="M72" i="102"/>
  <c r="E215" i="155"/>
  <c r="M106" i="175"/>
  <c r="M39" i="19"/>
  <c r="M174" i="19"/>
  <c r="M99" i="19"/>
  <c r="H226" i="19"/>
  <c r="M84" i="19"/>
  <c r="M109" i="19"/>
  <c r="M106" i="19"/>
  <c r="M77" i="19"/>
  <c r="M27" i="19"/>
  <c r="M92" i="19"/>
  <c r="M167" i="19"/>
  <c r="M123" i="19"/>
  <c r="M30" i="19"/>
  <c r="M124" i="19"/>
  <c r="M86" i="19"/>
  <c r="M46" i="19"/>
  <c r="M65" i="19"/>
  <c r="M156" i="175"/>
  <c r="M32" i="19"/>
  <c r="M25" i="175"/>
  <c r="M31" i="175"/>
  <c r="M187" i="175"/>
  <c r="M105" i="175"/>
  <c r="M102" i="175"/>
  <c r="M131" i="175"/>
  <c r="M114" i="175"/>
  <c r="M153" i="175"/>
  <c r="M91" i="175"/>
  <c r="M179" i="175"/>
  <c r="M193" i="175"/>
  <c r="H226" i="175"/>
  <c r="M177" i="175"/>
  <c r="M188" i="175"/>
  <c r="M40" i="71"/>
  <c r="M142" i="175"/>
  <c r="M190" i="71"/>
  <c r="M133" i="175"/>
  <c r="M185" i="175"/>
  <c r="M111" i="177"/>
  <c r="M138" i="177"/>
  <c r="G236" i="177"/>
  <c r="M69" i="177"/>
  <c r="M153" i="177"/>
  <c r="H220" i="177"/>
  <c r="M74" i="177"/>
  <c r="H221" i="177"/>
  <c r="M195" i="177"/>
  <c r="M118" i="177"/>
  <c r="K11" i="177"/>
  <c r="M109" i="71"/>
  <c r="M79" i="102"/>
  <c r="M99" i="55"/>
  <c r="M102" i="1"/>
  <c r="M187" i="95"/>
  <c r="M147" i="65"/>
  <c r="M79" i="141"/>
  <c r="G208" i="142"/>
  <c r="H197" i="142"/>
  <c r="M206" i="55"/>
  <c r="K15" i="15"/>
  <c r="M161" i="164"/>
  <c r="M108" i="102"/>
  <c r="M202" i="102"/>
  <c r="M195" i="71"/>
  <c r="M34" i="71"/>
  <c r="M186" i="71"/>
  <c r="M160" i="71"/>
  <c r="M39" i="71"/>
  <c r="E238" i="104"/>
  <c r="M108" i="71"/>
  <c r="E238" i="156"/>
  <c r="G208" i="31"/>
  <c r="H54" i="31"/>
  <c r="M42" i="71"/>
  <c r="M119" i="71"/>
  <c r="M87" i="71"/>
  <c r="M66" i="71"/>
  <c r="M184" i="71"/>
  <c r="M91" i="71"/>
  <c r="M84" i="71"/>
  <c r="M26" i="71"/>
  <c r="M78" i="71"/>
  <c r="M145" i="71"/>
  <c r="K11" i="83"/>
  <c r="H14" i="83"/>
  <c r="M204" i="43"/>
  <c r="M57" i="71"/>
  <c r="M45" i="43"/>
  <c r="M53" i="43"/>
  <c r="M42" i="43"/>
  <c r="M168" i="43"/>
  <c r="M75" i="43"/>
  <c r="M37" i="43"/>
  <c r="M184" i="43"/>
  <c r="M78" i="43"/>
  <c r="M36" i="43"/>
  <c r="M132" i="43"/>
  <c r="H221" i="43"/>
  <c r="M56" i="43"/>
  <c r="M136" i="43"/>
  <c r="M152" i="43"/>
  <c r="M175" i="43"/>
  <c r="M32" i="43"/>
  <c r="M137" i="43"/>
  <c r="M151" i="43"/>
  <c r="M200" i="43"/>
  <c r="M21" i="68"/>
  <c r="M161" i="143"/>
  <c r="G208" i="95"/>
  <c r="H69" i="95"/>
  <c r="H17" i="176"/>
  <c r="M46" i="68"/>
  <c r="H16" i="104"/>
  <c r="H19" i="104"/>
  <c r="E215" i="90"/>
  <c r="H11" i="85"/>
  <c r="H20" i="85"/>
  <c r="M206" i="68"/>
  <c r="H14" i="120"/>
  <c r="M56" i="71"/>
  <c r="M135" i="71"/>
  <c r="M60" i="71"/>
  <c r="M79" i="143"/>
  <c r="G208" i="69"/>
  <c r="H161" i="69"/>
  <c r="M189" i="43"/>
  <c r="G236" i="143"/>
  <c r="G238" i="143"/>
  <c r="M64" i="143"/>
  <c r="M25" i="143"/>
  <c r="M127" i="143"/>
  <c r="M195" i="143"/>
  <c r="M84" i="143"/>
  <c r="M37" i="143"/>
  <c r="M157" i="143"/>
  <c r="M129" i="143"/>
  <c r="M77" i="143"/>
  <c r="M73" i="143"/>
  <c r="M30" i="143"/>
  <c r="M47" i="143"/>
  <c r="M28" i="143"/>
  <c r="M85" i="143"/>
  <c r="M90" i="143"/>
  <c r="M117" i="143"/>
  <c r="M126" i="143"/>
  <c r="M148" i="143"/>
  <c r="M60" i="43"/>
  <c r="M55" i="71"/>
  <c r="M75" i="71"/>
  <c r="K15" i="20"/>
  <c r="M197" i="177"/>
  <c r="M65" i="65"/>
  <c r="M141" i="71"/>
  <c r="M85" i="71"/>
  <c r="H225" i="71"/>
  <c r="H220" i="71"/>
  <c r="M194" i="71"/>
  <c r="M123" i="71"/>
  <c r="H221" i="71"/>
  <c r="M114" i="71"/>
  <c r="M191" i="71"/>
  <c r="M59" i="71"/>
  <c r="M32" i="71"/>
  <c r="M58" i="71"/>
  <c r="M206" i="177"/>
  <c r="M169" i="71"/>
  <c r="M181" i="177"/>
  <c r="H224" i="177"/>
  <c r="M31" i="177"/>
  <c r="M37" i="177"/>
  <c r="M124" i="177"/>
  <c r="M186" i="177"/>
  <c r="M58" i="177"/>
  <c r="M64" i="177"/>
  <c r="M105" i="177"/>
  <c r="M89" i="177"/>
  <c r="M75" i="177"/>
  <c r="M155" i="177"/>
  <c r="M164" i="177"/>
  <c r="H219" i="177"/>
  <c r="M36" i="177"/>
  <c r="M48" i="177"/>
  <c r="K13" i="177"/>
  <c r="H222" i="177"/>
  <c r="M130" i="177"/>
  <c r="M177" i="177"/>
  <c r="M177" i="71"/>
  <c r="M61" i="65"/>
  <c r="M158" i="71"/>
  <c r="M118" i="71"/>
  <c r="M71" i="71"/>
  <c r="M202" i="95"/>
  <c r="M86" i="1"/>
  <c r="M164" i="95"/>
  <c r="M98" i="62"/>
  <c r="M65" i="62"/>
  <c r="M118" i="62"/>
  <c r="M158" i="62"/>
  <c r="M190" i="62"/>
  <c r="E215" i="58"/>
  <c r="M185" i="71"/>
  <c r="M115" i="71"/>
  <c r="M167" i="71"/>
  <c r="M143" i="71"/>
  <c r="M172" i="71"/>
  <c r="M193" i="71"/>
  <c r="M164" i="71"/>
  <c r="M136" i="71"/>
  <c r="M192" i="71"/>
  <c r="M92" i="90"/>
  <c r="M102" i="71"/>
  <c r="H20" i="16"/>
  <c r="M44" i="71"/>
  <c r="H17" i="85"/>
  <c r="K11" i="85"/>
  <c r="M29" i="71"/>
  <c r="M201" i="71"/>
  <c r="M101" i="71"/>
  <c r="M176" i="71"/>
  <c r="M86" i="71"/>
  <c r="M36" i="71"/>
  <c r="M116" i="71"/>
  <c r="M105" i="71"/>
  <c r="M111" i="90"/>
  <c r="M206" i="71"/>
  <c r="M68" i="68"/>
  <c r="H13" i="83"/>
  <c r="H19" i="83"/>
  <c r="M30" i="20"/>
  <c r="M96" i="20"/>
  <c r="M105" i="43"/>
  <c r="H219" i="43"/>
  <c r="M179" i="43"/>
  <c r="M65" i="43"/>
  <c r="M100" i="43"/>
  <c r="M58" i="43"/>
  <c r="M118" i="43"/>
  <c r="M70" i="43"/>
  <c r="M107" i="43"/>
  <c r="M148" i="43"/>
  <c r="M21" i="43"/>
  <c r="H224" i="43"/>
  <c r="M29" i="43"/>
  <c r="M196" i="43"/>
  <c r="M159" i="43"/>
  <c r="M115" i="43"/>
  <c r="M142" i="43"/>
  <c r="M171" i="43"/>
  <c r="M181" i="43"/>
  <c r="M173" i="71"/>
  <c r="M197" i="43"/>
  <c r="E215" i="47"/>
  <c r="H18" i="176"/>
  <c r="H21" i="176"/>
  <c r="E215" i="32"/>
  <c r="M92" i="71"/>
  <c r="K11" i="104"/>
  <c r="M110" i="71"/>
  <c r="H21" i="85"/>
  <c r="H16" i="85"/>
  <c r="M21" i="143"/>
  <c r="M89" i="20"/>
  <c r="K11" i="120"/>
  <c r="M161" i="71"/>
  <c r="M31" i="143"/>
  <c r="M205" i="143"/>
  <c r="M114" i="143"/>
  <c r="M156" i="143"/>
  <c r="M130" i="143"/>
  <c r="M116" i="143"/>
  <c r="M196" i="143"/>
  <c r="M118" i="143"/>
  <c r="M138" i="143"/>
  <c r="M49" i="143"/>
  <c r="H220" i="143"/>
  <c r="M145" i="143"/>
  <c r="M48" i="143"/>
  <c r="M174" i="143"/>
  <c r="M135" i="143"/>
  <c r="H222" i="143"/>
  <c r="M180" i="143"/>
  <c r="M27" i="143"/>
  <c r="M44" i="143"/>
  <c r="M151" i="71"/>
  <c r="M137" i="71"/>
  <c r="M170" i="71"/>
  <c r="M25" i="71"/>
  <c r="M140" i="71"/>
  <c r="M205" i="71"/>
  <c r="M129" i="71"/>
  <c r="H228" i="71"/>
  <c r="M200" i="71"/>
  <c r="M98" i="71"/>
  <c r="M117" i="71"/>
  <c r="M175" i="71"/>
  <c r="M152" i="71"/>
  <c r="M132" i="71"/>
  <c r="M168" i="71"/>
  <c r="M173" i="68"/>
  <c r="M111" i="119"/>
  <c r="M53" i="90"/>
  <c r="M152" i="177"/>
  <c r="M67" i="177"/>
  <c r="M46" i="177"/>
  <c r="M173" i="177"/>
  <c r="M149" i="177"/>
  <c r="M205" i="177"/>
  <c r="M101" i="177"/>
  <c r="M60" i="177"/>
  <c r="M166" i="177"/>
  <c r="M191" i="177"/>
  <c r="M87" i="177"/>
  <c r="M142" i="177"/>
  <c r="M180" i="177"/>
  <c r="M150" i="177"/>
  <c r="M66" i="177"/>
  <c r="M141" i="177"/>
  <c r="M54" i="177"/>
  <c r="M106" i="177"/>
  <c r="M145" i="177"/>
  <c r="M31" i="71"/>
  <c r="M93" i="90"/>
  <c r="M38" i="68"/>
  <c r="M50" i="90"/>
  <c r="M142" i="143"/>
  <c r="M66" i="43"/>
  <c r="M93" i="95"/>
  <c r="M161" i="177"/>
  <c r="M107" i="172"/>
  <c r="M129" i="172"/>
  <c r="M160" i="172"/>
  <c r="M186" i="172"/>
  <c r="M76" i="172"/>
  <c r="M153" i="172"/>
  <c r="M149" i="172"/>
  <c r="M147" i="172"/>
  <c r="M47" i="172"/>
  <c r="M50" i="172"/>
  <c r="M38" i="172"/>
  <c r="M159" i="172"/>
  <c r="M96" i="172"/>
  <c r="M185" i="172"/>
  <c r="M42" i="46"/>
  <c r="M57" i="46"/>
  <c r="M137" i="46"/>
  <c r="M193" i="46"/>
  <c r="M123" i="46"/>
  <c r="M102" i="172"/>
  <c r="M53" i="71"/>
  <c r="M149" i="71"/>
  <c r="M52" i="71"/>
  <c r="M197" i="71"/>
  <c r="M93" i="71"/>
  <c r="M97" i="71"/>
  <c r="M202" i="71"/>
  <c r="M166" i="71"/>
  <c r="H227" i="71"/>
  <c r="M33" i="71"/>
  <c r="G208" i="54"/>
  <c r="H183" i="54"/>
  <c r="M161" i="65"/>
  <c r="M176" i="177"/>
  <c r="M26" i="177"/>
  <c r="M133" i="177"/>
  <c r="H17" i="83"/>
  <c r="H15" i="83"/>
  <c r="M50" i="71"/>
  <c r="M67" i="43"/>
  <c r="M77" i="43"/>
  <c r="M188" i="43"/>
  <c r="M99" i="43"/>
  <c r="M140" i="43"/>
  <c r="M76" i="43"/>
  <c r="M127" i="43"/>
  <c r="M40" i="43"/>
  <c r="M48" i="43"/>
  <c r="M82" i="43"/>
  <c r="M28" i="43"/>
  <c r="M27" i="43"/>
  <c r="M98" i="43"/>
  <c r="M97" i="43"/>
  <c r="M203" i="43"/>
  <c r="M183" i="43"/>
  <c r="M173" i="43"/>
  <c r="G236" i="72"/>
  <c r="M52" i="143"/>
  <c r="H14" i="176"/>
  <c r="H12" i="176"/>
  <c r="M21" i="90"/>
  <c r="M27" i="71"/>
  <c r="E215" i="55"/>
  <c r="H20" i="104"/>
  <c r="H11" i="104"/>
  <c r="H15" i="85"/>
  <c r="E215" i="164"/>
  <c r="H18" i="120"/>
  <c r="M75" i="143"/>
  <c r="M186" i="143"/>
  <c r="H219" i="143"/>
  <c r="M164" i="143"/>
  <c r="M89" i="143"/>
  <c r="M168" i="143"/>
  <c r="M105" i="143"/>
  <c r="M34" i="143"/>
  <c r="M153" i="143"/>
  <c r="M182" i="143"/>
  <c r="M187" i="143"/>
  <c r="M68" i="143"/>
  <c r="M51" i="143"/>
  <c r="M57" i="143"/>
  <c r="M60" i="143"/>
  <c r="M91" i="143"/>
  <c r="H221" i="143"/>
  <c r="M70" i="143"/>
  <c r="M58" i="143"/>
  <c r="E215" i="84"/>
  <c r="M65" i="71"/>
  <c r="E215" i="174"/>
  <c r="E215" i="14"/>
  <c r="M41" i="71"/>
  <c r="M200" i="68"/>
  <c r="M58" i="65"/>
  <c r="M133" i="71"/>
  <c r="M89" i="71"/>
  <c r="M90" i="71"/>
  <c r="M37" i="71"/>
  <c r="M38" i="71"/>
  <c r="G236" i="71"/>
  <c r="M82" i="71"/>
  <c r="M51" i="71"/>
  <c r="M76" i="71"/>
  <c r="M138" i="71"/>
  <c r="M204" i="71"/>
  <c r="M45" i="71"/>
  <c r="M146" i="141"/>
  <c r="M123" i="177"/>
  <c r="M148" i="177"/>
  <c r="M33" i="177"/>
  <c r="M39" i="177"/>
  <c r="M45" i="177"/>
  <c r="M178" i="177"/>
  <c r="M43" i="177"/>
  <c r="M132" i="177"/>
  <c r="M129" i="177"/>
  <c r="M140" i="177"/>
  <c r="M168" i="177"/>
  <c r="M29" i="177"/>
  <c r="M77" i="177"/>
  <c r="M116" i="177"/>
  <c r="M151" i="177"/>
  <c r="H225" i="177"/>
  <c r="M38" i="177"/>
  <c r="M56" i="177"/>
  <c r="M97" i="177"/>
  <c r="M158" i="177"/>
  <c r="M147" i="71"/>
  <c r="M206" i="90"/>
  <c r="G208" i="90"/>
  <c r="H106" i="90"/>
  <c r="M157" i="177"/>
  <c r="M174" i="43"/>
  <c r="G208" i="50"/>
  <c r="H100" i="50"/>
  <c r="M156" i="65"/>
  <c r="M102" i="65"/>
  <c r="M124" i="84"/>
  <c r="M35" i="84"/>
  <c r="M205" i="84"/>
  <c r="M105" i="84"/>
  <c r="M78" i="84"/>
  <c r="M123" i="84"/>
  <c r="M147" i="84"/>
  <c r="M135" i="84"/>
  <c r="M58" i="84"/>
  <c r="M158" i="84"/>
  <c r="M90" i="84"/>
  <c r="M152" i="84"/>
  <c r="M39" i="84"/>
  <c r="M191" i="84"/>
  <c r="H224" i="84"/>
  <c r="M165" i="84"/>
  <c r="M110" i="84"/>
  <c r="M72" i="84"/>
  <c r="M171" i="84"/>
  <c r="M59" i="84"/>
  <c r="M87" i="84"/>
  <c r="M206" i="84"/>
  <c r="M36" i="84"/>
  <c r="H227" i="84"/>
  <c r="M77" i="84"/>
  <c r="M86" i="84"/>
  <c r="M69" i="84"/>
  <c r="M195" i="84"/>
  <c r="M136" i="84"/>
  <c r="M186" i="84"/>
  <c r="M115" i="84"/>
  <c r="H220" i="84"/>
  <c r="M175" i="84"/>
  <c r="M26" i="84"/>
  <c r="M82" i="84"/>
  <c r="M153" i="84"/>
  <c r="M148" i="84"/>
  <c r="M66" i="84"/>
  <c r="M140" i="84"/>
  <c r="M201" i="84"/>
  <c r="M56" i="84"/>
  <c r="M25" i="84"/>
  <c r="M155" i="84"/>
  <c r="M132" i="84"/>
  <c r="M37" i="84"/>
  <c r="M52" i="84"/>
  <c r="M57" i="84"/>
  <c r="M70" i="84"/>
  <c r="M182" i="84"/>
  <c r="M73" i="84"/>
  <c r="M114" i="84"/>
  <c r="M174" i="84"/>
  <c r="M184" i="84"/>
  <c r="M117" i="84"/>
  <c r="M50" i="84"/>
  <c r="M170" i="84"/>
  <c r="M88" i="84"/>
  <c r="M46" i="84"/>
  <c r="M45" i="84"/>
  <c r="M83" i="84"/>
  <c r="G236" i="84"/>
  <c r="M151" i="84"/>
  <c r="M43" i="84"/>
  <c r="M137" i="84"/>
  <c r="M169" i="84"/>
  <c r="M118" i="84"/>
  <c r="M131" i="84"/>
  <c r="M168" i="84"/>
  <c r="M192" i="84"/>
  <c r="M129" i="84"/>
  <c r="M160" i="84"/>
  <c r="H219" i="84"/>
  <c r="M41" i="84"/>
  <c r="M60" i="84"/>
  <c r="M54" i="84"/>
  <c r="M156" i="84"/>
  <c r="M116" i="84"/>
  <c r="M166" i="84"/>
  <c r="M64" i="84"/>
  <c r="M125" i="84"/>
  <c r="M183" i="84"/>
  <c r="H223" i="84"/>
  <c r="M97" i="84"/>
  <c r="M203" i="84"/>
  <c r="H225" i="84"/>
  <c r="M127" i="84"/>
  <c r="M92" i="84"/>
  <c r="M167" i="84"/>
  <c r="K13" i="84"/>
  <c r="M91" i="84"/>
  <c r="M53" i="84"/>
  <c r="M96" i="84"/>
  <c r="M47" i="84"/>
  <c r="M32" i="84"/>
  <c r="M204" i="84"/>
  <c r="M101" i="84"/>
  <c r="M187" i="84"/>
  <c r="M107" i="84"/>
  <c r="M85" i="84"/>
  <c r="M202" i="84"/>
  <c r="M177" i="84"/>
  <c r="M74" i="84"/>
  <c r="H222" i="84"/>
  <c r="H221" i="84"/>
  <c r="M84" i="84"/>
  <c r="M141" i="84"/>
  <c r="M181" i="84"/>
  <c r="M193" i="84"/>
  <c r="M76" i="84"/>
  <c r="M173" i="84"/>
  <c r="M108" i="84"/>
  <c r="M44" i="84"/>
  <c r="M65" i="84"/>
  <c r="M172" i="84"/>
  <c r="M185" i="84"/>
  <c r="M29" i="84"/>
  <c r="M99" i="84"/>
  <c r="M194" i="84"/>
  <c r="M196" i="84"/>
  <c r="M143" i="84"/>
  <c r="M98" i="84"/>
  <c r="M157" i="84"/>
  <c r="M178" i="84"/>
  <c r="H226" i="84"/>
  <c r="M28" i="84"/>
  <c r="M68" i="84"/>
  <c r="M179" i="84"/>
  <c r="M200" i="84"/>
  <c r="M75" i="84"/>
  <c r="H228" i="84"/>
  <c r="M164" i="84"/>
  <c r="M150" i="84"/>
  <c r="M188" i="84"/>
  <c r="M189" i="84"/>
  <c r="M30" i="84"/>
  <c r="M146" i="84"/>
  <c r="M159" i="84"/>
  <c r="M119" i="62"/>
  <c r="E238" i="172"/>
  <c r="M64" i="71"/>
  <c r="M69" i="71"/>
  <c r="M74" i="71"/>
  <c r="M54" i="71"/>
  <c r="M107" i="71"/>
  <c r="M159" i="71"/>
  <c r="M99" i="71"/>
  <c r="M155" i="71"/>
  <c r="M28" i="71"/>
  <c r="M30" i="71"/>
  <c r="M196" i="71"/>
  <c r="M153" i="71"/>
  <c r="M127" i="71"/>
  <c r="M48" i="71"/>
  <c r="M150" i="71"/>
  <c r="M43" i="71"/>
  <c r="M77" i="71"/>
  <c r="M88" i="71"/>
  <c r="M182" i="176"/>
  <c r="H13" i="120"/>
  <c r="M46" i="71"/>
  <c r="M131" i="71"/>
  <c r="M178" i="71"/>
  <c r="K13" i="71"/>
  <c r="M183" i="71"/>
  <c r="M182" i="71"/>
  <c r="M49" i="71"/>
  <c r="M35" i="71"/>
  <c r="M127" i="90"/>
  <c r="M67" i="71"/>
  <c r="E238" i="92"/>
  <c r="H18" i="83"/>
  <c r="E215" i="98"/>
  <c r="M111" i="71"/>
  <c r="M111" i="68"/>
  <c r="M123" i="143"/>
  <c r="M189" i="71"/>
  <c r="M131" i="43"/>
  <c r="M129" i="43"/>
  <c r="M149" i="43"/>
  <c r="M71" i="43"/>
  <c r="M194" i="43"/>
  <c r="M177" i="43"/>
  <c r="M64" i="43"/>
  <c r="M125" i="43"/>
  <c r="M178" i="43"/>
  <c r="M89" i="43"/>
  <c r="M205" i="43"/>
  <c r="H225" i="43"/>
  <c r="M47" i="43"/>
  <c r="M157" i="43"/>
  <c r="M52" i="43"/>
  <c r="M59" i="43"/>
  <c r="M187" i="43"/>
  <c r="M90" i="43"/>
  <c r="H11" i="176"/>
  <c r="M61" i="71"/>
  <c r="M65" i="68"/>
  <c r="H14" i="104"/>
  <c r="H12" i="120"/>
  <c r="M34" i="20"/>
  <c r="M32" i="143"/>
  <c r="M193" i="143"/>
  <c r="M88" i="143"/>
  <c r="M151" i="143"/>
  <c r="M141" i="143"/>
  <c r="M170" i="143"/>
  <c r="M53" i="143"/>
  <c r="H227" i="143"/>
  <c r="M54" i="143"/>
  <c r="M132" i="143"/>
  <c r="M35" i="143"/>
  <c r="H226" i="143"/>
  <c r="M152" i="143"/>
  <c r="M71" i="143"/>
  <c r="M176" i="143"/>
  <c r="M146" i="143"/>
  <c r="M69" i="143"/>
  <c r="M173" i="143"/>
  <c r="M201" i="143"/>
  <c r="M182" i="43"/>
  <c r="M79" i="71"/>
  <c r="M21" i="20"/>
  <c r="M171" i="71"/>
  <c r="M180" i="71"/>
  <c r="M124" i="71"/>
  <c r="M181" i="71"/>
  <c r="M70" i="71"/>
  <c r="M106" i="71"/>
  <c r="H223" i="71"/>
  <c r="M187" i="71"/>
  <c r="M72" i="71"/>
  <c r="M96" i="71"/>
  <c r="M73" i="71"/>
  <c r="H224" i="71"/>
  <c r="M174" i="71"/>
  <c r="M25" i="177"/>
  <c r="M82" i="177"/>
  <c r="M41" i="177"/>
  <c r="M90" i="177"/>
  <c r="M172" i="177"/>
  <c r="M196" i="177"/>
  <c r="M91" i="177"/>
  <c r="M146" i="177"/>
  <c r="M85" i="177"/>
  <c r="M72" i="177"/>
  <c r="M189" i="177"/>
  <c r="M182" i="177"/>
  <c r="M76" i="177"/>
  <c r="M109" i="177"/>
  <c r="M47" i="177"/>
  <c r="M135" i="177"/>
  <c r="M183" i="177"/>
  <c r="M126" i="177"/>
  <c r="H223" i="177"/>
  <c r="M99" i="177"/>
  <c r="M54" i="65"/>
  <c r="M130" i="71"/>
  <c r="M108" i="90"/>
  <c r="M35" i="65"/>
  <c r="M203" i="20"/>
  <c r="M130" i="95"/>
  <c r="M89" i="84"/>
  <c r="M93" i="84"/>
  <c r="M58" i="172"/>
  <c r="G208" i="79"/>
  <c r="G215" i="79"/>
  <c r="E238" i="79"/>
  <c r="M29" i="20"/>
  <c r="M41" i="20"/>
  <c r="G237" i="20"/>
  <c r="M42" i="20"/>
  <c r="M47" i="20"/>
  <c r="N179" i="28"/>
  <c r="M169" i="20"/>
  <c r="M184" i="20"/>
  <c r="M51" i="20"/>
  <c r="M26" i="20"/>
  <c r="M72" i="20"/>
  <c r="M33" i="20"/>
  <c r="M44" i="20"/>
  <c r="N179" i="158"/>
  <c r="G236" i="20"/>
  <c r="M197" i="20"/>
  <c r="M61" i="20"/>
  <c r="N179" i="66"/>
  <c r="M161" i="20"/>
  <c r="M107" i="85"/>
  <c r="M84" i="85"/>
  <c r="M66" i="85"/>
  <c r="M157" i="85"/>
  <c r="M123" i="85"/>
  <c r="M161" i="85"/>
  <c r="M21" i="85"/>
  <c r="M110" i="85"/>
  <c r="M34" i="85"/>
  <c r="M36" i="85"/>
  <c r="M69" i="85"/>
  <c r="M78" i="85"/>
  <c r="M168" i="85"/>
  <c r="M152" i="85"/>
  <c r="M205" i="85"/>
  <c r="M50" i="85"/>
  <c r="M192" i="85"/>
  <c r="H220" i="85"/>
  <c r="M85" i="85"/>
  <c r="M195" i="85"/>
  <c r="M125" i="85"/>
  <c r="M170" i="85"/>
  <c r="M60" i="85"/>
  <c r="M106" i="85"/>
  <c r="M90" i="85"/>
  <c r="M142" i="85"/>
  <c r="M176" i="85"/>
  <c r="M83" i="85"/>
  <c r="M91" i="85"/>
  <c r="M67" i="85"/>
  <c r="M38" i="85"/>
  <c r="M137" i="85"/>
  <c r="M44" i="85"/>
  <c r="M29" i="85"/>
  <c r="M167" i="85"/>
  <c r="M201" i="85"/>
  <c r="M191" i="85"/>
  <c r="M117" i="85"/>
  <c r="M178" i="85"/>
  <c r="K13" i="85"/>
  <c r="M204" i="85"/>
  <c r="M189" i="85"/>
  <c r="M147" i="85"/>
  <c r="M100" i="85"/>
  <c r="M136" i="85"/>
  <c r="M82" i="85"/>
  <c r="M109" i="85"/>
  <c r="M175" i="85"/>
  <c r="H226" i="85"/>
  <c r="M74" i="85"/>
  <c r="H225" i="85"/>
  <c r="H222" i="85"/>
  <c r="M86" i="85"/>
  <c r="M156" i="85"/>
  <c r="M200" i="85"/>
  <c r="M203" i="85"/>
  <c r="M130" i="85"/>
  <c r="M159" i="85"/>
  <c r="M132" i="85"/>
  <c r="M148" i="85"/>
  <c r="M27" i="85"/>
  <c r="M88" i="85"/>
  <c r="M41" i="85"/>
  <c r="M153" i="85"/>
  <c r="M32" i="85"/>
  <c r="M68" i="85"/>
  <c r="M124" i="85"/>
  <c r="M143" i="85"/>
  <c r="M146" i="85"/>
  <c r="M174" i="85"/>
  <c r="M64" i="85"/>
  <c r="M77" i="85"/>
  <c r="M185" i="85"/>
  <c r="M202" i="85"/>
  <c r="M145" i="85"/>
  <c r="M188" i="85"/>
  <c r="M31" i="85"/>
  <c r="M33" i="85"/>
  <c r="M87" i="85"/>
  <c r="M131" i="85"/>
  <c r="M73" i="85"/>
  <c r="M40" i="85"/>
  <c r="H223" i="85"/>
  <c r="M71" i="85"/>
  <c r="M179" i="85"/>
  <c r="M180" i="85"/>
  <c r="M65" i="85"/>
  <c r="M149" i="85"/>
  <c r="M173" i="85"/>
  <c r="M47" i="85"/>
  <c r="M97" i="85"/>
  <c r="M114" i="85"/>
  <c r="M172" i="85"/>
  <c r="M49" i="85"/>
  <c r="H227" i="85"/>
  <c r="M169" i="85"/>
  <c r="M135" i="85"/>
  <c r="M166" i="85"/>
  <c r="M126" i="85"/>
  <c r="M108" i="85"/>
  <c r="M26" i="85"/>
  <c r="M37" i="85"/>
  <c r="M89" i="85"/>
  <c r="H219" i="85"/>
  <c r="M45" i="85"/>
  <c r="M116" i="85"/>
  <c r="M118" i="85"/>
  <c r="M59" i="85"/>
  <c r="M196" i="85"/>
  <c r="M30" i="85"/>
  <c r="M133" i="85"/>
  <c r="M72" i="85"/>
  <c r="M171" i="85"/>
  <c r="H221" i="85"/>
  <c r="M129" i="85"/>
  <c r="M155" i="85"/>
  <c r="M46" i="85"/>
  <c r="M96" i="85"/>
  <c r="M181" i="85"/>
  <c r="M105" i="85"/>
  <c r="M52" i="85"/>
  <c r="M158" i="85"/>
  <c r="M55" i="85"/>
  <c r="M43" i="85"/>
  <c r="M57" i="85"/>
  <c r="M184" i="85"/>
  <c r="M56" i="85"/>
  <c r="M76" i="85"/>
  <c r="M54" i="85"/>
  <c r="M25" i="85"/>
  <c r="M151" i="85"/>
  <c r="M164" i="85"/>
  <c r="M48" i="85"/>
  <c r="H224" i="85"/>
  <c r="M35" i="85"/>
  <c r="M194" i="85"/>
  <c r="M101" i="85"/>
  <c r="M75" i="85"/>
  <c r="M92" i="85"/>
  <c r="H228" i="85"/>
  <c r="M150" i="85"/>
  <c r="M42" i="85"/>
  <c r="M53" i="85"/>
  <c r="M160" i="85"/>
  <c r="M111" i="85"/>
  <c r="M61" i="85"/>
  <c r="M186" i="85"/>
  <c r="M51" i="85"/>
  <c r="M141" i="85"/>
  <c r="M39" i="85"/>
  <c r="M127" i="85"/>
  <c r="M58" i="85"/>
  <c r="M28" i="85"/>
  <c r="M98" i="85"/>
  <c r="M190" i="85"/>
  <c r="M193" i="85"/>
  <c r="M93" i="85"/>
  <c r="M119" i="85"/>
  <c r="M165" i="85"/>
  <c r="M102" i="85"/>
  <c r="M183" i="85"/>
  <c r="M138" i="85"/>
  <c r="M99" i="85"/>
  <c r="J14" i="97"/>
  <c r="N11" i="83"/>
  <c r="N179" i="86"/>
  <c r="G208" i="72"/>
  <c r="H192" i="72"/>
  <c r="N179" i="152"/>
  <c r="N179" i="37"/>
  <c r="N179" i="167"/>
  <c r="N179" i="95"/>
  <c r="N179" i="25"/>
  <c r="N179" i="20"/>
  <c r="J19" i="97"/>
  <c r="N16" i="156"/>
  <c r="N179" i="19"/>
  <c r="M27" i="178"/>
  <c r="M97" i="119"/>
  <c r="M76" i="119"/>
  <c r="M189" i="178"/>
  <c r="M57" i="178"/>
  <c r="K11" i="16"/>
  <c r="H17" i="16"/>
  <c r="G208" i="172"/>
  <c r="G215" i="172"/>
  <c r="M141" i="27"/>
  <c r="H221" i="27"/>
  <c r="M56" i="27"/>
  <c r="M202" i="27"/>
  <c r="H225" i="27"/>
  <c r="M60" i="27"/>
  <c r="M99" i="27"/>
  <c r="M97" i="27"/>
  <c r="M84" i="27"/>
  <c r="M106" i="27"/>
  <c r="M87" i="27"/>
  <c r="M107" i="27"/>
  <c r="M46" i="27"/>
  <c r="M58" i="27"/>
  <c r="M193" i="27"/>
  <c r="M123" i="27"/>
  <c r="M168" i="27"/>
  <c r="M153" i="27"/>
  <c r="M187" i="27"/>
  <c r="M181" i="27"/>
  <c r="M115" i="119"/>
  <c r="M58" i="119"/>
  <c r="M61" i="142"/>
  <c r="M179" i="104"/>
  <c r="M119" i="15"/>
  <c r="M65" i="119"/>
  <c r="M29" i="1"/>
  <c r="M171" i="55"/>
  <c r="M106" i="65"/>
  <c r="M130" i="65"/>
  <c r="M192" i="65"/>
  <c r="M196" i="65"/>
  <c r="M111" i="65"/>
  <c r="M105" i="65"/>
  <c r="M184" i="65"/>
  <c r="H225" i="65"/>
  <c r="M205" i="65"/>
  <c r="M30" i="65"/>
  <c r="M168" i="65"/>
  <c r="M37" i="65"/>
  <c r="M73" i="65"/>
  <c r="M96" i="65"/>
  <c r="M51" i="65"/>
  <c r="M131" i="65"/>
  <c r="M138" i="65"/>
  <c r="M181" i="65"/>
  <c r="M55" i="65"/>
  <c r="H228" i="65"/>
  <c r="M126" i="65"/>
  <c r="M100" i="65"/>
  <c r="M116" i="65"/>
  <c r="M153" i="65"/>
  <c r="M68" i="65"/>
  <c r="M33" i="65"/>
  <c r="M67" i="65"/>
  <c r="M97" i="65"/>
  <c r="M159" i="65"/>
  <c r="M175" i="65"/>
  <c r="M190" i="65"/>
  <c r="M194" i="65"/>
  <c r="M179" i="65"/>
  <c r="H226" i="65"/>
  <c r="M176" i="65"/>
  <c r="M45" i="65"/>
  <c r="M69" i="65"/>
  <c r="M99" i="65"/>
  <c r="M152" i="65"/>
  <c r="M191" i="65"/>
  <c r="M170" i="65"/>
  <c r="M186" i="65"/>
  <c r="M82" i="65"/>
  <c r="M195" i="65"/>
  <c r="M143" i="65"/>
  <c r="M77" i="65"/>
  <c r="M53" i="65"/>
  <c r="M44" i="65"/>
  <c r="M92" i="65"/>
  <c r="H220" i="65"/>
  <c r="M101" i="65"/>
  <c r="M49" i="65"/>
  <c r="M36" i="65"/>
  <c r="M60" i="65"/>
  <c r="M52" i="65"/>
  <c r="M148" i="65"/>
  <c r="K13" i="65"/>
  <c r="M34" i="65"/>
  <c r="M70" i="65"/>
  <c r="M171" i="65"/>
  <c r="M140" i="65"/>
  <c r="M57" i="65"/>
  <c r="M136" i="65"/>
  <c r="M46" i="65"/>
  <c r="M107" i="65"/>
  <c r="M56" i="65"/>
  <c r="M83" i="65"/>
  <c r="H221" i="65"/>
  <c r="H219" i="65"/>
  <c r="M200" i="65"/>
  <c r="M201" i="65"/>
  <c r="M85" i="65"/>
  <c r="H222" i="65"/>
  <c r="M90" i="65"/>
  <c r="M50" i="65"/>
  <c r="M160" i="65"/>
  <c r="M180" i="65"/>
  <c r="M124" i="65"/>
  <c r="M145" i="65"/>
  <c r="M110" i="65"/>
  <c r="M183" i="65"/>
  <c r="M86" i="65"/>
  <c r="M166" i="65"/>
  <c r="M172" i="65"/>
  <c r="M39" i="65"/>
  <c r="M74" i="65"/>
  <c r="M169" i="65"/>
  <c r="M189" i="65"/>
  <c r="M66" i="65"/>
  <c r="M150" i="65"/>
  <c r="M157" i="65"/>
  <c r="M87" i="65"/>
  <c r="M118" i="65"/>
  <c r="M129" i="65"/>
  <c r="M72" i="65"/>
  <c r="M28" i="65"/>
  <c r="M25" i="65"/>
  <c r="M125" i="65"/>
  <c r="M155" i="65"/>
  <c r="H227" i="65"/>
  <c r="M75" i="65"/>
  <c r="M178" i="65"/>
  <c r="M142" i="65"/>
  <c r="M109" i="65"/>
  <c r="M173" i="65"/>
  <c r="M185" i="65"/>
  <c r="M117" i="65"/>
  <c r="M158" i="65"/>
  <c r="M165" i="65"/>
  <c r="M98" i="65"/>
  <c r="M164" i="65"/>
  <c r="M146" i="65"/>
  <c r="M203" i="65"/>
  <c r="H223" i="65"/>
  <c r="M84" i="65"/>
  <c r="M59" i="65"/>
  <c r="M177" i="65"/>
  <c r="M78" i="65"/>
  <c r="M48" i="65"/>
  <c r="M182" i="65"/>
  <c r="M29" i="65"/>
  <c r="M151" i="65"/>
  <c r="M167" i="65"/>
  <c r="M123" i="65"/>
  <c r="M174" i="65"/>
  <c r="M193" i="65"/>
  <c r="M26" i="65"/>
  <c r="M137" i="65"/>
  <c r="M32" i="65"/>
  <c r="M64" i="65"/>
  <c r="M115" i="65"/>
  <c r="M114" i="65"/>
  <c r="M108" i="65"/>
  <c r="M132" i="65"/>
  <c r="M76" i="65"/>
  <c r="M47" i="65"/>
  <c r="M88" i="65"/>
  <c r="M91" i="65"/>
  <c r="M187" i="65"/>
  <c r="M188" i="65"/>
  <c r="M40" i="65"/>
  <c r="M71" i="65"/>
  <c r="M141" i="65"/>
  <c r="M204" i="65"/>
  <c r="M41" i="65"/>
  <c r="M127" i="65"/>
  <c r="H224" i="65"/>
  <c r="M149" i="65"/>
  <c r="M89" i="65"/>
  <c r="M42" i="65"/>
  <c r="M202" i="65"/>
  <c r="M133" i="65"/>
  <c r="M146" i="1"/>
  <c r="M38" i="65"/>
  <c r="M79" i="27"/>
  <c r="M206" i="65"/>
  <c r="E215" i="86"/>
  <c r="E215" i="62"/>
  <c r="M21" i="119"/>
  <c r="M147" i="27"/>
  <c r="H12" i="16"/>
  <c r="H21" i="16"/>
  <c r="G208" i="177"/>
  <c r="H47" i="177"/>
  <c r="M100" i="27"/>
  <c r="M142" i="27"/>
  <c r="M69" i="27"/>
  <c r="M117" i="27"/>
  <c r="M26" i="27"/>
  <c r="M160" i="27"/>
  <c r="M89" i="27"/>
  <c r="M29" i="27"/>
  <c r="M149" i="27"/>
  <c r="M115" i="27"/>
  <c r="M133" i="27"/>
  <c r="M33" i="27"/>
  <c r="M92" i="27"/>
  <c r="M183" i="27"/>
  <c r="M125" i="27"/>
  <c r="M116" i="27"/>
  <c r="M44" i="27"/>
  <c r="M102" i="119"/>
  <c r="M161" i="119"/>
  <c r="G208" i="87"/>
  <c r="H107" i="87"/>
  <c r="M111" i="31"/>
  <c r="M147" i="31"/>
  <c r="M205" i="31"/>
  <c r="M156" i="31"/>
  <c r="M135" i="31"/>
  <c r="M171" i="31"/>
  <c r="M123" i="31"/>
  <c r="M141" i="31"/>
  <c r="M96" i="31"/>
  <c r="M67" i="143"/>
  <c r="M92" i="143"/>
  <c r="M59" i="143"/>
  <c r="M79" i="31"/>
  <c r="H12" i="1"/>
  <c r="H17" i="1"/>
  <c r="H14" i="1"/>
  <c r="H21" i="1"/>
  <c r="H20" i="1"/>
  <c r="H18" i="1"/>
  <c r="H15" i="1"/>
  <c r="H13" i="1"/>
  <c r="H16" i="1"/>
  <c r="H11" i="1"/>
  <c r="H19" i="1"/>
  <c r="K11" i="1"/>
  <c r="M21" i="1"/>
  <c r="E238" i="47"/>
  <c r="H14" i="16"/>
  <c r="M127" i="119"/>
  <c r="M129" i="27"/>
  <c r="M138" i="27"/>
  <c r="M67" i="27"/>
  <c r="M135" i="27"/>
  <c r="H16" i="89"/>
  <c r="H12" i="89"/>
  <c r="H20" i="89"/>
  <c r="H11" i="89"/>
  <c r="H15" i="89"/>
  <c r="H13" i="89"/>
  <c r="H17" i="89"/>
  <c r="H19" i="89"/>
  <c r="H21" i="89"/>
  <c r="K11" i="89"/>
  <c r="H18" i="89"/>
  <c r="H14" i="89"/>
  <c r="M178" i="27"/>
  <c r="M143" i="27"/>
  <c r="H11" i="16"/>
  <c r="H16" i="16"/>
  <c r="G208" i="65"/>
  <c r="H141" i="65"/>
  <c r="M71" i="27"/>
  <c r="H226" i="27"/>
  <c r="M174" i="27"/>
  <c r="H222" i="27"/>
  <c r="M109" i="27"/>
  <c r="M49" i="27"/>
  <c r="M188" i="27"/>
  <c r="H228" i="27"/>
  <c r="M196" i="27"/>
  <c r="M42" i="27"/>
  <c r="M70" i="27"/>
  <c r="M108" i="27"/>
  <c r="M158" i="27"/>
  <c r="M164" i="27"/>
  <c r="M85" i="27"/>
  <c r="M101" i="27"/>
  <c r="M59" i="27"/>
  <c r="G208" i="1"/>
  <c r="H107" i="1"/>
  <c r="M185" i="27"/>
  <c r="E215" i="68"/>
  <c r="M196" i="119"/>
  <c r="M82" i="119"/>
  <c r="M38" i="27"/>
  <c r="M165" i="119"/>
  <c r="M77" i="27"/>
  <c r="M197" i="90"/>
  <c r="M78" i="104"/>
  <c r="M110" i="55"/>
  <c r="M111" i="1"/>
  <c r="M93" i="65"/>
  <c r="G208" i="42"/>
  <c r="H34" i="42"/>
  <c r="H13" i="16"/>
  <c r="M38" i="178"/>
  <c r="M57" i="27"/>
  <c r="M148" i="27"/>
  <c r="M197" i="27"/>
  <c r="M102" i="27"/>
  <c r="H219" i="27"/>
  <c r="H223" i="27"/>
  <c r="M159" i="27"/>
  <c r="M127" i="27"/>
  <c r="M47" i="27"/>
  <c r="M28" i="27"/>
  <c r="M190" i="27"/>
  <c r="M40" i="27"/>
  <c r="M152" i="27"/>
  <c r="M76" i="27"/>
  <c r="K13" i="27"/>
  <c r="M25" i="27"/>
  <c r="M194" i="27"/>
  <c r="M131" i="27"/>
  <c r="M48" i="27"/>
  <c r="M169" i="27"/>
  <c r="M146" i="27"/>
  <c r="M55" i="119"/>
  <c r="M205" i="141"/>
  <c r="M153" i="141"/>
  <c r="M124" i="27"/>
  <c r="M115" i="90"/>
  <c r="H16" i="165"/>
  <c r="H20" i="165"/>
  <c r="H18" i="165"/>
  <c r="H21" i="165"/>
  <c r="H13" i="165"/>
  <c r="H12" i="165"/>
  <c r="H19" i="165"/>
  <c r="H17" i="165"/>
  <c r="H11" i="165"/>
  <c r="H15" i="165"/>
  <c r="K11" i="165"/>
  <c r="H14" i="165"/>
  <c r="M161" i="55"/>
  <c r="M186" i="95"/>
  <c r="M50" i="95"/>
  <c r="H227" i="95"/>
  <c r="M29" i="95"/>
  <c r="M100" i="95"/>
  <c r="M132" i="95"/>
  <c r="H228" i="95"/>
  <c r="M137" i="95"/>
  <c r="M73" i="95"/>
  <c r="M115" i="95"/>
  <c r="M91" i="95"/>
  <c r="M60" i="95"/>
  <c r="G236" i="95"/>
  <c r="M66" i="95"/>
  <c r="H223" i="95"/>
  <c r="M82" i="95"/>
  <c r="M106" i="95"/>
  <c r="M32" i="95"/>
  <c r="M84" i="95"/>
  <c r="M150" i="95"/>
  <c r="M90" i="95"/>
  <c r="M25" i="95"/>
  <c r="M70" i="95"/>
  <c r="M114" i="95"/>
  <c r="M64" i="95"/>
  <c r="M53" i="95"/>
  <c r="M96" i="95"/>
  <c r="M142" i="95"/>
  <c r="M189" i="95"/>
  <c r="M201" i="95"/>
  <c r="M171" i="95"/>
  <c r="M85" i="95"/>
  <c r="M184" i="95"/>
  <c r="M42" i="95"/>
  <c r="M110" i="95"/>
  <c r="M49" i="95"/>
  <c r="H222" i="95"/>
  <c r="H224" i="95"/>
  <c r="M192" i="95"/>
  <c r="M87" i="95"/>
  <c r="M56" i="95"/>
  <c r="M97" i="95"/>
  <c r="M169" i="95"/>
  <c r="M138" i="95"/>
  <c r="M153" i="95"/>
  <c r="M170" i="95"/>
  <c r="M116" i="95"/>
  <c r="M74" i="95"/>
  <c r="M55" i="95"/>
  <c r="M40" i="95"/>
  <c r="M193" i="95"/>
  <c r="H219" i="95"/>
  <c r="M107" i="95"/>
  <c r="M126" i="95"/>
  <c r="M191" i="95"/>
  <c r="M123" i="95"/>
  <c r="M48" i="95"/>
  <c r="M118" i="95"/>
  <c r="M39" i="95"/>
  <c r="M159" i="95"/>
  <c r="M108" i="95"/>
  <c r="M158" i="95"/>
  <c r="M35" i="95"/>
  <c r="M174" i="95"/>
  <c r="M89" i="95"/>
  <c r="M147" i="95"/>
  <c r="M98" i="95"/>
  <c r="M151" i="95"/>
  <c r="M44" i="95"/>
  <c r="M146" i="95"/>
  <c r="M136" i="95"/>
  <c r="M179" i="95"/>
  <c r="M152" i="95"/>
  <c r="M37" i="95"/>
  <c r="M117" i="95"/>
  <c r="M203" i="95"/>
  <c r="M149" i="95"/>
  <c r="M83" i="95"/>
  <c r="M36" i="95"/>
  <c r="M185" i="95"/>
  <c r="M101" i="95"/>
  <c r="M51" i="95"/>
  <c r="M188" i="95"/>
  <c r="M155" i="95"/>
  <c r="M78" i="95"/>
  <c r="M54" i="95"/>
  <c r="H221" i="95"/>
  <c r="K13" i="95"/>
  <c r="M45" i="95"/>
  <c r="M148" i="95"/>
  <c r="M129" i="95"/>
  <c r="M27" i="95"/>
  <c r="M28" i="95"/>
  <c r="M92" i="95"/>
  <c r="M181" i="95"/>
  <c r="M69" i="95"/>
  <c r="M141" i="95"/>
  <c r="M143" i="95"/>
  <c r="M204" i="95"/>
  <c r="M47" i="95"/>
  <c r="M99" i="95"/>
  <c r="M190" i="95"/>
  <c r="H225" i="95"/>
  <c r="M178" i="95"/>
  <c r="M205" i="95"/>
  <c r="M31" i="95"/>
  <c r="M46" i="95"/>
  <c r="M67" i="95"/>
  <c r="M182" i="95"/>
  <c r="M167" i="95"/>
  <c r="M127" i="95"/>
  <c r="H220" i="95"/>
  <c r="M131" i="95"/>
  <c r="M58" i="95"/>
  <c r="M194" i="95"/>
  <c r="M102" i="95"/>
  <c r="H226" i="95"/>
  <c r="M59" i="95"/>
  <c r="M76" i="95"/>
  <c r="M38" i="95"/>
  <c r="M57" i="95"/>
  <c r="M165" i="95"/>
  <c r="M65" i="95"/>
  <c r="M52" i="95"/>
  <c r="M26" i="95"/>
  <c r="M173" i="95"/>
  <c r="M175" i="95"/>
  <c r="M156" i="95"/>
  <c r="M124" i="95"/>
  <c r="M157" i="95"/>
  <c r="M71" i="95"/>
  <c r="M196" i="95"/>
  <c r="M88" i="95"/>
  <c r="M133" i="95"/>
  <c r="M75" i="95"/>
  <c r="M30" i="95"/>
  <c r="M41" i="95"/>
  <c r="M105" i="95"/>
  <c r="M77" i="95"/>
  <c r="M34" i="95"/>
  <c r="M172" i="95"/>
  <c r="M43" i="95"/>
  <c r="M180" i="95"/>
  <c r="M119" i="95"/>
  <c r="M86" i="95"/>
  <c r="M166" i="95"/>
  <c r="M68" i="95"/>
  <c r="M33" i="95"/>
  <c r="M160" i="95"/>
  <c r="M72" i="95"/>
  <c r="M200" i="95"/>
  <c r="M109" i="95"/>
  <c r="M177" i="95"/>
  <c r="M79" i="1"/>
  <c r="M206" i="27"/>
  <c r="M119" i="65"/>
  <c r="E238" i="31"/>
  <c r="M161" i="31"/>
  <c r="M197" i="95"/>
  <c r="H18" i="16"/>
  <c r="M186" i="27"/>
  <c r="M37" i="27"/>
  <c r="M147" i="178"/>
  <c r="G208" i="24"/>
  <c r="H93" i="24"/>
  <c r="G208" i="47"/>
  <c r="H170" i="47"/>
  <c r="H19" i="16"/>
  <c r="M130" i="27"/>
  <c r="M188" i="119"/>
  <c r="M111" i="27"/>
  <c r="M118" i="27"/>
  <c r="M204" i="27"/>
  <c r="M43" i="27"/>
  <c r="M27" i="27"/>
  <c r="M91" i="27"/>
  <c r="M150" i="27"/>
  <c r="M191" i="27"/>
  <c r="M192" i="27"/>
  <c r="M96" i="27"/>
  <c r="M45" i="27"/>
  <c r="M66" i="27"/>
  <c r="H224" i="27"/>
  <c r="M137" i="27"/>
  <c r="M114" i="27"/>
  <c r="M167" i="27"/>
  <c r="M90" i="27"/>
  <c r="M35" i="27"/>
  <c r="G208" i="84"/>
  <c r="H123" i="84"/>
  <c r="M171" i="27"/>
  <c r="M126" i="27"/>
  <c r="M169" i="119"/>
  <c r="M51" i="119"/>
  <c r="M61" i="104"/>
  <c r="M161" i="90"/>
  <c r="M180" i="1"/>
  <c r="M56" i="1"/>
  <c r="M152" i="1"/>
  <c r="M74" i="1"/>
  <c r="M181" i="1"/>
  <c r="M99" i="1"/>
  <c r="M37" i="1"/>
  <c r="M164" i="1"/>
  <c r="M51" i="1"/>
  <c r="M60" i="1"/>
  <c r="M48" i="1"/>
  <c r="M44" i="1"/>
  <c r="M204" i="1"/>
  <c r="M203" i="1"/>
  <c r="M182" i="1"/>
  <c r="M87" i="1"/>
  <c r="K13" i="1"/>
  <c r="M193" i="1"/>
  <c r="M85" i="1"/>
  <c r="M57" i="1"/>
  <c r="M170" i="1"/>
  <c r="M47" i="1"/>
  <c r="M71" i="1"/>
  <c r="M124" i="1"/>
  <c r="M25" i="1"/>
  <c r="H228" i="1"/>
  <c r="M172" i="1"/>
  <c r="M143" i="1"/>
  <c r="M173" i="1"/>
  <c r="M125" i="1"/>
  <c r="M70" i="1"/>
  <c r="M176" i="1"/>
  <c r="M73" i="1"/>
  <c r="H221" i="1"/>
  <c r="M115" i="1"/>
  <c r="M155" i="1"/>
  <c r="M27" i="1"/>
  <c r="H219" i="1"/>
  <c r="M165" i="1"/>
  <c r="M127" i="1"/>
  <c r="M137" i="1"/>
  <c r="M45" i="1"/>
  <c r="M32" i="1"/>
  <c r="M192" i="1"/>
  <c r="H222" i="1"/>
  <c r="M59" i="1"/>
  <c r="M84" i="1"/>
  <c r="M151" i="1"/>
  <c r="M39" i="1"/>
  <c r="M46" i="1"/>
  <c r="M109" i="1"/>
  <c r="M65" i="1"/>
  <c r="M175" i="1"/>
  <c r="M179" i="1"/>
  <c r="M158" i="1"/>
  <c r="M200" i="1"/>
  <c r="M66" i="1"/>
  <c r="M136" i="1"/>
  <c r="M186" i="1"/>
  <c r="M174" i="1"/>
  <c r="M108" i="1"/>
  <c r="M160" i="1"/>
  <c r="M157" i="1"/>
  <c r="M129" i="1"/>
  <c r="M166" i="1"/>
  <c r="M156" i="1"/>
  <c r="M150" i="1"/>
  <c r="M169" i="1"/>
  <c r="M64" i="1"/>
  <c r="M118" i="1"/>
  <c r="M83" i="1"/>
  <c r="M145" i="1"/>
  <c r="M68" i="1"/>
  <c r="M202" i="1"/>
  <c r="M187" i="1"/>
  <c r="H223" i="1"/>
  <c r="M153" i="1"/>
  <c r="M78" i="1"/>
  <c r="M116" i="1"/>
  <c r="M185" i="1"/>
  <c r="M168" i="1"/>
  <c r="M178" i="1"/>
  <c r="M177" i="1"/>
  <c r="M195" i="1"/>
  <c r="H226" i="1"/>
  <c r="M88" i="1"/>
  <c r="M34" i="1"/>
  <c r="M92" i="1"/>
  <c r="M205" i="1"/>
  <c r="M42" i="1"/>
  <c r="M100" i="1"/>
  <c r="M69" i="1"/>
  <c r="M54" i="1"/>
  <c r="M149" i="1"/>
  <c r="M28" i="1"/>
  <c r="M171" i="1"/>
  <c r="M67" i="1"/>
  <c r="M190" i="1"/>
  <c r="M183" i="1"/>
  <c r="M35" i="1"/>
  <c r="M148" i="1"/>
  <c r="H225" i="1"/>
  <c r="M147" i="1"/>
  <c r="M40" i="1"/>
  <c r="M77" i="1"/>
  <c r="M30" i="1"/>
  <c r="M31" i="1"/>
  <c r="M126" i="1"/>
  <c r="M141" i="1"/>
  <c r="M58" i="1"/>
  <c r="M105" i="1"/>
  <c r="M138" i="1"/>
  <c r="M188" i="1"/>
  <c r="M189" i="1"/>
  <c r="M43" i="1"/>
  <c r="M52" i="1"/>
  <c r="M142" i="1"/>
  <c r="H224" i="1"/>
  <c r="M96" i="1"/>
  <c r="H220" i="1"/>
  <c r="M117" i="1"/>
  <c r="M194" i="1"/>
  <c r="M130" i="1"/>
  <c r="M26" i="1"/>
  <c r="M131" i="1"/>
  <c r="M167" i="1"/>
  <c r="M107" i="1"/>
  <c r="M110" i="1"/>
  <c r="M184" i="1"/>
  <c r="M53" i="1"/>
  <c r="M91" i="1"/>
  <c r="M98" i="1"/>
  <c r="M133" i="1"/>
  <c r="M75" i="1"/>
  <c r="M123" i="1"/>
  <c r="M38" i="1"/>
  <c r="M159" i="1"/>
  <c r="M89" i="1"/>
  <c r="M41" i="1"/>
  <c r="M132" i="1"/>
  <c r="M196" i="1"/>
  <c r="M201" i="1"/>
  <c r="M106" i="1"/>
  <c r="M97" i="1"/>
  <c r="M36" i="1"/>
  <c r="M140" i="1"/>
  <c r="M50" i="1"/>
  <c r="M191" i="1"/>
  <c r="M55" i="1"/>
  <c r="M135" i="1"/>
  <c r="G236" i="1"/>
  <c r="M82" i="1"/>
  <c r="H227" i="1"/>
  <c r="M76" i="1"/>
  <c r="M90" i="1"/>
  <c r="M79" i="92"/>
  <c r="M135" i="95"/>
  <c r="M114" i="1"/>
  <c r="M61" i="143"/>
  <c r="E215" i="63"/>
  <c r="E215" i="64"/>
  <c r="G208" i="120"/>
  <c r="H53" i="120"/>
  <c r="M166" i="27"/>
  <c r="M119" i="27"/>
  <c r="M82" i="27"/>
  <c r="M78" i="27"/>
  <c r="M39" i="27"/>
  <c r="M176" i="27"/>
  <c r="M36" i="27"/>
  <c r="G236" i="27"/>
  <c r="M105" i="27"/>
  <c r="M83" i="27"/>
  <c r="M195" i="27"/>
  <c r="M53" i="27"/>
  <c r="M172" i="27"/>
  <c r="M165" i="27"/>
  <c r="M74" i="27"/>
  <c r="M179" i="27"/>
  <c r="M68" i="27"/>
  <c r="M136" i="27"/>
  <c r="M156" i="178"/>
  <c r="M151" i="178"/>
  <c r="M119" i="119"/>
  <c r="M169" i="141"/>
  <c r="M54" i="27"/>
  <c r="M109" i="141"/>
  <c r="M61" i="118"/>
  <c r="M194" i="141"/>
  <c r="M93" i="119"/>
  <c r="M119" i="141"/>
  <c r="M124" i="55"/>
  <c r="M84" i="55"/>
  <c r="M86" i="55"/>
  <c r="M38" i="55"/>
  <c r="M146" i="55"/>
  <c r="M42" i="55"/>
  <c r="M31" i="55"/>
  <c r="M66" i="55"/>
  <c r="M89" i="55"/>
  <c r="M76" i="55"/>
  <c r="H220" i="55"/>
  <c r="H228" i="55"/>
  <c r="M118" i="55"/>
  <c r="M97" i="55"/>
  <c r="M64" i="55"/>
  <c r="H223" i="55"/>
  <c r="M136" i="55"/>
  <c r="M43" i="55"/>
  <c r="M189" i="55"/>
  <c r="M67" i="55"/>
  <c r="M56" i="55"/>
  <c r="M156" i="55"/>
  <c r="M172" i="55"/>
  <c r="M135" i="55"/>
  <c r="M114" i="55"/>
  <c r="M185" i="55"/>
  <c r="M195" i="55"/>
  <c r="M180" i="55"/>
  <c r="M184" i="55"/>
  <c r="M33" i="55"/>
  <c r="M50" i="55"/>
  <c r="M35" i="55"/>
  <c r="M168" i="55"/>
  <c r="M41" i="55"/>
  <c r="M96" i="55"/>
  <c r="M105" i="55"/>
  <c r="M49" i="55"/>
  <c r="M73" i="55"/>
  <c r="M138" i="55"/>
  <c r="M150" i="55"/>
  <c r="M65" i="55"/>
  <c r="M133" i="55"/>
  <c r="M164" i="55"/>
  <c r="M32" i="55"/>
  <c r="M191" i="55"/>
  <c r="M53" i="55"/>
  <c r="M169" i="55"/>
  <c r="M45" i="55"/>
  <c r="H219" i="55"/>
  <c r="M131" i="55"/>
  <c r="M74" i="55"/>
  <c r="M39" i="55"/>
  <c r="M92" i="55"/>
  <c r="M34" i="55"/>
  <c r="M142" i="55"/>
  <c r="M117" i="55"/>
  <c r="M71" i="55"/>
  <c r="M46" i="55"/>
  <c r="M141" i="55"/>
  <c r="M165" i="55"/>
  <c r="M177" i="55"/>
  <c r="M145" i="55"/>
  <c r="M179" i="55"/>
  <c r="M69" i="55"/>
  <c r="M107" i="55"/>
  <c r="M192" i="55"/>
  <c r="M36" i="55"/>
  <c r="M173" i="55"/>
  <c r="M188" i="55"/>
  <c r="M182" i="55"/>
  <c r="M28" i="55"/>
  <c r="M125" i="55"/>
  <c r="M72" i="55"/>
  <c r="M109" i="55"/>
  <c r="M75" i="55"/>
  <c r="M48" i="55"/>
  <c r="M147" i="55"/>
  <c r="H227" i="55"/>
  <c r="M70" i="55"/>
  <c r="M37" i="55"/>
  <c r="K13" i="55"/>
  <c r="M88" i="55"/>
  <c r="M115" i="55"/>
  <c r="M30" i="55"/>
  <c r="M170" i="55"/>
  <c r="M29" i="55"/>
  <c r="M90" i="55"/>
  <c r="M202" i="55"/>
  <c r="M155" i="55"/>
  <c r="M77" i="55"/>
  <c r="H226" i="55"/>
  <c r="H222" i="55"/>
  <c r="M85" i="55"/>
  <c r="M140" i="55"/>
  <c r="M200" i="55"/>
  <c r="M82" i="55"/>
  <c r="M205" i="55"/>
  <c r="M183" i="55"/>
  <c r="M193" i="55"/>
  <c r="M59" i="55"/>
  <c r="M52" i="55"/>
  <c r="M87" i="55"/>
  <c r="M204" i="55"/>
  <c r="M25" i="55"/>
  <c r="G236" i="55"/>
  <c r="M201" i="55"/>
  <c r="M137" i="55"/>
  <c r="M203" i="55"/>
  <c r="M123" i="55"/>
  <c r="M106" i="55"/>
  <c r="H221" i="55"/>
  <c r="M175" i="55"/>
  <c r="M176" i="55"/>
  <c r="M130" i="55"/>
  <c r="M174" i="55"/>
  <c r="M181" i="55"/>
  <c r="M40" i="55"/>
  <c r="M151" i="55"/>
  <c r="M60" i="55"/>
  <c r="M57" i="55"/>
  <c r="M101" i="55"/>
  <c r="M55" i="55"/>
  <c r="M47" i="55"/>
  <c r="M68" i="55"/>
  <c r="M157" i="55"/>
  <c r="M100" i="55"/>
  <c r="M148" i="55"/>
  <c r="M26" i="55"/>
  <c r="M159" i="55"/>
  <c r="M78" i="55"/>
  <c r="M44" i="55"/>
  <c r="M58" i="55"/>
  <c r="M149" i="55"/>
  <c r="M178" i="55"/>
  <c r="M196" i="55"/>
  <c r="M108" i="55"/>
  <c r="M83" i="55"/>
  <c r="M158" i="55"/>
  <c r="M143" i="55"/>
  <c r="M54" i="55"/>
  <c r="H225" i="55"/>
  <c r="M166" i="55"/>
  <c r="M187" i="55"/>
  <c r="M153" i="55"/>
  <c r="M132" i="55"/>
  <c r="M127" i="55"/>
  <c r="M91" i="55"/>
  <c r="M27" i="55"/>
  <c r="M167" i="55"/>
  <c r="M190" i="55"/>
  <c r="M194" i="55"/>
  <c r="H224" i="55"/>
  <c r="M152" i="55"/>
  <c r="M126" i="55"/>
  <c r="M51" i="55"/>
  <c r="M129" i="55"/>
  <c r="M160" i="55"/>
  <c r="M186" i="55"/>
  <c r="M34" i="92"/>
  <c r="M60" i="92"/>
  <c r="M142" i="92"/>
  <c r="M189" i="92"/>
  <c r="M152" i="92"/>
  <c r="M28" i="92"/>
  <c r="M98" i="92"/>
  <c r="M166" i="92"/>
  <c r="M26" i="92"/>
  <c r="M70" i="92"/>
  <c r="M168" i="92"/>
  <c r="M66" i="92"/>
  <c r="M44" i="92"/>
  <c r="M165" i="92"/>
  <c r="M61" i="1"/>
  <c r="H14" i="150"/>
  <c r="H21" i="150"/>
  <c r="H20" i="150"/>
  <c r="H12" i="150"/>
  <c r="H13" i="150"/>
  <c r="H15" i="150"/>
  <c r="K11" i="150"/>
  <c r="H16" i="150"/>
  <c r="H19" i="150"/>
  <c r="H11" i="150"/>
  <c r="H17" i="150"/>
  <c r="H18" i="150"/>
  <c r="M206" i="95"/>
  <c r="M111" i="55"/>
  <c r="N179" i="72"/>
  <c r="N179" i="38"/>
  <c r="N179" i="142"/>
  <c r="N179" i="68"/>
  <c r="N179" i="43"/>
  <c r="N179" i="159"/>
  <c r="N179" i="102"/>
  <c r="N179" i="92"/>
  <c r="N179" i="60"/>
  <c r="N179" i="89"/>
  <c r="K15" i="72"/>
  <c r="E238" i="72"/>
  <c r="K15" i="79"/>
  <c r="N44" i="33"/>
  <c r="N164" i="156"/>
  <c r="G237" i="79"/>
  <c r="E238" i="37"/>
  <c r="K15" i="37"/>
  <c r="G237" i="37"/>
  <c r="K15" i="85"/>
  <c r="G236" i="85"/>
  <c r="G237" i="85"/>
  <c r="E238" i="85"/>
  <c r="M165" i="20"/>
  <c r="M152" i="20"/>
  <c r="M60" i="20"/>
  <c r="M148" i="20"/>
  <c r="M159" i="20"/>
  <c r="H225" i="20"/>
  <c r="M166" i="20"/>
  <c r="M65" i="20"/>
  <c r="M155" i="20"/>
  <c r="M190" i="20"/>
  <c r="M172" i="20"/>
  <c r="M146" i="20"/>
  <c r="M135" i="20"/>
  <c r="M204" i="20"/>
  <c r="M38" i="20"/>
  <c r="M160" i="20"/>
  <c r="M85" i="20"/>
  <c r="M71" i="20"/>
  <c r="M185" i="20"/>
  <c r="K13" i="20"/>
  <c r="M156" i="20"/>
  <c r="H224" i="20"/>
  <c r="M179" i="20"/>
  <c r="M67" i="20"/>
  <c r="M202" i="20"/>
  <c r="M27" i="20"/>
  <c r="M130" i="20"/>
  <c r="M90" i="20"/>
  <c r="M142" i="20"/>
  <c r="M52" i="20"/>
  <c r="M173" i="20"/>
  <c r="M54" i="20"/>
  <c r="M87" i="20"/>
  <c r="M109" i="20"/>
  <c r="M171" i="20"/>
  <c r="M186" i="20"/>
  <c r="H226" i="20"/>
  <c r="M174" i="20"/>
  <c r="M64" i="20"/>
  <c r="M129" i="20"/>
  <c r="M153" i="20"/>
  <c r="M115" i="20"/>
  <c r="M106" i="20"/>
  <c r="M181" i="20"/>
  <c r="M59" i="20"/>
  <c r="M74" i="20"/>
  <c r="M164" i="20"/>
  <c r="M192" i="20"/>
  <c r="M170" i="20"/>
  <c r="M126" i="20"/>
  <c r="M35" i="20"/>
  <c r="M43" i="20"/>
  <c r="H223" i="20"/>
  <c r="H228" i="20"/>
  <c r="M82" i="20"/>
  <c r="M193" i="20"/>
  <c r="M158" i="20"/>
  <c r="M110" i="20"/>
  <c r="M70" i="20"/>
  <c r="M78" i="20"/>
  <c r="M107" i="20"/>
  <c r="M28" i="20"/>
  <c r="M91" i="20"/>
  <c r="M84" i="20"/>
  <c r="H221" i="20"/>
  <c r="M136" i="20"/>
  <c r="M68" i="20"/>
  <c r="M151" i="20"/>
  <c r="M138" i="20"/>
  <c r="M123" i="20"/>
  <c r="M31" i="20"/>
  <c r="M188" i="20"/>
  <c r="H220" i="20"/>
  <c r="M39" i="20"/>
  <c r="M40" i="20"/>
  <c r="M205" i="20"/>
  <c r="M189" i="20"/>
  <c r="M92" i="20"/>
  <c r="M143" i="20"/>
  <c r="M187" i="20"/>
  <c r="M108" i="20"/>
  <c r="M177" i="20"/>
  <c r="M58" i="20"/>
  <c r="M97" i="20"/>
  <c r="M180" i="20"/>
  <c r="M141" i="20"/>
  <c r="M132" i="20"/>
  <c r="M175" i="20"/>
  <c r="M76" i="20"/>
  <c r="M49" i="20"/>
  <c r="M183" i="20"/>
  <c r="M77" i="20"/>
  <c r="M56" i="20"/>
  <c r="M133" i="20"/>
  <c r="M182" i="20"/>
  <c r="M25" i="20"/>
  <c r="M145" i="20"/>
  <c r="M116" i="20"/>
  <c r="M168" i="20"/>
  <c r="H222" i="20"/>
  <c r="M196" i="20"/>
  <c r="M69" i="20"/>
  <c r="H219" i="20"/>
  <c r="M157" i="20"/>
  <c r="M83" i="20"/>
  <c r="M100" i="20"/>
  <c r="M32" i="20"/>
  <c r="M57" i="20"/>
  <c r="M201" i="20"/>
  <c r="M147" i="20"/>
  <c r="M149" i="20"/>
  <c r="M88" i="20"/>
  <c r="M45" i="20"/>
  <c r="H227" i="20"/>
  <c r="M36" i="20"/>
  <c r="M140" i="20"/>
  <c r="M191" i="20"/>
  <c r="M137" i="20"/>
  <c r="M200" i="20"/>
  <c r="M124" i="20"/>
  <c r="M118" i="20"/>
  <c r="M125" i="20"/>
  <c r="M119" i="20"/>
  <c r="M75" i="20"/>
  <c r="M131" i="20"/>
  <c r="M117" i="20"/>
  <c r="M73" i="20"/>
  <c r="M53" i="20"/>
  <c r="M167" i="20"/>
  <c r="M114" i="20"/>
  <c r="M66" i="20"/>
  <c r="M55" i="20"/>
  <c r="M46" i="20"/>
  <c r="M194" i="20"/>
  <c r="M195" i="20"/>
  <c r="M105" i="20"/>
  <c r="M178" i="20"/>
  <c r="M50" i="20"/>
  <c r="M206" i="20"/>
  <c r="M127" i="20"/>
  <c r="M79" i="20"/>
  <c r="M98" i="20"/>
  <c r="M176" i="20"/>
  <c r="M99" i="20"/>
  <c r="M101" i="20"/>
  <c r="M150" i="20"/>
  <c r="M111" i="20"/>
  <c r="M93" i="20"/>
  <c r="N44" i="27"/>
  <c r="N44" i="50"/>
  <c r="N44" i="118"/>
  <c r="N44" i="45"/>
  <c r="J17" i="97"/>
  <c r="N14" i="141"/>
  <c r="N44" i="152"/>
  <c r="G237" i="102"/>
  <c r="K15" i="102"/>
  <c r="N44" i="46"/>
  <c r="N44" i="72"/>
  <c r="J15" i="97"/>
  <c r="N12" i="175"/>
  <c r="N44" i="64"/>
  <c r="N44" i="60"/>
  <c r="E238" i="102"/>
  <c r="N164" i="47"/>
  <c r="N164" i="54"/>
  <c r="N164" i="87"/>
  <c r="G208" i="19"/>
  <c r="H32" i="19"/>
  <c r="M147" i="19"/>
  <c r="M132" i="19"/>
  <c r="M170" i="19"/>
  <c r="M115" i="19"/>
  <c r="M64" i="19"/>
  <c r="M59" i="19"/>
  <c r="M142" i="19"/>
  <c r="M53" i="19"/>
  <c r="M182" i="19"/>
  <c r="M28" i="19"/>
  <c r="M60" i="19"/>
  <c r="M88" i="19"/>
  <c r="M54" i="19"/>
  <c r="M41" i="19"/>
  <c r="M100" i="19"/>
  <c r="K15" i="19"/>
  <c r="E238" i="19"/>
  <c r="M79" i="19"/>
  <c r="M197" i="19"/>
  <c r="G122" i="97"/>
  <c r="M142" i="149"/>
  <c r="M110" i="149"/>
  <c r="M98" i="149"/>
  <c r="M33" i="149"/>
  <c r="M153" i="149"/>
  <c r="M189" i="149"/>
  <c r="M126" i="149"/>
  <c r="M53" i="149"/>
  <c r="M47" i="149"/>
  <c r="M204" i="149"/>
  <c r="K13" i="149"/>
  <c r="H221" i="149"/>
  <c r="M178" i="149"/>
  <c r="M85" i="149"/>
  <c r="M143" i="149"/>
  <c r="M74" i="149"/>
  <c r="M29" i="149"/>
  <c r="M70" i="149"/>
  <c r="M135" i="149"/>
  <c r="M91" i="149"/>
  <c r="M149" i="149"/>
  <c r="M37" i="149"/>
  <c r="M57" i="149"/>
  <c r="M140" i="149"/>
  <c r="M106" i="149"/>
  <c r="M73" i="149"/>
  <c r="M26" i="149"/>
  <c r="M99" i="149"/>
  <c r="M116" i="149"/>
  <c r="H228" i="149"/>
  <c r="M125" i="149"/>
  <c r="G236" i="149"/>
  <c r="M30" i="149"/>
  <c r="M173" i="149"/>
  <c r="M169" i="149"/>
  <c r="M114" i="149"/>
  <c r="M41" i="149"/>
  <c r="M132" i="149"/>
  <c r="M179" i="149"/>
  <c r="M59" i="149"/>
  <c r="H223" i="149"/>
  <c r="M202" i="149"/>
  <c r="M27" i="149"/>
  <c r="M183" i="149"/>
  <c r="M109" i="149"/>
  <c r="M148" i="149"/>
  <c r="M55" i="149"/>
  <c r="M68" i="149"/>
  <c r="M127" i="149"/>
  <c r="M167" i="149"/>
  <c r="M195" i="149"/>
  <c r="M172" i="149"/>
  <c r="M155" i="149"/>
  <c r="M40" i="149"/>
  <c r="M105" i="149"/>
  <c r="M136" i="149"/>
  <c r="M137" i="149"/>
  <c r="M166" i="149"/>
  <c r="M58" i="149"/>
  <c r="M25" i="149"/>
  <c r="M56" i="149"/>
  <c r="H220" i="149"/>
  <c r="M64" i="149"/>
  <c r="M171" i="149"/>
  <c r="M157" i="149"/>
  <c r="M196" i="149"/>
  <c r="M174" i="149"/>
  <c r="M96" i="149"/>
  <c r="M191" i="149"/>
  <c r="M151" i="149"/>
  <c r="M31" i="149"/>
  <c r="M88" i="149"/>
  <c r="M141" i="149"/>
  <c r="M205" i="149"/>
  <c r="M42" i="149"/>
  <c r="M145" i="149"/>
  <c r="M175" i="149"/>
  <c r="M146" i="149"/>
  <c r="M39" i="149"/>
  <c r="M44" i="149"/>
  <c r="M71" i="149"/>
  <c r="H227" i="149"/>
  <c r="M130" i="149"/>
  <c r="M87" i="149"/>
  <c r="M36" i="149"/>
  <c r="M168" i="149"/>
  <c r="M138" i="149"/>
  <c r="M124" i="149"/>
  <c r="M35" i="149"/>
  <c r="M129" i="149"/>
  <c r="M38" i="149"/>
  <c r="M185" i="149"/>
  <c r="M150" i="149"/>
  <c r="H222" i="149"/>
  <c r="M160" i="149"/>
  <c r="M45" i="149"/>
  <c r="M187" i="149"/>
  <c r="M48" i="149"/>
  <c r="H226" i="149"/>
  <c r="M177" i="149"/>
  <c r="M170" i="149"/>
  <c r="M159" i="149"/>
  <c r="H219" i="149"/>
  <c r="M115" i="149"/>
  <c r="M158" i="149"/>
  <c r="M50" i="149"/>
  <c r="M147" i="149"/>
  <c r="M182" i="149"/>
  <c r="M152" i="149"/>
  <c r="M108" i="149"/>
  <c r="M123" i="149"/>
  <c r="M75" i="149"/>
  <c r="M51" i="149"/>
  <c r="M72" i="149"/>
  <c r="M181" i="149"/>
  <c r="M89" i="149"/>
  <c r="M43" i="149"/>
  <c r="M107" i="149"/>
  <c r="M82" i="149"/>
  <c r="M90" i="149"/>
  <c r="M60" i="149"/>
  <c r="M46" i="149"/>
  <c r="H225" i="149"/>
  <c r="M77" i="149"/>
  <c r="M200" i="149"/>
  <c r="M193" i="149"/>
  <c r="M201" i="149"/>
  <c r="M180" i="149"/>
  <c r="M69" i="149"/>
  <c r="M192" i="149"/>
  <c r="M131" i="149"/>
  <c r="M100" i="149"/>
  <c r="M165" i="149"/>
  <c r="M194" i="149"/>
  <c r="M32" i="149"/>
  <c r="H224" i="149"/>
  <c r="M66" i="149"/>
  <c r="M83" i="149"/>
  <c r="M86" i="149"/>
  <c r="M28" i="149"/>
  <c r="M101" i="149"/>
  <c r="M84" i="149"/>
  <c r="M186" i="149"/>
  <c r="M97" i="149"/>
  <c r="M176" i="149"/>
  <c r="M156" i="149"/>
  <c r="M78" i="149"/>
  <c r="M117" i="149"/>
  <c r="M67" i="149"/>
  <c r="M49" i="149"/>
  <c r="M76" i="149"/>
  <c r="M203" i="149"/>
  <c r="M164" i="149"/>
  <c r="M34" i="149"/>
  <c r="M190" i="149"/>
  <c r="M133" i="149"/>
  <c r="M92" i="149"/>
  <c r="M184" i="149"/>
  <c r="M54" i="149"/>
  <c r="M65" i="149"/>
  <c r="M118" i="149"/>
  <c r="M52" i="149"/>
  <c r="M206" i="149"/>
  <c r="M111" i="149"/>
  <c r="N44" i="42"/>
  <c r="N44" i="85"/>
  <c r="N44" i="142"/>
  <c r="N44" i="98"/>
  <c r="N44" i="63"/>
  <c r="N44" i="14"/>
  <c r="N44" i="103"/>
  <c r="N44" i="120"/>
  <c r="N44" i="57"/>
  <c r="N44" i="43"/>
  <c r="N44" i="119"/>
  <c r="M102" i="149"/>
  <c r="M161" i="149"/>
  <c r="N44" i="21"/>
  <c r="N44" i="79"/>
  <c r="N44" i="47"/>
  <c r="N44" i="102"/>
  <c r="N44" i="68"/>
  <c r="N44" i="10"/>
  <c r="N44" i="38"/>
  <c r="N44" i="66"/>
  <c r="N44" i="155"/>
  <c r="N44" i="87"/>
  <c r="N44" i="111"/>
  <c r="M21" i="149"/>
  <c r="M188" i="149"/>
  <c r="M79" i="149"/>
  <c r="K15" i="149"/>
  <c r="G237" i="149"/>
  <c r="M61" i="149"/>
  <c r="G208" i="149"/>
  <c r="H130" i="149"/>
  <c r="N44" i="65"/>
  <c r="N44" i="15"/>
  <c r="N44" i="95"/>
  <c r="N44" i="150"/>
  <c r="N44" i="92"/>
  <c r="N44" i="159"/>
  <c r="N44" i="104"/>
  <c r="N44" i="106"/>
  <c r="N44" i="39"/>
  <c r="N44" i="32"/>
  <c r="N44" i="174"/>
  <c r="E238" i="149"/>
  <c r="M93" i="149"/>
  <c r="M119" i="149"/>
  <c r="M197" i="149"/>
  <c r="N179" i="103"/>
  <c r="N179" i="143"/>
  <c r="N179" i="31"/>
  <c r="N179" i="176"/>
  <c r="N179" i="39"/>
  <c r="N179" i="136"/>
  <c r="N179" i="71"/>
  <c r="N179" i="87"/>
  <c r="N179" i="156"/>
  <c r="N179" i="57"/>
  <c r="N179" i="21"/>
  <c r="N179" i="47"/>
  <c r="N179" i="106"/>
  <c r="N179" i="50"/>
  <c r="N179" i="49"/>
  <c r="N179" i="54"/>
  <c r="N179" i="165"/>
  <c r="N179" i="84"/>
  <c r="N179" i="64"/>
  <c r="N179" i="113"/>
  <c r="N179" i="83"/>
  <c r="N179" i="119"/>
  <c r="N179" i="135"/>
  <c r="N179" i="32"/>
  <c r="N179" i="62"/>
  <c r="N179" i="157"/>
  <c r="N179" i="118"/>
  <c r="N179" i="164"/>
  <c r="N179" i="145"/>
  <c r="N179" i="14"/>
  <c r="N179" i="46"/>
  <c r="N179" i="53"/>
  <c r="N179" i="120"/>
  <c r="N179" i="10"/>
  <c r="N179" i="104"/>
  <c r="N179" i="174"/>
  <c r="N179" i="58"/>
  <c r="N179" i="1"/>
  <c r="N179" i="85"/>
  <c r="N179" i="141"/>
  <c r="N179" i="69"/>
  <c r="N179" i="27"/>
  <c r="N179" i="98"/>
  <c r="N179" i="16"/>
  <c r="N179" i="94"/>
  <c r="N179" i="79"/>
  <c r="N179" i="55"/>
  <c r="N179" i="15"/>
  <c r="N179" i="24"/>
  <c r="N179" i="33"/>
  <c r="N179" i="150"/>
  <c r="N179" i="149"/>
  <c r="N179" i="155"/>
  <c r="N179" i="133"/>
  <c r="N179" i="63"/>
  <c r="N179" i="177"/>
  <c r="N179" i="90"/>
  <c r="N179" i="45"/>
  <c r="N179" i="111"/>
  <c r="N179" i="65"/>
  <c r="N179" i="175"/>
  <c r="N179" i="172"/>
  <c r="N179" i="42"/>
  <c r="K15" i="145"/>
  <c r="G237" i="145"/>
  <c r="N164" i="119"/>
  <c r="N164" i="27"/>
  <c r="N164" i="98"/>
  <c r="N164" i="62"/>
  <c r="N44" i="176"/>
  <c r="N44" i="83"/>
  <c r="N44" i="55"/>
  <c r="N44" i="28"/>
  <c r="N44" i="133"/>
  <c r="N44" i="172"/>
  <c r="N44" i="53"/>
  <c r="N44" i="145"/>
  <c r="N44" i="1"/>
  <c r="N44" i="177"/>
  <c r="N44" i="20"/>
  <c r="N164" i="46"/>
  <c r="N164" i="95"/>
  <c r="N164" i="86"/>
  <c r="N164" i="37"/>
  <c r="N164" i="142"/>
  <c r="N164" i="15"/>
  <c r="N44" i="158"/>
  <c r="N44" i="86"/>
  <c r="N44" i="141"/>
  <c r="N44" i="25"/>
  <c r="N44" i="135"/>
  <c r="N44" i="156"/>
  <c r="N44" i="164"/>
  <c r="N44" i="19"/>
  <c r="N44" i="71"/>
  <c r="N44" i="167"/>
  <c r="N44" i="178"/>
  <c r="N164" i="64"/>
  <c r="N164" i="111"/>
  <c r="N164" i="149"/>
  <c r="N164" i="152"/>
  <c r="N164" i="103"/>
  <c r="N164" i="57"/>
  <c r="N44" i="157"/>
  <c r="N44" i="69"/>
  <c r="N44" i="54"/>
  <c r="N44" i="58"/>
  <c r="N44" i="89"/>
  <c r="N44" i="90"/>
  <c r="N44" i="143"/>
  <c r="N44" i="24"/>
  <c r="N44" i="31"/>
  <c r="N44" i="94"/>
  <c r="N164" i="172"/>
  <c r="N164" i="145"/>
  <c r="N164" i="165"/>
  <c r="N164" i="175"/>
  <c r="N164" i="104"/>
  <c r="N164" i="150"/>
  <c r="N164" i="141"/>
  <c r="N164" i="16"/>
  <c r="N44" i="149"/>
  <c r="N44" i="62"/>
  <c r="N44" i="84"/>
  <c r="N44" i="113"/>
  <c r="N44" i="37"/>
  <c r="N44" i="49"/>
  <c r="N44" i="16"/>
  <c r="N44" i="165"/>
  <c r="N44" i="136"/>
  <c r="N164" i="10"/>
  <c r="N164" i="85"/>
  <c r="N164" i="79"/>
  <c r="N164" i="32"/>
  <c r="N164" i="178"/>
  <c r="M54" i="176"/>
  <c r="M43" i="176"/>
  <c r="M99" i="176"/>
  <c r="M73" i="176"/>
  <c r="M153" i="176"/>
  <c r="M88" i="176"/>
  <c r="M84" i="176"/>
  <c r="M149" i="176"/>
  <c r="M45" i="176"/>
  <c r="H226" i="176"/>
  <c r="H219" i="176"/>
  <c r="M118" i="176"/>
  <c r="M142" i="176"/>
  <c r="M191" i="176"/>
  <c r="M148" i="176"/>
  <c r="M105" i="176"/>
  <c r="M60" i="176"/>
  <c r="M119" i="176"/>
  <c r="H227" i="176"/>
  <c r="H221" i="176"/>
  <c r="M172" i="176"/>
  <c r="M101" i="176"/>
  <c r="M195" i="176"/>
  <c r="M75" i="176"/>
  <c r="M57" i="176"/>
  <c r="M34" i="176"/>
  <c r="M38" i="176"/>
  <c r="M140" i="176"/>
  <c r="M107" i="176"/>
  <c r="M192" i="176"/>
  <c r="H225" i="176"/>
  <c r="M171" i="176"/>
  <c r="M202" i="176"/>
  <c r="M189" i="176"/>
  <c r="M98" i="176"/>
  <c r="M69" i="176"/>
  <c r="G236" i="176"/>
  <c r="M132" i="176"/>
  <c r="M131" i="176"/>
  <c r="M48" i="176"/>
  <c r="M59" i="176"/>
  <c r="M201" i="176"/>
  <c r="M170" i="176"/>
  <c r="M64" i="176"/>
  <c r="M158" i="176"/>
  <c r="M37" i="176"/>
  <c r="M78" i="176"/>
  <c r="M76" i="176"/>
  <c r="M74" i="176"/>
  <c r="M124" i="176"/>
  <c r="M138" i="176"/>
  <c r="M67" i="176"/>
  <c r="M188" i="176"/>
  <c r="M92" i="176"/>
  <c r="M145" i="176"/>
  <c r="M130" i="176"/>
  <c r="M31" i="176"/>
  <c r="M196" i="176"/>
  <c r="H222" i="176"/>
  <c r="H228" i="176"/>
  <c r="M52" i="176"/>
  <c r="M150" i="176"/>
  <c r="M36" i="176"/>
  <c r="M70" i="176"/>
  <c r="M156" i="176"/>
  <c r="M47" i="176"/>
  <c r="M169" i="176"/>
  <c r="M129" i="176"/>
  <c r="M116" i="176"/>
  <c r="K13" i="176"/>
  <c r="M32" i="176"/>
  <c r="M187" i="176"/>
  <c r="M159" i="176"/>
  <c r="M157" i="176"/>
  <c r="M184" i="176"/>
  <c r="M178" i="176"/>
  <c r="M167" i="176"/>
  <c r="M100" i="176"/>
  <c r="M109" i="176"/>
  <c r="M143" i="176"/>
  <c r="M68" i="176"/>
  <c r="M85" i="176"/>
  <c r="M91" i="176"/>
  <c r="M160" i="176"/>
  <c r="M72" i="176"/>
  <c r="M181" i="176"/>
  <c r="M152" i="176"/>
  <c r="M146" i="176"/>
  <c r="M180" i="176"/>
  <c r="M28" i="176"/>
  <c r="M29" i="176"/>
  <c r="M77" i="176"/>
  <c r="M185" i="176"/>
  <c r="M168" i="176"/>
  <c r="H224" i="176"/>
  <c r="M86" i="176"/>
  <c r="M66" i="176"/>
  <c r="M51" i="176"/>
  <c r="M33" i="176"/>
  <c r="M55" i="176"/>
  <c r="M35" i="176"/>
  <c r="M186" i="176"/>
  <c r="M83" i="176"/>
  <c r="M40" i="176"/>
  <c r="M164" i="176"/>
  <c r="M108" i="176"/>
  <c r="H220" i="176"/>
  <c r="M56" i="176"/>
  <c r="M53" i="176"/>
  <c r="M65" i="176"/>
  <c r="M71" i="176"/>
  <c r="H223" i="176"/>
  <c r="M41" i="176"/>
  <c r="M58" i="176"/>
  <c r="M82" i="176"/>
  <c r="M87" i="176"/>
  <c r="M117" i="176"/>
  <c r="M114" i="176"/>
  <c r="M115" i="176"/>
  <c r="M25" i="176"/>
  <c r="M46" i="176"/>
  <c r="M39" i="176"/>
  <c r="M127" i="176"/>
  <c r="M137" i="176"/>
  <c r="M135" i="176"/>
  <c r="M174" i="176"/>
  <c r="M27" i="176"/>
  <c r="M133" i="176"/>
  <c r="M125" i="176"/>
  <c r="M42" i="176"/>
  <c r="M50" i="176"/>
  <c r="M26" i="176"/>
  <c r="M106" i="176"/>
  <c r="M177" i="176"/>
  <c r="M165" i="176"/>
  <c r="M126" i="176"/>
  <c r="M123" i="176"/>
  <c r="M79" i="176"/>
  <c r="M204" i="176"/>
  <c r="M175" i="176"/>
  <c r="M141" i="176"/>
  <c r="M173" i="176"/>
  <c r="M49" i="176"/>
  <c r="M44" i="176"/>
  <c r="M194" i="176"/>
  <c r="M97" i="176"/>
  <c r="M30" i="176"/>
  <c r="M136" i="176"/>
  <c r="M90" i="176"/>
  <c r="M205" i="176"/>
  <c r="M96" i="176"/>
  <c r="M110" i="176"/>
  <c r="M166" i="176"/>
  <c r="H16" i="10"/>
  <c r="K11" i="10"/>
  <c r="H15" i="10"/>
  <c r="H12" i="10"/>
  <c r="H18" i="10"/>
  <c r="M21" i="10"/>
  <c r="H13" i="10"/>
  <c r="H11" i="10"/>
  <c r="H19" i="10"/>
  <c r="H17" i="10"/>
  <c r="H21" i="10"/>
  <c r="H14" i="10"/>
  <c r="H20" i="10"/>
  <c r="H21" i="54"/>
  <c r="H16" i="54"/>
  <c r="H14" i="54"/>
  <c r="K11" i="54"/>
  <c r="H17" i="54"/>
  <c r="H15" i="54"/>
  <c r="H19" i="54"/>
  <c r="H13" i="54"/>
  <c r="H12" i="54"/>
  <c r="H18" i="54"/>
  <c r="H11" i="54"/>
  <c r="H20" i="54"/>
  <c r="H16" i="65"/>
  <c r="H17" i="65"/>
  <c r="H18" i="65"/>
  <c r="H11" i="65"/>
  <c r="M21" i="65"/>
  <c r="H21" i="65"/>
  <c r="H20" i="65"/>
  <c r="K11" i="65"/>
  <c r="H13" i="65"/>
  <c r="H12" i="65"/>
  <c r="H15" i="65"/>
  <c r="H14" i="65"/>
  <c r="H19" i="65"/>
  <c r="M93" i="68"/>
  <c r="G208" i="64"/>
  <c r="H107" i="64"/>
  <c r="M129" i="66"/>
  <c r="M161" i="54"/>
  <c r="G208" i="15"/>
  <c r="H75" i="15"/>
  <c r="M203" i="68"/>
  <c r="H16" i="120"/>
  <c r="H21" i="120"/>
  <c r="E215" i="145"/>
  <c r="M192" i="178"/>
  <c r="N164" i="31"/>
  <c r="N164" i="65"/>
  <c r="N164" i="102"/>
  <c r="N164" i="50"/>
  <c r="N164" i="92"/>
  <c r="N164" i="69"/>
  <c r="N164" i="83"/>
  <c r="N164" i="66"/>
  <c r="N164" i="1"/>
  <c r="N164" i="63"/>
  <c r="N164" i="167"/>
  <c r="H15" i="62"/>
  <c r="H20" i="62"/>
  <c r="H13" i="62"/>
  <c r="H12" i="62"/>
  <c r="H17" i="62"/>
  <c r="H14" i="62"/>
  <c r="H21" i="62"/>
  <c r="H11" i="62"/>
  <c r="K11" i="62"/>
  <c r="H19" i="62"/>
  <c r="H16" i="62"/>
  <c r="H18" i="62"/>
  <c r="M177" i="68"/>
  <c r="M119" i="68"/>
  <c r="H14" i="43"/>
  <c r="H11" i="43"/>
  <c r="H21" i="43"/>
  <c r="H19" i="43"/>
  <c r="H20" i="43"/>
  <c r="K11" i="43"/>
  <c r="H15" i="43"/>
  <c r="H17" i="43"/>
  <c r="H13" i="43"/>
  <c r="H18" i="43"/>
  <c r="H16" i="43"/>
  <c r="H12" i="43"/>
  <c r="M27" i="68"/>
  <c r="M151" i="176"/>
  <c r="M194" i="68"/>
  <c r="M61" i="176"/>
  <c r="M111" i="141"/>
  <c r="K15" i="176"/>
  <c r="G237" i="176"/>
  <c r="M171" i="119"/>
  <c r="M72" i="119"/>
  <c r="M84" i="119"/>
  <c r="M44" i="119"/>
  <c r="M186" i="119"/>
  <c r="M109" i="119"/>
  <c r="M145" i="119"/>
  <c r="M59" i="119"/>
  <c r="M41" i="119"/>
  <c r="M191" i="119"/>
  <c r="M43" i="119"/>
  <c r="M125" i="119"/>
  <c r="M33" i="119"/>
  <c r="M47" i="119"/>
  <c r="H220" i="119"/>
  <c r="G236" i="119"/>
  <c r="M70" i="119"/>
  <c r="M100" i="119"/>
  <c r="M153" i="119"/>
  <c r="M118" i="119"/>
  <c r="M201" i="119"/>
  <c r="M75" i="119"/>
  <c r="M110" i="119"/>
  <c r="M35" i="119"/>
  <c r="H221" i="119"/>
  <c r="M187" i="119"/>
  <c r="H226" i="119"/>
  <c r="M147" i="119"/>
  <c r="M54" i="119"/>
  <c r="M205" i="119"/>
  <c r="M203" i="119"/>
  <c r="M64" i="119"/>
  <c r="M194" i="119"/>
  <c r="M131" i="119"/>
  <c r="M190" i="119"/>
  <c r="M34" i="119"/>
  <c r="M132" i="119"/>
  <c r="H225" i="119"/>
  <c r="M181" i="119"/>
  <c r="H227" i="119"/>
  <c r="M160" i="119"/>
  <c r="M159" i="119"/>
  <c r="M140" i="119"/>
  <c r="M106" i="119"/>
  <c r="M68" i="119"/>
  <c r="M174" i="119"/>
  <c r="M143" i="119"/>
  <c r="M38" i="119"/>
  <c r="M89" i="119"/>
  <c r="M177" i="119"/>
  <c r="M98" i="119"/>
  <c r="M30" i="119"/>
  <c r="M129" i="119"/>
  <c r="M29" i="119"/>
  <c r="M74" i="119"/>
  <c r="M66" i="119"/>
  <c r="H224" i="119"/>
  <c r="M185" i="119"/>
  <c r="H219" i="119"/>
  <c r="M158" i="119"/>
  <c r="H228" i="119"/>
  <c r="M183" i="119"/>
  <c r="M92" i="119"/>
  <c r="M26" i="119"/>
  <c r="M193" i="119"/>
  <c r="M87" i="119"/>
  <c r="M202" i="119"/>
  <c r="M182" i="119"/>
  <c r="M32" i="119"/>
  <c r="M170" i="119"/>
  <c r="H223" i="119"/>
  <c r="M105" i="119"/>
  <c r="M83" i="119"/>
  <c r="M77" i="119"/>
  <c r="M116" i="119"/>
  <c r="M149" i="119"/>
  <c r="M189" i="119"/>
  <c r="M157" i="119"/>
  <c r="M52" i="119"/>
  <c r="M168" i="119"/>
  <c r="M27" i="119"/>
  <c r="M42" i="119"/>
  <c r="M53" i="119"/>
  <c r="M164" i="119"/>
  <c r="M130" i="119"/>
  <c r="M91" i="119"/>
  <c r="H222" i="119"/>
  <c r="M141" i="119"/>
  <c r="M151" i="119"/>
  <c r="M137" i="119"/>
  <c r="M73" i="119"/>
  <c r="M178" i="119"/>
  <c r="M136" i="119"/>
  <c r="M126" i="119"/>
  <c r="M67" i="119"/>
  <c r="M85" i="119"/>
  <c r="M96" i="119"/>
  <c r="M138" i="119"/>
  <c r="M71" i="119"/>
  <c r="M48" i="119"/>
  <c r="M88" i="119"/>
  <c r="M46" i="119"/>
  <c r="M200" i="119"/>
  <c r="M133" i="119"/>
  <c r="M50" i="119"/>
  <c r="M31" i="119"/>
  <c r="K13" i="119"/>
  <c r="M117" i="119"/>
  <c r="M172" i="119"/>
  <c r="M180" i="119"/>
  <c r="M146" i="119"/>
  <c r="M49" i="119"/>
  <c r="M135" i="119"/>
  <c r="M78" i="119"/>
  <c r="M184" i="119"/>
  <c r="M107" i="119"/>
  <c r="M175" i="119"/>
  <c r="M37" i="119"/>
  <c r="M204" i="119"/>
  <c r="M57" i="119"/>
  <c r="M176" i="119"/>
  <c r="M195" i="119"/>
  <c r="M60" i="119"/>
  <c r="M45" i="119"/>
  <c r="M28" i="119"/>
  <c r="M56" i="119"/>
  <c r="M150" i="119"/>
  <c r="M152" i="119"/>
  <c r="M148" i="119"/>
  <c r="M166" i="119"/>
  <c r="M99" i="119"/>
  <c r="M142" i="119"/>
  <c r="M124" i="119"/>
  <c r="M25" i="119"/>
  <c r="M39" i="119"/>
  <c r="M167" i="119"/>
  <c r="M40" i="119"/>
  <c r="M156" i="119"/>
  <c r="M36" i="119"/>
  <c r="M114" i="119"/>
  <c r="M206" i="119"/>
  <c r="M155" i="119"/>
  <c r="M86" i="119"/>
  <c r="M179" i="119"/>
  <c r="M70" i="104"/>
  <c r="M197" i="141"/>
  <c r="K11" i="103"/>
  <c r="H18" i="103"/>
  <c r="H21" i="103"/>
  <c r="H13" i="103"/>
  <c r="H17" i="103"/>
  <c r="H16" i="103"/>
  <c r="H14" i="103"/>
  <c r="H20" i="103"/>
  <c r="H19" i="103"/>
  <c r="H11" i="103"/>
  <c r="H12" i="103"/>
  <c r="H15" i="103"/>
  <c r="M61" i="119"/>
  <c r="M206" i="118"/>
  <c r="M64" i="68"/>
  <c r="M161" i="141"/>
  <c r="H18" i="50"/>
  <c r="H13" i="50"/>
  <c r="H21" i="50"/>
  <c r="H20" i="50"/>
  <c r="K11" i="50"/>
  <c r="H19" i="50"/>
  <c r="H15" i="50"/>
  <c r="H17" i="50"/>
  <c r="H14" i="50"/>
  <c r="H11" i="50"/>
  <c r="H16" i="50"/>
  <c r="M21" i="50"/>
  <c r="H12" i="50"/>
  <c r="H16" i="84"/>
  <c r="M21" i="84"/>
  <c r="H19" i="84"/>
  <c r="H17" i="84"/>
  <c r="H18" i="84"/>
  <c r="H21" i="84"/>
  <c r="H14" i="84"/>
  <c r="H12" i="84"/>
  <c r="H11" i="84"/>
  <c r="H13" i="84"/>
  <c r="H20" i="84"/>
  <c r="H15" i="84"/>
  <c r="K11" i="84"/>
  <c r="M111" i="66"/>
  <c r="M89" i="176"/>
  <c r="G208" i="89"/>
  <c r="G215" i="89"/>
  <c r="M105" i="68"/>
  <c r="M102" i="66"/>
  <c r="M161" i="66"/>
  <c r="M79" i="68"/>
  <c r="M79" i="178"/>
  <c r="G208" i="102"/>
  <c r="H58" i="102"/>
  <c r="G208" i="141"/>
  <c r="H49" i="141"/>
  <c r="H20" i="120"/>
  <c r="M129" i="178"/>
  <c r="N164" i="84"/>
  <c r="N164" i="25"/>
  <c r="N164" i="135"/>
  <c r="N164" i="43"/>
  <c r="N164" i="164"/>
  <c r="N164" i="20"/>
  <c r="N164" i="33"/>
  <c r="N164" i="143"/>
  <c r="N164" i="60"/>
  <c r="N164" i="19"/>
  <c r="N164" i="174"/>
  <c r="H119" i="87"/>
  <c r="M197" i="118"/>
  <c r="M180" i="118"/>
  <c r="H222" i="118"/>
  <c r="M58" i="118"/>
  <c r="M118" i="118"/>
  <c r="H227" i="118"/>
  <c r="M177" i="118"/>
  <c r="M35" i="118"/>
  <c r="M176" i="118"/>
  <c r="M76" i="118"/>
  <c r="M41" i="118"/>
  <c r="M172" i="118"/>
  <c r="M27" i="118"/>
  <c r="M174" i="118"/>
  <c r="G236" i="118"/>
  <c r="M157" i="118"/>
  <c r="M31" i="118"/>
  <c r="M49" i="118"/>
  <c r="M175" i="118"/>
  <c r="M165" i="118"/>
  <c r="M90" i="118"/>
  <c r="M33" i="118"/>
  <c r="M148" i="118"/>
  <c r="K13" i="118"/>
  <c r="H220" i="118"/>
  <c r="M107" i="118"/>
  <c r="M71" i="118"/>
  <c r="M156" i="118"/>
  <c r="M133" i="118"/>
  <c r="M170" i="118"/>
  <c r="M196" i="118"/>
  <c r="M47" i="118"/>
  <c r="M145" i="118"/>
  <c r="H224" i="118"/>
  <c r="M188" i="118"/>
  <c r="M30" i="118"/>
  <c r="M194" i="118"/>
  <c r="M193" i="118"/>
  <c r="M34" i="118"/>
  <c r="M131" i="118"/>
  <c r="M110" i="118"/>
  <c r="M57" i="118"/>
  <c r="M146" i="118"/>
  <c r="M84" i="118"/>
  <c r="M91" i="118"/>
  <c r="M184" i="118"/>
  <c r="M50" i="118"/>
  <c r="M68" i="118"/>
  <c r="M54" i="118"/>
  <c r="M151" i="118"/>
  <c r="M195" i="118"/>
  <c r="M52" i="118"/>
  <c r="M97" i="118"/>
  <c r="M46" i="118"/>
  <c r="M183" i="118"/>
  <c r="M42" i="118"/>
  <c r="M105" i="118"/>
  <c r="M99" i="118"/>
  <c r="M25" i="118"/>
  <c r="M132" i="118"/>
  <c r="M109" i="118"/>
  <c r="M186" i="118"/>
  <c r="M82" i="118"/>
  <c r="M135" i="118"/>
  <c r="M26" i="118"/>
  <c r="M78" i="118"/>
  <c r="M189" i="118"/>
  <c r="M142" i="118"/>
  <c r="M159" i="118"/>
  <c r="M85" i="118"/>
  <c r="M65" i="118"/>
  <c r="M187" i="118"/>
  <c r="M204" i="118"/>
  <c r="M115" i="118"/>
  <c r="M59" i="118"/>
  <c r="M181" i="118"/>
  <c r="M141" i="118"/>
  <c r="M203" i="118"/>
  <c r="M32" i="118"/>
  <c r="M98" i="118"/>
  <c r="M86" i="118"/>
  <c r="H226" i="118"/>
  <c r="M114" i="118"/>
  <c r="M87" i="118"/>
  <c r="M40" i="118"/>
  <c r="M182" i="118"/>
  <c r="M153" i="118"/>
  <c r="M74" i="118"/>
  <c r="M64" i="118"/>
  <c r="M100" i="118"/>
  <c r="H223" i="118"/>
  <c r="M70" i="118"/>
  <c r="H228" i="118"/>
  <c r="M185" i="118"/>
  <c r="M178" i="118"/>
  <c r="M39" i="118"/>
  <c r="M51" i="118"/>
  <c r="M28" i="118"/>
  <c r="M173" i="118"/>
  <c r="M129" i="118"/>
  <c r="M101" i="118"/>
  <c r="M108" i="118"/>
  <c r="M43" i="118"/>
  <c r="M143" i="118"/>
  <c r="M147" i="118"/>
  <c r="M66" i="118"/>
  <c r="H225" i="118"/>
  <c r="M158" i="118"/>
  <c r="M205" i="118"/>
  <c r="M48" i="118"/>
  <c r="M152" i="118"/>
  <c r="M155" i="118"/>
  <c r="M140" i="118"/>
  <c r="M167" i="118"/>
  <c r="M179" i="118"/>
  <c r="M77" i="118"/>
  <c r="M117" i="118"/>
  <c r="M125" i="118"/>
  <c r="H219" i="118"/>
  <c r="M171" i="118"/>
  <c r="M160" i="118"/>
  <c r="M88" i="118"/>
  <c r="M72" i="118"/>
  <c r="M92" i="118"/>
  <c r="M45" i="118"/>
  <c r="M75" i="118"/>
  <c r="M150" i="118"/>
  <c r="M168" i="118"/>
  <c r="M60" i="118"/>
  <c r="M123" i="118"/>
  <c r="M200" i="118"/>
  <c r="M164" i="118"/>
  <c r="M67" i="118"/>
  <c r="M55" i="118"/>
  <c r="M44" i="118"/>
  <c r="M169" i="118"/>
  <c r="M130" i="118"/>
  <c r="M202" i="118"/>
  <c r="M126" i="118"/>
  <c r="M36" i="118"/>
  <c r="M166" i="118"/>
  <c r="M116" i="118"/>
  <c r="M201" i="118"/>
  <c r="M124" i="118"/>
  <c r="M191" i="118"/>
  <c r="M119" i="118"/>
  <c r="M192" i="118"/>
  <c r="M29" i="118"/>
  <c r="M38" i="118"/>
  <c r="M69" i="118"/>
  <c r="M96" i="118"/>
  <c r="M190" i="118"/>
  <c r="M136" i="118"/>
  <c r="M73" i="118"/>
  <c r="M83" i="118"/>
  <c r="M53" i="118"/>
  <c r="M149" i="118"/>
  <c r="H221" i="118"/>
  <c r="M137" i="118"/>
  <c r="M106" i="118"/>
  <c r="M176" i="176"/>
  <c r="M110" i="141"/>
  <c r="M196" i="141"/>
  <c r="M191" i="141"/>
  <c r="M202" i="141"/>
  <c r="M186" i="141"/>
  <c r="M164" i="141"/>
  <c r="M166" i="141"/>
  <c r="M190" i="141"/>
  <c r="M87" i="141"/>
  <c r="H222" i="141"/>
  <c r="M84" i="141"/>
  <c r="H220" i="141"/>
  <c r="H221" i="141"/>
  <c r="M57" i="141"/>
  <c r="M56" i="141"/>
  <c r="M175" i="141"/>
  <c r="H223" i="141"/>
  <c r="M173" i="141"/>
  <c r="M51" i="141"/>
  <c r="M28" i="141"/>
  <c r="M204" i="141"/>
  <c r="M124" i="141"/>
  <c r="M89" i="141"/>
  <c r="M151" i="141"/>
  <c r="M129" i="141"/>
  <c r="M52" i="141"/>
  <c r="M41" i="141"/>
  <c r="M42" i="141"/>
  <c r="M40" i="141"/>
  <c r="M193" i="141"/>
  <c r="M50" i="141"/>
  <c r="M90" i="141"/>
  <c r="M76" i="141"/>
  <c r="M75" i="141"/>
  <c r="M160" i="141"/>
  <c r="H224" i="141"/>
  <c r="H225" i="141"/>
  <c r="M171" i="141"/>
  <c r="M106" i="141"/>
  <c r="M176" i="141"/>
  <c r="M25" i="141"/>
  <c r="M74" i="141"/>
  <c r="M118" i="141"/>
  <c r="M78" i="141"/>
  <c r="M44" i="141"/>
  <c r="M142" i="141"/>
  <c r="M67" i="141"/>
  <c r="M155" i="141"/>
  <c r="M38" i="141"/>
  <c r="H226" i="141"/>
  <c r="M148" i="141"/>
  <c r="M149" i="141"/>
  <c r="M65" i="141"/>
  <c r="M39" i="141"/>
  <c r="M108" i="141"/>
  <c r="M32" i="141"/>
  <c r="H228" i="141"/>
  <c r="M195" i="141"/>
  <c r="M59" i="141"/>
  <c r="M181" i="141"/>
  <c r="M136" i="141"/>
  <c r="H219" i="141"/>
  <c r="M37" i="141"/>
  <c r="M130" i="141"/>
  <c r="M29" i="141"/>
  <c r="M58" i="141"/>
  <c r="M72" i="141"/>
  <c r="M188" i="141"/>
  <c r="M33" i="141"/>
  <c r="M107" i="141"/>
  <c r="M69" i="141"/>
  <c r="M147" i="141"/>
  <c r="M26" i="141"/>
  <c r="M34" i="141"/>
  <c r="M167" i="141"/>
  <c r="M30" i="141"/>
  <c r="M156" i="141"/>
  <c r="M53" i="141"/>
  <c r="M92" i="141"/>
  <c r="M132" i="141"/>
  <c r="M98" i="141"/>
  <c r="M125" i="141"/>
  <c r="M96" i="141"/>
  <c r="M66" i="141"/>
  <c r="M86" i="141"/>
  <c r="M71" i="141"/>
  <c r="M45" i="141"/>
  <c r="H227" i="141"/>
  <c r="M192" i="141"/>
  <c r="M187" i="141"/>
  <c r="M158" i="141"/>
  <c r="M82" i="141"/>
  <c r="M27" i="141"/>
  <c r="M54" i="141"/>
  <c r="M133" i="141"/>
  <c r="M174" i="141"/>
  <c r="M73" i="141"/>
  <c r="M168" i="141"/>
  <c r="K13" i="141"/>
  <c r="M31" i="141"/>
  <c r="M60" i="141"/>
  <c r="M97" i="141"/>
  <c r="M189" i="141"/>
  <c r="M35" i="141"/>
  <c r="M157" i="141"/>
  <c r="M68" i="141"/>
  <c r="M182" i="141"/>
  <c r="M70" i="141"/>
  <c r="M172" i="141"/>
  <c r="M49" i="141"/>
  <c r="G236" i="141"/>
  <c r="M152" i="141"/>
  <c r="M177" i="141"/>
  <c r="M127" i="141"/>
  <c r="M105" i="141"/>
  <c r="M83" i="141"/>
  <c r="M170" i="141"/>
  <c r="M99" i="141"/>
  <c r="M117" i="141"/>
  <c r="M179" i="141"/>
  <c r="M185" i="141"/>
  <c r="M88" i="141"/>
  <c r="M101" i="141"/>
  <c r="M143" i="141"/>
  <c r="M203" i="141"/>
  <c r="M180" i="141"/>
  <c r="M200" i="141"/>
  <c r="M131" i="141"/>
  <c r="M138" i="141"/>
  <c r="M43" i="141"/>
  <c r="M184" i="141"/>
  <c r="M48" i="141"/>
  <c r="M126" i="141"/>
  <c r="M55" i="141"/>
  <c r="M183" i="141"/>
  <c r="M46" i="141"/>
  <c r="M102" i="141"/>
  <c r="M64" i="141"/>
  <c r="M47" i="141"/>
  <c r="M36" i="141"/>
  <c r="M85" i="141"/>
  <c r="M145" i="141"/>
  <c r="M100" i="141"/>
  <c r="M114" i="141"/>
  <c r="M116" i="141"/>
  <c r="M140" i="141"/>
  <c r="M201" i="141"/>
  <c r="M159" i="141"/>
  <c r="M141" i="141"/>
  <c r="M77" i="141"/>
  <c r="M135" i="141"/>
  <c r="M178" i="141"/>
  <c r="H20" i="14"/>
  <c r="H13" i="14"/>
  <c r="H12" i="14"/>
  <c r="H18" i="14"/>
  <c r="H19" i="14"/>
  <c r="M21" i="14"/>
  <c r="H11" i="14"/>
  <c r="H21" i="14"/>
  <c r="H14" i="14"/>
  <c r="H15" i="14"/>
  <c r="H17" i="14"/>
  <c r="H16" i="14"/>
  <c r="K11" i="14"/>
  <c r="H13" i="28"/>
  <c r="H17" i="28"/>
  <c r="H18" i="28"/>
  <c r="H19" i="28"/>
  <c r="H14" i="28"/>
  <c r="H15" i="28"/>
  <c r="H11" i="28"/>
  <c r="M21" i="28"/>
  <c r="K11" i="28"/>
  <c r="H12" i="28"/>
  <c r="H21" i="28"/>
  <c r="H20" i="28"/>
  <c r="H16" i="28"/>
  <c r="M108" i="119"/>
  <c r="M37" i="118"/>
  <c r="M203" i="176"/>
  <c r="M34" i="68"/>
  <c r="M66" i="104"/>
  <c r="M184" i="104"/>
  <c r="M174" i="104"/>
  <c r="M32" i="104"/>
  <c r="H220" i="104"/>
  <c r="M185" i="104"/>
  <c r="H221" i="104"/>
  <c r="H222" i="104"/>
  <c r="M116" i="104"/>
  <c r="H219" i="104"/>
  <c r="M89" i="104"/>
  <c r="M90" i="104"/>
  <c r="K13" i="104"/>
  <c r="H224" i="104"/>
  <c r="M148" i="104"/>
  <c r="M35" i="104"/>
  <c r="M145" i="104"/>
  <c r="M51" i="104"/>
  <c r="M189" i="104"/>
  <c r="M42" i="104"/>
  <c r="M152" i="104"/>
  <c r="H223" i="104"/>
  <c r="M54" i="104"/>
  <c r="M118" i="104"/>
  <c r="H228" i="104"/>
  <c r="M26" i="104"/>
  <c r="M132" i="104"/>
  <c r="M200" i="104"/>
  <c r="M41" i="104"/>
  <c r="M88" i="104"/>
  <c r="M187" i="104"/>
  <c r="M28" i="104"/>
  <c r="M146" i="104"/>
  <c r="M71" i="104"/>
  <c r="M158" i="104"/>
  <c r="M159" i="104"/>
  <c r="M129" i="104"/>
  <c r="M45" i="104"/>
  <c r="M68" i="104"/>
  <c r="M166" i="104"/>
  <c r="M37" i="104"/>
  <c r="M25" i="104"/>
  <c r="M130" i="104"/>
  <c r="M188" i="104"/>
  <c r="M156" i="104"/>
  <c r="M69" i="104"/>
  <c r="M99" i="104"/>
  <c r="M105" i="104"/>
  <c r="M123" i="104"/>
  <c r="M38" i="104"/>
  <c r="M73" i="104"/>
  <c r="M77" i="104"/>
  <c r="M43" i="104"/>
  <c r="H226" i="104"/>
  <c r="M172" i="104"/>
  <c r="M195" i="104"/>
  <c r="M135" i="104"/>
  <c r="M34" i="104"/>
  <c r="M91" i="104"/>
  <c r="M153" i="104"/>
  <c r="G236" i="104"/>
  <c r="M46" i="104"/>
  <c r="M205" i="104"/>
  <c r="M107" i="104"/>
  <c r="M133" i="104"/>
  <c r="M86" i="104"/>
  <c r="H227" i="104"/>
  <c r="M53" i="104"/>
  <c r="M65" i="104"/>
  <c r="M165" i="104"/>
  <c r="H225" i="104"/>
  <c r="M59" i="104"/>
  <c r="M97" i="104"/>
  <c r="M126" i="104"/>
  <c r="M137" i="104"/>
  <c r="M178" i="104"/>
  <c r="M58" i="104"/>
  <c r="M36" i="104"/>
  <c r="M57" i="104"/>
  <c r="M155" i="104"/>
  <c r="M181" i="104"/>
  <c r="M108" i="104"/>
  <c r="M31" i="104"/>
  <c r="M176" i="104"/>
  <c r="M143" i="104"/>
  <c r="M196" i="104"/>
  <c r="M47" i="104"/>
  <c r="M114" i="104"/>
  <c r="M180" i="104"/>
  <c r="M50" i="104"/>
  <c r="M55" i="104"/>
  <c r="M29" i="104"/>
  <c r="M33" i="104"/>
  <c r="M106" i="104"/>
  <c r="M138" i="104"/>
  <c r="M191" i="104"/>
  <c r="M141" i="104"/>
  <c r="M60" i="104"/>
  <c r="M75" i="104"/>
  <c r="M44" i="104"/>
  <c r="M92" i="104"/>
  <c r="M170" i="104"/>
  <c r="M109" i="104"/>
  <c r="M192" i="104"/>
  <c r="M27" i="104"/>
  <c r="M67" i="104"/>
  <c r="M194" i="104"/>
  <c r="M125" i="104"/>
  <c r="M201" i="104"/>
  <c r="M173" i="104"/>
  <c r="M76" i="104"/>
  <c r="M193" i="104"/>
  <c r="M169" i="104"/>
  <c r="M84" i="104"/>
  <c r="M150" i="104"/>
  <c r="M30" i="104"/>
  <c r="M40" i="104"/>
  <c r="M177" i="104"/>
  <c r="M202" i="104"/>
  <c r="M98" i="104"/>
  <c r="M72" i="104"/>
  <c r="M142" i="104"/>
  <c r="M64" i="104"/>
  <c r="M140" i="104"/>
  <c r="M101" i="104"/>
  <c r="M115" i="104"/>
  <c r="M87" i="104"/>
  <c r="M39" i="104"/>
  <c r="M100" i="104"/>
  <c r="M160" i="104"/>
  <c r="M204" i="104"/>
  <c r="M151" i="104"/>
  <c r="M48" i="104"/>
  <c r="M83" i="104"/>
  <c r="M168" i="104"/>
  <c r="M157" i="104"/>
  <c r="M85" i="104"/>
  <c r="M49" i="104"/>
  <c r="E215" i="24"/>
  <c r="M115" i="141"/>
  <c r="H11" i="47"/>
  <c r="K11" i="47"/>
  <c r="H13" i="47"/>
  <c r="H17" i="47"/>
  <c r="H12" i="47"/>
  <c r="H14" i="47"/>
  <c r="H18" i="47"/>
  <c r="H16" i="47"/>
  <c r="H19" i="47"/>
  <c r="H15" i="47"/>
  <c r="H21" i="47"/>
  <c r="H20" i="47"/>
  <c r="M69" i="119"/>
  <c r="M190" i="104"/>
  <c r="M197" i="119"/>
  <c r="M131" i="104"/>
  <c r="H14" i="106"/>
  <c r="H17" i="106"/>
  <c r="H21" i="106"/>
  <c r="H19" i="106"/>
  <c r="H12" i="106"/>
  <c r="H16" i="106"/>
  <c r="H20" i="106"/>
  <c r="H18" i="106"/>
  <c r="H13" i="106"/>
  <c r="H11" i="106"/>
  <c r="K11" i="106"/>
  <c r="H15" i="106"/>
  <c r="M21" i="19"/>
  <c r="K11" i="19"/>
  <c r="H18" i="19"/>
  <c r="H15" i="19"/>
  <c r="H16" i="19"/>
  <c r="H12" i="19"/>
  <c r="H21" i="19"/>
  <c r="H11" i="19"/>
  <c r="H14" i="19"/>
  <c r="H17" i="19"/>
  <c r="H19" i="19"/>
  <c r="H20" i="19"/>
  <c r="H13" i="19"/>
  <c r="H15" i="27"/>
  <c r="H11" i="27"/>
  <c r="H20" i="27"/>
  <c r="H21" i="27"/>
  <c r="H17" i="27"/>
  <c r="H14" i="27"/>
  <c r="K11" i="27"/>
  <c r="H16" i="27"/>
  <c r="H13" i="27"/>
  <c r="H19" i="27"/>
  <c r="H12" i="27"/>
  <c r="H18" i="27"/>
  <c r="E238" i="141"/>
  <c r="M79" i="66"/>
  <c r="G208" i="157"/>
  <c r="H200" i="157"/>
  <c r="G208" i="175"/>
  <c r="H117" i="175"/>
  <c r="M84" i="66"/>
  <c r="M61" i="54"/>
  <c r="M40" i="178"/>
  <c r="G208" i="119"/>
  <c r="H70" i="119"/>
  <c r="M32" i="54"/>
  <c r="M87" i="66"/>
  <c r="M21" i="176"/>
  <c r="M194" i="178"/>
  <c r="M40" i="66"/>
  <c r="M161" i="68"/>
  <c r="H15" i="120"/>
  <c r="N164" i="42"/>
  <c r="N164" i="49"/>
  <c r="N164" i="45"/>
  <c r="N164" i="176"/>
  <c r="N164" i="24"/>
  <c r="N164" i="53"/>
  <c r="N164" i="177"/>
  <c r="N164" i="14"/>
  <c r="N164" i="133"/>
  <c r="N164" i="38"/>
  <c r="H188" i="87"/>
  <c r="E238" i="176"/>
  <c r="M190" i="176"/>
  <c r="M29" i="15"/>
  <c r="M89" i="15"/>
  <c r="M97" i="15"/>
  <c r="M105" i="15"/>
  <c r="M170" i="15"/>
  <c r="M110" i="15"/>
  <c r="M38" i="15"/>
  <c r="M137" i="15"/>
  <c r="M99" i="15"/>
  <c r="M37" i="15"/>
  <c r="M84" i="15"/>
  <c r="M165" i="15"/>
  <c r="M96" i="15"/>
  <c r="M149" i="15"/>
  <c r="M160" i="15"/>
  <c r="M117" i="15"/>
  <c r="M161" i="176"/>
  <c r="M61" i="90"/>
  <c r="M102" i="118"/>
  <c r="M173" i="119"/>
  <c r="M61" i="66"/>
  <c r="M155" i="176"/>
  <c r="M158" i="68"/>
  <c r="H221" i="68"/>
  <c r="M109" i="68"/>
  <c r="M166" i="68"/>
  <c r="M41" i="68"/>
  <c r="M202" i="68"/>
  <c r="M86" i="68"/>
  <c r="M192" i="68"/>
  <c r="M180" i="68"/>
  <c r="M190" i="68"/>
  <c r="M96" i="68"/>
  <c r="M178" i="68"/>
  <c r="H228" i="68"/>
  <c r="M98" i="68"/>
  <c r="M88" i="68"/>
  <c r="M57" i="68"/>
  <c r="M125" i="68"/>
  <c r="M160" i="68"/>
  <c r="M53" i="68"/>
  <c r="M76" i="68"/>
  <c r="G236" i="68"/>
  <c r="M77" i="68"/>
  <c r="M164" i="68"/>
  <c r="M171" i="68"/>
  <c r="M195" i="68"/>
  <c r="M184" i="68"/>
  <c r="M131" i="68"/>
  <c r="M43" i="68"/>
  <c r="M186" i="68"/>
  <c r="M31" i="68"/>
  <c r="M146" i="68"/>
  <c r="M132" i="68"/>
  <c r="M205" i="68"/>
  <c r="M124" i="68"/>
  <c r="M74" i="68"/>
  <c r="M106" i="68"/>
  <c r="M78" i="68"/>
  <c r="H224" i="68"/>
  <c r="M92" i="68"/>
  <c r="M39" i="68"/>
  <c r="M42" i="68"/>
  <c r="M204" i="68"/>
  <c r="H222" i="68"/>
  <c r="M196" i="68"/>
  <c r="M45" i="68"/>
  <c r="M172" i="68"/>
  <c r="M147" i="68"/>
  <c r="M47" i="68"/>
  <c r="M36" i="68"/>
  <c r="M26" i="68"/>
  <c r="M35" i="68"/>
  <c r="H223" i="68"/>
  <c r="H219" i="68"/>
  <c r="M149" i="68"/>
  <c r="M136" i="68"/>
  <c r="M179" i="68"/>
  <c r="M107" i="68"/>
  <c r="H225" i="68"/>
  <c r="M176" i="68"/>
  <c r="H227" i="68"/>
  <c r="M85" i="68"/>
  <c r="M167" i="68"/>
  <c r="M133" i="68"/>
  <c r="M97" i="68"/>
  <c r="M123" i="68"/>
  <c r="M100" i="68"/>
  <c r="M174" i="68"/>
  <c r="M66" i="68"/>
  <c r="M155" i="68"/>
  <c r="M72" i="68"/>
  <c r="M150" i="68"/>
  <c r="M28" i="68"/>
  <c r="M70" i="68"/>
  <c r="M140" i="68"/>
  <c r="M189" i="68"/>
  <c r="M54" i="68"/>
  <c r="M126" i="68"/>
  <c r="M142" i="68"/>
  <c r="M151" i="68"/>
  <c r="M118" i="68"/>
  <c r="M83" i="68"/>
  <c r="M60" i="68"/>
  <c r="M181" i="68"/>
  <c r="M114" i="68"/>
  <c r="H220" i="68"/>
  <c r="M182" i="68"/>
  <c r="H226" i="68"/>
  <c r="M170" i="68"/>
  <c r="K13" i="68"/>
  <c r="M73" i="68"/>
  <c r="M59" i="68"/>
  <c r="M51" i="68"/>
  <c r="M201" i="68"/>
  <c r="M193" i="68"/>
  <c r="M56" i="68"/>
  <c r="M82" i="68"/>
  <c r="M141" i="68"/>
  <c r="M49" i="68"/>
  <c r="M115" i="68"/>
  <c r="M143" i="68"/>
  <c r="M67" i="68"/>
  <c r="M157" i="68"/>
  <c r="M32" i="68"/>
  <c r="M69" i="68"/>
  <c r="M127" i="68"/>
  <c r="M89" i="68"/>
  <c r="M188" i="68"/>
  <c r="M191" i="68"/>
  <c r="M71" i="68"/>
  <c r="M185" i="68"/>
  <c r="M29" i="68"/>
  <c r="M137" i="68"/>
  <c r="M152" i="68"/>
  <c r="M99" i="68"/>
  <c r="M159" i="68"/>
  <c r="M44" i="68"/>
  <c r="M75" i="68"/>
  <c r="M130" i="68"/>
  <c r="M117" i="68"/>
  <c r="M90" i="68"/>
  <c r="M25" i="68"/>
  <c r="M187" i="68"/>
  <c r="M153" i="68"/>
  <c r="M145" i="68"/>
  <c r="M148" i="68"/>
  <c r="M108" i="68"/>
  <c r="M183" i="68"/>
  <c r="M87" i="68"/>
  <c r="M58" i="68"/>
  <c r="M156" i="68"/>
  <c r="M129" i="68"/>
  <c r="M175" i="68"/>
  <c r="M168" i="68"/>
  <c r="M138" i="68"/>
  <c r="M169" i="68"/>
  <c r="M91" i="68"/>
  <c r="M165" i="68"/>
  <c r="M84" i="68"/>
  <c r="M50" i="68"/>
  <c r="M101" i="68"/>
  <c r="M33" i="68"/>
  <c r="M28" i="54"/>
  <c r="G208" i="27"/>
  <c r="H76" i="27"/>
  <c r="G208" i="49"/>
  <c r="H160" i="49"/>
  <c r="M30" i="68"/>
  <c r="M173" i="178"/>
  <c r="H11" i="120"/>
  <c r="H19" i="120"/>
  <c r="E215" i="118"/>
  <c r="M78" i="178"/>
  <c r="M102" i="54"/>
  <c r="G208" i="155"/>
  <c r="H195" i="155"/>
  <c r="N164" i="157"/>
  <c r="N164" i="68"/>
  <c r="N164" i="71"/>
  <c r="N164" i="21"/>
  <c r="N164" i="113"/>
  <c r="N164" i="136"/>
  <c r="N164" i="94"/>
  <c r="N164" i="28"/>
  <c r="N164" i="118"/>
  <c r="N164" i="158"/>
  <c r="E238" i="68"/>
  <c r="M193" i="176"/>
  <c r="M183" i="176"/>
  <c r="M206" i="176"/>
  <c r="M111" i="176"/>
  <c r="M147" i="176"/>
  <c r="M90" i="119"/>
  <c r="M119" i="104"/>
  <c r="M69" i="90"/>
  <c r="M67" i="90"/>
  <c r="M130" i="90"/>
  <c r="H227" i="90"/>
  <c r="M98" i="90"/>
  <c r="M133" i="90"/>
  <c r="M57" i="90"/>
  <c r="M45" i="90"/>
  <c r="M44" i="90"/>
  <c r="M148" i="90"/>
  <c r="M171" i="90"/>
  <c r="M131" i="90"/>
  <c r="M101" i="90"/>
  <c r="M29" i="90"/>
  <c r="M72" i="90"/>
  <c r="M196" i="90"/>
  <c r="M106" i="90"/>
  <c r="M51" i="90"/>
  <c r="M165" i="90"/>
  <c r="H224" i="90"/>
  <c r="M170" i="90"/>
  <c r="M172" i="90"/>
  <c r="M40" i="90"/>
  <c r="M42" i="90"/>
  <c r="M28" i="90"/>
  <c r="M186" i="90"/>
  <c r="M126" i="90"/>
  <c r="M83" i="90"/>
  <c r="M90" i="90"/>
  <c r="M71" i="90"/>
  <c r="H223" i="90"/>
  <c r="M160" i="90"/>
  <c r="H221" i="90"/>
  <c r="H222" i="90"/>
  <c r="M183" i="90"/>
  <c r="M43" i="90"/>
  <c r="M194" i="90"/>
  <c r="M100" i="90"/>
  <c r="H220" i="90"/>
  <c r="M97" i="90"/>
  <c r="M99" i="90"/>
  <c r="M135" i="90"/>
  <c r="M167" i="90"/>
  <c r="M137" i="90"/>
  <c r="M147" i="90"/>
  <c r="M176" i="90"/>
  <c r="M31" i="90"/>
  <c r="M141" i="90"/>
  <c r="M201" i="90"/>
  <c r="M89" i="90"/>
  <c r="M74" i="90"/>
  <c r="M88" i="90"/>
  <c r="M175" i="90"/>
  <c r="M58" i="90"/>
  <c r="M59" i="90"/>
  <c r="M168" i="90"/>
  <c r="M140" i="90"/>
  <c r="M37" i="90"/>
  <c r="H225" i="90"/>
  <c r="M107" i="90"/>
  <c r="M146" i="90"/>
  <c r="M30" i="90"/>
  <c r="M180" i="90"/>
  <c r="M56" i="90"/>
  <c r="M96" i="90"/>
  <c r="M75" i="90"/>
  <c r="M55" i="90"/>
  <c r="M118" i="90"/>
  <c r="M109" i="90"/>
  <c r="M166" i="90"/>
  <c r="M193" i="90"/>
  <c r="M54" i="90"/>
  <c r="M142" i="90"/>
  <c r="M187" i="90"/>
  <c r="M200" i="90"/>
  <c r="M184" i="90"/>
  <c r="M152" i="90"/>
  <c r="M66" i="90"/>
  <c r="M41" i="90"/>
  <c r="K13" i="90"/>
  <c r="M70" i="90"/>
  <c r="M36" i="90"/>
  <c r="M204" i="90"/>
  <c r="M164" i="90"/>
  <c r="M32" i="90"/>
  <c r="M145" i="90"/>
  <c r="M86" i="90"/>
  <c r="M64" i="90"/>
  <c r="M52" i="90"/>
  <c r="M35" i="90"/>
  <c r="M179" i="90"/>
  <c r="M117" i="90"/>
  <c r="M46" i="90"/>
  <c r="M76" i="90"/>
  <c r="H226" i="90"/>
  <c r="M125" i="90"/>
  <c r="H228" i="90"/>
  <c r="M149" i="90"/>
  <c r="M151" i="90"/>
  <c r="M87" i="90"/>
  <c r="M185" i="90"/>
  <c r="M60" i="90"/>
  <c r="M73" i="90"/>
  <c r="M33" i="90"/>
  <c r="M47" i="90"/>
  <c r="M159" i="90"/>
  <c r="M195" i="90"/>
  <c r="M48" i="90"/>
  <c r="M174" i="90"/>
  <c r="M116" i="90"/>
  <c r="M143" i="90"/>
  <c r="M136" i="90"/>
  <c r="M49" i="90"/>
  <c r="M138" i="90"/>
  <c r="M77" i="90"/>
  <c r="M65" i="90"/>
  <c r="M156" i="90"/>
  <c r="M191" i="90"/>
  <c r="M124" i="90"/>
  <c r="M82" i="90"/>
  <c r="G236" i="90"/>
  <c r="M178" i="90"/>
  <c r="M78" i="90"/>
  <c r="M68" i="90"/>
  <c r="M129" i="90"/>
  <c r="M110" i="90"/>
  <c r="M189" i="90"/>
  <c r="M150" i="90"/>
  <c r="M182" i="90"/>
  <c r="M205" i="90"/>
  <c r="M27" i="90"/>
  <c r="M26" i="90"/>
  <c r="M123" i="90"/>
  <c r="M188" i="90"/>
  <c r="M84" i="90"/>
  <c r="H219" i="90"/>
  <c r="M114" i="90"/>
  <c r="M173" i="90"/>
  <c r="M155" i="90"/>
  <c r="M190" i="90"/>
  <c r="M39" i="90"/>
  <c r="M158" i="90"/>
  <c r="M153" i="90"/>
  <c r="M203" i="90"/>
  <c r="M177" i="90"/>
  <c r="M132" i="90"/>
  <c r="M25" i="90"/>
  <c r="M181" i="90"/>
  <c r="M34" i="90"/>
  <c r="M192" i="90"/>
  <c r="M91" i="90"/>
  <c r="M169" i="90"/>
  <c r="M157" i="90"/>
  <c r="M85" i="90"/>
  <c r="M164" i="104"/>
  <c r="M79" i="119"/>
  <c r="M137" i="141"/>
  <c r="M119" i="90"/>
  <c r="M61" i="141"/>
  <c r="M197" i="68"/>
  <c r="E211" i="97"/>
  <c r="G208" i="104"/>
  <c r="H88" i="104"/>
  <c r="M55" i="68"/>
  <c r="G208" i="10"/>
  <c r="H71" i="10"/>
  <c r="M61" i="68"/>
  <c r="M21" i="120"/>
  <c r="N164" i="159"/>
  <c r="N164" i="90"/>
  <c r="N164" i="58"/>
  <c r="N164" i="120"/>
  <c r="N164" i="72"/>
  <c r="N164" i="106"/>
  <c r="N164" i="89"/>
  <c r="N164" i="39"/>
  <c r="N164" i="55"/>
  <c r="E238" i="120"/>
  <c r="M48" i="68"/>
  <c r="M111" i="118"/>
  <c r="M206" i="141"/>
  <c r="M197" i="176"/>
  <c r="M179" i="176"/>
  <c r="M200" i="176"/>
  <c r="E238" i="119"/>
  <c r="M101" i="119"/>
  <c r="M197" i="15"/>
  <c r="M117" i="104"/>
  <c r="M37" i="68"/>
  <c r="M93" i="141"/>
  <c r="M102" i="104"/>
  <c r="J21" i="97"/>
  <c r="N18" i="155"/>
  <c r="M74" i="155"/>
  <c r="M66" i="155"/>
  <c r="M135" i="155"/>
  <c r="H219" i="155"/>
  <c r="M127" i="155"/>
  <c r="M85" i="155"/>
  <c r="M158" i="155"/>
  <c r="M176" i="155"/>
  <c r="M172" i="155"/>
  <c r="M114" i="155"/>
  <c r="M182" i="155"/>
  <c r="M29" i="155"/>
  <c r="M132" i="155"/>
  <c r="M152" i="155"/>
  <c r="H224" i="155"/>
  <c r="M181" i="155"/>
  <c r="M187" i="155"/>
  <c r="M27" i="155"/>
  <c r="M37" i="155"/>
  <c r="M192" i="155"/>
  <c r="M92" i="155"/>
  <c r="M123" i="155"/>
  <c r="M50" i="155"/>
  <c r="M71" i="155"/>
  <c r="M143" i="155"/>
  <c r="M91" i="155"/>
  <c r="M106" i="155"/>
  <c r="M78" i="155"/>
  <c r="M28" i="155"/>
  <c r="M150" i="155"/>
  <c r="M100" i="155"/>
  <c r="M193" i="155"/>
  <c r="M133" i="155"/>
  <c r="M43" i="155"/>
  <c r="M157" i="155"/>
  <c r="M32" i="155"/>
  <c r="M42" i="155"/>
  <c r="M47" i="155"/>
  <c r="M185" i="155"/>
  <c r="M200" i="155"/>
  <c r="M67" i="155"/>
  <c r="M110" i="155"/>
  <c r="M48" i="155"/>
  <c r="M90" i="155"/>
  <c r="M195" i="155"/>
  <c r="M171" i="155"/>
  <c r="M87" i="155"/>
  <c r="H225" i="155"/>
  <c r="H222" i="155"/>
  <c r="M160" i="155"/>
  <c r="M101" i="155"/>
  <c r="M57" i="155"/>
  <c r="M98" i="155"/>
  <c r="M173" i="155"/>
  <c r="M49" i="155"/>
  <c r="M156" i="155"/>
  <c r="M46" i="155"/>
  <c r="M140" i="155"/>
  <c r="K13" i="155"/>
  <c r="M82" i="155"/>
  <c r="H228" i="155"/>
  <c r="M188" i="155"/>
  <c r="M84" i="155"/>
  <c r="M183" i="155"/>
  <c r="M75" i="155"/>
  <c r="M44" i="155"/>
  <c r="M53" i="155"/>
  <c r="M105" i="155"/>
  <c r="M184" i="155"/>
  <c r="M168" i="155"/>
  <c r="M166" i="155"/>
  <c r="M88" i="155"/>
  <c r="M40" i="155"/>
  <c r="H221" i="155"/>
  <c r="M203" i="155"/>
  <c r="M115" i="155"/>
  <c r="M130" i="155"/>
  <c r="M189" i="155"/>
  <c r="M165" i="155"/>
  <c r="M131" i="155"/>
  <c r="H227" i="155"/>
  <c r="M25" i="155"/>
  <c r="M141" i="155"/>
  <c r="M117" i="155"/>
  <c r="M145" i="155"/>
  <c r="M83" i="155"/>
  <c r="M159" i="155"/>
  <c r="M196" i="155"/>
  <c r="M58" i="155"/>
  <c r="M55" i="155"/>
  <c r="M109" i="155"/>
  <c r="M116" i="155"/>
  <c r="H220" i="155"/>
  <c r="M60" i="155"/>
  <c r="M72" i="155"/>
  <c r="M33" i="155"/>
  <c r="G236" i="155"/>
  <c r="M69" i="155"/>
  <c r="M21" i="155"/>
  <c r="H226" i="155"/>
  <c r="M89" i="155"/>
  <c r="M125" i="155"/>
  <c r="M147" i="155"/>
  <c r="M64" i="155"/>
  <c r="M31" i="155"/>
  <c r="M179" i="155"/>
  <c r="M35" i="155"/>
  <c r="M52" i="155"/>
  <c r="M68" i="155"/>
  <c r="M51" i="155"/>
  <c r="H223" i="155"/>
  <c r="M108" i="155"/>
  <c r="M86" i="155"/>
  <c r="M155" i="155"/>
  <c r="M54" i="155"/>
  <c r="M129" i="155"/>
  <c r="M97" i="155"/>
  <c r="M148" i="155"/>
  <c r="M151" i="155"/>
  <c r="M56" i="155"/>
  <c r="M77" i="155"/>
  <c r="M36" i="155"/>
  <c r="M107" i="155"/>
  <c r="M124" i="155"/>
  <c r="M191" i="155"/>
  <c r="M126" i="155"/>
  <c r="M164" i="155"/>
  <c r="M138" i="155"/>
  <c r="M76" i="155"/>
  <c r="M174" i="155"/>
  <c r="M190" i="155"/>
  <c r="M205" i="155"/>
  <c r="M34" i="155"/>
  <c r="M59" i="155"/>
  <c r="M38" i="155"/>
  <c r="M41" i="155"/>
  <c r="M169" i="155"/>
  <c r="M111" i="155"/>
  <c r="M93" i="155"/>
  <c r="M201" i="155"/>
  <c r="M26" i="155"/>
  <c r="M136" i="155"/>
  <c r="M170" i="155"/>
  <c r="M65" i="155"/>
  <c r="M153" i="155"/>
  <c r="M30" i="155"/>
  <c r="M202" i="155"/>
  <c r="M194" i="155"/>
  <c r="H15" i="38"/>
  <c r="H11" i="38"/>
  <c r="H18" i="38"/>
  <c r="H16" i="38"/>
  <c r="H12" i="38"/>
  <c r="H19" i="38"/>
  <c r="K11" i="38"/>
  <c r="M21" i="38"/>
  <c r="H21" i="38"/>
  <c r="H17" i="38"/>
  <c r="H14" i="38"/>
  <c r="H20" i="38"/>
  <c r="H13" i="38"/>
  <c r="H15" i="94"/>
  <c r="H13" i="94"/>
  <c r="H16" i="94"/>
  <c r="H18" i="94"/>
  <c r="H12" i="94"/>
  <c r="H17" i="94"/>
  <c r="H14" i="94"/>
  <c r="H20" i="94"/>
  <c r="H21" i="94"/>
  <c r="H19" i="94"/>
  <c r="H11" i="94"/>
  <c r="K11" i="94"/>
  <c r="M21" i="94"/>
  <c r="M46" i="178"/>
  <c r="G208" i="68"/>
  <c r="M74" i="178"/>
  <c r="G200" i="97"/>
  <c r="G105" i="97"/>
  <c r="M119" i="178"/>
  <c r="M118" i="155"/>
  <c r="G208" i="98"/>
  <c r="G215" i="98"/>
  <c r="M61" i="60"/>
  <c r="G64" i="97"/>
  <c r="E238" i="49"/>
  <c r="E238" i="43"/>
  <c r="M73" i="155"/>
  <c r="M83" i="49"/>
  <c r="M165" i="178"/>
  <c r="M107" i="178"/>
  <c r="M106" i="178"/>
  <c r="G208" i="133"/>
  <c r="G215" i="133"/>
  <c r="M124" i="178"/>
  <c r="M204" i="155"/>
  <c r="M184" i="178"/>
  <c r="M115" i="178"/>
  <c r="H12" i="64"/>
  <c r="H16" i="64"/>
  <c r="H14" i="64"/>
  <c r="K11" i="64"/>
  <c r="H17" i="64"/>
  <c r="H20" i="64"/>
  <c r="H19" i="64"/>
  <c r="H15" i="64"/>
  <c r="H13" i="64"/>
  <c r="M21" i="64"/>
  <c r="H11" i="64"/>
  <c r="H21" i="64"/>
  <c r="H18" i="64"/>
  <c r="H225" i="178"/>
  <c r="H223" i="178"/>
  <c r="H227" i="178"/>
  <c r="H226" i="178"/>
  <c r="H222" i="178"/>
  <c r="M35" i="178"/>
  <c r="H228" i="178"/>
  <c r="M157" i="178"/>
  <c r="M150" i="178"/>
  <c r="H219" i="178"/>
  <c r="M138" i="178"/>
  <c r="G236" i="178"/>
  <c r="G238" i="178"/>
  <c r="M26" i="178"/>
  <c r="H224" i="178"/>
  <c r="K13" i="178"/>
  <c r="H221" i="178"/>
  <c r="H220" i="178"/>
  <c r="M110" i="178"/>
  <c r="M141" i="178"/>
  <c r="M132" i="178"/>
  <c r="M67" i="178"/>
  <c r="M200" i="178"/>
  <c r="M167" i="178"/>
  <c r="M31" i="178"/>
  <c r="M201" i="178"/>
  <c r="M47" i="178"/>
  <c r="M118" i="178"/>
  <c r="M97" i="178"/>
  <c r="M159" i="178"/>
  <c r="M180" i="178"/>
  <c r="M179" i="178"/>
  <c r="M188" i="178"/>
  <c r="M172" i="178"/>
  <c r="M143" i="178"/>
  <c r="M117" i="178"/>
  <c r="M183" i="178"/>
  <c r="M42" i="178"/>
  <c r="M148" i="178"/>
  <c r="M56" i="178"/>
  <c r="M196" i="178"/>
  <c r="M205" i="178"/>
  <c r="M171" i="178"/>
  <c r="M105" i="178"/>
  <c r="M187" i="178"/>
  <c r="M164" i="178"/>
  <c r="M34" i="178"/>
  <c r="M108" i="178"/>
  <c r="M131" i="178"/>
  <c r="M59" i="178"/>
  <c r="M87" i="178"/>
  <c r="M135" i="178"/>
  <c r="M109" i="178"/>
  <c r="M75" i="178"/>
  <c r="M96" i="178"/>
  <c r="M153" i="178"/>
  <c r="M191" i="178"/>
  <c r="M152" i="178"/>
  <c r="M98" i="178"/>
  <c r="M58" i="178"/>
  <c r="M185" i="178"/>
  <c r="M170" i="178"/>
  <c r="M89" i="178"/>
  <c r="M77" i="178"/>
  <c r="M51" i="178"/>
  <c r="M88" i="178"/>
  <c r="M190" i="178"/>
  <c r="M70" i="178"/>
  <c r="M71" i="178"/>
  <c r="M166" i="178"/>
  <c r="M145" i="178"/>
  <c r="M114" i="178"/>
  <c r="M66" i="178"/>
  <c r="M174" i="178"/>
  <c r="M203" i="178"/>
  <c r="M43" i="178"/>
  <c r="M182" i="178"/>
  <c r="M175" i="178"/>
  <c r="M33" i="178"/>
  <c r="M50" i="178"/>
  <c r="M195" i="178"/>
  <c r="M186" i="178"/>
  <c r="M127" i="178"/>
  <c r="M169" i="178"/>
  <c r="M130" i="178"/>
  <c r="M140" i="178"/>
  <c r="M193" i="178"/>
  <c r="M39" i="178"/>
  <c r="M55" i="178"/>
  <c r="M177" i="178"/>
  <c r="M64" i="178"/>
  <c r="N193" i="178"/>
  <c r="N193" i="175"/>
  <c r="N193" i="62"/>
  <c r="N193" i="87"/>
  <c r="N193" i="58"/>
  <c r="N193" i="20"/>
  <c r="N193" i="69"/>
  <c r="N193" i="92"/>
  <c r="N193" i="86"/>
  <c r="N193" i="176"/>
  <c r="N193" i="157"/>
  <c r="N193" i="57"/>
  <c r="N193" i="133"/>
  <c r="N193" i="98"/>
  <c r="N193" i="50"/>
  <c r="N193" i="177"/>
  <c r="N193" i="28"/>
  <c r="N193" i="85"/>
  <c r="N193" i="165"/>
  <c r="N193" i="149"/>
  <c r="N193" i="106"/>
  <c r="N193" i="120"/>
  <c r="N193" i="15"/>
  <c r="N193" i="167"/>
  <c r="N193" i="172"/>
  <c r="N193" i="33"/>
  <c r="N193" i="119"/>
  <c r="N193" i="83"/>
  <c r="N193" i="63"/>
  <c r="N193" i="141"/>
  <c r="N193" i="156"/>
  <c r="N193" i="150"/>
  <c r="N193" i="45"/>
  <c r="N193" i="64"/>
  <c r="N193" i="49"/>
  <c r="N193" i="94"/>
  <c r="N193" i="118"/>
  <c r="N193" i="90"/>
  <c r="N193" i="84"/>
  <c r="N193" i="174"/>
  <c r="N193" i="145"/>
  <c r="N193" i="71"/>
  <c r="N193" i="55"/>
  <c r="N193" i="104"/>
  <c r="N193" i="42"/>
  <c r="N193" i="38"/>
  <c r="N193" i="19"/>
  <c r="N193" i="21"/>
  <c r="N193" i="54"/>
  <c r="N193" i="142"/>
  <c r="N193" i="53"/>
  <c r="N193" i="32"/>
  <c r="N193" i="89"/>
  <c r="N193" i="46"/>
  <c r="N193" i="65"/>
  <c r="N193" i="24"/>
  <c r="N193" i="103"/>
  <c r="N193" i="37"/>
  <c r="N193" i="158"/>
  <c r="N193" i="113"/>
  <c r="N193" i="27"/>
  <c r="N193" i="10"/>
  <c r="N193" i="14"/>
  <c r="N193" i="143"/>
  <c r="N193" i="1"/>
  <c r="N193" i="95"/>
  <c r="N193" i="68"/>
  <c r="N193" i="164"/>
  <c r="N193" i="72"/>
  <c r="N193" i="16"/>
  <c r="N193" i="47"/>
  <c r="N193" i="31"/>
  <c r="N193" i="43"/>
  <c r="N193" i="79"/>
  <c r="N193" i="102"/>
  <c r="N193" i="66"/>
  <c r="N193" i="135"/>
  <c r="N193" i="159"/>
  <c r="N193" i="39"/>
  <c r="N193" i="152"/>
  <c r="N193" i="25"/>
  <c r="N193" i="60"/>
  <c r="N193" i="111"/>
  <c r="N193" i="136"/>
  <c r="N193" i="155"/>
  <c r="M60" i="178"/>
  <c r="G208" i="58"/>
  <c r="G215" i="58"/>
  <c r="M79" i="165"/>
  <c r="G208" i="165"/>
  <c r="G208" i="28"/>
  <c r="M146" i="155"/>
  <c r="H20" i="55"/>
  <c r="H11" i="55"/>
  <c r="H13" i="55"/>
  <c r="H18" i="55"/>
  <c r="H14" i="55"/>
  <c r="H17" i="55"/>
  <c r="H21" i="55"/>
  <c r="H15" i="55"/>
  <c r="K11" i="55"/>
  <c r="M21" i="55"/>
  <c r="H19" i="55"/>
  <c r="H12" i="55"/>
  <c r="H16" i="55"/>
  <c r="G208" i="92"/>
  <c r="C215" i="97"/>
  <c r="M161" i="49"/>
  <c r="M84" i="178"/>
  <c r="G208" i="63"/>
  <c r="G215" i="63"/>
  <c r="G208" i="39"/>
  <c r="M99" i="178"/>
  <c r="N176" i="178"/>
  <c r="N176" i="165"/>
  <c r="N176" i="167"/>
  <c r="N176" i="10"/>
  <c r="N176" i="31"/>
  <c r="N176" i="49"/>
  <c r="N176" i="16"/>
  <c r="N176" i="19"/>
  <c r="N176" i="42"/>
  <c r="N176" i="90"/>
  <c r="N176" i="120"/>
  <c r="N176" i="175"/>
  <c r="N176" i="106"/>
  <c r="N176" i="39"/>
  <c r="N176" i="92"/>
  <c r="N176" i="14"/>
  <c r="N176" i="119"/>
  <c r="N176" i="149"/>
  <c r="N176" i="150"/>
  <c r="N176" i="54"/>
  <c r="N176" i="21"/>
  <c r="N176" i="177"/>
  <c r="N176" i="157"/>
  <c r="N176" i="159"/>
  <c r="N176" i="68"/>
  <c r="N176" i="20"/>
  <c r="N176" i="104"/>
  <c r="N176" i="1"/>
  <c r="N176" i="156"/>
  <c r="N176" i="37"/>
  <c r="N176" i="62"/>
  <c r="N176" i="64"/>
  <c r="N176" i="83"/>
  <c r="N176" i="141"/>
  <c r="N176" i="57"/>
  <c r="N176" i="133"/>
  <c r="N176" i="27"/>
  <c r="N176" i="50"/>
  <c r="N176" i="84"/>
  <c r="N176" i="72"/>
  <c r="N176" i="25"/>
  <c r="N176" i="71"/>
  <c r="N176" i="158"/>
  <c r="N176" i="174"/>
  <c r="N176" i="176"/>
  <c r="N176" i="145"/>
  <c r="N176" i="136"/>
  <c r="N176" i="142"/>
  <c r="N176" i="38"/>
  <c r="N176" i="98"/>
  <c r="N176" i="118"/>
  <c r="N176" i="28"/>
  <c r="N176" i="47"/>
  <c r="N176" i="69"/>
  <c r="N176" i="60"/>
  <c r="N176" i="89"/>
  <c r="N176" i="113"/>
  <c r="N176" i="32"/>
  <c r="N176" i="111"/>
  <c r="N176" i="46"/>
  <c r="N176" i="65"/>
  <c r="N176" i="87"/>
  <c r="N176" i="85"/>
  <c r="N176" i="143"/>
  <c r="N176" i="43"/>
  <c r="N176" i="45"/>
  <c r="N176" i="63"/>
  <c r="N176" i="58"/>
  <c r="N176" i="66"/>
  <c r="N176" i="102"/>
  <c r="N176" i="152"/>
  <c r="N176" i="95"/>
  <c r="N176" i="94"/>
  <c r="N176" i="164"/>
  <c r="N176" i="55"/>
  <c r="N176" i="33"/>
  <c r="N176" i="24"/>
  <c r="N176" i="15"/>
  <c r="N176" i="172"/>
  <c r="N176" i="53"/>
  <c r="N176" i="86"/>
  <c r="N176" i="135"/>
  <c r="N176" i="155"/>
  <c r="N176" i="79"/>
  <c r="M82" i="178"/>
  <c r="M102" i="178"/>
  <c r="M181" i="178"/>
  <c r="M178" i="178"/>
  <c r="H13" i="63"/>
  <c r="H11" i="63"/>
  <c r="H21" i="63"/>
  <c r="K11" i="63"/>
  <c r="H15" i="63"/>
  <c r="H20" i="63"/>
  <c r="H16" i="63"/>
  <c r="H19" i="63"/>
  <c r="H18" i="63"/>
  <c r="H14" i="63"/>
  <c r="H17" i="63"/>
  <c r="M21" i="63"/>
  <c r="H12" i="63"/>
  <c r="M97" i="49"/>
  <c r="G238" i="39"/>
  <c r="M119" i="152"/>
  <c r="G208" i="152"/>
  <c r="M21" i="49"/>
  <c r="G208" i="164"/>
  <c r="G215" i="164"/>
  <c r="M186" i="155"/>
  <c r="M102" i="155"/>
  <c r="M149" i="155"/>
  <c r="C218" i="97"/>
  <c r="G208" i="83"/>
  <c r="M70" i="155"/>
  <c r="M126" i="178"/>
  <c r="K15" i="63"/>
  <c r="G237" i="63"/>
  <c r="M160" i="178"/>
  <c r="G208" i="106"/>
  <c r="J22" i="97"/>
  <c r="N19" i="155"/>
  <c r="M137" i="178"/>
  <c r="M206" i="178"/>
  <c r="G209" i="97"/>
  <c r="M142" i="178"/>
  <c r="M197" i="49"/>
  <c r="G208" i="53"/>
  <c r="M178" i="155"/>
  <c r="M28" i="178"/>
  <c r="M39" i="155"/>
  <c r="G208" i="32"/>
  <c r="M30" i="178"/>
  <c r="M72" i="178"/>
  <c r="M189" i="49"/>
  <c r="H11" i="118"/>
  <c r="H17" i="118"/>
  <c r="H14" i="118"/>
  <c r="H16" i="118"/>
  <c r="H18" i="118"/>
  <c r="H21" i="118"/>
  <c r="H13" i="118"/>
  <c r="H12" i="118"/>
  <c r="H19" i="118"/>
  <c r="H15" i="118"/>
  <c r="K11" i="118"/>
  <c r="H20" i="118"/>
  <c r="M21" i="118"/>
  <c r="G208" i="37"/>
  <c r="M45" i="178"/>
  <c r="H11" i="164"/>
  <c r="M21" i="164"/>
  <c r="K11" i="164"/>
  <c r="H12" i="164"/>
  <c r="H17" i="164"/>
  <c r="H20" i="164"/>
  <c r="H19" i="164"/>
  <c r="H21" i="164"/>
  <c r="H15" i="164"/>
  <c r="H18" i="164"/>
  <c r="H14" i="164"/>
  <c r="H13" i="164"/>
  <c r="H16" i="164"/>
  <c r="E238" i="63"/>
  <c r="M119" i="49"/>
  <c r="M86" i="178"/>
  <c r="M149" i="178"/>
  <c r="M100" i="178"/>
  <c r="G208" i="118"/>
  <c r="G215" i="118"/>
  <c r="M137" i="155"/>
  <c r="M99" i="155"/>
  <c r="M175" i="155"/>
  <c r="M93" i="178"/>
  <c r="H16" i="58"/>
  <c r="H21" i="58"/>
  <c r="H13" i="58"/>
  <c r="H20" i="58"/>
  <c r="K11" i="58"/>
  <c r="M21" i="58"/>
  <c r="H14" i="58"/>
  <c r="H19" i="58"/>
  <c r="H18" i="58"/>
  <c r="H17" i="58"/>
  <c r="H11" i="58"/>
  <c r="H15" i="58"/>
  <c r="H12" i="58"/>
  <c r="M91" i="178"/>
  <c r="M102" i="49"/>
  <c r="M106" i="54"/>
  <c r="M43" i="54"/>
  <c r="K13" i="54"/>
  <c r="M100" i="54"/>
  <c r="M109" i="54"/>
  <c r="M156" i="54"/>
  <c r="M185" i="54"/>
  <c r="M99" i="54"/>
  <c r="M77" i="54"/>
  <c r="M182" i="54"/>
  <c r="M165" i="54"/>
  <c r="M117" i="54"/>
  <c r="M183" i="54"/>
  <c r="H225" i="54"/>
  <c r="M78" i="54"/>
  <c r="M55" i="54"/>
  <c r="M178" i="54"/>
  <c r="M200" i="54"/>
  <c r="M133" i="54"/>
  <c r="M124" i="54"/>
  <c r="M75" i="54"/>
  <c r="H228" i="54"/>
  <c r="M88" i="54"/>
  <c r="M146" i="54"/>
  <c r="M26" i="54"/>
  <c r="M191" i="54"/>
  <c r="M90" i="54"/>
  <c r="M45" i="54"/>
  <c r="M194" i="54"/>
  <c r="M110" i="54"/>
  <c r="M116" i="54"/>
  <c r="M84" i="54"/>
  <c r="M167" i="54"/>
  <c r="M25" i="54"/>
  <c r="M83" i="54"/>
  <c r="M44" i="54"/>
  <c r="M188" i="54"/>
  <c r="H223" i="54"/>
  <c r="M108" i="54"/>
  <c r="M135" i="54"/>
  <c r="M54" i="54"/>
  <c r="M184" i="54"/>
  <c r="M189" i="54"/>
  <c r="M168" i="54"/>
  <c r="M129" i="54"/>
  <c r="H219" i="54"/>
  <c r="M86" i="54"/>
  <c r="M60" i="54"/>
  <c r="G236" i="54"/>
  <c r="M195" i="54"/>
  <c r="M152" i="54"/>
  <c r="M196" i="54"/>
  <c r="M181" i="54"/>
  <c r="M72" i="54"/>
  <c r="H220" i="54"/>
  <c r="M76" i="54"/>
  <c r="M29" i="54"/>
  <c r="M30" i="54"/>
  <c r="M158" i="54"/>
  <c r="M105" i="54"/>
  <c r="H221" i="54"/>
  <c r="M40" i="54"/>
  <c r="M153" i="54"/>
  <c r="M65" i="54"/>
  <c r="M164" i="54"/>
  <c r="M64" i="54"/>
  <c r="M138" i="54"/>
  <c r="M123" i="54"/>
  <c r="M140" i="54"/>
  <c r="M145" i="54"/>
  <c r="H222" i="54"/>
  <c r="M170" i="54"/>
  <c r="M92" i="54"/>
  <c r="M192" i="54"/>
  <c r="M179" i="54"/>
  <c r="M41" i="54"/>
  <c r="M71" i="54"/>
  <c r="M59" i="54"/>
  <c r="M36" i="54"/>
  <c r="M67" i="54"/>
  <c r="M143" i="54"/>
  <c r="M148" i="54"/>
  <c r="M157" i="54"/>
  <c r="M190" i="54"/>
  <c r="M132" i="54"/>
  <c r="M35" i="54"/>
  <c r="M39" i="54"/>
  <c r="M187" i="54"/>
  <c r="M87" i="54"/>
  <c r="M177" i="54"/>
  <c r="H226" i="54"/>
  <c r="M82" i="54"/>
  <c r="M141" i="54"/>
  <c r="M115" i="54"/>
  <c r="M98" i="54"/>
  <c r="M49" i="54"/>
  <c r="M97" i="54"/>
  <c r="M48" i="54"/>
  <c r="M175" i="54"/>
  <c r="M155" i="54"/>
  <c r="M107" i="54"/>
  <c r="M73" i="54"/>
  <c r="M174" i="54"/>
  <c r="M136" i="54"/>
  <c r="M142" i="54"/>
  <c r="H224" i="54"/>
  <c r="M137" i="54"/>
  <c r="M202" i="54"/>
  <c r="M205" i="54"/>
  <c r="M186" i="54"/>
  <c r="M159" i="54"/>
  <c r="M160" i="54"/>
  <c r="M53" i="54"/>
  <c r="M131" i="54"/>
  <c r="M89" i="54"/>
  <c r="M47" i="54"/>
  <c r="M201" i="54"/>
  <c r="M38" i="54"/>
  <c r="M204" i="54"/>
  <c r="M130" i="54"/>
  <c r="M176" i="54"/>
  <c r="M180" i="54"/>
  <c r="M42" i="54"/>
  <c r="M58" i="54"/>
  <c r="M150" i="54"/>
  <c r="M33" i="54"/>
  <c r="M149" i="54"/>
  <c r="M31" i="54"/>
  <c r="M171" i="54"/>
  <c r="H227" i="54"/>
  <c r="M127" i="54"/>
  <c r="M66" i="54"/>
  <c r="M91" i="54"/>
  <c r="M37" i="54"/>
  <c r="M166" i="54"/>
  <c r="M96" i="54"/>
  <c r="M34" i="54"/>
  <c r="M70" i="54"/>
  <c r="M57" i="54"/>
  <c r="M203" i="54"/>
  <c r="M114" i="54"/>
  <c r="M206" i="54"/>
  <c r="M46" i="54"/>
  <c r="M27" i="54"/>
  <c r="M85" i="54"/>
  <c r="M21" i="54"/>
  <c r="M111" i="54"/>
  <c r="M151" i="54"/>
  <c r="M147" i="54"/>
  <c r="M118" i="54"/>
  <c r="M126" i="54"/>
  <c r="M197" i="54"/>
  <c r="M119" i="54"/>
  <c r="M68" i="54"/>
  <c r="M172" i="54"/>
  <c r="M93" i="54"/>
  <c r="M173" i="54"/>
  <c r="M169" i="54"/>
  <c r="M193" i="54"/>
  <c r="M50" i="54"/>
  <c r="M74" i="54"/>
  <c r="M56" i="54"/>
  <c r="M125" i="54"/>
  <c r="M69" i="54"/>
  <c r="M51" i="54"/>
  <c r="M206" i="155"/>
  <c r="M83" i="178"/>
  <c r="M93" i="176"/>
  <c r="G208" i="176"/>
  <c r="G208" i="178"/>
  <c r="M44" i="178"/>
  <c r="H17" i="53"/>
  <c r="H18" i="53"/>
  <c r="M21" i="53"/>
  <c r="H20" i="53"/>
  <c r="H21" i="53"/>
  <c r="H15" i="53"/>
  <c r="H16" i="53"/>
  <c r="H14" i="53"/>
  <c r="H13" i="53"/>
  <c r="H12" i="53"/>
  <c r="H19" i="53"/>
  <c r="H11" i="53"/>
  <c r="K11" i="53"/>
  <c r="H131" i="47"/>
  <c r="H53" i="47"/>
  <c r="H159" i="47"/>
  <c r="H123" i="47"/>
  <c r="H132" i="47"/>
  <c r="H191" i="47"/>
  <c r="H137" i="47"/>
  <c r="H153" i="47"/>
  <c r="H131" i="54"/>
  <c r="H99" i="54"/>
  <c r="H36" i="54"/>
  <c r="H118" i="54"/>
  <c r="H148" i="54"/>
  <c r="H46" i="54"/>
  <c r="H77" i="54"/>
  <c r="H169" i="54"/>
  <c r="H146" i="54"/>
  <c r="H98" i="54"/>
  <c r="H191" i="54"/>
  <c r="H105" i="54"/>
  <c r="H32" i="54"/>
  <c r="H142" i="54"/>
  <c r="H82" i="54"/>
  <c r="H201" i="54"/>
  <c r="G237" i="155"/>
  <c r="K15" i="155"/>
  <c r="G208" i="14"/>
  <c r="G238" i="58"/>
  <c r="E238" i="58"/>
  <c r="M29" i="178"/>
  <c r="N175" i="143"/>
  <c r="N175" i="65"/>
  <c r="N175" i="63"/>
  <c r="N175" i="84"/>
  <c r="N175" i="175"/>
  <c r="N175" i="177"/>
  <c r="N175" i="85"/>
  <c r="N175" i="68"/>
  <c r="N175" i="1"/>
  <c r="N175" i="14"/>
  <c r="N175" i="119"/>
  <c r="N175" i="164"/>
  <c r="N175" i="94"/>
  <c r="N175" i="172"/>
  <c r="N175" i="155"/>
  <c r="N175" i="158"/>
  <c r="N175" i="54"/>
  <c r="N175" i="89"/>
  <c r="N175" i="49"/>
  <c r="N175" i="102"/>
  <c r="N175" i="95"/>
  <c r="N175" i="15"/>
  <c r="N175" i="33"/>
  <c r="N175" i="150"/>
  <c r="N175" i="113"/>
  <c r="N175" i="120"/>
  <c r="N175" i="32"/>
  <c r="N175" i="24"/>
  <c r="N175" i="79"/>
  <c r="N175" i="31"/>
  <c r="N175" i="10"/>
  <c r="N175" i="50"/>
  <c r="N175" i="27"/>
  <c r="N175" i="152"/>
  <c r="N175" i="55"/>
  <c r="N175" i="66"/>
  <c r="N175" i="176"/>
  <c r="N175" i="16"/>
  <c r="N175" i="45"/>
  <c r="N175" i="71"/>
  <c r="N175" i="60"/>
  <c r="N175" i="43"/>
  <c r="N175" i="38"/>
  <c r="N175" i="133"/>
  <c r="N175" i="46"/>
  <c r="N175" i="53"/>
  <c r="N175" i="103"/>
  <c r="N175" i="21"/>
  <c r="N175" i="98"/>
  <c r="N175" i="58"/>
  <c r="N175" i="20"/>
  <c r="N175" i="19"/>
  <c r="N175" i="157"/>
  <c r="N175" i="69"/>
  <c r="N175" i="86"/>
  <c r="N175" i="141"/>
  <c r="N175" i="145"/>
  <c r="N175" i="87"/>
  <c r="N175" i="104"/>
  <c r="N175" i="178"/>
  <c r="N175" i="25"/>
  <c r="N175" i="92"/>
  <c r="N175" i="47"/>
  <c r="N175" i="42"/>
  <c r="N175" i="149"/>
  <c r="N175" i="62"/>
  <c r="N175" i="118"/>
  <c r="N175" i="156"/>
  <c r="N175" i="136"/>
  <c r="N175" i="90"/>
  <c r="N175" i="167"/>
  <c r="N175" i="159"/>
  <c r="N175" i="83"/>
  <c r="N175" i="39"/>
  <c r="N175" i="135"/>
  <c r="N175" i="174"/>
  <c r="N175" i="28"/>
  <c r="N175" i="111"/>
  <c r="N175" i="72"/>
  <c r="N175" i="142"/>
  <c r="N175" i="57"/>
  <c r="N175" i="165"/>
  <c r="N175" i="37"/>
  <c r="N175" i="64"/>
  <c r="N175" i="106"/>
  <c r="M79" i="155"/>
  <c r="H156" i="167"/>
  <c r="H138" i="167"/>
  <c r="H49" i="167"/>
  <c r="H169" i="167"/>
  <c r="H46" i="167"/>
  <c r="H97" i="167"/>
  <c r="H116" i="167"/>
  <c r="H173" i="167"/>
  <c r="H125" i="167"/>
  <c r="H75" i="167"/>
  <c r="H124" i="167"/>
  <c r="H58" i="167"/>
  <c r="H185" i="167"/>
  <c r="H189" i="167"/>
  <c r="H28" i="167"/>
  <c r="G215" i="167"/>
  <c r="H77" i="167"/>
  <c r="H143" i="167"/>
  <c r="H55" i="167"/>
  <c r="H44" i="167"/>
  <c r="H137" i="167"/>
  <c r="H60" i="167"/>
  <c r="H51" i="167"/>
  <c r="H166" i="167"/>
  <c r="H79" i="167"/>
  <c r="H32" i="167"/>
  <c r="H176" i="167"/>
  <c r="H184" i="167"/>
  <c r="H54" i="167"/>
  <c r="H68" i="167"/>
  <c r="H102" i="167"/>
  <c r="H107" i="167"/>
  <c r="H148" i="167"/>
  <c r="H204" i="167"/>
  <c r="H117" i="167"/>
  <c r="H178" i="167"/>
  <c r="H175" i="167"/>
  <c r="H153" i="167"/>
  <c r="H205" i="167"/>
  <c r="H203" i="167"/>
  <c r="H208" i="167"/>
  <c r="H161" i="167"/>
  <c r="H191" i="167"/>
  <c r="H25" i="167"/>
  <c r="H67" i="167"/>
  <c r="H160" i="167"/>
  <c r="H164" i="167"/>
  <c r="H30" i="167"/>
  <c r="H172" i="167"/>
  <c r="H135" i="167"/>
  <c r="H202" i="167"/>
  <c r="H194" i="167"/>
  <c r="H200" i="167"/>
  <c r="H64" i="167"/>
  <c r="H181" i="167"/>
  <c r="H86" i="167"/>
  <c r="H201" i="167"/>
  <c r="H118" i="167"/>
  <c r="H129" i="167"/>
  <c r="H111" i="167"/>
  <c r="H26" i="167"/>
  <c r="H39" i="167"/>
  <c r="H57" i="167"/>
  <c r="H147" i="167"/>
  <c r="H85" i="167"/>
  <c r="H87" i="167"/>
  <c r="H33" i="167"/>
  <c r="H36" i="167"/>
  <c r="H43" i="167"/>
  <c r="H100" i="167"/>
  <c r="H91" i="167"/>
  <c r="H74" i="167"/>
  <c r="H83" i="167"/>
  <c r="H152" i="167"/>
  <c r="H89" i="167"/>
  <c r="H37" i="167"/>
  <c r="H114" i="167"/>
  <c r="H110" i="167"/>
  <c r="H174" i="167"/>
  <c r="H45" i="167"/>
  <c r="H206" i="167"/>
  <c r="H56" i="167"/>
  <c r="H69" i="167"/>
  <c r="M208" i="167"/>
  <c r="H197" i="167"/>
  <c r="H35" i="167"/>
  <c r="H53" i="167"/>
  <c r="H183" i="167"/>
  <c r="H52" i="167"/>
  <c r="H140" i="167"/>
  <c r="H93" i="167"/>
  <c r="H31" i="167"/>
  <c r="H76" i="167"/>
  <c r="H146" i="167"/>
  <c r="H38" i="167"/>
  <c r="H82" i="167"/>
  <c r="H193" i="167"/>
  <c r="H179" i="167"/>
  <c r="H133" i="167"/>
  <c r="H73" i="167"/>
  <c r="H50" i="167"/>
  <c r="H126" i="167"/>
  <c r="H98" i="167"/>
  <c r="H96" i="167"/>
  <c r="H65" i="167"/>
  <c r="H47" i="167"/>
  <c r="H180" i="167"/>
  <c r="H42" i="167"/>
  <c r="H27" i="167"/>
  <c r="H171" i="167"/>
  <c r="H188" i="167"/>
  <c r="H155" i="167"/>
  <c r="H145" i="167"/>
  <c r="H168" i="167"/>
  <c r="H159" i="167"/>
  <c r="H106" i="167"/>
  <c r="H151" i="167"/>
  <c r="H149" i="167"/>
  <c r="H88" i="167"/>
  <c r="H109" i="167"/>
  <c r="H150" i="167"/>
  <c r="H71" i="167"/>
  <c r="H131" i="167"/>
  <c r="H78" i="167"/>
  <c r="H90" i="167"/>
  <c r="H115" i="167"/>
  <c r="H34" i="167"/>
  <c r="H61" i="167"/>
  <c r="H190" i="167"/>
  <c r="H136" i="167"/>
  <c r="H41" i="167"/>
  <c r="H157" i="167"/>
  <c r="H130" i="167"/>
  <c r="H141" i="167"/>
  <c r="H59" i="167"/>
  <c r="H195" i="167"/>
  <c r="H158" i="167"/>
  <c r="H167" i="167"/>
  <c r="H127" i="167"/>
  <c r="H84" i="167"/>
  <c r="H72" i="167"/>
  <c r="H40" i="167"/>
  <c r="H165" i="167"/>
  <c r="H29" i="167"/>
  <c r="H108" i="167"/>
  <c r="H142" i="167"/>
  <c r="H192" i="167"/>
  <c r="H119" i="167"/>
  <c r="H196" i="167"/>
  <c r="H186" i="167"/>
  <c r="K12" i="167"/>
  <c r="H105" i="167"/>
  <c r="H70" i="167"/>
  <c r="H66" i="167"/>
  <c r="H101" i="167"/>
  <c r="H187" i="167"/>
  <c r="H92" i="167"/>
  <c r="H99" i="167"/>
  <c r="H177" i="167"/>
  <c r="H48" i="167"/>
  <c r="H170" i="167"/>
  <c r="H132" i="167"/>
  <c r="H182" i="167"/>
  <c r="H123" i="167"/>
  <c r="G208" i="20"/>
  <c r="G208" i="71"/>
  <c r="G215" i="71"/>
  <c r="M161" i="178"/>
  <c r="H21" i="98"/>
  <c r="H19" i="98"/>
  <c r="H18" i="98"/>
  <c r="H14" i="98"/>
  <c r="K11" i="98"/>
  <c r="H13" i="98"/>
  <c r="H12" i="98"/>
  <c r="H16" i="98"/>
  <c r="H20" i="98"/>
  <c r="H17" i="98"/>
  <c r="H11" i="98"/>
  <c r="M21" i="98"/>
  <c r="H15" i="98"/>
  <c r="M32" i="178"/>
  <c r="M180" i="155"/>
  <c r="E238" i="155"/>
  <c r="M177" i="66"/>
  <c r="H221" i="66"/>
  <c r="M77" i="66"/>
  <c r="M172" i="66"/>
  <c r="K13" i="66"/>
  <c r="H227" i="66"/>
  <c r="H220" i="66"/>
  <c r="M64" i="66"/>
  <c r="M110" i="66"/>
  <c r="M49" i="66"/>
  <c r="M51" i="66"/>
  <c r="M135" i="66"/>
  <c r="M26" i="66"/>
  <c r="M34" i="66"/>
  <c r="M67" i="66"/>
  <c r="M83" i="66"/>
  <c r="M33" i="66"/>
  <c r="H222" i="66"/>
  <c r="M155" i="66"/>
  <c r="M180" i="66"/>
  <c r="M37" i="66"/>
  <c r="G236" i="66"/>
  <c r="G238" i="66"/>
  <c r="M50" i="66"/>
  <c r="M54" i="66"/>
  <c r="M76" i="66"/>
  <c r="M133" i="66"/>
  <c r="M42" i="66"/>
  <c r="H224" i="66"/>
  <c r="M152" i="66"/>
  <c r="M195" i="66"/>
  <c r="M105" i="66"/>
  <c r="M85" i="66"/>
  <c r="M57" i="66"/>
  <c r="M108" i="66"/>
  <c r="H228" i="66"/>
  <c r="M142" i="66"/>
  <c r="M30" i="66"/>
  <c r="M45" i="66"/>
  <c r="M184" i="66"/>
  <c r="M174" i="66"/>
  <c r="M69" i="66"/>
  <c r="H219" i="66"/>
  <c r="H226" i="66"/>
  <c r="M132" i="66"/>
  <c r="M157" i="66"/>
  <c r="M92" i="66"/>
  <c r="M164" i="66"/>
  <c r="M173" i="66"/>
  <c r="M100" i="66"/>
  <c r="M137" i="66"/>
  <c r="M31" i="66"/>
  <c r="M70" i="66"/>
  <c r="H223" i="66"/>
  <c r="M171" i="66"/>
  <c r="M151" i="66"/>
  <c r="M153" i="66"/>
  <c r="M65" i="66"/>
  <c r="M109" i="66"/>
  <c r="M196" i="66"/>
  <c r="M116" i="66"/>
  <c r="M136" i="66"/>
  <c r="M188" i="66"/>
  <c r="M146" i="66"/>
  <c r="M175" i="66"/>
  <c r="M126" i="66"/>
  <c r="M73" i="66"/>
  <c r="M125" i="66"/>
  <c r="M148" i="66"/>
  <c r="M138" i="66"/>
  <c r="M29" i="66"/>
  <c r="M114" i="66"/>
  <c r="M58" i="66"/>
  <c r="M36" i="66"/>
  <c r="M41" i="66"/>
  <c r="M127" i="66"/>
  <c r="M90" i="66"/>
  <c r="M156" i="66"/>
  <c r="M131" i="66"/>
  <c r="M204" i="66"/>
  <c r="M25" i="66"/>
  <c r="M48" i="66"/>
  <c r="M169" i="66"/>
  <c r="M185" i="66"/>
  <c r="M186" i="66"/>
  <c r="M123" i="66"/>
  <c r="M166" i="66"/>
  <c r="M150" i="66"/>
  <c r="M74" i="66"/>
  <c r="M168" i="66"/>
  <c r="M52" i="66"/>
  <c r="M181" i="66"/>
  <c r="M59" i="66"/>
  <c r="M60" i="66"/>
  <c r="M115" i="66"/>
  <c r="M97" i="66"/>
  <c r="M167" i="66"/>
  <c r="M190" i="66"/>
  <c r="M38" i="66"/>
  <c r="M44" i="66"/>
  <c r="M28" i="66"/>
  <c r="M43" i="66"/>
  <c r="M192" i="66"/>
  <c r="M117" i="66"/>
  <c r="M82" i="66"/>
  <c r="M179" i="66"/>
  <c r="M147" i="66"/>
  <c r="M170" i="66"/>
  <c r="M193" i="66"/>
  <c r="M68" i="66"/>
  <c r="M194" i="66"/>
  <c r="M187" i="66"/>
  <c r="M78" i="66"/>
  <c r="H225" i="66"/>
  <c r="M182" i="66"/>
  <c r="M101" i="66"/>
  <c r="M205" i="66"/>
  <c r="M89" i="66"/>
  <c r="M141" i="66"/>
  <c r="M39" i="66"/>
  <c r="M159" i="66"/>
  <c r="M160" i="66"/>
  <c r="M71" i="66"/>
  <c r="M86" i="66"/>
  <c r="M202" i="66"/>
  <c r="M145" i="66"/>
  <c r="M203" i="66"/>
  <c r="M107" i="66"/>
  <c r="M165" i="66"/>
  <c r="M201" i="66"/>
  <c r="M27" i="66"/>
  <c r="M32" i="66"/>
  <c r="M178" i="66"/>
  <c r="M149" i="66"/>
  <c r="M206" i="66"/>
  <c r="M47" i="66"/>
  <c r="M35" i="66"/>
  <c r="M200" i="66"/>
  <c r="M96" i="66"/>
  <c r="M183" i="66"/>
  <c r="M55" i="66"/>
  <c r="M56" i="66"/>
  <c r="M191" i="66"/>
  <c r="M66" i="66"/>
  <c r="M118" i="66"/>
  <c r="M140" i="66"/>
  <c r="M176" i="66"/>
  <c r="M124" i="66"/>
  <c r="M119" i="66"/>
  <c r="M143" i="66"/>
  <c r="M88" i="66"/>
  <c r="M189" i="66"/>
  <c r="M99" i="66"/>
  <c r="M98" i="66"/>
  <c r="M106" i="66"/>
  <c r="M130" i="66"/>
  <c r="M158" i="66"/>
  <c r="M46" i="66"/>
  <c r="M176" i="178"/>
  <c r="M116" i="178"/>
  <c r="M41" i="178"/>
  <c r="M76" i="178"/>
  <c r="M79" i="49"/>
  <c r="G208" i="94"/>
  <c r="G208" i="62"/>
  <c r="G96" i="97"/>
  <c r="M136" i="178"/>
  <c r="H16" i="66"/>
  <c r="H11" i="66"/>
  <c r="M21" i="66"/>
  <c r="H15" i="66"/>
  <c r="H20" i="66"/>
  <c r="H21" i="66"/>
  <c r="H18" i="66"/>
  <c r="K11" i="66"/>
  <c r="H12" i="66"/>
  <c r="H13" i="66"/>
  <c r="H17" i="66"/>
  <c r="H19" i="66"/>
  <c r="H14" i="66"/>
  <c r="G82" i="97"/>
  <c r="M50" i="49"/>
  <c r="M146" i="49"/>
  <c r="M129" i="49"/>
  <c r="H220" i="49"/>
  <c r="M192" i="49"/>
  <c r="M126" i="49"/>
  <c r="M150" i="49"/>
  <c r="M30" i="49"/>
  <c r="M57" i="49"/>
  <c r="M51" i="49"/>
  <c r="M132" i="49"/>
  <c r="M67" i="49"/>
  <c r="M108" i="49"/>
  <c r="M110" i="49"/>
  <c r="M181" i="49"/>
  <c r="M41" i="49"/>
  <c r="M176" i="49"/>
  <c r="M86" i="49"/>
  <c r="M153" i="49"/>
  <c r="M105" i="49"/>
  <c r="M46" i="49"/>
  <c r="M173" i="49"/>
  <c r="M143" i="49"/>
  <c r="M32" i="49"/>
  <c r="M84" i="49"/>
  <c r="M56" i="49"/>
  <c r="M109" i="49"/>
  <c r="M141" i="49"/>
  <c r="M96" i="49"/>
  <c r="M135" i="49"/>
  <c r="M193" i="49"/>
  <c r="M174" i="49"/>
  <c r="M91" i="49"/>
  <c r="M157" i="49"/>
  <c r="M195" i="49"/>
  <c r="M73" i="49"/>
  <c r="M40" i="49"/>
  <c r="M182" i="49"/>
  <c r="M34" i="49"/>
  <c r="M36" i="49"/>
  <c r="M127" i="49"/>
  <c r="M71" i="49"/>
  <c r="M64" i="49"/>
  <c r="M171" i="49"/>
  <c r="M202" i="49"/>
  <c r="H221" i="49"/>
  <c r="M125" i="49"/>
  <c r="M65" i="49"/>
  <c r="M145" i="49"/>
  <c r="H226" i="49"/>
  <c r="M116" i="49"/>
  <c r="M107" i="49"/>
  <c r="H227" i="49"/>
  <c r="M52" i="49"/>
  <c r="M160" i="49"/>
  <c r="M58" i="49"/>
  <c r="M45" i="49"/>
  <c r="M115" i="49"/>
  <c r="H225" i="49"/>
  <c r="M60" i="49"/>
  <c r="M49" i="49"/>
  <c r="M59" i="49"/>
  <c r="M44" i="49"/>
  <c r="M183" i="49"/>
  <c r="M147" i="49"/>
  <c r="M89" i="49"/>
  <c r="M138" i="49"/>
  <c r="M77" i="49"/>
  <c r="M201" i="49"/>
  <c r="H223" i="49"/>
  <c r="M169" i="49"/>
  <c r="M168" i="49"/>
  <c r="M114" i="49"/>
  <c r="M179" i="49"/>
  <c r="M156" i="49"/>
  <c r="M27" i="49"/>
  <c r="M159" i="49"/>
  <c r="M140" i="49"/>
  <c r="M165" i="49"/>
  <c r="M175" i="49"/>
  <c r="G236" i="49"/>
  <c r="M88" i="49"/>
  <c r="M191" i="49"/>
  <c r="M38" i="49"/>
  <c r="M184" i="49"/>
  <c r="M158" i="49"/>
  <c r="M185" i="49"/>
  <c r="M190" i="49"/>
  <c r="M167" i="49"/>
  <c r="M123" i="49"/>
  <c r="M101" i="49"/>
  <c r="M25" i="49"/>
  <c r="M26" i="49"/>
  <c r="H219" i="49"/>
  <c r="M28" i="49"/>
  <c r="M124" i="49"/>
  <c r="M164" i="49"/>
  <c r="M178" i="49"/>
  <c r="M186" i="49"/>
  <c r="K13" i="49"/>
  <c r="M188" i="49"/>
  <c r="M152" i="49"/>
  <c r="M76" i="49"/>
  <c r="M68" i="49"/>
  <c r="M100" i="49"/>
  <c r="M74" i="49"/>
  <c r="M187" i="49"/>
  <c r="M39" i="49"/>
  <c r="M149" i="49"/>
  <c r="M54" i="49"/>
  <c r="M205" i="49"/>
  <c r="M69" i="49"/>
  <c r="M99" i="49"/>
  <c r="M204" i="49"/>
  <c r="M155" i="49"/>
  <c r="H224" i="49"/>
  <c r="M33" i="49"/>
  <c r="M48" i="49"/>
  <c r="M111" i="49"/>
  <c r="M148" i="49"/>
  <c r="M92" i="49"/>
  <c r="M87" i="49"/>
  <c r="M133" i="49"/>
  <c r="M43" i="49"/>
  <c r="M177" i="49"/>
  <c r="M70" i="49"/>
  <c r="M42" i="49"/>
  <c r="M106" i="49"/>
  <c r="M180" i="49"/>
  <c r="H228" i="49"/>
  <c r="M75" i="49"/>
  <c r="M172" i="49"/>
  <c r="M130" i="49"/>
  <c r="M85" i="49"/>
  <c r="M203" i="49"/>
  <c r="M200" i="49"/>
  <c r="H222" i="49"/>
  <c r="M196" i="49"/>
  <c r="M35" i="49"/>
  <c r="M53" i="49"/>
  <c r="M206" i="49"/>
  <c r="M31" i="49"/>
  <c r="M66" i="49"/>
  <c r="M194" i="49"/>
  <c r="M90" i="49"/>
  <c r="M151" i="49"/>
  <c r="M137" i="49"/>
  <c r="M78" i="49"/>
  <c r="M98" i="49"/>
  <c r="M166" i="49"/>
  <c r="M82" i="49"/>
  <c r="M55" i="49"/>
  <c r="M37" i="49"/>
  <c r="M118" i="49"/>
  <c r="M136" i="49"/>
  <c r="M72" i="49"/>
  <c r="M117" i="49"/>
  <c r="M170" i="49"/>
  <c r="M131" i="49"/>
  <c r="M142" i="49"/>
  <c r="M47" i="49"/>
  <c r="K15" i="43"/>
  <c r="G237" i="43"/>
  <c r="M202" i="178"/>
  <c r="M25" i="178"/>
  <c r="E238" i="54"/>
  <c r="G208" i="145"/>
  <c r="G208" i="60"/>
  <c r="M68" i="178"/>
  <c r="E238" i="66"/>
  <c r="G208" i="174"/>
  <c r="M197" i="178"/>
  <c r="M167" i="155"/>
  <c r="M204" i="178"/>
  <c r="H17" i="71"/>
  <c r="H12" i="71"/>
  <c r="H11" i="71"/>
  <c r="H14" i="71"/>
  <c r="H15" i="71"/>
  <c r="H20" i="71"/>
  <c r="H18" i="71"/>
  <c r="H16" i="71"/>
  <c r="H19" i="71"/>
  <c r="H21" i="71"/>
  <c r="K11" i="71"/>
  <c r="M21" i="71"/>
  <c r="H13" i="71"/>
  <c r="M61" i="49"/>
  <c r="M123" i="178"/>
  <c r="G208" i="66"/>
  <c r="G215" i="66"/>
  <c r="M53" i="178"/>
  <c r="M52" i="178"/>
  <c r="M197" i="66"/>
  <c r="M85" i="178"/>
  <c r="M168" i="178"/>
  <c r="M142" i="155"/>
  <c r="M101" i="178"/>
  <c r="M54" i="178"/>
  <c r="E238" i="178"/>
  <c r="G208" i="156"/>
  <c r="M90" i="178"/>
  <c r="M161" i="155"/>
  <c r="M21" i="46"/>
  <c r="H16" i="46"/>
  <c r="K11" i="46"/>
  <c r="H20" i="46"/>
  <c r="H19" i="46"/>
  <c r="H18" i="46"/>
  <c r="H17" i="46"/>
  <c r="H15" i="46"/>
  <c r="H11" i="46"/>
  <c r="H12" i="46"/>
  <c r="H13" i="46"/>
  <c r="H21" i="46"/>
  <c r="H14" i="46"/>
  <c r="N48" i="178"/>
  <c r="N48" i="157"/>
  <c r="N48" i="10"/>
  <c r="N48" i="62"/>
  <c r="N48" i="120"/>
  <c r="N48" i="177"/>
  <c r="N48" i="54"/>
  <c r="N48" i="90"/>
  <c r="N48" i="71"/>
  <c r="N48" i="106"/>
  <c r="N48" i="155"/>
  <c r="N48" i="98"/>
  <c r="N48" i="38"/>
  <c r="N48" i="20"/>
  <c r="N48" i="152"/>
  <c r="N48" i="118"/>
  <c r="N48" i="19"/>
  <c r="N48" i="156"/>
  <c r="N48" i="43"/>
  <c r="N48" i="87"/>
  <c r="N48" i="27"/>
  <c r="N48" i="119"/>
  <c r="N48" i="16"/>
  <c r="N48" i="167"/>
  <c r="N48" i="49"/>
  <c r="N48" i="46"/>
  <c r="N48" i="21"/>
  <c r="N48" i="1"/>
  <c r="N48" i="50"/>
  <c r="N48" i="55"/>
  <c r="N48" i="135"/>
  <c r="N48" i="31"/>
  <c r="N48" i="145"/>
  <c r="N48" i="69"/>
  <c r="N48" i="85"/>
  <c r="N48" i="72"/>
  <c r="N48" i="149"/>
  <c r="N48" i="103"/>
  <c r="N48" i="150"/>
  <c r="N48" i="45"/>
  <c r="N48" i="92"/>
  <c r="N48" i="57"/>
  <c r="N48" i="164"/>
  <c r="N48" i="95"/>
  <c r="N48" i="28"/>
  <c r="N48" i="174"/>
  <c r="N48" i="141"/>
  <c r="N48" i="165"/>
  <c r="N48" i="172"/>
  <c r="N48" i="14"/>
  <c r="N48" i="86"/>
  <c r="N48" i="53"/>
  <c r="N48" i="66"/>
  <c r="N48" i="47"/>
  <c r="N48" i="32"/>
  <c r="N48" i="136"/>
  <c r="N48" i="24"/>
  <c r="N48" i="104"/>
  <c r="N48" i="60"/>
  <c r="N48" i="65"/>
  <c r="N48" i="158"/>
  <c r="N48" i="58"/>
  <c r="N48" i="142"/>
  <c r="N48" i="37"/>
  <c r="N48" i="63"/>
  <c r="N48" i="39"/>
  <c r="N48" i="133"/>
  <c r="N48" i="84"/>
  <c r="N48" i="143"/>
  <c r="N48" i="33"/>
  <c r="N48" i="68"/>
  <c r="N48" i="25"/>
  <c r="N48" i="79"/>
  <c r="N48" i="102"/>
  <c r="N48" i="113"/>
  <c r="N48" i="111"/>
  <c r="N48" i="159"/>
  <c r="N48" i="89"/>
  <c r="N48" i="83"/>
  <c r="N48" i="15"/>
  <c r="N48" i="176"/>
  <c r="N48" i="94"/>
  <c r="N48" i="175"/>
  <c r="N48" i="64"/>
  <c r="N48" i="42"/>
  <c r="M61" i="155"/>
  <c r="N45" i="37"/>
  <c r="N45" i="155"/>
  <c r="N45" i="63"/>
  <c r="N45" i="54"/>
  <c r="N45" i="45"/>
  <c r="N45" i="174"/>
  <c r="N45" i="60"/>
  <c r="N45" i="177"/>
  <c r="N45" i="145"/>
  <c r="N45" i="42"/>
  <c r="N45" i="58"/>
  <c r="N45" i="55"/>
  <c r="N45" i="119"/>
  <c r="N45" i="43"/>
  <c r="N45" i="175"/>
  <c r="N45" i="152"/>
  <c r="N45" i="46"/>
  <c r="N45" i="94"/>
  <c r="N45" i="136"/>
  <c r="N45" i="176"/>
  <c r="N45" i="32"/>
  <c r="N45" i="19"/>
  <c r="N45" i="103"/>
  <c r="N45" i="98"/>
  <c r="N45" i="142"/>
  <c r="N45" i="90"/>
  <c r="N45" i="165"/>
  <c r="N45" i="66"/>
  <c r="N45" i="24"/>
  <c r="N45" i="1"/>
  <c r="N45" i="84"/>
  <c r="N45" i="87"/>
  <c r="N45" i="141"/>
  <c r="N45" i="95"/>
  <c r="N45" i="102"/>
  <c r="N45" i="158"/>
  <c r="N45" i="57"/>
  <c r="N45" i="104"/>
  <c r="N45" i="31"/>
  <c r="N45" i="178"/>
  <c r="N45" i="92"/>
  <c r="N45" i="172"/>
  <c r="N45" i="47"/>
  <c r="N45" i="15"/>
  <c r="N45" i="21"/>
  <c r="N45" i="167"/>
  <c r="N45" i="69"/>
  <c r="N45" i="106"/>
  <c r="N45" i="14"/>
  <c r="N45" i="25"/>
  <c r="N45" i="164"/>
  <c r="N45" i="133"/>
  <c r="N45" i="149"/>
  <c r="N45" i="65"/>
  <c r="N45" i="62"/>
  <c r="N45" i="150"/>
  <c r="N45" i="89"/>
  <c r="N45" i="38"/>
  <c r="N45" i="120"/>
  <c r="N45" i="27"/>
  <c r="N45" i="53"/>
  <c r="N45" i="113"/>
  <c r="N45" i="50"/>
  <c r="N45" i="156"/>
  <c r="N45" i="39"/>
  <c r="N45" i="71"/>
  <c r="N45" i="118"/>
  <c r="N45" i="111"/>
  <c r="N45" i="85"/>
  <c r="N45" i="10"/>
  <c r="N45" i="159"/>
  <c r="N45" i="20"/>
  <c r="N45" i="16"/>
  <c r="N45" i="157"/>
  <c r="N45" i="49"/>
  <c r="N45" i="68"/>
  <c r="N45" i="135"/>
  <c r="N45" i="86"/>
  <c r="N45" i="72"/>
  <c r="N45" i="64"/>
  <c r="N45" i="33"/>
  <c r="N45" i="79"/>
  <c r="N45" i="83"/>
  <c r="N45" i="143"/>
  <c r="N45" i="28"/>
  <c r="M21" i="32"/>
  <c r="H17" i="32"/>
  <c r="H15" i="32"/>
  <c r="H14" i="32"/>
  <c r="H12" i="32"/>
  <c r="H20" i="32"/>
  <c r="H21" i="32"/>
  <c r="H16" i="32"/>
  <c r="H11" i="32"/>
  <c r="H13" i="32"/>
  <c r="K11" i="32"/>
  <c r="H19" i="32"/>
  <c r="H18" i="32"/>
  <c r="M146" i="178"/>
  <c r="G208" i="55"/>
  <c r="H17" i="133"/>
  <c r="H21" i="133"/>
  <c r="H16" i="133"/>
  <c r="H14" i="133"/>
  <c r="H13" i="133"/>
  <c r="H12" i="133"/>
  <c r="M21" i="133"/>
  <c r="H19" i="133"/>
  <c r="H20" i="133"/>
  <c r="H11" i="133"/>
  <c r="H18" i="133"/>
  <c r="H15" i="133"/>
  <c r="K11" i="133"/>
  <c r="G164" i="97"/>
  <c r="M37" i="178"/>
  <c r="M119" i="155"/>
  <c r="M79" i="103"/>
  <c r="G208" i="103"/>
  <c r="H13" i="178"/>
  <c r="M21" i="178"/>
  <c r="H12" i="178"/>
  <c r="H20" i="178"/>
  <c r="H16" i="178"/>
  <c r="K11" i="178"/>
  <c r="H15" i="178"/>
  <c r="H11" i="178"/>
  <c r="H19" i="178"/>
  <c r="H14" i="178"/>
  <c r="H18" i="178"/>
  <c r="H17" i="178"/>
  <c r="H21" i="178"/>
  <c r="M61" i="178"/>
  <c r="M36" i="178"/>
  <c r="H137" i="16"/>
  <c r="M177" i="155"/>
  <c r="M73" i="178"/>
  <c r="M45" i="155"/>
  <c r="M65" i="178"/>
  <c r="G236" i="43"/>
  <c r="G208" i="43"/>
  <c r="M49" i="178"/>
  <c r="M155" i="178"/>
  <c r="J16" i="97"/>
  <c r="M133" i="178"/>
  <c r="M48" i="178"/>
  <c r="M111" i="178"/>
  <c r="M158" i="178"/>
  <c r="M197" i="155"/>
  <c r="M119" i="38"/>
  <c r="G208" i="38"/>
  <c r="G215" i="38"/>
  <c r="M29" i="49"/>
  <c r="H15" i="156"/>
  <c r="H18" i="156"/>
  <c r="H12" i="156"/>
  <c r="H13" i="156"/>
  <c r="M21" i="156"/>
  <c r="H20" i="156"/>
  <c r="H17" i="156"/>
  <c r="K11" i="156"/>
  <c r="H16" i="156"/>
  <c r="H11" i="156"/>
  <c r="H14" i="156"/>
  <c r="H19" i="156"/>
  <c r="H21" i="156"/>
  <c r="G238" i="167"/>
  <c r="M92" i="178"/>
  <c r="G208" i="46"/>
  <c r="G215" i="46"/>
  <c r="G208" i="85"/>
  <c r="M125" i="178"/>
  <c r="M75" i="66"/>
  <c r="G208" i="25"/>
  <c r="E238" i="113"/>
  <c r="M52" i="113"/>
  <c r="O173" i="97"/>
  <c r="O28" i="97"/>
  <c r="O85" i="97"/>
  <c r="D218" i="97"/>
  <c r="M156" i="113"/>
  <c r="M135" i="113"/>
  <c r="M111" i="113"/>
  <c r="G114" i="97"/>
  <c r="M34" i="113"/>
  <c r="M184" i="113"/>
  <c r="M145" i="113"/>
  <c r="H14" i="113"/>
  <c r="H16" i="113"/>
  <c r="H19" i="113"/>
  <c r="H11" i="113"/>
  <c r="H12" i="113"/>
  <c r="H15" i="113"/>
  <c r="K11" i="113"/>
  <c r="H13" i="113"/>
  <c r="H21" i="113"/>
  <c r="H20" i="113"/>
  <c r="H17" i="113"/>
  <c r="H18" i="113"/>
  <c r="M21" i="113"/>
  <c r="G24" i="97"/>
  <c r="M101" i="113"/>
  <c r="M142" i="113"/>
  <c r="J20" i="97"/>
  <c r="M64" i="113"/>
  <c r="O140" i="97"/>
  <c r="M43" i="113"/>
  <c r="M36" i="113"/>
  <c r="O138" i="97"/>
  <c r="O148" i="97"/>
  <c r="N174" i="95"/>
  <c r="N174" i="157"/>
  <c r="N174" i="58"/>
  <c r="N174" i="64"/>
  <c r="N174" i="33"/>
  <c r="N174" i="111"/>
  <c r="N174" i="118"/>
  <c r="N174" i="85"/>
  <c r="N174" i="103"/>
  <c r="N174" i="135"/>
  <c r="N174" i="158"/>
  <c r="N174" i="104"/>
  <c r="N174" i="15"/>
  <c r="N174" i="27"/>
  <c r="N174" i="28"/>
  <c r="N174" i="50"/>
  <c r="N174" i="89"/>
  <c r="N174" i="142"/>
  <c r="N174" i="66"/>
  <c r="N174" i="133"/>
  <c r="N174" i="43"/>
  <c r="N174" i="19"/>
  <c r="N174" i="90"/>
  <c r="N174" i="37"/>
  <c r="N174" i="83"/>
  <c r="N174" i="136"/>
  <c r="N174" i="86"/>
  <c r="N174" i="177"/>
  <c r="N174" i="106"/>
  <c r="N174" i="55"/>
  <c r="N174" i="141"/>
  <c r="N174" i="79"/>
  <c r="N174" i="32"/>
  <c r="N174" i="14"/>
  <c r="N174" i="120"/>
  <c r="N174" i="164"/>
  <c r="N174" i="98"/>
  <c r="N174" i="176"/>
  <c r="N174" i="53"/>
  <c r="N174" i="49"/>
  <c r="N174" i="38"/>
  <c r="N174" i="20"/>
  <c r="N174" i="178"/>
  <c r="N174" i="149"/>
  <c r="N174" i="84"/>
  <c r="N174" i="174"/>
  <c r="N174" i="119"/>
  <c r="N174" i="113"/>
  <c r="N174" i="62"/>
  <c r="N174" i="145"/>
  <c r="N174" i="143"/>
  <c r="N174" i="65"/>
  <c r="N174" i="172"/>
  <c r="N174" i="10"/>
  <c r="N174" i="152"/>
  <c r="N174" i="72"/>
  <c r="N174" i="21"/>
  <c r="N174" i="71"/>
  <c r="N174" i="39"/>
  <c r="N174" i="24"/>
  <c r="N174" i="156"/>
  <c r="N174" i="16"/>
  <c r="N174" i="94"/>
  <c r="N174" i="46"/>
  <c r="N174" i="87"/>
  <c r="N174" i="175"/>
  <c r="N174" i="47"/>
  <c r="N174" i="63"/>
  <c r="N174" i="102"/>
  <c r="N174" i="155"/>
  <c r="N174" i="54"/>
  <c r="N174" i="42"/>
  <c r="N174" i="31"/>
  <c r="N174" i="68"/>
  <c r="N174" i="167"/>
  <c r="N174" i="45"/>
  <c r="N174" i="25"/>
  <c r="N174" i="165"/>
  <c r="N174" i="92"/>
  <c r="N174" i="60"/>
  <c r="N174" i="57"/>
  <c r="N174" i="150"/>
  <c r="N174" i="1"/>
  <c r="N174" i="159"/>
  <c r="N174" i="69"/>
  <c r="M137" i="113"/>
  <c r="N43" i="178"/>
  <c r="N43" i="174"/>
  <c r="N43" i="177"/>
  <c r="N43" i="164"/>
  <c r="N43" i="103"/>
  <c r="N43" i="86"/>
  <c r="N43" i="142"/>
  <c r="N43" i="16"/>
  <c r="N43" i="10"/>
  <c r="N43" i="53"/>
  <c r="N43" i="167"/>
  <c r="N43" i="46"/>
  <c r="N43" i="119"/>
  <c r="N43" i="28"/>
  <c r="N43" i="20"/>
  <c r="N43" i="32"/>
  <c r="N43" i="42"/>
  <c r="N43" i="120"/>
  <c r="N43" i="111"/>
  <c r="N43" i="19"/>
  <c r="N43" i="159"/>
  <c r="N43" i="113"/>
  <c r="N43" i="84"/>
  <c r="N43" i="152"/>
  <c r="N43" i="68"/>
  <c r="N43" i="24"/>
  <c r="N43" i="15"/>
  <c r="N43" i="49"/>
  <c r="N43" i="87"/>
  <c r="N43" i="102"/>
  <c r="N43" i="89"/>
  <c r="N43" i="92"/>
  <c r="N43" i="14"/>
  <c r="N43" i="136"/>
  <c r="N43" i="60"/>
  <c r="N43" i="176"/>
  <c r="N43" i="85"/>
  <c r="N43" i="95"/>
  <c r="N43" i="63"/>
  <c r="N43" i="54"/>
  <c r="N43" i="155"/>
  <c r="N43" i="58"/>
  <c r="N43" i="98"/>
  <c r="N43" i="158"/>
  <c r="N43" i="165"/>
  <c r="N43" i="172"/>
  <c r="N43" i="90"/>
  <c r="N43" i="118"/>
  <c r="N43" i="1"/>
  <c r="N43" i="33"/>
  <c r="N43" i="65"/>
  <c r="N43" i="57"/>
  <c r="N43" i="145"/>
  <c r="N43" i="83"/>
  <c r="N43" i="94"/>
  <c r="N43" i="156"/>
  <c r="N43" i="37"/>
  <c r="N43" i="25"/>
  <c r="N43" i="79"/>
  <c r="N43" i="45"/>
  <c r="N43" i="38"/>
  <c r="N43" i="62"/>
  <c r="N43" i="175"/>
  <c r="N43" i="149"/>
  <c r="N43" i="66"/>
  <c r="N43" i="157"/>
  <c r="N43" i="150"/>
  <c r="N43" i="106"/>
  <c r="N43" i="71"/>
  <c r="N43" i="43"/>
  <c r="N43" i="133"/>
  <c r="N43" i="47"/>
  <c r="N43" i="31"/>
  <c r="N43" i="72"/>
  <c r="N43" i="64"/>
  <c r="N43" i="104"/>
  <c r="N43" i="21"/>
  <c r="N43" i="27"/>
  <c r="N43" i="135"/>
  <c r="N43" i="50"/>
  <c r="N43" i="39"/>
  <c r="N43" i="55"/>
  <c r="N43" i="69"/>
  <c r="N43" i="143"/>
  <c r="N43" i="141"/>
  <c r="O169" i="97"/>
  <c r="G231" i="97"/>
  <c r="J67" i="97"/>
  <c r="M56" i="113"/>
  <c r="M117" i="113"/>
  <c r="M132" i="113"/>
  <c r="M98" i="113"/>
  <c r="H228" i="113"/>
  <c r="M127" i="113"/>
  <c r="M32" i="113"/>
  <c r="M133" i="113"/>
  <c r="M31" i="113"/>
  <c r="M59" i="113"/>
  <c r="M130" i="113"/>
  <c r="M123" i="113"/>
  <c r="H221" i="113"/>
  <c r="M84" i="113"/>
  <c r="M164" i="113"/>
  <c r="M37" i="113"/>
  <c r="M193" i="113"/>
  <c r="M78" i="113"/>
  <c r="M109" i="113"/>
  <c r="M189" i="113"/>
  <c r="M69" i="113"/>
  <c r="M70" i="113"/>
  <c r="M160" i="113"/>
  <c r="M125" i="113"/>
  <c r="M168" i="113"/>
  <c r="M157" i="113"/>
  <c r="M185" i="113"/>
  <c r="M45" i="113"/>
  <c r="M97" i="113"/>
  <c r="M176" i="113"/>
  <c r="K13" i="113"/>
  <c r="M33" i="113"/>
  <c r="H227" i="113"/>
  <c r="M106" i="113"/>
  <c r="G236" i="113"/>
  <c r="H226" i="113"/>
  <c r="M158" i="113"/>
  <c r="M149" i="113"/>
  <c r="M90" i="113"/>
  <c r="H223" i="113"/>
  <c r="M172" i="113"/>
  <c r="H222" i="113"/>
  <c r="M175" i="113"/>
  <c r="M203" i="113"/>
  <c r="M38" i="113"/>
  <c r="M96" i="113"/>
  <c r="M83" i="113"/>
  <c r="M171" i="113"/>
  <c r="M44" i="113"/>
  <c r="M180" i="113"/>
  <c r="M53" i="113"/>
  <c r="H219" i="113"/>
  <c r="M152" i="113"/>
  <c r="M40" i="113"/>
  <c r="H220" i="113"/>
  <c r="M26" i="113"/>
  <c r="M116" i="113"/>
  <c r="M92" i="113"/>
  <c r="M42" i="113"/>
  <c r="M141" i="113"/>
  <c r="M167" i="113"/>
  <c r="M91" i="113"/>
  <c r="H225" i="113"/>
  <c r="M108" i="113"/>
  <c r="M75" i="113"/>
  <c r="M173" i="113"/>
  <c r="M73" i="113"/>
  <c r="M204" i="113"/>
  <c r="M124" i="113"/>
  <c r="M187" i="113"/>
  <c r="M58" i="113"/>
  <c r="M138" i="113"/>
  <c r="M105" i="113"/>
  <c r="M57" i="113"/>
  <c r="M195" i="113"/>
  <c r="M88" i="113"/>
  <c r="M28" i="113"/>
  <c r="M60" i="113"/>
  <c r="M179" i="113"/>
  <c r="M191" i="113"/>
  <c r="H224" i="113"/>
  <c r="M201" i="113"/>
  <c r="M72" i="113"/>
  <c r="M49" i="113"/>
  <c r="M165" i="113"/>
  <c r="M151" i="113"/>
  <c r="M148" i="113"/>
  <c r="M136" i="113"/>
  <c r="M129" i="113"/>
  <c r="M140" i="113"/>
  <c r="M48" i="113"/>
  <c r="M110" i="113"/>
  <c r="M169" i="113"/>
  <c r="M114" i="113"/>
  <c r="M182" i="113"/>
  <c r="M194" i="113"/>
  <c r="M89" i="113"/>
  <c r="M35" i="113"/>
  <c r="M126" i="113"/>
  <c r="M100" i="113"/>
  <c r="M192" i="113"/>
  <c r="M131" i="113"/>
  <c r="M47" i="113"/>
  <c r="M190" i="113"/>
  <c r="M85" i="113"/>
  <c r="M55" i="113"/>
  <c r="M66" i="113"/>
  <c r="M155" i="113"/>
  <c r="M178" i="113"/>
  <c r="M205" i="113"/>
  <c r="M74" i="113"/>
  <c r="M115" i="113"/>
  <c r="M76" i="113"/>
  <c r="M143" i="113"/>
  <c r="M51" i="113"/>
  <c r="M68" i="113"/>
  <c r="M153" i="113"/>
  <c r="M159" i="113"/>
  <c r="M82" i="113"/>
  <c r="M50" i="113"/>
  <c r="O30" i="97"/>
  <c r="M77" i="113"/>
  <c r="M46" i="113"/>
  <c r="O150" i="97"/>
  <c r="M87" i="113"/>
  <c r="O203" i="97"/>
  <c r="M99" i="113"/>
  <c r="M39" i="113"/>
  <c r="M202" i="113"/>
  <c r="M118" i="113"/>
  <c r="M119" i="113"/>
  <c r="M170" i="113"/>
  <c r="M67" i="113"/>
  <c r="M25" i="113"/>
  <c r="N50" i="178"/>
  <c r="N50" i="84"/>
  <c r="N50" i="90"/>
  <c r="N50" i="49"/>
  <c r="N50" i="142"/>
  <c r="N50" i="85"/>
  <c r="N50" i="155"/>
  <c r="N50" i="94"/>
  <c r="N50" i="1"/>
  <c r="N50" i="143"/>
  <c r="N50" i="149"/>
  <c r="N50" i="113"/>
  <c r="N50" i="55"/>
  <c r="N50" i="66"/>
  <c r="N50" i="31"/>
  <c r="N50" i="14"/>
  <c r="N50" i="58"/>
  <c r="N50" i="50"/>
  <c r="N50" i="45"/>
  <c r="N50" i="46"/>
  <c r="N50" i="106"/>
  <c r="N50" i="165"/>
  <c r="N50" i="42"/>
  <c r="N50" i="135"/>
  <c r="N50" i="89"/>
  <c r="N50" i="159"/>
  <c r="N50" i="27"/>
  <c r="N50" i="158"/>
  <c r="N50" i="103"/>
  <c r="N50" i="164"/>
  <c r="N50" i="43"/>
  <c r="N50" i="68"/>
  <c r="N50" i="136"/>
  <c r="N50" i="145"/>
  <c r="N50" i="133"/>
  <c r="N50" i="15"/>
  <c r="N50" i="25"/>
  <c r="N50" i="65"/>
  <c r="N50" i="104"/>
  <c r="N50" i="175"/>
  <c r="N50" i="32"/>
  <c r="N50" i="69"/>
  <c r="N50" i="21"/>
  <c r="N50" i="72"/>
  <c r="N50" i="33"/>
  <c r="N50" i="119"/>
  <c r="N50" i="38"/>
  <c r="N50" i="174"/>
  <c r="N50" i="24"/>
  <c r="N50" i="28"/>
  <c r="N50" i="79"/>
  <c r="N50" i="150"/>
  <c r="N50" i="10"/>
  <c r="N50" i="177"/>
  <c r="N50" i="156"/>
  <c r="N50" i="19"/>
  <c r="N50" i="141"/>
  <c r="N50" i="118"/>
  <c r="N50" i="53"/>
  <c r="N50" i="152"/>
  <c r="N50" i="95"/>
  <c r="N50" i="87"/>
  <c r="N50" i="16"/>
  <c r="N50" i="71"/>
  <c r="N50" i="120"/>
  <c r="N50" i="83"/>
  <c r="N50" i="102"/>
  <c r="N50" i="92"/>
  <c r="N50" i="111"/>
  <c r="N50" i="167"/>
  <c r="N50" i="57"/>
  <c r="N50" i="86"/>
  <c r="N50" i="63"/>
  <c r="N50" i="39"/>
  <c r="N50" i="20"/>
  <c r="N50" i="54"/>
  <c r="N50" i="176"/>
  <c r="N50" i="47"/>
  <c r="N50" i="60"/>
  <c r="N50" i="37"/>
  <c r="N50" i="157"/>
  <c r="N50" i="64"/>
  <c r="N50" i="172"/>
  <c r="N50" i="98"/>
  <c r="N50" i="62"/>
  <c r="M150" i="113"/>
  <c r="E239" i="97"/>
  <c r="E241" i="97"/>
  <c r="M107" i="113"/>
  <c r="M196" i="113"/>
  <c r="M65" i="113"/>
  <c r="M200" i="113"/>
  <c r="M30" i="113"/>
  <c r="G238" i="97"/>
  <c r="K15" i="113"/>
  <c r="G237" i="113"/>
  <c r="M29" i="113"/>
  <c r="M174" i="113"/>
  <c r="M41" i="113"/>
  <c r="M61" i="113"/>
  <c r="O149" i="97"/>
  <c r="G238" i="32"/>
  <c r="H118" i="87"/>
  <c r="H166" i="16"/>
  <c r="H53" i="16"/>
  <c r="G238" i="157"/>
  <c r="J207" i="97"/>
  <c r="J168" i="97"/>
  <c r="H58" i="45"/>
  <c r="H56" i="45"/>
  <c r="H32" i="45"/>
  <c r="H55" i="45"/>
  <c r="H79" i="45"/>
  <c r="H118" i="45"/>
  <c r="H36" i="45"/>
  <c r="H202" i="45"/>
  <c r="H116" i="45"/>
  <c r="H140" i="45"/>
  <c r="H146" i="45"/>
  <c r="H185" i="45"/>
  <c r="H150" i="45"/>
  <c r="H167" i="45"/>
  <c r="H152" i="45"/>
  <c r="H87" i="45"/>
  <c r="H190" i="45"/>
  <c r="H155" i="45"/>
  <c r="H102" i="45"/>
  <c r="H204" i="45"/>
  <c r="H172" i="45"/>
  <c r="H117" i="45"/>
  <c r="H191" i="45"/>
  <c r="H125" i="45"/>
  <c r="H197" i="45"/>
  <c r="H159" i="45"/>
  <c r="H145" i="45"/>
  <c r="H65" i="45"/>
  <c r="H132" i="45"/>
  <c r="H45" i="45"/>
  <c r="H29" i="45"/>
  <c r="H30" i="45"/>
  <c r="H64" i="45"/>
  <c r="H196" i="45"/>
  <c r="H182" i="45"/>
  <c r="H70" i="45"/>
  <c r="H171" i="45"/>
  <c r="H76" i="45"/>
  <c r="H174" i="45"/>
  <c r="H164" i="45"/>
  <c r="H100" i="45"/>
  <c r="H67" i="45"/>
  <c r="H110" i="45"/>
  <c r="H44" i="45"/>
  <c r="H51" i="45"/>
  <c r="H135" i="45"/>
  <c r="H84" i="45"/>
  <c r="H85" i="45"/>
  <c r="H109" i="45"/>
  <c r="H73" i="45"/>
  <c r="H42" i="45"/>
  <c r="H127" i="45"/>
  <c r="H91" i="45"/>
  <c r="H35" i="45"/>
  <c r="H106" i="45"/>
  <c r="H186" i="45"/>
  <c r="H41" i="45"/>
  <c r="H92" i="45"/>
  <c r="H176" i="45"/>
  <c r="H75" i="45"/>
  <c r="H203" i="45"/>
  <c r="H111" i="45"/>
  <c r="H74" i="45"/>
  <c r="H119" i="45"/>
  <c r="H138" i="45"/>
  <c r="K12" i="45"/>
  <c r="H33" i="45"/>
  <c r="H126" i="45"/>
  <c r="H77" i="45"/>
  <c r="H39" i="45"/>
  <c r="H188" i="45"/>
  <c r="H90" i="45"/>
  <c r="H168" i="45"/>
  <c r="H178" i="45"/>
  <c r="H99" i="45"/>
  <c r="H86" i="45"/>
  <c r="H52" i="45"/>
  <c r="M208" i="45"/>
  <c r="H59" i="45"/>
  <c r="H114" i="45"/>
  <c r="H193" i="47"/>
  <c r="H48" i="47"/>
  <c r="H147" i="16"/>
  <c r="H87" i="47"/>
  <c r="H85" i="47"/>
  <c r="H69" i="27"/>
  <c r="H127" i="86"/>
  <c r="H56" i="16"/>
  <c r="H125" i="158"/>
  <c r="H157" i="47"/>
  <c r="H181" i="47"/>
  <c r="H98" i="113"/>
  <c r="H142" i="16"/>
  <c r="H101" i="158"/>
  <c r="H56" i="47"/>
  <c r="H90" i="47"/>
  <c r="G238" i="158"/>
  <c r="G238" i="14"/>
  <c r="H79" i="86"/>
  <c r="G238" i="103"/>
  <c r="H156" i="10"/>
  <c r="H29" i="27"/>
  <c r="H36" i="27"/>
  <c r="H70" i="69"/>
  <c r="H44" i="10"/>
  <c r="H175" i="27"/>
  <c r="H145" i="27"/>
  <c r="H55" i="27"/>
  <c r="H73" i="65"/>
  <c r="H200" i="143"/>
  <c r="H208" i="27"/>
  <c r="H31" i="27"/>
  <c r="H167" i="69"/>
  <c r="H67" i="27"/>
  <c r="H105" i="27"/>
  <c r="H167" i="27"/>
  <c r="H191" i="120"/>
  <c r="H192" i="10"/>
  <c r="H168" i="86"/>
  <c r="H191" i="113"/>
  <c r="H110" i="113"/>
  <c r="H114" i="158"/>
  <c r="G238" i="50"/>
  <c r="H29" i="10"/>
  <c r="H181" i="86"/>
  <c r="H109" i="50"/>
  <c r="H185" i="86"/>
  <c r="G238" i="145"/>
  <c r="H98" i="79"/>
  <c r="H145" i="158"/>
  <c r="H111" i="10"/>
  <c r="H175" i="158"/>
  <c r="H111" i="86"/>
  <c r="H89" i="113"/>
  <c r="H108" i="113"/>
  <c r="H169" i="158"/>
  <c r="H25" i="10"/>
  <c r="H116" i="113"/>
  <c r="H146" i="113"/>
  <c r="H57" i="113"/>
  <c r="H165" i="113"/>
  <c r="H152" i="113"/>
  <c r="H52" i="113"/>
  <c r="H187" i="113"/>
  <c r="H58" i="113"/>
  <c r="H150" i="113"/>
  <c r="H75" i="113"/>
  <c r="H131" i="113"/>
  <c r="H138" i="113"/>
  <c r="H41" i="113"/>
  <c r="H166" i="113"/>
  <c r="H36" i="113"/>
  <c r="H96" i="113"/>
  <c r="H148" i="113"/>
  <c r="H44" i="113"/>
  <c r="H170" i="113"/>
  <c r="H42" i="113"/>
  <c r="H70" i="113"/>
  <c r="H38" i="113"/>
  <c r="H78" i="113"/>
  <c r="H40" i="113"/>
  <c r="H201" i="113"/>
  <c r="H117" i="113"/>
  <c r="M208" i="113"/>
  <c r="H87" i="113"/>
  <c r="H99" i="113"/>
  <c r="H206" i="113"/>
  <c r="H196" i="113"/>
  <c r="H101" i="113"/>
  <c r="H159" i="113"/>
  <c r="H136" i="113"/>
  <c r="H88" i="113"/>
  <c r="H192" i="113"/>
  <c r="H186" i="113"/>
  <c r="H30" i="79"/>
  <c r="H148" i="143"/>
  <c r="H175" i="10"/>
  <c r="H160" i="10"/>
  <c r="H188" i="10"/>
  <c r="H61" i="10"/>
  <c r="H46" i="10"/>
  <c r="H130" i="27"/>
  <c r="H70" i="27"/>
  <c r="H141" i="27"/>
  <c r="H74" i="27"/>
  <c r="H41" i="27"/>
  <c r="H160" i="27"/>
  <c r="H49" i="27"/>
  <c r="H72" i="27"/>
  <c r="H96" i="27"/>
  <c r="H26" i="27"/>
  <c r="H44" i="69"/>
  <c r="H127" i="120"/>
  <c r="H86" i="50"/>
  <c r="H155" i="143"/>
  <c r="H136" i="143"/>
  <c r="H208" i="10"/>
  <c r="H93" i="10"/>
  <c r="H90" i="10"/>
  <c r="H66" i="10"/>
  <c r="K12" i="10"/>
  <c r="H75" i="27"/>
  <c r="H27" i="27"/>
  <c r="H168" i="27"/>
  <c r="H30" i="27"/>
  <c r="H203" i="27"/>
  <c r="H171" i="27"/>
  <c r="H40" i="27"/>
  <c r="H50" i="27"/>
  <c r="H82" i="27"/>
  <c r="H61" i="27"/>
  <c r="H172" i="69"/>
  <c r="H180" i="69"/>
  <c r="H178" i="120"/>
  <c r="H124" i="143"/>
  <c r="H156" i="143"/>
  <c r="H153" i="10"/>
  <c r="H185" i="10"/>
  <c r="H143" i="10"/>
  <c r="H167" i="10"/>
  <c r="H53" i="10"/>
  <c r="H177" i="27"/>
  <c r="H153" i="27"/>
  <c r="H116" i="27"/>
  <c r="H197" i="27"/>
  <c r="H32" i="27"/>
  <c r="H91" i="27"/>
  <c r="H202" i="27"/>
  <c r="H108" i="27"/>
  <c r="H182" i="27"/>
  <c r="H93" i="27"/>
  <c r="G215" i="69"/>
  <c r="H51" i="50"/>
  <c r="H45" i="79"/>
  <c r="H205" i="79"/>
  <c r="H185" i="149"/>
  <c r="H37" i="47"/>
  <c r="H116" i="47"/>
  <c r="H92" i="47"/>
  <c r="H178" i="47"/>
  <c r="H25" i="47"/>
  <c r="H206" i="47"/>
  <c r="H27" i="47"/>
  <c r="H99" i="47"/>
  <c r="H47" i="47"/>
  <c r="H169" i="47"/>
  <c r="H203" i="47"/>
  <c r="H70" i="47"/>
  <c r="H86" i="47"/>
  <c r="H194" i="47"/>
  <c r="H147" i="47"/>
  <c r="H107" i="47"/>
  <c r="H111" i="143"/>
  <c r="H98" i="143"/>
  <c r="H186" i="143"/>
  <c r="H25" i="143"/>
  <c r="H115" i="143"/>
  <c r="H75" i="69"/>
  <c r="H85" i="69"/>
  <c r="H92" i="69"/>
  <c r="H107" i="69"/>
  <c r="H169" i="69"/>
  <c r="G238" i="42"/>
  <c r="H133" i="50"/>
  <c r="H67" i="50"/>
  <c r="H157" i="50"/>
  <c r="H189" i="50"/>
  <c r="H52" i="79"/>
  <c r="H124" i="79"/>
  <c r="H164" i="47"/>
  <c r="H52" i="47"/>
  <c r="H34" i="47"/>
  <c r="H84" i="47"/>
  <c r="H102" i="47"/>
  <c r="H177" i="47"/>
  <c r="H33" i="47"/>
  <c r="H55" i="47"/>
  <c r="H77" i="47"/>
  <c r="H45" i="47"/>
  <c r="H126" i="47"/>
  <c r="H173" i="47"/>
  <c r="H136" i="47"/>
  <c r="H72" i="47"/>
  <c r="H184" i="143"/>
  <c r="H147" i="143"/>
  <c r="H87" i="143"/>
  <c r="H189" i="143"/>
  <c r="H61" i="143"/>
  <c r="H69" i="143"/>
  <c r="H91" i="69"/>
  <c r="H88" i="69"/>
  <c r="H184" i="69"/>
  <c r="H158" i="69"/>
  <c r="H65" i="69"/>
  <c r="H203" i="69"/>
  <c r="K12" i="50"/>
  <c r="H65" i="50"/>
  <c r="H174" i="50"/>
  <c r="H91" i="50"/>
  <c r="H156" i="79"/>
  <c r="H92" i="79"/>
  <c r="H96" i="47"/>
  <c r="K12" i="47"/>
  <c r="H202" i="47"/>
  <c r="H124" i="47"/>
  <c r="H49" i="47"/>
  <c r="H46" i="47"/>
  <c r="H59" i="47"/>
  <c r="H127" i="47"/>
  <c r="H155" i="47"/>
  <c r="H187" i="47"/>
  <c r="H140" i="47"/>
  <c r="H67" i="47"/>
  <c r="H161" i="47"/>
  <c r="H135" i="47"/>
  <c r="H73" i="47"/>
  <c r="H166" i="143"/>
  <c r="H110" i="143"/>
  <c r="H44" i="143"/>
  <c r="H181" i="143"/>
  <c r="H137" i="143"/>
  <c r="H133" i="69"/>
  <c r="H101" i="69"/>
  <c r="H131" i="69"/>
  <c r="H46" i="69"/>
  <c r="H105" i="69"/>
  <c r="H52" i="69"/>
  <c r="H159" i="50"/>
  <c r="H114" i="50"/>
  <c r="H188" i="50"/>
  <c r="H49" i="50"/>
  <c r="H30" i="65"/>
  <c r="H75" i="104"/>
  <c r="H186" i="172"/>
  <c r="G238" i="28"/>
  <c r="H54" i="16"/>
  <c r="H195" i="16"/>
  <c r="H33" i="149"/>
  <c r="H35" i="54"/>
  <c r="H87" i="54"/>
  <c r="H203" i="54"/>
  <c r="H160" i="54"/>
  <c r="H59" i="54"/>
  <c r="H181" i="54"/>
  <c r="H188" i="172"/>
  <c r="H107" i="10"/>
  <c r="H108" i="10"/>
  <c r="H87" i="10"/>
  <c r="H97" i="10"/>
  <c r="H150" i="10"/>
  <c r="H96" i="10"/>
  <c r="H193" i="10"/>
  <c r="H70" i="10"/>
  <c r="H91" i="87"/>
  <c r="H116" i="16"/>
  <c r="H184" i="16"/>
  <c r="H192" i="149"/>
  <c r="H106" i="54"/>
  <c r="H195" i="54"/>
  <c r="H76" i="54"/>
  <c r="H93" i="54"/>
  <c r="H60" i="54"/>
  <c r="H193" i="64"/>
  <c r="H148" i="10"/>
  <c r="H177" i="10"/>
  <c r="H155" i="10"/>
  <c r="H106" i="10"/>
  <c r="H33" i="10"/>
  <c r="H206" i="10"/>
  <c r="H49" i="10"/>
  <c r="H65" i="149"/>
  <c r="H174" i="16"/>
  <c r="H169" i="16"/>
  <c r="H92" i="149"/>
  <c r="H68" i="54"/>
  <c r="H138" i="54"/>
  <c r="H25" i="54"/>
  <c r="H50" i="54"/>
  <c r="H117" i="54"/>
  <c r="H110" i="172"/>
  <c r="H98" i="10"/>
  <c r="H73" i="10"/>
  <c r="H52" i="10"/>
  <c r="H203" i="10"/>
  <c r="H165" i="10"/>
  <c r="H189" i="10"/>
  <c r="H161" i="10"/>
  <c r="G238" i="24"/>
  <c r="G238" i="64"/>
  <c r="H194" i="64"/>
  <c r="H124" i="16"/>
  <c r="H101" i="54"/>
  <c r="H54" i="54"/>
  <c r="H64" i="54"/>
  <c r="H158" i="54"/>
  <c r="H69" i="54"/>
  <c r="H141" i="1"/>
  <c r="H197" i="172"/>
  <c r="H190" i="10"/>
  <c r="H135" i="10"/>
  <c r="H77" i="10"/>
  <c r="H170" i="10"/>
  <c r="H48" i="10"/>
  <c r="H79" i="10"/>
  <c r="H142" i="10"/>
  <c r="H34" i="87"/>
  <c r="H176" i="16"/>
  <c r="H93" i="16"/>
  <c r="H133" i="54"/>
  <c r="H110" i="54"/>
  <c r="H178" i="54"/>
  <c r="H194" i="54"/>
  <c r="H65" i="54"/>
  <c r="H115" i="90"/>
  <c r="H124" i="172"/>
  <c r="H164" i="10"/>
  <c r="H115" i="10"/>
  <c r="H105" i="10"/>
  <c r="H129" i="10"/>
  <c r="H50" i="10"/>
  <c r="H204" i="10"/>
  <c r="H36" i="10"/>
  <c r="H200" i="142"/>
  <c r="H130" i="87"/>
  <c r="H73" i="72"/>
  <c r="H124" i="113"/>
  <c r="H157" i="113"/>
  <c r="H179" i="113"/>
  <c r="H176" i="113"/>
  <c r="H127" i="113"/>
  <c r="H151" i="113"/>
  <c r="H53" i="113"/>
  <c r="H64" i="113"/>
  <c r="H155" i="113"/>
  <c r="H54" i="113"/>
  <c r="G215" i="113"/>
  <c r="H105" i="113"/>
  <c r="H27" i="113"/>
  <c r="H129" i="113"/>
  <c r="H91" i="113"/>
  <c r="H65" i="113"/>
  <c r="H182" i="113"/>
  <c r="H141" i="113"/>
  <c r="H83" i="113"/>
  <c r="H90" i="113"/>
  <c r="H168" i="113"/>
  <c r="H183" i="113"/>
  <c r="H130" i="95"/>
  <c r="H91" i="16"/>
  <c r="H187" i="16"/>
  <c r="H101" i="16"/>
  <c r="H30" i="16"/>
  <c r="H202" i="16"/>
  <c r="H208" i="16"/>
  <c r="H200" i="16"/>
  <c r="H192" i="16"/>
  <c r="H108" i="16"/>
  <c r="H100" i="113"/>
  <c r="H181" i="113"/>
  <c r="H164" i="113"/>
  <c r="H132" i="113"/>
  <c r="H49" i="113"/>
  <c r="H35" i="113"/>
  <c r="H97" i="113"/>
  <c r="H180" i="113"/>
  <c r="H197" i="113"/>
  <c r="H118" i="113"/>
  <c r="H189" i="113"/>
  <c r="H169" i="113"/>
  <c r="H46" i="113"/>
  <c r="H178" i="113"/>
  <c r="H92" i="113"/>
  <c r="H32" i="113"/>
  <c r="H48" i="113"/>
  <c r="H185" i="113"/>
  <c r="H79" i="113"/>
  <c r="H85" i="113"/>
  <c r="H156" i="113"/>
  <c r="H137" i="113"/>
  <c r="H51" i="113"/>
  <c r="H67" i="113"/>
  <c r="H177" i="113"/>
  <c r="H39" i="113"/>
  <c r="H123" i="113"/>
  <c r="H142" i="113"/>
  <c r="H34" i="113"/>
  <c r="H208" i="113"/>
  <c r="H55" i="113"/>
  <c r="H25" i="113"/>
  <c r="H119" i="113"/>
  <c r="H30" i="113"/>
  <c r="H114" i="113"/>
  <c r="H84" i="113"/>
  <c r="H66" i="113"/>
  <c r="H106" i="113"/>
  <c r="H160" i="113"/>
  <c r="H158" i="113"/>
  <c r="H188" i="113"/>
  <c r="H191" i="16"/>
  <c r="H188" i="16"/>
  <c r="H85" i="16"/>
  <c r="H45" i="16"/>
  <c r="H132" i="16"/>
  <c r="H158" i="16"/>
  <c r="H74" i="16"/>
  <c r="H155" i="16"/>
  <c r="H203" i="16"/>
  <c r="H185" i="16"/>
  <c r="H82" i="16"/>
  <c r="H197" i="16"/>
  <c r="H88" i="16"/>
  <c r="H182" i="16"/>
  <c r="H129" i="16"/>
  <c r="H206" i="16"/>
  <c r="H142" i="31"/>
  <c r="H44" i="54"/>
  <c r="H174" i="54"/>
  <c r="H97" i="54"/>
  <c r="H55" i="54"/>
  <c r="H179" i="54"/>
  <c r="H86" i="54"/>
  <c r="H157" i="54"/>
  <c r="H176" i="54"/>
  <c r="H72" i="54"/>
  <c r="H109" i="54"/>
  <c r="H89" i="54"/>
  <c r="H83" i="54"/>
  <c r="H187" i="54"/>
  <c r="H125" i="54"/>
  <c r="H92" i="54"/>
  <c r="H26" i="54"/>
  <c r="H189" i="54"/>
  <c r="H141" i="54"/>
  <c r="H135" i="54"/>
  <c r="H42" i="54"/>
  <c r="H143" i="54"/>
  <c r="H34" i="54"/>
  <c r="H66" i="54"/>
  <c r="H140" i="54"/>
  <c r="H53" i="54"/>
  <c r="H152" i="54"/>
  <c r="H188" i="54"/>
  <c r="H116" i="54"/>
  <c r="H190" i="54"/>
  <c r="H84" i="54"/>
  <c r="H52" i="54"/>
  <c r="H196" i="54"/>
  <c r="H151" i="54"/>
  <c r="H177" i="54"/>
  <c r="H78" i="54"/>
  <c r="H184" i="54"/>
  <c r="H48" i="54"/>
  <c r="H193" i="54"/>
  <c r="H173" i="54"/>
  <c r="H73" i="54"/>
  <c r="H185" i="54"/>
  <c r="H64" i="15"/>
  <c r="G238" i="25"/>
  <c r="H124" i="142"/>
  <c r="H203" i="87"/>
  <c r="H161" i="87"/>
  <c r="H69" i="87"/>
  <c r="H93" i="87"/>
  <c r="H194" i="87"/>
  <c r="H181" i="87"/>
  <c r="H135" i="87"/>
  <c r="H71" i="113"/>
  <c r="H56" i="113"/>
  <c r="H194" i="113"/>
  <c r="H93" i="113"/>
  <c r="H69" i="113"/>
  <c r="H145" i="113"/>
  <c r="H205" i="113"/>
  <c r="H43" i="113"/>
  <c r="H202" i="113"/>
  <c r="H115" i="113"/>
  <c r="H143" i="113"/>
  <c r="H193" i="113"/>
  <c r="H61" i="113"/>
  <c r="H175" i="113"/>
  <c r="H135" i="113"/>
  <c r="H73" i="113"/>
  <c r="H171" i="113"/>
  <c r="H172" i="113"/>
  <c r="H174" i="113"/>
  <c r="H190" i="113"/>
  <c r="H109" i="113"/>
  <c r="H153" i="113"/>
  <c r="H31" i="113"/>
  <c r="H140" i="113"/>
  <c r="H195" i="113"/>
  <c r="H37" i="113"/>
  <c r="H147" i="113"/>
  <c r="H45" i="113"/>
  <c r="H26" i="113"/>
  <c r="H149" i="113"/>
  <c r="H47" i="113"/>
  <c r="H125" i="113"/>
  <c r="H204" i="113"/>
  <c r="H203" i="113"/>
  <c r="H126" i="113"/>
  <c r="H107" i="113"/>
  <c r="H102" i="113"/>
  <c r="H74" i="113"/>
  <c r="H161" i="113"/>
  <c r="H111" i="113"/>
  <c r="H59" i="113"/>
  <c r="H177" i="95"/>
  <c r="H136" i="16"/>
  <c r="H35" i="16"/>
  <c r="M208" i="16"/>
  <c r="H58" i="16"/>
  <c r="H165" i="16"/>
  <c r="H150" i="16"/>
  <c r="H99" i="16"/>
  <c r="H204" i="16"/>
  <c r="H60" i="16"/>
  <c r="H159" i="16"/>
  <c r="H84" i="16"/>
  <c r="H92" i="16"/>
  <c r="H175" i="16"/>
  <c r="H171" i="16"/>
  <c r="H42" i="16"/>
  <c r="H126" i="54"/>
  <c r="H31" i="54"/>
  <c r="H75" i="54"/>
  <c r="H51" i="54"/>
  <c r="H107" i="54"/>
  <c r="H57" i="54"/>
  <c r="H85" i="54"/>
  <c r="H155" i="54"/>
  <c r="H182" i="54"/>
  <c r="H58" i="54"/>
  <c r="H41" i="54"/>
  <c r="H161" i="54"/>
  <c r="H123" i="54"/>
  <c r="H30" i="54"/>
  <c r="H202" i="54"/>
  <c r="H166" i="54"/>
  <c r="H39" i="54"/>
  <c r="H56" i="54"/>
  <c r="H29" i="54"/>
  <c r="H156" i="54"/>
  <c r="H70" i="54"/>
  <c r="H100" i="54"/>
  <c r="H67" i="54"/>
  <c r="H119" i="54"/>
  <c r="H28" i="54"/>
  <c r="H164" i="54"/>
  <c r="H147" i="54"/>
  <c r="H197" i="54"/>
  <c r="H71" i="54"/>
  <c r="H192" i="54"/>
  <c r="H115" i="54"/>
  <c r="H208" i="54"/>
  <c r="H79" i="54"/>
  <c r="H111" i="54"/>
  <c r="H175" i="54"/>
  <c r="H40" i="54"/>
  <c r="H137" i="54"/>
  <c r="H132" i="54"/>
  <c r="H114" i="54"/>
  <c r="H136" i="54"/>
  <c r="H102" i="54"/>
  <c r="H53" i="87"/>
  <c r="H195" i="87"/>
  <c r="H157" i="87"/>
  <c r="H87" i="87"/>
  <c r="H115" i="87"/>
  <c r="H45" i="87"/>
  <c r="H33" i="113"/>
  <c r="H86" i="113"/>
  <c r="H28" i="113"/>
  <c r="H130" i="113"/>
  <c r="H184" i="113"/>
  <c r="H82" i="113"/>
  <c r="H50" i="113"/>
  <c r="H29" i="113"/>
  <c r="H173" i="113"/>
  <c r="H72" i="113"/>
  <c r="H133" i="113"/>
  <c r="H167" i="113"/>
  <c r="H60" i="113"/>
  <c r="K12" i="113"/>
  <c r="H76" i="113"/>
  <c r="H77" i="113"/>
  <c r="H68" i="113"/>
  <c r="H200" i="113"/>
  <c r="H68" i="16"/>
  <c r="H190" i="16"/>
  <c r="H36" i="16"/>
  <c r="H72" i="16"/>
  <c r="H151" i="16"/>
  <c r="H47" i="16"/>
  <c r="H159" i="54"/>
  <c r="H90" i="54"/>
  <c r="H129" i="54"/>
  <c r="H43" i="54"/>
  <c r="H172" i="54"/>
  <c r="H165" i="54"/>
  <c r="H153" i="54"/>
  <c r="H205" i="54"/>
  <c r="H47" i="54"/>
  <c r="H171" i="54"/>
  <c r="H91" i="54"/>
  <c r="H74" i="54"/>
  <c r="H88" i="54"/>
  <c r="G215" i="54"/>
  <c r="H145" i="54"/>
  <c r="M208" i="54"/>
  <c r="H27" i="54"/>
  <c r="H180" i="54"/>
  <c r="H38" i="54"/>
  <c r="H33" i="54"/>
  <c r="H149" i="54"/>
  <c r="H150" i="54"/>
  <c r="H127" i="54"/>
  <c r="H49" i="54"/>
  <c r="H124" i="54"/>
  <c r="H206" i="54"/>
  <c r="H168" i="54"/>
  <c r="H170" i="54"/>
  <c r="H61" i="54"/>
  <c r="H130" i="54"/>
  <c r="H186" i="54"/>
  <c r="H37" i="54"/>
  <c r="H108" i="54"/>
  <c r="K12" i="54"/>
  <c r="H204" i="54"/>
  <c r="H167" i="54"/>
  <c r="H96" i="54"/>
  <c r="H45" i="54"/>
  <c r="H200" i="54"/>
  <c r="H28" i="87"/>
  <c r="H138" i="87"/>
  <c r="H76" i="87"/>
  <c r="H70" i="87"/>
  <c r="H49" i="87"/>
  <c r="H204" i="87"/>
  <c r="H147" i="87"/>
  <c r="H68" i="95"/>
  <c r="M208" i="79"/>
  <c r="H118" i="79"/>
  <c r="H143" i="79"/>
  <c r="H64" i="79"/>
  <c r="H51" i="72"/>
  <c r="H155" i="90"/>
  <c r="H40" i="155"/>
  <c r="H60" i="87"/>
  <c r="H200" i="87"/>
  <c r="H136" i="87"/>
  <c r="H86" i="87"/>
  <c r="H190" i="87"/>
  <c r="H129" i="87"/>
  <c r="H99" i="87"/>
  <c r="H160" i="87"/>
  <c r="H158" i="87"/>
  <c r="H88" i="87"/>
  <c r="H75" i="87"/>
  <c r="H185" i="87"/>
  <c r="H164" i="87"/>
  <c r="H175" i="87"/>
  <c r="H66" i="50"/>
  <c r="H190" i="50"/>
  <c r="H25" i="50"/>
  <c r="H152" i="50"/>
  <c r="H73" i="50"/>
  <c r="H160" i="50"/>
  <c r="H39" i="50"/>
  <c r="H79" i="50"/>
  <c r="H208" i="79"/>
  <c r="H189" i="87"/>
  <c r="H46" i="87"/>
  <c r="H40" i="87"/>
  <c r="H107" i="50"/>
  <c r="H148" i="79"/>
  <c r="H32" i="79"/>
  <c r="H102" i="79"/>
  <c r="H200" i="79"/>
  <c r="H110" i="157"/>
  <c r="G238" i="65"/>
  <c r="H137" i="87"/>
  <c r="H131" i="87"/>
  <c r="H71" i="87"/>
  <c r="H171" i="87"/>
  <c r="H153" i="87"/>
  <c r="H176" i="87"/>
  <c r="H156" i="87"/>
  <c r="H177" i="87"/>
  <c r="H78" i="87"/>
  <c r="H79" i="87"/>
  <c r="H54" i="87"/>
  <c r="H187" i="87"/>
  <c r="H184" i="50"/>
  <c r="H29" i="50"/>
  <c r="H173" i="50"/>
  <c r="H150" i="50"/>
  <c r="H54" i="50"/>
  <c r="H204" i="50"/>
  <c r="H72" i="50"/>
  <c r="H91" i="155"/>
  <c r="H109" i="79"/>
  <c r="H148" i="87"/>
  <c r="H85" i="87"/>
  <c r="H186" i="87"/>
  <c r="H64" i="87"/>
  <c r="H89" i="50"/>
  <c r="H59" i="50"/>
  <c r="H202" i="50"/>
  <c r="H177" i="50"/>
  <c r="H60" i="79"/>
  <c r="H29" i="79"/>
  <c r="H172" i="79"/>
  <c r="H147" i="79"/>
  <c r="H46" i="157"/>
  <c r="H73" i="87"/>
  <c r="H142" i="87"/>
  <c r="H67" i="87"/>
  <c r="H32" i="87"/>
  <c r="H55" i="87"/>
  <c r="H39" i="87"/>
  <c r="H180" i="87"/>
  <c r="H140" i="87"/>
  <c r="K12" i="87"/>
  <c r="H68" i="87"/>
  <c r="H97" i="87"/>
  <c r="M208" i="87"/>
  <c r="H51" i="87"/>
  <c r="H36" i="50"/>
  <c r="H200" i="50"/>
  <c r="H35" i="50"/>
  <c r="H41" i="50"/>
  <c r="H205" i="50"/>
  <c r="H53" i="50"/>
  <c r="H180" i="50"/>
  <c r="H83" i="50"/>
  <c r="H31" i="87"/>
  <c r="H102" i="87"/>
  <c r="H152" i="87"/>
  <c r="H167" i="87"/>
  <c r="H182" i="87"/>
  <c r="H56" i="87"/>
  <c r="H72" i="87"/>
  <c r="H115" i="79"/>
  <c r="H86" i="79"/>
  <c r="H203" i="79"/>
  <c r="H141" i="79"/>
  <c r="H180" i="157"/>
  <c r="G238" i="98"/>
  <c r="H43" i="141"/>
  <c r="H181" i="10"/>
  <c r="H195" i="10"/>
  <c r="G238" i="133"/>
  <c r="H173" i="87"/>
  <c r="H84" i="87"/>
  <c r="H105" i="87"/>
  <c r="H48" i="87"/>
  <c r="H169" i="87"/>
  <c r="H205" i="87"/>
  <c r="H172" i="87"/>
  <c r="H145" i="87"/>
  <c r="H30" i="87"/>
  <c r="H151" i="87"/>
  <c r="H114" i="87"/>
  <c r="H132" i="50"/>
  <c r="H131" i="50"/>
  <c r="H105" i="50"/>
  <c r="H97" i="50"/>
  <c r="H206" i="50"/>
  <c r="H57" i="50"/>
  <c r="H126" i="50"/>
  <c r="H191" i="50"/>
  <c r="H25" i="79"/>
  <c r="H87" i="79"/>
  <c r="H170" i="50"/>
  <c r="H136" i="50"/>
  <c r="H188" i="79"/>
  <c r="H182" i="79"/>
  <c r="H37" i="79"/>
  <c r="H164" i="79"/>
  <c r="H43" i="10"/>
  <c r="H176" i="10"/>
  <c r="H109" i="87"/>
  <c r="H82" i="87"/>
  <c r="H98" i="87"/>
  <c r="H201" i="87"/>
  <c r="H126" i="87"/>
  <c r="H58" i="87"/>
  <c r="H35" i="87"/>
  <c r="H166" i="87"/>
  <c r="H192" i="87"/>
  <c r="H116" i="87"/>
  <c r="H59" i="87"/>
  <c r="H118" i="50"/>
  <c r="H88" i="50"/>
  <c r="H158" i="50"/>
  <c r="M208" i="50"/>
  <c r="H101" i="50"/>
  <c r="H102" i="50"/>
  <c r="H77" i="50"/>
  <c r="H195" i="50"/>
  <c r="H152" i="27"/>
  <c r="H52" i="27"/>
  <c r="H169" i="27"/>
  <c r="H59" i="27"/>
  <c r="H194" i="27"/>
  <c r="H35" i="27"/>
  <c r="H110" i="27"/>
  <c r="H83" i="27"/>
  <c r="H102" i="27"/>
  <c r="H92" i="27"/>
  <c r="H136" i="27"/>
  <c r="H173" i="27"/>
  <c r="H191" i="27"/>
  <c r="H123" i="27"/>
  <c r="H106" i="27"/>
  <c r="H73" i="27"/>
  <c r="H56" i="27"/>
  <c r="M208" i="27"/>
  <c r="H64" i="27"/>
  <c r="H190" i="27"/>
  <c r="H51" i="27"/>
  <c r="H135" i="27"/>
  <c r="H138" i="27"/>
  <c r="H54" i="27"/>
  <c r="H151" i="27"/>
  <c r="H65" i="27"/>
  <c r="H147" i="27"/>
  <c r="H146" i="27"/>
  <c r="H28" i="27"/>
  <c r="H200" i="27"/>
  <c r="H97" i="27"/>
  <c r="H118" i="27"/>
  <c r="H25" i="27"/>
  <c r="H39" i="27"/>
  <c r="H119" i="27"/>
  <c r="H109" i="27"/>
  <c r="H170" i="27"/>
  <c r="H150" i="27"/>
  <c r="H89" i="27"/>
  <c r="H184" i="27"/>
  <c r="H99" i="27"/>
  <c r="H42" i="27"/>
  <c r="H165" i="27"/>
  <c r="H148" i="27"/>
  <c r="H204" i="27"/>
  <c r="H133" i="27"/>
  <c r="H101" i="27"/>
  <c r="H60" i="27"/>
  <c r="H176" i="27"/>
  <c r="H161" i="27"/>
  <c r="H100" i="27"/>
  <c r="H195" i="27"/>
  <c r="H187" i="27"/>
  <c r="H98" i="27"/>
  <c r="H179" i="27"/>
  <c r="H158" i="27"/>
  <c r="H189" i="27"/>
  <c r="H38" i="27"/>
  <c r="H188" i="27"/>
  <c r="H155" i="27"/>
  <c r="H79" i="27"/>
  <c r="H48" i="27"/>
  <c r="H117" i="27"/>
  <c r="H129" i="27"/>
  <c r="H132" i="27"/>
  <c r="H127" i="27"/>
  <c r="H140" i="27"/>
  <c r="G215" i="27"/>
  <c r="H44" i="27"/>
  <c r="H172" i="27"/>
  <c r="H84" i="27"/>
  <c r="H142" i="27"/>
  <c r="H34" i="27"/>
  <c r="H77" i="27"/>
  <c r="H114" i="27"/>
  <c r="H86" i="27"/>
  <c r="H115" i="27"/>
  <c r="H180" i="27"/>
  <c r="H124" i="27"/>
  <c r="H46" i="27"/>
  <c r="H45" i="27"/>
  <c r="H159" i="27"/>
  <c r="H125" i="27"/>
  <c r="H85" i="27"/>
  <c r="H53" i="27"/>
  <c r="H66" i="27"/>
  <c r="H58" i="27"/>
  <c r="H68" i="27"/>
  <c r="H193" i="27"/>
  <c r="H78" i="27"/>
  <c r="H183" i="27"/>
  <c r="H178" i="27"/>
  <c r="H47" i="27"/>
  <c r="H88" i="27"/>
  <c r="H196" i="27"/>
  <c r="H87" i="27"/>
  <c r="H156" i="27"/>
  <c r="H166" i="27"/>
  <c r="H181" i="27"/>
  <c r="H205" i="27"/>
  <c r="H90" i="27"/>
  <c r="H192" i="27"/>
  <c r="H57" i="27"/>
  <c r="H37" i="27"/>
  <c r="H157" i="27"/>
  <c r="H107" i="27"/>
  <c r="H131" i="27"/>
  <c r="H111" i="27"/>
  <c r="H126" i="27"/>
  <c r="H174" i="27"/>
  <c r="H43" i="27"/>
  <c r="H137" i="27"/>
  <c r="K12" i="27"/>
  <c r="H185" i="27"/>
  <c r="H206" i="27"/>
  <c r="H149" i="27"/>
  <c r="H33" i="27"/>
  <c r="H201" i="27"/>
  <c r="H71" i="27"/>
  <c r="H164" i="27"/>
  <c r="H186" i="27"/>
  <c r="H143" i="27"/>
  <c r="H99" i="177"/>
  <c r="H171" i="177"/>
  <c r="H37" i="177"/>
  <c r="H172" i="177"/>
  <c r="H32" i="177"/>
  <c r="H60" i="177"/>
  <c r="H195" i="177"/>
  <c r="H192" i="65"/>
  <c r="H143" i="95"/>
  <c r="H193" i="16"/>
  <c r="H55" i="16"/>
  <c r="H41" i="16"/>
  <c r="H168" i="16"/>
  <c r="H102" i="16"/>
  <c r="H96" i="16"/>
  <c r="H145" i="16"/>
  <c r="H170" i="16"/>
  <c r="H180" i="16"/>
  <c r="H98" i="16"/>
  <c r="H25" i="16"/>
  <c r="H69" i="16"/>
  <c r="H90" i="16"/>
  <c r="H66" i="16"/>
  <c r="H110" i="16"/>
  <c r="H157" i="16"/>
  <c r="H97" i="16"/>
  <c r="H177" i="16"/>
  <c r="H107" i="16"/>
  <c r="H72" i="158"/>
  <c r="H195" i="158"/>
  <c r="H118" i="158"/>
  <c r="H36" i="157"/>
  <c r="H175" i="86"/>
  <c r="H93" i="86"/>
  <c r="H35" i="86"/>
  <c r="H194" i="158"/>
  <c r="H73" i="175"/>
  <c r="G215" i="65"/>
  <c r="H161" i="95"/>
  <c r="H106" i="16"/>
  <c r="H34" i="16"/>
  <c r="H57" i="16"/>
  <c r="H119" i="16"/>
  <c r="H79" i="16"/>
  <c r="H70" i="16"/>
  <c r="H126" i="16"/>
  <c r="H164" i="16"/>
  <c r="H114" i="16"/>
  <c r="H141" i="16"/>
  <c r="H117" i="16"/>
  <c r="H186" i="16"/>
  <c r="H75" i="16"/>
  <c r="H76" i="16"/>
  <c r="H31" i="16"/>
  <c r="H178" i="16"/>
  <c r="H111" i="16"/>
  <c r="H105" i="16"/>
  <c r="H43" i="16"/>
  <c r="H46" i="16"/>
  <c r="H29" i="16"/>
  <c r="H35" i="158"/>
  <c r="H197" i="158"/>
  <c r="H35" i="175"/>
  <c r="H26" i="157"/>
  <c r="G238" i="38"/>
  <c r="H124" i="24"/>
  <c r="H178" i="150"/>
  <c r="H64" i="86"/>
  <c r="H170" i="86"/>
  <c r="H131" i="49"/>
  <c r="G238" i="104"/>
  <c r="G238" i="92"/>
  <c r="H174" i="95"/>
  <c r="H161" i="16"/>
  <c r="H146" i="16"/>
  <c r="H61" i="16"/>
  <c r="H140" i="16"/>
  <c r="H59" i="16"/>
  <c r="H38" i="16"/>
  <c r="H64" i="16"/>
  <c r="H48" i="16"/>
  <c r="H67" i="16"/>
  <c r="H152" i="16"/>
  <c r="H143" i="16"/>
  <c r="H44" i="16"/>
  <c r="H40" i="16"/>
  <c r="H37" i="16"/>
  <c r="H65" i="16"/>
  <c r="H109" i="16"/>
  <c r="H77" i="16"/>
  <c r="H51" i="16"/>
  <c r="H149" i="16"/>
  <c r="H73" i="16"/>
  <c r="H26" i="16"/>
  <c r="H124" i="158"/>
  <c r="H91" i="158"/>
  <c r="M208" i="1"/>
  <c r="G238" i="47"/>
  <c r="H187" i="42"/>
  <c r="H77" i="24"/>
  <c r="H131" i="150"/>
  <c r="H29" i="86"/>
  <c r="H86" i="86"/>
  <c r="H77" i="49"/>
  <c r="H136" i="86"/>
  <c r="H140" i="95"/>
  <c r="H89" i="16"/>
  <c r="H28" i="16"/>
  <c r="H83" i="16"/>
  <c r="H123" i="16"/>
  <c r="H86" i="16"/>
  <c r="H181" i="16"/>
  <c r="H189" i="16"/>
  <c r="H173" i="16"/>
  <c r="H50" i="16"/>
  <c r="H160" i="16"/>
  <c r="K12" i="16"/>
  <c r="H205" i="16"/>
  <c r="H131" i="16"/>
  <c r="H115" i="16"/>
  <c r="H148" i="16"/>
  <c r="H49" i="16"/>
  <c r="H133" i="16"/>
  <c r="H135" i="16"/>
  <c r="H52" i="16"/>
  <c r="H194" i="16"/>
  <c r="H196" i="16"/>
  <c r="H186" i="158"/>
  <c r="H141" i="158"/>
  <c r="H133" i="158"/>
  <c r="H195" i="157"/>
  <c r="H118" i="1"/>
  <c r="H146" i="42"/>
  <c r="H66" i="86"/>
  <c r="H172" i="86"/>
  <c r="H71" i="86"/>
  <c r="G215" i="16"/>
  <c r="H33" i="65"/>
  <c r="H136" i="158"/>
  <c r="H27" i="86"/>
  <c r="G238" i="60"/>
  <c r="H176" i="95"/>
  <c r="H125" i="16"/>
  <c r="H100" i="16"/>
  <c r="H130" i="16"/>
  <c r="H153" i="16"/>
  <c r="H87" i="16"/>
  <c r="H183" i="16"/>
  <c r="H167" i="16"/>
  <c r="H78" i="16"/>
  <c r="H138" i="16"/>
  <c r="H32" i="16"/>
  <c r="H33" i="16"/>
  <c r="H71" i="16"/>
  <c r="H118" i="16"/>
  <c r="H172" i="16"/>
  <c r="H179" i="16"/>
  <c r="H156" i="16"/>
  <c r="H27" i="16"/>
  <c r="H39" i="16"/>
  <c r="H201" i="16"/>
  <c r="H201" i="158"/>
  <c r="H69" i="158"/>
  <c r="H67" i="158"/>
  <c r="H108" i="157"/>
  <c r="H71" i="1"/>
  <c r="H208" i="86"/>
  <c r="H160" i="86"/>
  <c r="H45" i="86"/>
  <c r="H167" i="158"/>
  <c r="H56" i="158"/>
  <c r="H84" i="158"/>
  <c r="H201" i="95"/>
  <c r="H83" i="95"/>
  <c r="G215" i="86"/>
  <c r="H158" i="158"/>
  <c r="H176" i="158"/>
  <c r="H153" i="158"/>
  <c r="H71" i="158"/>
  <c r="H32" i="158"/>
  <c r="H43" i="158"/>
  <c r="H59" i="158"/>
  <c r="H160" i="158"/>
  <c r="H108" i="158"/>
  <c r="H184" i="158"/>
  <c r="H208" i="158"/>
  <c r="H182" i="158"/>
  <c r="H89" i="158"/>
  <c r="H127" i="158"/>
  <c r="H177" i="158"/>
  <c r="H82" i="158"/>
  <c r="H76" i="158"/>
  <c r="H46" i="158"/>
  <c r="H129" i="158"/>
  <c r="H65" i="158"/>
  <c r="H29" i="158"/>
  <c r="H105" i="64"/>
  <c r="H161" i="141"/>
  <c r="H202" i="172"/>
  <c r="H35" i="42"/>
  <c r="H201" i="143"/>
  <c r="H79" i="143"/>
  <c r="H85" i="143"/>
  <c r="H150" i="143"/>
  <c r="H27" i="143"/>
  <c r="H125" i="143"/>
  <c r="H46" i="143"/>
  <c r="H176" i="69"/>
  <c r="H78" i="69"/>
  <c r="H129" i="69"/>
  <c r="H56" i="69"/>
  <c r="H181" i="69"/>
  <c r="H193" i="69"/>
  <c r="H168" i="69"/>
  <c r="H177" i="69"/>
  <c r="H109" i="120"/>
  <c r="H66" i="150"/>
  <c r="H99" i="86"/>
  <c r="H193" i="86"/>
  <c r="H31" i="86"/>
  <c r="H184" i="86"/>
  <c r="H125" i="86"/>
  <c r="H141" i="86"/>
  <c r="H165" i="86"/>
  <c r="H188" i="86"/>
  <c r="H74" i="86"/>
  <c r="H161" i="86"/>
  <c r="H149" i="86"/>
  <c r="H90" i="86"/>
  <c r="H44" i="86"/>
  <c r="H78" i="86"/>
  <c r="H117" i="86"/>
  <c r="H55" i="86"/>
  <c r="H177" i="86"/>
  <c r="H203" i="86"/>
  <c r="H47" i="86"/>
  <c r="H107" i="86"/>
  <c r="H110" i="158"/>
  <c r="H42" i="158"/>
  <c r="H204" i="158"/>
  <c r="H152" i="158"/>
  <c r="H190" i="86"/>
  <c r="H143" i="158"/>
  <c r="H27" i="158"/>
  <c r="H92" i="158"/>
  <c r="H88" i="158"/>
  <c r="H114" i="90"/>
  <c r="H205" i="141"/>
  <c r="H177" i="42"/>
  <c r="K12" i="86"/>
  <c r="H82" i="86"/>
  <c r="H157" i="86"/>
  <c r="H135" i="86"/>
  <c r="H158" i="86"/>
  <c r="G238" i="19"/>
  <c r="H48" i="95"/>
  <c r="H93" i="95"/>
  <c r="H77" i="119"/>
  <c r="H30" i="158"/>
  <c r="H191" i="158"/>
  <c r="H26" i="158"/>
  <c r="H192" i="158"/>
  <c r="H58" i="158"/>
  <c r="H48" i="158"/>
  <c r="H170" i="158"/>
  <c r="H57" i="158"/>
  <c r="H202" i="158"/>
  <c r="H179" i="158"/>
  <c r="H161" i="158"/>
  <c r="H25" i="158"/>
  <c r="H100" i="158"/>
  <c r="H78" i="158"/>
  <c r="H36" i="158"/>
  <c r="H51" i="158"/>
  <c r="H166" i="158"/>
  <c r="H142" i="158"/>
  <c r="H172" i="158"/>
  <c r="H181" i="158"/>
  <c r="H132" i="104"/>
  <c r="H43" i="90"/>
  <c r="H185" i="141"/>
  <c r="H98" i="42"/>
  <c r="H49" i="42"/>
  <c r="H205" i="143"/>
  <c r="H38" i="143"/>
  <c r="H92" i="143"/>
  <c r="H43" i="143"/>
  <c r="H114" i="143"/>
  <c r="H42" i="143"/>
  <c r="H183" i="143"/>
  <c r="H202" i="143"/>
  <c r="H179" i="69"/>
  <c r="H178" i="69"/>
  <c r="H42" i="69"/>
  <c r="H117" i="69"/>
  <c r="H58" i="69"/>
  <c r="H25" i="69"/>
  <c r="H108" i="69"/>
  <c r="H64" i="69"/>
  <c r="H143" i="120"/>
  <c r="H185" i="150"/>
  <c r="H129" i="86"/>
  <c r="H118" i="86"/>
  <c r="H148" i="86"/>
  <c r="H105" i="86"/>
  <c r="H73" i="86"/>
  <c r="H174" i="86"/>
  <c r="H59" i="86"/>
  <c r="H48" i="86"/>
  <c r="H156" i="86"/>
  <c r="H126" i="86"/>
  <c r="H67" i="86"/>
  <c r="H32" i="86"/>
  <c r="H53" i="86"/>
  <c r="H65" i="86"/>
  <c r="H58" i="86"/>
  <c r="H171" i="86"/>
  <c r="H132" i="86"/>
  <c r="H116" i="86"/>
  <c r="H38" i="86"/>
  <c r="H147" i="86"/>
  <c r="H66" i="158"/>
  <c r="H38" i="158"/>
  <c r="H205" i="158"/>
  <c r="H87" i="158"/>
  <c r="K12" i="42"/>
  <c r="H131" i="86"/>
  <c r="H51" i="86"/>
  <c r="H138" i="86"/>
  <c r="H119" i="86"/>
  <c r="H152" i="86"/>
  <c r="H49" i="86"/>
  <c r="H98" i="86"/>
  <c r="H76" i="86"/>
  <c r="H143" i="86"/>
  <c r="H191" i="86"/>
  <c r="G238" i="152"/>
  <c r="H105" i="158"/>
  <c r="H75" i="158"/>
  <c r="H115" i="158"/>
  <c r="H37" i="158"/>
  <c r="H108" i="42"/>
  <c r="H155" i="86"/>
  <c r="H169" i="86"/>
  <c r="H189" i="86"/>
  <c r="H142" i="86"/>
  <c r="H201" i="86"/>
  <c r="H187" i="86"/>
  <c r="H61" i="95"/>
  <c r="H90" i="95"/>
  <c r="H84" i="119"/>
  <c r="H40" i="158"/>
  <c r="H165" i="158"/>
  <c r="H55" i="158"/>
  <c r="H31" i="158"/>
  <c r="H123" i="158"/>
  <c r="H79" i="158"/>
  <c r="H86" i="158"/>
  <c r="H156" i="158"/>
  <c r="H140" i="158"/>
  <c r="H117" i="158"/>
  <c r="H131" i="158"/>
  <c r="H147" i="158"/>
  <c r="G215" i="158"/>
  <c r="H188" i="158"/>
  <c r="H126" i="158"/>
  <c r="H70" i="158"/>
  <c r="H33" i="158"/>
  <c r="H109" i="158"/>
  <c r="H47" i="158"/>
  <c r="H44" i="158"/>
  <c r="H148" i="104"/>
  <c r="H44" i="90"/>
  <c r="H184" i="141"/>
  <c r="H84" i="172"/>
  <c r="H191" i="42"/>
  <c r="H135" i="42"/>
  <c r="H151" i="143"/>
  <c r="K12" i="143"/>
  <c r="H88" i="143"/>
  <c r="H123" i="143"/>
  <c r="H100" i="143"/>
  <c r="H31" i="143"/>
  <c r="H192" i="143"/>
  <c r="H158" i="143"/>
  <c r="H132" i="69"/>
  <c r="H57" i="69"/>
  <c r="H204" i="69"/>
  <c r="H170" i="69"/>
  <c r="H118" i="69"/>
  <c r="H49" i="69"/>
  <c r="H208" i="69"/>
  <c r="H123" i="69"/>
  <c r="H100" i="120"/>
  <c r="H91" i="120"/>
  <c r="H89" i="150"/>
  <c r="H83" i="86"/>
  <c r="H46" i="86"/>
  <c r="H146" i="86"/>
  <c r="H183" i="86"/>
  <c r="H37" i="86"/>
  <c r="H61" i="86"/>
  <c r="H114" i="86"/>
  <c r="H56" i="86"/>
  <c r="H88" i="86"/>
  <c r="H36" i="86"/>
  <c r="H200" i="86"/>
  <c r="H186" i="86"/>
  <c r="H52" i="86"/>
  <c r="H178" i="86"/>
  <c r="H43" i="86"/>
  <c r="H96" i="86"/>
  <c r="H140" i="86"/>
  <c r="H108" i="86"/>
  <c r="H68" i="86"/>
  <c r="H197" i="86"/>
  <c r="H149" i="158"/>
  <c r="H187" i="158"/>
  <c r="H64" i="158"/>
  <c r="H54" i="158"/>
  <c r="H157" i="158"/>
  <c r="H195" i="86"/>
  <c r="H180" i="86"/>
  <c r="H145" i="86"/>
  <c r="H69" i="86"/>
  <c r="H54" i="86"/>
  <c r="H41" i="158"/>
  <c r="H132" i="158"/>
  <c r="H77" i="158"/>
  <c r="H196" i="158"/>
  <c r="H28" i="86"/>
  <c r="H110" i="86"/>
  <c r="H205" i="86"/>
  <c r="H39" i="86"/>
  <c r="H173" i="86"/>
  <c r="H99" i="95"/>
  <c r="H135" i="95"/>
  <c r="H130" i="119"/>
  <c r="H180" i="158"/>
  <c r="H189" i="158"/>
  <c r="H137" i="158"/>
  <c r="H34" i="158"/>
  <c r="H98" i="158"/>
  <c r="H183" i="158"/>
  <c r="H28" i="158"/>
  <c r="K12" i="158"/>
  <c r="H206" i="158"/>
  <c r="H174" i="158"/>
  <c r="H148" i="158"/>
  <c r="H130" i="158"/>
  <c r="H173" i="158"/>
  <c r="H193" i="158"/>
  <c r="H52" i="158"/>
  <c r="H178" i="158"/>
  <c r="H99" i="158"/>
  <c r="H106" i="158"/>
  <c r="H61" i="158"/>
  <c r="H111" i="158"/>
  <c r="H138" i="158"/>
  <c r="H116" i="104"/>
  <c r="H42" i="90"/>
  <c r="H27" i="172"/>
  <c r="H160" i="42"/>
  <c r="H88" i="42"/>
  <c r="H130" i="143"/>
  <c r="H203" i="143"/>
  <c r="H73" i="143"/>
  <c r="H59" i="143"/>
  <c r="H47" i="143"/>
  <c r="H178" i="143"/>
  <c r="H33" i="143"/>
  <c r="H66" i="143"/>
  <c r="H97" i="69"/>
  <c r="H109" i="69"/>
  <c r="H43" i="69"/>
  <c r="H69" i="69"/>
  <c r="H148" i="69"/>
  <c r="H86" i="69"/>
  <c r="H171" i="69"/>
  <c r="H106" i="120"/>
  <c r="H45" i="120"/>
  <c r="H180" i="150"/>
  <c r="H75" i="86"/>
  <c r="H192" i="86"/>
  <c r="H167" i="86"/>
  <c r="H50" i="86"/>
  <c r="H109" i="86"/>
  <c r="H182" i="86"/>
  <c r="H102" i="86"/>
  <c r="H26" i="86"/>
  <c r="H87" i="86"/>
  <c r="H196" i="86"/>
  <c r="H41" i="86"/>
  <c r="H206" i="86"/>
  <c r="H60" i="86"/>
  <c r="H34" i="86"/>
  <c r="H159" i="86"/>
  <c r="H40" i="86"/>
  <c r="H101" i="86"/>
  <c r="H204" i="86"/>
  <c r="H130" i="86"/>
  <c r="H89" i="86"/>
  <c r="H97" i="158"/>
  <c r="H39" i="158"/>
  <c r="H50" i="158"/>
  <c r="H203" i="158"/>
  <c r="H124" i="42"/>
  <c r="H30" i="86"/>
  <c r="H166" i="86"/>
  <c r="H91" i="86"/>
  <c r="H77" i="86"/>
  <c r="H150" i="86"/>
  <c r="H164" i="158"/>
  <c r="H150" i="158"/>
  <c r="M208" i="158"/>
  <c r="H151" i="158"/>
  <c r="H185" i="158"/>
  <c r="H159" i="158"/>
  <c r="H171" i="158"/>
  <c r="H90" i="158"/>
  <c r="H41" i="104"/>
  <c r="H133" i="86"/>
  <c r="M208" i="86"/>
  <c r="H123" i="86"/>
  <c r="H92" i="86"/>
  <c r="H84" i="86"/>
  <c r="H75" i="95"/>
  <c r="H88" i="95"/>
  <c r="H123" i="119"/>
  <c r="H102" i="158"/>
  <c r="H49" i="158"/>
  <c r="H85" i="158"/>
  <c r="H168" i="158"/>
  <c r="H190" i="158"/>
  <c r="H73" i="158"/>
  <c r="H107" i="158"/>
  <c r="H200" i="158"/>
  <c r="H146" i="158"/>
  <c r="H45" i="158"/>
  <c r="H116" i="158"/>
  <c r="H83" i="158"/>
  <c r="H74" i="158"/>
  <c r="H135" i="158"/>
  <c r="H60" i="158"/>
  <c r="H96" i="158"/>
  <c r="H93" i="158"/>
  <c r="H119" i="158"/>
  <c r="H155" i="158"/>
  <c r="H68" i="158"/>
  <c r="H182" i="104"/>
  <c r="H92" i="72"/>
  <c r="H171" i="172"/>
  <c r="H140" i="42"/>
  <c r="H42" i="42"/>
  <c r="H159" i="89"/>
  <c r="H109" i="143"/>
  <c r="H116" i="143"/>
  <c r="H52" i="143"/>
  <c r="H179" i="143"/>
  <c r="M208" i="143"/>
  <c r="H190" i="143"/>
  <c r="H117" i="143"/>
  <c r="H119" i="69"/>
  <c r="H160" i="69"/>
  <c r="H165" i="69"/>
  <c r="H202" i="69"/>
  <c r="H71" i="69"/>
  <c r="H156" i="69"/>
  <c r="H153" i="69"/>
  <c r="H96" i="69"/>
  <c r="H30" i="120"/>
  <c r="H68" i="150"/>
  <c r="H151" i="86"/>
  <c r="H57" i="86"/>
  <c r="H137" i="86"/>
  <c r="H85" i="86"/>
  <c r="H202" i="86"/>
  <c r="H179" i="86"/>
  <c r="H97" i="86"/>
  <c r="H106" i="86"/>
  <c r="H72" i="86"/>
  <c r="H153" i="86"/>
  <c r="H194" i="86"/>
  <c r="H176" i="86"/>
  <c r="H70" i="86"/>
  <c r="H25" i="86"/>
  <c r="H33" i="86"/>
  <c r="H42" i="86"/>
  <c r="H124" i="86"/>
  <c r="H164" i="86"/>
  <c r="H115" i="86"/>
  <c r="G215" i="90"/>
  <c r="K12" i="90"/>
  <c r="H205" i="90"/>
  <c r="H168" i="90"/>
  <c r="H140" i="90"/>
  <c r="H147" i="90"/>
  <c r="H99" i="90"/>
  <c r="H74" i="90"/>
  <c r="H76" i="90"/>
  <c r="H170" i="90"/>
  <c r="H29" i="90"/>
  <c r="H161" i="90"/>
  <c r="H138" i="90"/>
  <c r="H196" i="90"/>
  <c r="H136" i="90"/>
  <c r="H73" i="90"/>
  <c r="H182" i="90"/>
  <c r="H160" i="90"/>
  <c r="H116" i="90"/>
  <c r="H193" i="90"/>
  <c r="H45" i="90"/>
  <c r="H137" i="90"/>
  <c r="H56" i="90"/>
  <c r="H191" i="90"/>
  <c r="H39" i="90"/>
  <c r="H82" i="90"/>
  <c r="H184" i="90"/>
  <c r="H100" i="90"/>
  <c r="H190" i="90"/>
  <c r="H70" i="90"/>
  <c r="H181" i="90"/>
  <c r="H145" i="90"/>
  <c r="H64" i="90"/>
  <c r="H119" i="90"/>
  <c r="H102" i="90"/>
  <c r="H141" i="90"/>
  <c r="H124" i="90"/>
  <c r="H203" i="90"/>
  <c r="H188" i="90"/>
  <c r="H183" i="90"/>
  <c r="H61" i="90"/>
  <c r="H72" i="90"/>
  <c r="H58" i="90"/>
  <c r="H117" i="90"/>
  <c r="M208" i="90"/>
  <c r="H197" i="90"/>
  <c r="H195" i="90"/>
  <c r="H37" i="90"/>
  <c r="H178" i="90"/>
  <c r="H66" i="90"/>
  <c r="H89" i="90"/>
  <c r="H40" i="90"/>
  <c r="H118" i="90"/>
  <c r="H71" i="90"/>
  <c r="H34" i="90"/>
  <c r="H151" i="90"/>
  <c r="H127" i="90"/>
  <c r="H172" i="90"/>
  <c r="H27" i="90"/>
  <c r="H171" i="90"/>
  <c r="H110" i="90"/>
  <c r="H173" i="90"/>
  <c r="H98" i="90"/>
  <c r="H194" i="90"/>
  <c r="H177" i="90"/>
  <c r="H123" i="90"/>
  <c r="H55" i="90"/>
  <c r="H174" i="90"/>
  <c r="H129" i="90"/>
  <c r="H125" i="90"/>
  <c r="H57" i="90"/>
  <c r="H157" i="90"/>
  <c r="H78" i="90"/>
  <c r="H25" i="90"/>
  <c r="H201" i="90"/>
  <c r="H126" i="90"/>
  <c r="H186" i="90"/>
  <c r="H31" i="90"/>
  <c r="H33" i="90"/>
  <c r="H169" i="90"/>
  <c r="H38" i="90"/>
  <c r="H111" i="90"/>
  <c r="H30" i="90"/>
  <c r="H51" i="90"/>
  <c r="H41" i="90"/>
  <c r="H200" i="90"/>
  <c r="H152" i="90"/>
  <c r="H83" i="90"/>
  <c r="H206" i="90"/>
  <c r="H107" i="90"/>
  <c r="H87" i="90"/>
  <c r="H75" i="90"/>
  <c r="H202" i="90"/>
  <c r="H90" i="90"/>
  <c r="H28" i="90"/>
  <c r="H68" i="90"/>
  <c r="H130" i="90"/>
  <c r="H204" i="90"/>
  <c r="H79" i="90"/>
  <c r="H69" i="90"/>
  <c r="H36" i="90"/>
  <c r="H97" i="90"/>
  <c r="H88" i="90"/>
  <c r="H208" i="95"/>
  <c r="H206" i="95"/>
  <c r="H34" i="95"/>
  <c r="H50" i="95"/>
  <c r="H200" i="95"/>
  <c r="H36" i="95"/>
  <c r="H196" i="95"/>
  <c r="H107" i="95"/>
  <c r="H70" i="175"/>
  <c r="H109" i="72"/>
  <c r="H56" i="72"/>
  <c r="H158" i="90"/>
  <c r="H91" i="90"/>
  <c r="H179" i="90"/>
  <c r="H47" i="90"/>
  <c r="H165" i="90"/>
  <c r="H176" i="150"/>
  <c r="H54" i="150"/>
  <c r="H164" i="150"/>
  <c r="H184" i="177"/>
  <c r="H44" i="177"/>
  <c r="H90" i="177"/>
  <c r="H88" i="177"/>
  <c r="K12" i="177"/>
  <c r="H146" i="177"/>
  <c r="H50" i="177"/>
  <c r="H127" i="177"/>
  <c r="H49" i="177"/>
  <c r="H187" i="177"/>
  <c r="H159" i="177"/>
  <c r="H165" i="177"/>
  <c r="H190" i="177"/>
  <c r="H202" i="177"/>
  <c r="H56" i="177"/>
  <c r="H157" i="177"/>
  <c r="H138" i="177"/>
  <c r="H208" i="177"/>
  <c r="H48" i="177"/>
  <c r="H131" i="177"/>
  <c r="H191" i="177"/>
  <c r="H174" i="177"/>
  <c r="H72" i="177"/>
  <c r="H173" i="177"/>
  <c r="H39" i="177"/>
  <c r="H52" i="177"/>
  <c r="H148" i="177"/>
  <c r="H123" i="177"/>
  <c r="H133" i="177"/>
  <c r="H68" i="177"/>
  <c r="H185" i="177"/>
  <c r="H108" i="177"/>
  <c r="H86" i="177"/>
  <c r="H105" i="177"/>
  <c r="H58" i="177"/>
  <c r="H140" i="177"/>
  <c r="H116" i="177"/>
  <c r="G215" i="177"/>
  <c r="H36" i="177"/>
  <c r="H70" i="177"/>
  <c r="G238" i="31"/>
  <c r="H119" i="95"/>
  <c r="H150" i="95"/>
  <c r="H138" i="95"/>
  <c r="H77" i="95"/>
  <c r="H25" i="95"/>
  <c r="H92" i="95"/>
  <c r="H33" i="95"/>
  <c r="H106" i="95"/>
  <c r="H116" i="95"/>
  <c r="H188" i="95"/>
  <c r="H191" i="95"/>
  <c r="H157" i="95"/>
  <c r="H127" i="95"/>
  <c r="H158" i="95"/>
  <c r="H146" i="95"/>
  <c r="H54" i="95"/>
  <c r="H132" i="95"/>
  <c r="H98" i="95"/>
  <c r="H124" i="95"/>
  <c r="H124" i="119"/>
  <c r="H65" i="177"/>
  <c r="H34" i="177"/>
  <c r="H183" i="177"/>
  <c r="H118" i="149"/>
  <c r="H114" i="175"/>
  <c r="H142" i="175"/>
  <c r="H136" i="1"/>
  <c r="H129" i="72"/>
  <c r="H137" i="72"/>
  <c r="H183" i="72"/>
  <c r="H132" i="90"/>
  <c r="H159" i="90"/>
  <c r="H101" i="90"/>
  <c r="H131" i="90"/>
  <c r="H85" i="90"/>
  <c r="H167" i="90"/>
  <c r="H156" i="90"/>
  <c r="H133" i="90"/>
  <c r="H37" i="150"/>
  <c r="H159" i="150"/>
  <c r="H183" i="150"/>
  <c r="H148" i="150"/>
  <c r="H168" i="150"/>
  <c r="H48" i="150"/>
  <c r="H197" i="150"/>
  <c r="H143" i="150"/>
  <c r="H133" i="95"/>
  <c r="H184" i="95"/>
  <c r="H109" i="95"/>
  <c r="H86" i="95"/>
  <c r="H166" i="95"/>
  <c r="H190" i="95"/>
  <c r="H152" i="95"/>
  <c r="H165" i="95"/>
  <c r="H53" i="95"/>
  <c r="H125" i="175"/>
  <c r="H150" i="72"/>
  <c r="H46" i="90"/>
  <c r="H109" i="90"/>
  <c r="H67" i="90"/>
  <c r="H205" i="150"/>
  <c r="H187" i="150"/>
  <c r="H158" i="150"/>
  <c r="H109" i="150"/>
  <c r="G215" i="149"/>
  <c r="H79" i="149"/>
  <c r="H108" i="149"/>
  <c r="H58" i="149"/>
  <c r="H74" i="149"/>
  <c r="H180" i="149"/>
  <c r="H147" i="149"/>
  <c r="H137" i="149"/>
  <c r="H164" i="149"/>
  <c r="H143" i="149"/>
  <c r="H42" i="149"/>
  <c r="H102" i="149"/>
  <c r="H160" i="149"/>
  <c r="H116" i="149"/>
  <c r="H27" i="149"/>
  <c r="H195" i="149"/>
  <c r="H51" i="149"/>
  <c r="H61" i="149"/>
  <c r="H150" i="149"/>
  <c r="H135" i="149"/>
  <c r="H45" i="149"/>
  <c r="G238" i="89"/>
  <c r="N15" i="145"/>
  <c r="N15" i="120"/>
  <c r="H110" i="95"/>
  <c r="H181" i="95"/>
  <c r="H117" i="95"/>
  <c r="H182" i="95"/>
  <c r="H193" i="95"/>
  <c r="H129" i="95"/>
  <c r="H203" i="95"/>
  <c r="H180" i="95"/>
  <c r="H91" i="95"/>
  <c r="H67" i="95"/>
  <c r="H187" i="95"/>
  <c r="H175" i="95"/>
  <c r="K12" i="95"/>
  <c r="H194" i="95"/>
  <c r="H160" i="95"/>
  <c r="H31" i="95"/>
  <c r="H72" i="95"/>
  <c r="H42" i="95"/>
  <c r="H141" i="95"/>
  <c r="H40" i="177"/>
  <c r="H151" i="177"/>
  <c r="H78" i="177"/>
  <c r="H114" i="149"/>
  <c r="H176" i="175"/>
  <c r="H67" i="175"/>
  <c r="H176" i="1"/>
  <c r="H72" i="1"/>
  <c r="H135" i="72"/>
  <c r="H60" i="72"/>
  <c r="H189" i="90"/>
  <c r="H166" i="90"/>
  <c r="H146" i="90"/>
  <c r="H35" i="90"/>
  <c r="H93" i="90"/>
  <c r="H65" i="90"/>
  <c r="H150" i="90"/>
  <c r="H77" i="90"/>
  <c r="H44" i="150"/>
  <c r="H165" i="150"/>
  <c r="H93" i="150"/>
  <c r="H110" i="150"/>
  <c r="H151" i="150"/>
  <c r="H127" i="150"/>
  <c r="H59" i="150"/>
  <c r="H70" i="150"/>
  <c r="G215" i="72"/>
  <c r="H169" i="72"/>
  <c r="H188" i="72"/>
  <c r="H28" i="72"/>
  <c r="H102" i="72"/>
  <c r="H100" i="72"/>
  <c r="H126" i="72"/>
  <c r="H54" i="72"/>
  <c r="H41" i="72"/>
  <c r="H131" i="72"/>
  <c r="H151" i="72"/>
  <c r="H76" i="72"/>
  <c r="H101" i="72"/>
  <c r="H66" i="72"/>
  <c r="H138" i="72"/>
  <c r="H83" i="72"/>
  <c r="H116" i="72"/>
  <c r="H191" i="72"/>
  <c r="H105" i="72"/>
  <c r="H205" i="72"/>
  <c r="H59" i="72"/>
  <c r="H106" i="72"/>
  <c r="H36" i="72"/>
  <c r="H164" i="72"/>
  <c r="H75" i="72"/>
  <c r="H180" i="72"/>
  <c r="H31" i="72"/>
  <c r="H186" i="72"/>
  <c r="H201" i="72"/>
  <c r="K12" i="72"/>
  <c r="H65" i="72"/>
  <c r="H57" i="72"/>
  <c r="H119" i="72"/>
  <c r="H38" i="72"/>
  <c r="H153" i="72"/>
  <c r="H208" i="72"/>
  <c r="H30" i="72"/>
  <c r="H58" i="72"/>
  <c r="H78" i="95"/>
  <c r="H202" i="95"/>
  <c r="H156" i="95"/>
  <c r="H118" i="95"/>
  <c r="H70" i="95"/>
  <c r="H32" i="95"/>
  <c r="H125" i="95"/>
  <c r="H115" i="95"/>
  <c r="H179" i="95"/>
  <c r="H73" i="95"/>
  <c r="H26" i="95"/>
  <c r="H44" i="95"/>
  <c r="H76" i="95"/>
  <c r="H28" i="95"/>
  <c r="H189" i="175"/>
  <c r="H157" i="175"/>
  <c r="H55" i="72"/>
  <c r="H42" i="72"/>
  <c r="H86" i="90"/>
  <c r="H26" i="90"/>
  <c r="H108" i="90"/>
  <c r="H142" i="90"/>
  <c r="H60" i="90"/>
  <c r="H49" i="90"/>
  <c r="H176" i="90"/>
  <c r="H88" i="119"/>
  <c r="H203" i="119"/>
  <c r="H175" i="119"/>
  <c r="H72" i="119"/>
  <c r="H76" i="119"/>
  <c r="H45" i="119"/>
  <c r="H173" i="119"/>
  <c r="H51" i="119"/>
  <c r="H202" i="119"/>
  <c r="H193" i="119"/>
  <c r="H86" i="119"/>
  <c r="H67" i="119"/>
  <c r="H170" i="89"/>
  <c r="H89" i="89"/>
  <c r="H105" i="89"/>
  <c r="H52" i="89"/>
  <c r="H119" i="89"/>
  <c r="K12" i="89"/>
  <c r="H40" i="89"/>
  <c r="H68" i="89"/>
  <c r="H56" i="24"/>
  <c r="H183" i="24"/>
  <c r="H179" i="24"/>
  <c r="H127" i="24"/>
  <c r="H52" i="24"/>
  <c r="H48" i="24"/>
  <c r="H119" i="24"/>
  <c r="H38" i="24"/>
  <c r="G215" i="142"/>
  <c r="H132" i="142"/>
  <c r="H61" i="142"/>
  <c r="H27" i="142"/>
  <c r="H188" i="142"/>
  <c r="H75" i="142"/>
  <c r="H130" i="142"/>
  <c r="H187" i="142"/>
  <c r="H49" i="95"/>
  <c r="H59" i="95"/>
  <c r="H126" i="95"/>
  <c r="H101" i="95"/>
  <c r="H85" i="95"/>
  <c r="H45" i="95"/>
  <c r="H131" i="95"/>
  <c r="H41" i="95"/>
  <c r="H64" i="95"/>
  <c r="H55" i="95"/>
  <c r="H52" i="95"/>
  <c r="H147" i="95"/>
  <c r="H114" i="95"/>
  <c r="H39" i="95"/>
  <c r="H142" i="95"/>
  <c r="H167" i="95"/>
  <c r="H100" i="95"/>
  <c r="H168" i="95"/>
  <c r="H201" i="119"/>
  <c r="M208" i="177"/>
  <c r="H66" i="177"/>
  <c r="H98" i="177"/>
  <c r="H184" i="149"/>
  <c r="H191" i="175"/>
  <c r="H73" i="19"/>
  <c r="H197" i="72"/>
  <c r="H167" i="72"/>
  <c r="H74" i="72"/>
  <c r="H192" i="90"/>
  <c r="H185" i="90"/>
  <c r="H54" i="90"/>
  <c r="H92" i="90"/>
  <c r="H105" i="90"/>
  <c r="H50" i="90"/>
  <c r="H180" i="90"/>
  <c r="H164" i="90"/>
  <c r="H87" i="89"/>
  <c r="H208" i="150"/>
  <c r="H126" i="150"/>
  <c r="H82" i="150"/>
  <c r="H123" i="150"/>
  <c r="H170" i="150"/>
  <c r="H42" i="150"/>
  <c r="H194" i="150"/>
  <c r="H152" i="150"/>
  <c r="G238" i="83"/>
  <c r="H25" i="84"/>
  <c r="H183" i="175"/>
  <c r="H111" i="175"/>
  <c r="H83" i="175"/>
  <c r="H179" i="175"/>
  <c r="H106" i="175"/>
  <c r="H156" i="175"/>
  <c r="H143" i="175"/>
  <c r="H90" i="175"/>
  <c r="H32" i="175"/>
  <c r="H148" i="175"/>
  <c r="H140" i="175"/>
  <c r="H54" i="175"/>
  <c r="H105" i="175"/>
  <c r="H68" i="175"/>
  <c r="H98" i="175"/>
  <c r="H190" i="175"/>
  <c r="H171" i="175"/>
  <c r="H86" i="175"/>
  <c r="H43" i="175"/>
  <c r="H108" i="175"/>
  <c r="H65" i="175"/>
  <c r="H50" i="175"/>
  <c r="H155" i="175"/>
  <c r="H177" i="175"/>
  <c r="H84" i="175"/>
  <c r="H56" i="175"/>
  <c r="G215" i="95"/>
  <c r="H159" i="95"/>
  <c r="H65" i="95"/>
  <c r="H79" i="95"/>
  <c r="H171" i="95"/>
  <c r="H197" i="95"/>
  <c r="H97" i="95"/>
  <c r="H148" i="95"/>
  <c r="H56" i="95"/>
  <c r="H60" i="95"/>
  <c r="H137" i="95"/>
  <c r="H204" i="95"/>
  <c r="H71" i="95"/>
  <c r="H37" i="95"/>
  <c r="H123" i="95"/>
  <c r="H30" i="95"/>
  <c r="H172" i="95"/>
  <c r="H108" i="95"/>
  <c r="H141" i="150"/>
  <c r="H55" i="150"/>
  <c r="H155" i="150"/>
  <c r="H58" i="1"/>
  <c r="H146" i="1"/>
  <c r="H166" i="1"/>
  <c r="H173" i="1"/>
  <c r="H40" i="1"/>
  <c r="H39" i="1"/>
  <c r="H92" i="1"/>
  <c r="H90" i="1"/>
  <c r="H203" i="1"/>
  <c r="H28" i="1"/>
  <c r="H34" i="1"/>
  <c r="H78" i="1"/>
  <c r="H153" i="1"/>
  <c r="K12" i="1"/>
  <c r="H193" i="1"/>
  <c r="H124" i="1"/>
  <c r="H107" i="31"/>
  <c r="H101" i="31"/>
  <c r="H125" i="31"/>
  <c r="H52" i="31"/>
  <c r="H193" i="31"/>
  <c r="H177" i="31"/>
  <c r="H189" i="31"/>
  <c r="H32" i="31"/>
  <c r="H114" i="31"/>
  <c r="H64" i="31"/>
  <c r="H174" i="31"/>
  <c r="H51" i="95"/>
  <c r="H151" i="95"/>
  <c r="H195" i="95"/>
  <c r="H173" i="95"/>
  <c r="H38" i="95"/>
  <c r="H43" i="95"/>
  <c r="H153" i="95"/>
  <c r="H96" i="95"/>
  <c r="H27" i="95"/>
  <c r="H169" i="95"/>
  <c r="H170" i="95"/>
  <c r="H136" i="95"/>
  <c r="H192" i="95"/>
  <c r="H111" i="95"/>
  <c r="H186" i="95"/>
  <c r="M208" i="95"/>
  <c r="H57" i="95"/>
  <c r="H66" i="95"/>
  <c r="H89" i="95"/>
  <c r="H108" i="119"/>
  <c r="H156" i="177"/>
  <c r="H196" i="177"/>
  <c r="H126" i="177"/>
  <c r="H205" i="31"/>
  <c r="H60" i="149"/>
  <c r="H52" i="175"/>
  <c r="H145" i="1"/>
  <c r="H181" i="72"/>
  <c r="H99" i="72"/>
  <c r="H171" i="72"/>
  <c r="H208" i="90"/>
  <c r="H59" i="90"/>
  <c r="H149" i="90"/>
  <c r="H84" i="90"/>
  <c r="H96" i="90"/>
  <c r="H32" i="90"/>
  <c r="H52" i="90"/>
  <c r="H166" i="89"/>
  <c r="H31" i="150"/>
  <c r="H69" i="150"/>
  <c r="H204" i="150"/>
  <c r="H108" i="150"/>
  <c r="H60" i="150"/>
  <c r="H30" i="150"/>
  <c r="H160" i="150"/>
  <c r="H196" i="150"/>
  <c r="H105" i="150"/>
  <c r="H145" i="150"/>
  <c r="H84" i="150"/>
  <c r="H88" i="150"/>
  <c r="H61" i="150"/>
  <c r="H52" i="150"/>
  <c r="H181" i="150"/>
  <c r="H200" i="150"/>
  <c r="H36" i="150"/>
  <c r="H45" i="150"/>
  <c r="H167" i="150"/>
  <c r="H58" i="150"/>
  <c r="H133" i="150"/>
  <c r="H29" i="150"/>
  <c r="H51" i="150"/>
  <c r="H129" i="150"/>
  <c r="H147" i="150"/>
  <c r="H132" i="150"/>
  <c r="H191" i="150"/>
  <c r="H39" i="150"/>
  <c r="H97" i="150"/>
  <c r="H136" i="150"/>
  <c r="H153" i="150"/>
  <c r="H98" i="150"/>
  <c r="K12" i="150"/>
  <c r="H72" i="150"/>
  <c r="H172" i="150"/>
  <c r="H188" i="150"/>
  <c r="H65" i="150"/>
  <c r="H166" i="150"/>
  <c r="H87" i="150"/>
  <c r="H201" i="150"/>
  <c r="H118" i="150"/>
  <c r="H41" i="150"/>
  <c r="H182" i="150"/>
  <c r="H206" i="150"/>
  <c r="H67" i="150"/>
  <c r="H117" i="150"/>
  <c r="H125" i="150"/>
  <c r="H74" i="150"/>
  <c r="H26" i="150"/>
  <c r="H32" i="150"/>
  <c r="H78" i="150"/>
  <c r="H111" i="150"/>
  <c r="H177" i="150"/>
  <c r="H115" i="150"/>
  <c r="H49" i="150"/>
  <c r="H184" i="150"/>
  <c r="H142" i="150"/>
  <c r="H25" i="150"/>
  <c r="H34" i="150"/>
  <c r="H190" i="150"/>
  <c r="H114" i="150"/>
  <c r="H106" i="150"/>
  <c r="H102" i="150"/>
  <c r="H119" i="150"/>
  <c r="H149" i="150"/>
  <c r="H150" i="150"/>
  <c r="H193" i="150"/>
  <c r="H186" i="150"/>
  <c r="H92" i="150"/>
  <c r="H28" i="150"/>
  <c r="H140" i="150"/>
  <c r="H189" i="150"/>
  <c r="H43" i="150"/>
  <c r="H56" i="150"/>
  <c r="H173" i="150"/>
  <c r="H35" i="150"/>
  <c r="H50" i="150"/>
  <c r="H96" i="150"/>
  <c r="H85" i="150"/>
  <c r="H91" i="150"/>
  <c r="H90" i="150"/>
  <c r="H135" i="150"/>
  <c r="H116" i="150"/>
  <c r="H203" i="150"/>
  <c r="H192" i="150"/>
  <c r="H171" i="150"/>
  <c r="H40" i="150"/>
  <c r="H86" i="150"/>
  <c r="H71" i="150"/>
  <c r="G215" i="150"/>
  <c r="H101" i="150"/>
  <c r="H202" i="150"/>
  <c r="H157" i="150"/>
  <c r="H100" i="150"/>
  <c r="H77" i="150"/>
  <c r="H73" i="150"/>
  <c r="H64" i="150"/>
  <c r="H38" i="150"/>
  <c r="H107" i="150"/>
  <c r="H195" i="150"/>
  <c r="M208" i="150"/>
  <c r="H33" i="150"/>
  <c r="H57" i="150"/>
  <c r="H99" i="150"/>
  <c r="H75" i="150"/>
  <c r="H83" i="150"/>
  <c r="H146" i="150"/>
  <c r="H47" i="150"/>
  <c r="H137" i="150"/>
  <c r="H53" i="150"/>
  <c r="H46" i="95"/>
  <c r="H102" i="95"/>
  <c r="H35" i="95"/>
  <c r="H25" i="72"/>
  <c r="H135" i="90"/>
  <c r="H161" i="150"/>
  <c r="H175" i="150"/>
  <c r="H169" i="150"/>
  <c r="H76" i="150"/>
  <c r="H179" i="150"/>
  <c r="H164" i="19"/>
  <c r="H125" i="19"/>
  <c r="H130" i="19"/>
  <c r="H31" i="19"/>
  <c r="H183" i="19"/>
  <c r="H49" i="19"/>
  <c r="H161" i="19"/>
  <c r="H107" i="19"/>
  <c r="H189" i="95"/>
  <c r="H155" i="95"/>
  <c r="H84" i="95"/>
  <c r="H74" i="95"/>
  <c r="H40" i="95"/>
  <c r="H149" i="95"/>
  <c r="H185" i="95"/>
  <c r="H58" i="95"/>
  <c r="H205" i="95"/>
  <c r="H87" i="95"/>
  <c r="H178" i="95"/>
  <c r="H105" i="95"/>
  <c r="H183" i="95"/>
  <c r="H82" i="95"/>
  <c r="H29" i="95"/>
  <c r="H164" i="95"/>
  <c r="H47" i="95"/>
  <c r="H145" i="95"/>
  <c r="H83" i="119"/>
  <c r="H150" i="177"/>
  <c r="H177" i="177"/>
  <c r="H75" i="177"/>
  <c r="H60" i="31"/>
  <c r="H43" i="149"/>
  <c r="H52" i="149"/>
  <c r="H205" i="175"/>
  <c r="H60" i="175"/>
  <c r="H50" i="1"/>
  <c r="H171" i="19"/>
  <c r="H203" i="72"/>
  <c r="H142" i="72"/>
  <c r="H48" i="90"/>
  <c r="H153" i="90"/>
  <c r="H53" i="90"/>
  <c r="H187" i="90"/>
  <c r="H175" i="90"/>
  <c r="H143" i="90"/>
  <c r="H148" i="90"/>
  <c r="H31" i="24"/>
  <c r="H174" i="150"/>
  <c r="H27" i="150"/>
  <c r="H46" i="150"/>
  <c r="H124" i="150"/>
  <c r="H130" i="150"/>
  <c r="H138" i="150"/>
  <c r="H156" i="150"/>
  <c r="N15" i="60"/>
  <c r="N15" i="142"/>
  <c r="N15" i="19"/>
  <c r="N15" i="10"/>
  <c r="N15" i="24"/>
  <c r="N15" i="66"/>
  <c r="N15" i="159"/>
  <c r="N15" i="135"/>
  <c r="N15" i="176"/>
  <c r="N15" i="46"/>
  <c r="N15" i="103"/>
  <c r="N15" i="32"/>
  <c r="N15" i="53"/>
  <c r="N15" i="45"/>
  <c r="N15" i="155"/>
  <c r="N15" i="16"/>
  <c r="N15" i="15"/>
  <c r="N15" i="157"/>
  <c r="N15" i="94"/>
  <c r="N15" i="50"/>
  <c r="N15" i="68"/>
  <c r="N15" i="1"/>
  <c r="N15" i="55"/>
  <c r="N15" i="49"/>
  <c r="N15" i="165"/>
  <c r="N15" i="33"/>
  <c r="N15" i="152"/>
  <c r="N15" i="89"/>
  <c r="N15" i="106"/>
  <c r="N15" i="72"/>
  <c r="N15" i="92"/>
  <c r="N15" i="86"/>
  <c r="N15" i="63"/>
  <c r="N15" i="79"/>
  <c r="N15" i="111"/>
  <c r="N15" i="27"/>
  <c r="N15" i="98"/>
  <c r="N15" i="64"/>
  <c r="N15" i="172"/>
  <c r="N15" i="83"/>
  <c r="N15" i="113"/>
  <c r="N15" i="65"/>
  <c r="N15" i="62"/>
  <c r="N15" i="87"/>
  <c r="N15" i="133"/>
  <c r="N15" i="37"/>
  <c r="N15" i="119"/>
  <c r="N15" i="90"/>
  <c r="N15" i="20"/>
  <c r="N15" i="58"/>
  <c r="N15" i="175"/>
  <c r="N15" i="158"/>
  <c r="N15" i="102"/>
  <c r="N15" i="156"/>
  <c r="N15" i="95"/>
  <c r="N15" i="85"/>
  <c r="N15" i="54"/>
  <c r="N15" i="84"/>
  <c r="N15" i="69"/>
  <c r="N15" i="164"/>
  <c r="N15" i="25"/>
  <c r="N15" i="14"/>
  <c r="N15" i="31"/>
  <c r="N15" i="104"/>
  <c r="N15" i="149"/>
  <c r="N15" i="178"/>
  <c r="N15" i="150"/>
  <c r="N15" i="174"/>
  <c r="N15" i="177"/>
  <c r="N15" i="39"/>
  <c r="N15" i="21"/>
  <c r="N15" i="42"/>
  <c r="N15" i="28"/>
  <c r="N15" i="38"/>
  <c r="N15" i="47"/>
  <c r="N15" i="43"/>
  <c r="N15" i="143"/>
  <c r="N15" i="71"/>
  <c r="N15" i="118"/>
  <c r="N15" i="136"/>
  <c r="N15" i="57"/>
  <c r="N15" i="167"/>
  <c r="H133" i="79"/>
  <c r="H91" i="79"/>
  <c r="H151" i="79"/>
  <c r="H71" i="79"/>
  <c r="H166" i="79"/>
  <c r="H42" i="79"/>
  <c r="H146" i="79"/>
  <c r="H106" i="79"/>
  <c r="H137" i="79"/>
  <c r="H34" i="79"/>
  <c r="H50" i="119"/>
  <c r="H25" i="119"/>
  <c r="H52" i="119"/>
  <c r="H200" i="119"/>
  <c r="H38" i="119"/>
  <c r="H33" i="119"/>
  <c r="H155" i="119"/>
  <c r="H64" i="119"/>
  <c r="H208" i="119"/>
  <c r="H44" i="119"/>
  <c r="H67" i="31"/>
  <c r="H27" i="31"/>
  <c r="H96" i="31"/>
  <c r="H43" i="31"/>
  <c r="H76" i="31"/>
  <c r="H51" i="31"/>
  <c r="H70" i="31"/>
  <c r="H145" i="31"/>
  <c r="H150" i="64"/>
  <c r="H201" i="47"/>
  <c r="H180" i="47"/>
  <c r="H43" i="47"/>
  <c r="H138" i="47"/>
  <c r="H75" i="47"/>
  <c r="H190" i="47"/>
  <c r="H91" i="47"/>
  <c r="H141" i="47"/>
  <c r="H74" i="47"/>
  <c r="H38" i="47"/>
  <c r="H125" i="47"/>
  <c r="H172" i="47"/>
  <c r="H108" i="47"/>
  <c r="H110" i="47"/>
  <c r="H208" i="47"/>
  <c r="H39" i="47"/>
  <c r="H192" i="47"/>
  <c r="H35" i="47"/>
  <c r="H143" i="47"/>
  <c r="H182" i="47"/>
  <c r="H85" i="104"/>
  <c r="H142" i="104"/>
  <c r="H100" i="157"/>
  <c r="H161" i="172"/>
  <c r="H34" i="172"/>
  <c r="H192" i="172"/>
  <c r="H111" i="172"/>
  <c r="H203" i="172"/>
  <c r="H183" i="89"/>
  <c r="H54" i="89"/>
  <c r="H135" i="89"/>
  <c r="H33" i="89"/>
  <c r="H55" i="143"/>
  <c r="H86" i="143"/>
  <c r="H34" i="143"/>
  <c r="H30" i="143"/>
  <c r="H191" i="143"/>
  <c r="H40" i="143"/>
  <c r="H133" i="143"/>
  <c r="H106" i="143"/>
  <c r="H74" i="143"/>
  <c r="H72" i="143"/>
  <c r="H56" i="143"/>
  <c r="H161" i="143"/>
  <c r="H35" i="143"/>
  <c r="H108" i="143"/>
  <c r="H29" i="143"/>
  <c r="H41" i="143"/>
  <c r="H76" i="143"/>
  <c r="H54" i="143"/>
  <c r="H167" i="143"/>
  <c r="H185" i="143"/>
  <c r="H64" i="143"/>
  <c r="H48" i="69"/>
  <c r="H197" i="69"/>
  <c r="H206" i="69"/>
  <c r="H155" i="69"/>
  <c r="H54" i="69"/>
  <c r="H28" i="69"/>
  <c r="H55" i="69"/>
  <c r="H149" i="69"/>
  <c r="H110" i="69"/>
  <c r="H127" i="69"/>
  <c r="H140" i="69"/>
  <c r="H90" i="69"/>
  <c r="H83" i="69"/>
  <c r="H27" i="69"/>
  <c r="H74" i="69"/>
  <c r="H36" i="69"/>
  <c r="H72" i="69"/>
  <c r="H186" i="69"/>
  <c r="H145" i="69"/>
  <c r="H152" i="69"/>
  <c r="H190" i="69"/>
  <c r="H48" i="120"/>
  <c r="H151" i="120"/>
  <c r="H92" i="120"/>
  <c r="H98" i="120"/>
  <c r="H141" i="120"/>
  <c r="H135" i="142"/>
  <c r="H175" i="142"/>
  <c r="H90" i="142"/>
  <c r="H100" i="142"/>
  <c r="H53" i="142"/>
  <c r="H73" i="49"/>
  <c r="H40" i="50"/>
  <c r="H208" i="50"/>
  <c r="H140" i="50"/>
  <c r="H124" i="50"/>
  <c r="H155" i="50"/>
  <c r="H32" i="50"/>
  <c r="H203" i="50"/>
  <c r="H84" i="50"/>
  <c r="H98" i="50"/>
  <c r="H129" i="50"/>
  <c r="H172" i="50"/>
  <c r="H92" i="50"/>
  <c r="H106" i="50"/>
  <c r="H44" i="50"/>
  <c r="H69" i="50"/>
  <c r="H127" i="50"/>
  <c r="H42" i="50"/>
  <c r="H82" i="50"/>
  <c r="H149" i="50"/>
  <c r="H96" i="50"/>
  <c r="H182" i="119"/>
  <c r="H66" i="31"/>
  <c r="H208" i="15"/>
  <c r="H155" i="172"/>
  <c r="H101" i="172"/>
  <c r="H41" i="120"/>
  <c r="H131" i="79"/>
  <c r="H56" i="79"/>
  <c r="H168" i="79"/>
  <c r="H173" i="79"/>
  <c r="H202" i="79"/>
  <c r="H175" i="79"/>
  <c r="H179" i="79"/>
  <c r="H159" i="79"/>
  <c r="H189" i="79"/>
  <c r="H84" i="79"/>
  <c r="H136" i="79"/>
  <c r="H132" i="119"/>
  <c r="H143" i="119"/>
  <c r="H41" i="119"/>
  <c r="H159" i="119"/>
  <c r="H204" i="119"/>
  <c r="H197" i="119"/>
  <c r="H28" i="119"/>
  <c r="H206" i="119"/>
  <c r="H176" i="119"/>
  <c r="H172" i="119"/>
  <c r="H141" i="119"/>
  <c r="H98" i="31"/>
  <c r="H183" i="31"/>
  <c r="H160" i="31"/>
  <c r="H92" i="31"/>
  <c r="H130" i="31"/>
  <c r="H88" i="31"/>
  <c r="H82" i="31"/>
  <c r="H138" i="31"/>
  <c r="G215" i="120"/>
  <c r="H166" i="64"/>
  <c r="H165" i="47"/>
  <c r="H69" i="47"/>
  <c r="H171" i="47"/>
  <c r="H150" i="47"/>
  <c r="H152" i="47"/>
  <c r="H42" i="47"/>
  <c r="H83" i="47"/>
  <c r="H68" i="47"/>
  <c r="H101" i="47"/>
  <c r="H60" i="47"/>
  <c r="H176" i="47"/>
  <c r="H204" i="47"/>
  <c r="H175" i="47"/>
  <c r="H36" i="47"/>
  <c r="H71" i="47"/>
  <c r="H146" i="47"/>
  <c r="H118" i="47"/>
  <c r="H119" i="47"/>
  <c r="H142" i="47"/>
  <c r="H57" i="47"/>
  <c r="H205" i="47"/>
  <c r="H155" i="104"/>
  <c r="H169" i="104"/>
  <c r="H87" i="157"/>
  <c r="H30" i="157"/>
  <c r="H145" i="15"/>
  <c r="H48" i="172"/>
  <c r="H72" i="172"/>
  <c r="H157" i="172"/>
  <c r="H131" i="172"/>
  <c r="H42" i="172"/>
  <c r="H37" i="89"/>
  <c r="H93" i="89"/>
  <c r="H72" i="89"/>
  <c r="H41" i="89"/>
  <c r="H91" i="143"/>
  <c r="H141" i="143"/>
  <c r="H50" i="143"/>
  <c r="H187" i="143"/>
  <c r="H168" i="143"/>
  <c r="H126" i="143"/>
  <c r="H101" i="143"/>
  <c r="H140" i="143"/>
  <c r="H142" i="143"/>
  <c r="H26" i="143"/>
  <c r="H107" i="143"/>
  <c r="H28" i="143"/>
  <c r="H93" i="143"/>
  <c r="H129" i="143"/>
  <c r="H193" i="143"/>
  <c r="H99" i="143"/>
  <c r="H65" i="143"/>
  <c r="H138" i="143"/>
  <c r="H51" i="143"/>
  <c r="H70" i="143"/>
  <c r="H76" i="69"/>
  <c r="H166" i="69"/>
  <c r="H173" i="69"/>
  <c r="H195" i="69"/>
  <c r="H41" i="69"/>
  <c r="H201" i="69"/>
  <c r="H100" i="69"/>
  <c r="H159" i="69"/>
  <c r="M208" i="69"/>
  <c r="H135" i="69"/>
  <c r="H66" i="69"/>
  <c r="H26" i="69"/>
  <c r="H89" i="69"/>
  <c r="H126" i="69"/>
  <c r="H68" i="69"/>
  <c r="H102" i="69"/>
  <c r="H111" i="69"/>
  <c r="H29" i="69"/>
  <c r="H87" i="69"/>
  <c r="K12" i="69"/>
  <c r="H59" i="69"/>
  <c r="G238" i="53"/>
  <c r="H97" i="120"/>
  <c r="H118" i="120"/>
  <c r="H36" i="120"/>
  <c r="H168" i="120"/>
  <c r="H69" i="120"/>
  <c r="H67" i="142"/>
  <c r="H204" i="142"/>
  <c r="H206" i="142"/>
  <c r="H133" i="142"/>
  <c r="H146" i="142"/>
  <c r="H180" i="155"/>
  <c r="H142" i="50"/>
  <c r="H178" i="50"/>
  <c r="H27" i="50"/>
  <c r="H31" i="50"/>
  <c r="H93" i="50"/>
  <c r="H71" i="50"/>
  <c r="H145" i="50"/>
  <c r="H161" i="50"/>
  <c r="H30" i="50"/>
  <c r="H108" i="50"/>
  <c r="H64" i="50"/>
  <c r="H85" i="50"/>
  <c r="H167" i="50"/>
  <c r="H75" i="50"/>
  <c r="H115" i="50"/>
  <c r="H99" i="50"/>
  <c r="H116" i="50"/>
  <c r="H76" i="50"/>
  <c r="H78" i="50"/>
  <c r="H58" i="50"/>
  <c r="H168" i="50"/>
  <c r="H46" i="119"/>
  <c r="H180" i="119"/>
  <c r="H202" i="31"/>
  <c r="H166" i="31"/>
  <c r="H108" i="31"/>
  <c r="H71" i="120"/>
  <c r="H149" i="142"/>
  <c r="H55" i="142"/>
  <c r="H100" i="79"/>
  <c r="H132" i="79"/>
  <c r="H42" i="119"/>
  <c r="H32" i="119"/>
  <c r="H196" i="119"/>
  <c r="H194" i="31"/>
  <c r="H151" i="31"/>
  <c r="H89" i="31"/>
  <c r="H115" i="64"/>
  <c r="H183" i="47"/>
  <c r="H82" i="47"/>
  <c r="H174" i="47"/>
  <c r="H91" i="172"/>
  <c r="H174" i="143"/>
  <c r="H176" i="143"/>
  <c r="H177" i="143"/>
  <c r="H67" i="143"/>
  <c r="H49" i="143"/>
  <c r="H142" i="69"/>
  <c r="H37" i="69"/>
  <c r="H67" i="69"/>
  <c r="H116" i="69"/>
  <c r="H124" i="69"/>
  <c r="H157" i="69"/>
  <c r="H164" i="69"/>
  <c r="H147" i="69"/>
  <c r="H146" i="69"/>
  <c r="H175" i="69"/>
  <c r="H137" i="69"/>
  <c r="H196" i="69"/>
  <c r="H143" i="69"/>
  <c r="H136" i="69"/>
  <c r="H187" i="69"/>
  <c r="H47" i="69"/>
  <c r="H205" i="69"/>
  <c r="H189" i="69"/>
  <c r="H166" i="120"/>
  <c r="H201" i="120"/>
  <c r="H34" i="120"/>
  <c r="H61" i="120"/>
  <c r="H188" i="120"/>
  <c r="H119" i="142"/>
  <c r="H126" i="142"/>
  <c r="H34" i="142"/>
  <c r="H73" i="142"/>
  <c r="H108" i="142"/>
  <c r="H58" i="155"/>
  <c r="G215" i="50"/>
  <c r="H125" i="50"/>
  <c r="H47" i="50"/>
  <c r="H37" i="50"/>
  <c r="H55" i="50"/>
  <c r="H26" i="50"/>
  <c r="H43" i="50"/>
  <c r="H182" i="50"/>
  <c r="H164" i="50"/>
  <c r="H111" i="50"/>
  <c r="H186" i="50"/>
  <c r="H183" i="50"/>
  <c r="H197" i="50"/>
  <c r="H60" i="50"/>
  <c r="H187" i="50"/>
  <c r="H194" i="50"/>
  <c r="H196" i="50"/>
  <c r="H48" i="50"/>
  <c r="H28" i="50"/>
  <c r="H201" i="50"/>
  <c r="H87" i="50"/>
  <c r="H56" i="50"/>
  <c r="H192" i="119"/>
  <c r="H29" i="119"/>
  <c r="H92" i="119"/>
  <c r="H138" i="119"/>
  <c r="H107" i="119"/>
  <c r="H69" i="31"/>
  <c r="H98" i="172"/>
  <c r="H82" i="172"/>
  <c r="H153" i="172"/>
  <c r="H44" i="120"/>
  <c r="H189" i="120"/>
  <c r="H151" i="142"/>
  <c r="H187" i="79"/>
  <c r="H75" i="79"/>
  <c r="H78" i="119"/>
  <c r="H98" i="119"/>
  <c r="H181" i="119"/>
  <c r="H179" i="119"/>
  <c r="H169" i="31"/>
  <c r="H133" i="31"/>
  <c r="H30" i="47"/>
  <c r="H76" i="47"/>
  <c r="H167" i="47"/>
  <c r="H117" i="47"/>
  <c r="H188" i="47"/>
  <c r="H168" i="47"/>
  <c r="H26" i="47"/>
  <c r="H106" i="47"/>
  <c r="H149" i="47"/>
  <c r="H79" i="47"/>
  <c r="H32" i="47"/>
  <c r="H65" i="47"/>
  <c r="H27" i="104"/>
  <c r="H176" i="104"/>
  <c r="H153" i="15"/>
  <c r="H57" i="172"/>
  <c r="H28" i="172"/>
  <c r="H143" i="172"/>
  <c r="H152" i="89"/>
  <c r="H105" i="143"/>
  <c r="H48" i="143"/>
  <c r="H204" i="143"/>
  <c r="H188" i="143"/>
  <c r="H97" i="143"/>
  <c r="H143" i="143"/>
  <c r="H82" i="143"/>
  <c r="H83" i="143"/>
  <c r="H135" i="143"/>
  <c r="H175" i="143"/>
  <c r="H170" i="143"/>
  <c r="H169" i="143"/>
  <c r="H153" i="143"/>
  <c r="H192" i="69"/>
  <c r="H26" i="79"/>
  <c r="H123" i="79"/>
  <c r="H89" i="79"/>
  <c r="H48" i="79"/>
  <c r="H150" i="79"/>
  <c r="H190" i="79"/>
  <c r="H31" i="79"/>
  <c r="H68" i="79"/>
  <c r="H183" i="79"/>
  <c r="H28" i="79"/>
  <c r="H205" i="119"/>
  <c r="H85" i="119"/>
  <c r="K12" i="119"/>
  <c r="H194" i="119"/>
  <c r="H27" i="119"/>
  <c r="H82" i="119"/>
  <c r="H102" i="119"/>
  <c r="H54" i="119"/>
  <c r="H133" i="119"/>
  <c r="H195" i="119"/>
  <c r="H79" i="31"/>
  <c r="H115" i="31"/>
  <c r="H147" i="31"/>
  <c r="H74" i="31"/>
  <c r="H185" i="31"/>
  <c r="H68" i="31"/>
  <c r="H184" i="31"/>
  <c r="H149" i="31"/>
  <c r="H156" i="64"/>
  <c r="H119" i="64"/>
  <c r="H41" i="47"/>
  <c r="H89" i="47"/>
  <c r="H179" i="47"/>
  <c r="H114" i="47"/>
  <c r="H29" i="47"/>
  <c r="H156" i="47"/>
  <c r="H54" i="47"/>
  <c r="H100" i="47"/>
  <c r="H78" i="47"/>
  <c r="H130" i="47"/>
  <c r="H189" i="47"/>
  <c r="H109" i="47"/>
  <c r="H98" i="47"/>
  <c r="H51" i="47"/>
  <c r="H158" i="47"/>
  <c r="H28" i="47"/>
  <c r="H97" i="47"/>
  <c r="H88" i="47"/>
  <c r="H185" i="47"/>
  <c r="H44" i="47"/>
  <c r="H61" i="47"/>
  <c r="H64" i="104"/>
  <c r="H91" i="104"/>
  <c r="H92" i="104"/>
  <c r="H150" i="157"/>
  <c r="H105" i="172"/>
  <c r="H158" i="172"/>
  <c r="H99" i="172"/>
  <c r="H65" i="172"/>
  <c r="H35" i="172"/>
  <c r="H69" i="89"/>
  <c r="H115" i="89"/>
  <c r="H84" i="89"/>
  <c r="H131" i="89"/>
  <c r="H102" i="143"/>
  <c r="H32" i="143"/>
  <c r="H77" i="143"/>
  <c r="H173" i="143"/>
  <c r="H89" i="143"/>
  <c r="H172" i="143"/>
  <c r="H57" i="143"/>
  <c r="H208" i="143"/>
  <c r="H195" i="143"/>
  <c r="H118" i="143"/>
  <c r="H171" i="143"/>
  <c r="H96" i="143"/>
  <c r="H68" i="143"/>
  <c r="H45" i="143"/>
  <c r="H90" i="143"/>
  <c r="H145" i="143"/>
  <c r="H149" i="143"/>
  <c r="H36" i="143"/>
  <c r="H180" i="143"/>
  <c r="H165" i="143"/>
  <c r="H159" i="143"/>
  <c r="H174" i="69"/>
  <c r="H150" i="69"/>
  <c r="H141" i="69"/>
  <c r="H98" i="69"/>
  <c r="H40" i="69"/>
  <c r="H185" i="69"/>
  <c r="H39" i="69"/>
  <c r="H35" i="69"/>
  <c r="H60" i="69"/>
  <c r="H183" i="69"/>
  <c r="H115" i="69"/>
  <c r="H191" i="69"/>
  <c r="H30" i="69"/>
  <c r="H82" i="69"/>
  <c r="H61" i="69"/>
  <c r="H33" i="69"/>
  <c r="H77" i="69"/>
  <c r="H79" i="69"/>
  <c r="H45" i="69"/>
  <c r="H125" i="69"/>
  <c r="H161" i="120"/>
  <c r="H82" i="120"/>
  <c r="H66" i="120"/>
  <c r="H108" i="120"/>
  <c r="H126" i="120"/>
  <c r="H195" i="142"/>
  <c r="H99" i="142"/>
  <c r="H157" i="142"/>
  <c r="H117" i="142"/>
  <c r="H202" i="142"/>
  <c r="H176" i="155"/>
  <c r="H153" i="50"/>
  <c r="H193" i="50"/>
  <c r="H117" i="50"/>
  <c r="H110" i="50"/>
  <c r="H165" i="50"/>
  <c r="H70" i="50"/>
  <c r="H176" i="50"/>
  <c r="H151" i="50"/>
  <c r="H52" i="50"/>
  <c r="H147" i="50"/>
  <c r="H169" i="50"/>
  <c r="H135" i="50"/>
  <c r="H130" i="50"/>
  <c r="H123" i="50"/>
  <c r="H38" i="50"/>
  <c r="H34" i="50"/>
  <c r="H138" i="50"/>
  <c r="H181" i="50"/>
  <c r="H90" i="50"/>
  <c r="H171" i="50"/>
  <c r="H142" i="119"/>
  <c r="H117" i="119"/>
  <c r="H169" i="119"/>
  <c r="H31" i="31"/>
  <c r="G215" i="31"/>
  <c r="H83" i="31"/>
  <c r="H192" i="120"/>
  <c r="H172" i="142"/>
  <c r="H79" i="142"/>
  <c r="K12" i="79"/>
  <c r="H55" i="79"/>
  <c r="H78" i="79"/>
  <c r="H35" i="79"/>
  <c r="H193" i="79"/>
  <c r="H155" i="79"/>
  <c r="M208" i="119"/>
  <c r="H111" i="119"/>
  <c r="H99" i="119"/>
  <c r="H158" i="31"/>
  <c r="H191" i="31"/>
  <c r="H42" i="31"/>
  <c r="G215" i="143"/>
  <c r="H158" i="64"/>
  <c r="H133" i="47"/>
  <c r="H197" i="47"/>
  <c r="H58" i="47"/>
  <c r="H184" i="47"/>
  <c r="H64" i="47"/>
  <c r="H50" i="47"/>
  <c r="H45" i="172"/>
  <c r="H167" i="172"/>
  <c r="H151" i="89"/>
  <c r="H179" i="89"/>
  <c r="H196" i="143"/>
  <c r="H194" i="143"/>
  <c r="H106" i="69"/>
  <c r="H57" i="79"/>
  <c r="H117" i="79"/>
  <c r="H140" i="79"/>
  <c r="H39" i="79"/>
  <c r="H127" i="79"/>
  <c r="H142" i="79"/>
  <c r="H153" i="79"/>
  <c r="H125" i="79"/>
  <c r="H176" i="79"/>
  <c r="H197" i="79"/>
  <c r="H31" i="119"/>
  <c r="H74" i="119"/>
  <c r="H118" i="119"/>
  <c r="H125" i="119"/>
  <c r="H151" i="119"/>
  <c r="H161" i="119"/>
  <c r="H129" i="119"/>
  <c r="H178" i="119"/>
  <c r="H171" i="119"/>
  <c r="H135" i="31"/>
  <c r="H110" i="31"/>
  <c r="H196" i="31"/>
  <c r="H78" i="31"/>
  <c r="H161" i="31"/>
  <c r="H85" i="31"/>
  <c r="K12" i="31"/>
  <c r="H88" i="64"/>
  <c r="H191" i="64"/>
  <c r="H31" i="47"/>
  <c r="H105" i="47"/>
  <c r="H93" i="47"/>
  <c r="H145" i="47"/>
  <c r="H151" i="47"/>
  <c r="H200" i="47"/>
  <c r="H195" i="47"/>
  <c r="H129" i="47"/>
  <c r="H148" i="47"/>
  <c r="H196" i="47"/>
  <c r="H66" i="47"/>
  <c r="H115" i="47"/>
  <c r="H186" i="47"/>
  <c r="H111" i="47"/>
  <c r="H166" i="47"/>
  <c r="G215" i="47"/>
  <c r="H160" i="47"/>
  <c r="H40" i="47"/>
  <c r="M208" i="47"/>
  <c r="H160" i="104"/>
  <c r="H191" i="104"/>
  <c r="H34" i="157"/>
  <c r="H196" i="172"/>
  <c r="H92" i="172"/>
  <c r="H181" i="172"/>
  <c r="H173" i="172"/>
  <c r="H183" i="172"/>
  <c r="H130" i="89"/>
  <c r="H82" i="89"/>
  <c r="H195" i="89"/>
  <c r="H70" i="89"/>
  <c r="H157" i="143"/>
  <c r="H37" i="143"/>
  <c r="H53" i="143"/>
  <c r="H152" i="143"/>
  <c r="H131" i="143"/>
  <c r="H132" i="143"/>
  <c r="H78" i="143"/>
  <c r="H58" i="143"/>
  <c r="H206" i="143"/>
  <c r="H84" i="143"/>
  <c r="H164" i="143"/>
  <c r="H75" i="143"/>
  <c r="H182" i="143"/>
  <c r="H60" i="143"/>
  <c r="H146" i="143"/>
  <c r="H160" i="143"/>
  <c r="H71" i="143"/>
  <c r="H197" i="143"/>
  <c r="H39" i="143"/>
  <c r="H119" i="143"/>
  <c r="H188" i="69"/>
  <c r="H53" i="69"/>
  <c r="H99" i="69"/>
  <c r="H31" i="69"/>
  <c r="H38" i="69"/>
  <c r="H34" i="69"/>
  <c r="H93" i="69"/>
  <c r="H84" i="69"/>
  <c r="H151" i="69"/>
  <c r="H50" i="69"/>
  <c r="H200" i="69"/>
  <c r="H138" i="69"/>
  <c r="H130" i="69"/>
  <c r="H73" i="69"/>
  <c r="H51" i="69"/>
  <c r="H114" i="69"/>
  <c r="H32" i="69"/>
  <c r="H194" i="69"/>
  <c r="H182" i="69"/>
  <c r="H114" i="120"/>
  <c r="H78" i="120"/>
  <c r="H26" i="120"/>
  <c r="H60" i="120"/>
  <c r="H157" i="120"/>
  <c r="H52" i="142"/>
  <c r="H33" i="142"/>
  <c r="H58" i="142"/>
  <c r="H176" i="142"/>
  <c r="H85" i="142"/>
  <c r="H151" i="49"/>
  <c r="H146" i="50"/>
  <c r="H175" i="50"/>
  <c r="H45" i="50"/>
  <c r="H68" i="50"/>
  <c r="H148" i="50"/>
  <c r="H137" i="50"/>
  <c r="H192" i="50"/>
  <c r="H61" i="50"/>
  <c r="H166" i="50"/>
  <c r="H156" i="50"/>
  <c r="H46" i="50"/>
  <c r="H185" i="50"/>
  <c r="H74" i="50"/>
  <c r="H141" i="50"/>
  <c r="H179" i="50"/>
  <c r="H33" i="50"/>
  <c r="H50" i="50"/>
  <c r="H119" i="50"/>
  <c r="H143" i="50"/>
  <c r="G238" i="20"/>
  <c r="H76" i="79"/>
  <c r="H108" i="79"/>
  <c r="H51" i="79"/>
  <c r="H138" i="79"/>
  <c r="H180" i="79"/>
  <c r="H158" i="79"/>
  <c r="H54" i="79"/>
  <c r="H149" i="79"/>
  <c r="H93" i="79"/>
  <c r="H41" i="79"/>
  <c r="H96" i="79"/>
  <c r="H167" i="79"/>
  <c r="H88" i="79"/>
  <c r="H73" i="79"/>
  <c r="H157" i="79"/>
  <c r="H194" i="79"/>
  <c r="H105" i="79"/>
  <c r="H99" i="79"/>
  <c r="H72" i="79"/>
  <c r="H50" i="79"/>
  <c r="H66" i="79"/>
  <c r="H65" i="79"/>
  <c r="H174" i="79"/>
  <c r="H40" i="79"/>
  <c r="H191" i="79"/>
  <c r="H119" i="79"/>
  <c r="H111" i="79"/>
  <c r="H165" i="79"/>
  <c r="H114" i="79"/>
  <c r="H110" i="79"/>
  <c r="H196" i="79"/>
  <c r="H204" i="79"/>
  <c r="H170" i="79"/>
  <c r="H90" i="79"/>
  <c r="H46" i="79"/>
  <c r="H184" i="79"/>
  <c r="H177" i="79"/>
  <c r="H43" i="79"/>
  <c r="H129" i="79"/>
  <c r="N11" i="98"/>
  <c r="H59" i="79"/>
  <c r="H152" i="79"/>
  <c r="H58" i="79"/>
  <c r="H130" i="79"/>
  <c r="H33" i="79"/>
  <c r="H61" i="79"/>
  <c r="H145" i="79"/>
  <c r="H70" i="79"/>
  <c r="H47" i="79"/>
  <c r="H77" i="79"/>
  <c r="H206" i="79"/>
  <c r="H201" i="79"/>
  <c r="H192" i="79"/>
  <c r="H101" i="79"/>
  <c r="H169" i="79"/>
  <c r="H83" i="79"/>
  <c r="H178" i="79"/>
  <c r="H67" i="79"/>
  <c r="H79" i="79"/>
  <c r="H135" i="79"/>
  <c r="H171" i="79"/>
  <c r="H185" i="79"/>
  <c r="H36" i="79"/>
  <c r="H44" i="79"/>
  <c r="H85" i="79"/>
  <c r="H53" i="79"/>
  <c r="H126" i="79"/>
  <c r="H160" i="79"/>
  <c r="H161" i="79"/>
  <c r="H69" i="79"/>
  <c r="H186" i="79"/>
  <c r="H107" i="79"/>
  <c r="H97" i="79"/>
  <c r="H74" i="79"/>
  <c r="H181" i="79"/>
  <c r="H195" i="79"/>
  <c r="H38" i="79"/>
  <c r="H116" i="79"/>
  <c r="H27" i="79"/>
  <c r="H49" i="79"/>
  <c r="H82" i="79"/>
  <c r="N11" i="47"/>
  <c r="N11" i="164"/>
  <c r="J205" i="97"/>
  <c r="N202" i="87"/>
  <c r="N11" i="133"/>
  <c r="N11" i="19"/>
  <c r="N11" i="177"/>
  <c r="N11" i="89"/>
  <c r="N11" i="175"/>
  <c r="N11" i="142"/>
  <c r="G238" i="72"/>
  <c r="H153" i="31"/>
  <c r="H38" i="31"/>
  <c r="H46" i="31"/>
  <c r="H44" i="31"/>
  <c r="H204" i="31"/>
  <c r="H59" i="31"/>
  <c r="H129" i="31"/>
  <c r="H75" i="31"/>
  <c r="H45" i="31"/>
  <c r="H117" i="31"/>
  <c r="H170" i="31"/>
  <c r="H182" i="31"/>
  <c r="H152" i="31"/>
  <c r="H137" i="31"/>
  <c r="H102" i="31"/>
  <c r="H143" i="31"/>
  <c r="H132" i="31"/>
  <c r="H87" i="31"/>
  <c r="H39" i="31"/>
  <c r="H146" i="31"/>
  <c r="H181" i="31"/>
  <c r="H35" i="157"/>
  <c r="H185" i="157"/>
  <c r="H170" i="157"/>
  <c r="H25" i="157"/>
  <c r="H200" i="102"/>
  <c r="H200" i="172"/>
  <c r="H51" i="172"/>
  <c r="H130" i="172"/>
  <c r="H123" i="172"/>
  <c r="H184" i="172"/>
  <c r="H125" i="172"/>
  <c r="H61" i="172"/>
  <c r="H88" i="172"/>
  <c r="H114" i="172"/>
  <c r="H174" i="172"/>
  <c r="H89" i="172"/>
  <c r="H74" i="172"/>
  <c r="H106" i="172"/>
  <c r="H36" i="172"/>
  <c r="H193" i="172"/>
  <c r="H182" i="172"/>
  <c r="H127" i="172"/>
  <c r="H140" i="172"/>
  <c r="H55" i="172"/>
  <c r="H66" i="172"/>
  <c r="H71" i="172"/>
  <c r="H157" i="42"/>
  <c r="H173" i="42"/>
  <c r="H148" i="42"/>
  <c r="H36" i="42"/>
  <c r="H67" i="42"/>
  <c r="H50" i="42"/>
  <c r="H188" i="42"/>
  <c r="H181" i="120"/>
  <c r="H42" i="120"/>
  <c r="H68" i="120"/>
  <c r="H50" i="120"/>
  <c r="H135" i="120"/>
  <c r="H39" i="120"/>
  <c r="H204" i="120"/>
  <c r="H85" i="120"/>
  <c r="H101" i="120"/>
  <c r="H58" i="120"/>
  <c r="H158" i="120"/>
  <c r="H88" i="120"/>
  <c r="H65" i="120"/>
  <c r="H33" i="120"/>
  <c r="H99" i="120"/>
  <c r="H49" i="120"/>
  <c r="H196" i="120"/>
  <c r="H72" i="120"/>
  <c r="H167" i="120"/>
  <c r="H172" i="120"/>
  <c r="H115" i="142"/>
  <c r="H93" i="142"/>
  <c r="H25" i="142"/>
  <c r="H39" i="142"/>
  <c r="H140" i="142"/>
  <c r="H26" i="142"/>
  <c r="H123" i="142"/>
  <c r="H147" i="142"/>
  <c r="H84" i="142"/>
  <c r="H177" i="142"/>
  <c r="H168" i="142"/>
  <c r="H92" i="142"/>
  <c r="H98" i="142"/>
  <c r="K12" i="142"/>
  <c r="H183" i="142"/>
  <c r="H127" i="142"/>
  <c r="H45" i="142"/>
  <c r="H28" i="142"/>
  <c r="H131" i="142"/>
  <c r="H196" i="142"/>
  <c r="G238" i="177"/>
  <c r="H57" i="31"/>
  <c r="H179" i="31"/>
  <c r="H136" i="31"/>
  <c r="H30" i="31"/>
  <c r="H165" i="31"/>
  <c r="H58" i="31"/>
  <c r="H173" i="31"/>
  <c r="H53" i="31"/>
  <c r="H35" i="31"/>
  <c r="M208" i="31"/>
  <c r="H171" i="31"/>
  <c r="H159" i="31"/>
  <c r="H40" i="31"/>
  <c r="H123" i="31"/>
  <c r="H201" i="31"/>
  <c r="H28" i="31"/>
  <c r="H29" i="31"/>
  <c r="H41" i="31"/>
  <c r="H176" i="31"/>
  <c r="H47" i="31"/>
  <c r="H37" i="31"/>
  <c r="K12" i="157"/>
  <c r="H67" i="157"/>
  <c r="H165" i="157"/>
  <c r="H55" i="157"/>
  <c r="H190" i="172"/>
  <c r="H73" i="172"/>
  <c r="H189" i="172"/>
  <c r="H78" i="172"/>
  <c r="H170" i="172"/>
  <c r="H129" i="172"/>
  <c r="H76" i="172"/>
  <c r="H133" i="172"/>
  <c r="H204" i="172"/>
  <c r="H191" i="172"/>
  <c r="H44" i="172"/>
  <c r="H119" i="172"/>
  <c r="H147" i="172"/>
  <c r="H83" i="172"/>
  <c r="H85" i="172"/>
  <c r="H159" i="172"/>
  <c r="H96" i="172"/>
  <c r="H176" i="172"/>
  <c r="H53" i="172"/>
  <c r="H205" i="172"/>
  <c r="H137" i="42"/>
  <c r="H179" i="42"/>
  <c r="H204" i="42"/>
  <c r="H153" i="42"/>
  <c r="H166" i="42"/>
  <c r="H132" i="42"/>
  <c r="H64" i="42"/>
  <c r="K12" i="120"/>
  <c r="H76" i="120"/>
  <c r="H96" i="120"/>
  <c r="H29" i="120"/>
  <c r="H175" i="120"/>
  <c r="H54" i="120"/>
  <c r="H146" i="120"/>
  <c r="H193" i="120"/>
  <c r="H70" i="120"/>
  <c r="H79" i="120"/>
  <c r="H111" i="120"/>
  <c r="H31" i="120"/>
  <c r="H28" i="120"/>
  <c r="H77" i="120"/>
  <c r="H136" i="120"/>
  <c r="H137" i="120"/>
  <c r="H208" i="120"/>
  <c r="M208" i="120"/>
  <c r="H52" i="120"/>
  <c r="H130" i="120"/>
  <c r="H201" i="142"/>
  <c r="H208" i="142"/>
  <c r="H165" i="142"/>
  <c r="H86" i="142"/>
  <c r="H88" i="142"/>
  <c r="H182" i="142"/>
  <c r="H60" i="142"/>
  <c r="H137" i="142"/>
  <c r="H30" i="142"/>
  <c r="H56" i="142"/>
  <c r="H184" i="142"/>
  <c r="H158" i="142"/>
  <c r="H49" i="142"/>
  <c r="H76" i="142"/>
  <c r="H82" i="142"/>
  <c r="H66" i="142"/>
  <c r="H143" i="142"/>
  <c r="H41" i="142"/>
  <c r="H64" i="142"/>
  <c r="H148" i="142"/>
  <c r="H175" i="31"/>
  <c r="H97" i="31"/>
  <c r="H61" i="31"/>
  <c r="H50" i="31"/>
  <c r="H172" i="31"/>
  <c r="H127" i="31"/>
  <c r="H178" i="31"/>
  <c r="H197" i="31"/>
  <c r="H26" i="31"/>
  <c r="H195" i="31"/>
  <c r="H77" i="31"/>
  <c r="H100" i="31"/>
  <c r="H33" i="31"/>
  <c r="H105" i="31"/>
  <c r="H65" i="31"/>
  <c r="H90" i="31"/>
  <c r="H188" i="31"/>
  <c r="H156" i="31"/>
  <c r="H48" i="31"/>
  <c r="H164" i="31"/>
  <c r="H49" i="157"/>
  <c r="H52" i="157"/>
  <c r="H131" i="157"/>
  <c r="H168" i="157"/>
  <c r="H168" i="172"/>
  <c r="H138" i="172"/>
  <c r="H169" i="172"/>
  <c r="H107" i="172"/>
  <c r="H60" i="172"/>
  <c r="H164" i="172"/>
  <c r="H70" i="172"/>
  <c r="H195" i="172"/>
  <c r="H54" i="172"/>
  <c r="H102" i="172"/>
  <c r="H135" i="172"/>
  <c r="H26" i="172"/>
  <c r="H37" i="172"/>
  <c r="H126" i="172"/>
  <c r="H64" i="172"/>
  <c r="H208" i="172"/>
  <c r="H46" i="172"/>
  <c r="H86" i="172"/>
  <c r="H150" i="172"/>
  <c r="H137" i="172"/>
  <c r="H159" i="42"/>
  <c r="H184" i="42"/>
  <c r="H84" i="42"/>
  <c r="H116" i="42"/>
  <c r="H75" i="42"/>
  <c r="H147" i="42"/>
  <c r="H60" i="42"/>
  <c r="H40" i="42"/>
  <c r="H56" i="120"/>
  <c r="H164" i="120"/>
  <c r="H179" i="120"/>
  <c r="H155" i="120"/>
  <c r="H117" i="120"/>
  <c r="H55" i="120"/>
  <c r="H153" i="120"/>
  <c r="H156" i="120"/>
  <c r="H64" i="120"/>
  <c r="H173" i="120"/>
  <c r="H67" i="120"/>
  <c r="H176" i="120"/>
  <c r="H102" i="120"/>
  <c r="H75" i="120"/>
  <c r="H169" i="120"/>
  <c r="H202" i="120"/>
  <c r="H47" i="120"/>
  <c r="H187" i="120"/>
  <c r="H129" i="120"/>
  <c r="H131" i="120"/>
  <c r="H93" i="120"/>
  <c r="H169" i="142"/>
  <c r="H77" i="142"/>
  <c r="H48" i="142"/>
  <c r="H42" i="142"/>
  <c r="H40" i="142"/>
  <c r="H155" i="142"/>
  <c r="H109" i="142"/>
  <c r="H145" i="142"/>
  <c r="H156" i="142"/>
  <c r="H97" i="142"/>
  <c r="H71" i="142"/>
  <c r="H142" i="142"/>
  <c r="H59" i="142"/>
  <c r="H167" i="142"/>
  <c r="H101" i="142"/>
  <c r="H50" i="142"/>
  <c r="H37" i="142"/>
  <c r="H138" i="142"/>
  <c r="H160" i="142"/>
  <c r="H189" i="142"/>
  <c r="H206" i="31"/>
  <c r="H192" i="31"/>
  <c r="H72" i="31"/>
  <c r="H124" i="31"/>
  <c r="H148" i="31"/>
  <c r="H187" i="31"/>
  <c r="H167" i="31"/>
  <c r="H56" i="31"/>
  <c r="H34" i="31"/>
  <c r="H168" i="31"/>
  <c r="H140" i="31"/>
  <c r="H141" i="31"/>
  <c r="H93" i="31"/>
  <c r="H99" i="31"/>
  <c r="H86" i="31"/>
  <c r="H119" i="31"/>
  <c r="H111" i="31"/>
  <c r="H200" i="31"/>
  <c r="H109" i="31"/>
  <c r="H71" i="31"/>
  <c r="H65" i="157"/>
  <c r="H149" i="157"/>
  <c r="H105" i="157"/>
  <c r="H93" i="172"/>
  <c r="K12" i="172"/>
  <c r="H75" i="172"/>
  <c r="H47" i="172"/>
  <c r="H145" i="172"/>
  <c r="H136" i="172"/>
  <c r="H68" i="172"/>
  <c r="H117" i="172"/>
  <c r="H206" i="172"/>
  <c r="H151" i="172"/>
  <c r="M208" i="172"/>
  <c r="H108" i="172"/>
  <c r="H39" i="172"/>
  <c r="H132" i="172"/>
  <c r="H50" i="172"/>
  <c r="H87" i="172"/>
  <c r="H146" i="172"/>
  <c r="H56" i="172"/>
  <c r="H175" i="172"/>
  <c r="H179" i="172"/>
  <c r="H205" i="42"/>
  <c r="H107" i="42"/>
  <c r="H114" i="42"/>
  <c r="H76" i="42"/>
  <c r="H131" i="42"/>
  <c r="H92" i="42"/>
  <c r="H82" i="42"/>
  <c r="H141" i="42"/>
  <c r="H171" i="120"/>
  <c r="H177" i="120"/>
  <c r="H89" i="120"/>
  <c r="H147" i="120"/>
  <c r="H119" i="120"/>
  <c r="H116" i="120"/>
  <c r="H185" i="120"/>
  <c r="H142" i="120"/>
  <c r="H43" i="120"/>
  <c r="H87" i="120"/>
  <c r="H37" i="120"/>
  <c r="H140" i="120"/>
  <c r="H184" i="120"/>
  <c r="H148" i="120"/>
  <c r="H40" i="120"/>
  <c r="H35" i="120"/>
  <c r="H86" i="120"/>
  <c r="H110" i="120"/>
  <c r="H27" i="120"/>
  <c r="H149" i="120"/>
  <c r="H72" i="142"/>
  <c r="H181" i="142"/>
  <c r="H152" i="142"/>
  <c r="H83" i="142"/>
  <c r="H51" i="142"/>
  <c r="H54" i="142"/>
  <c r="H38" i="142"/>
  <c r="H47" i="142"/>
  <c r="H203" i="142"/>
  <c r="H180" i="142"/>
  <c r="H129" i="142"/>
  <c r="H57" i="142"/>
  <c r="H170" i="142"/>
  <c r="H36" i="142"/>
  <c r="H69" i="142"/>
  <c r="H116" i="142"/>
  <c r="H44" i="142"/>
  <c r="H205" i="142"/>
  <c r="H141" i="142"/>
  <c r="H153" i="142"/>
  <c r="H118" i="142"/>
  <c r="H180" i="31"/>
  <c r="H116" i="31"/>
  <c r="H155" i="31"/>
  <c r="H203" i="31"/>
  <c r="H150" i="31"/>
  <c r="H49" i="31"/>
  <c r="H190" i="31"/>
  <c r="H106" i="31"/>
  <c r="H186" i="31"/>
  <c r="H126" i="31"/>
  <c r="H84" i="31"/>
  <c r="H25" i="31"/>
  <c r="H157" i="31"/>
  <c r="H91" i="31"/>
  <c r="H118" i="31"/>
  <c r="H55" i="31"/>
  <c r="H208" i="31"/>
  <c r="H131" i="31"/>
  <c r="H36" i="31"/>
  <c r="H73" i="31"/>
  <c r="H118" i="157"/>
  <c r="H169" i="157"/>
  <c r="H101" i="157"/>
  <c r="H153" i="157"/>
  <c r="H67" i="172"/>
  <c r="H32" i="172"/>
  <c r="H172" i="172"/>
  <c r="H29" i="172"/>
  <c r="H177" i="172"/>
  <c r="H165" i="172"/>
  <c r="H180" i="172"/>
  <c r="H109" i="172"/>
  <c r="H38" i="172"/>
  <c r="H52" i="172"/>
  <c r="H187" i="172"/>
  <c r="H152" i="172"/>
  <c r="H201" i="172"/>
  <c r="H141" i="172"/>
  <c r="H58" i="172"/>
  <c r="H79" i="172"/>
  <c r="H59" i="172"/>
  <c r="H100" i="172"/>
  <c r="H185" i="172"/>
  <c r="H40" i="172"/>
  <c r="H194" i="172"/>
  <c r="H83" i="42"/>
  <c r="H178" i="42"/>
  <c r="H65" i="42"/>
  <c r="H174" i="42"/>
  <c r="H53" i="42"/>
  <c r="H155" i="42"/>
  <c r="H158" i="42"/>
  <c r="H89" i="42"/>
  <c r="H145" i="120"/>
  <c r="H107" i="120"/>
  <c r="H46" i="120"/>
  <c r="H105" i="120"/>
  <c r="H73" i="120"/>
  <c r="H132" i="120"/>
  <c r="H206" i="120"/>
  <c r="H51" i="120"/>
  <c r="H180" i="120"/>
  <c r="H186" i="120"/>
  <c r="H182" i="120"/>
  <c r="H32" i="120"/>
  <c r="H170" i="120"/>
  <c r="H200" i="120"/>
  <c r="H83" i="120"/>
  <c r="H205" i="120"/>
  <c r="H138" i="120"/>
  <c r="H59" i="120"/>
  <c r="H183" i="120"/>
  <c r="H150" i="120"/>
  <c r="H123" i="120"/>
  <c r="H74" i="142"/>
  <c r="H179" i="142"/>
  <c r="H166" i="142"/>
  <c r="H70" i="142"/>
  <c r="H105" i="142"/>
  <c r="H111" i="142"/>
  <c r="H43" i="142"/>
  <c r="H96" i="142"/>
  <c r="H68" i="142"/>
  <c r="H102" i="142"/>
  <c r="H164" i="142"/>
  <c r="H114" i="142"/>
  <c r="H185" i="142"/>
  <c r="H65" i="142"/>
  <c r="H32" i="142"/>
  <c r="H89" i="142"/>
  <c r="H35" i="142"/>
  <c r="H190" i="142"/>
  <c r="H136" i="142"/>
  <c r="H110" i="142"/>
  <c r="M208" i="142"/>
  <c r="H97" i="172"/>
  <c r="H156" i="172"/>
  <c r="H148" i="172"/>
  <c r="H30" i="172"/>
  <c r="H90" i="172"/>
  <c r="H178" i="172"/>
  <c r="H116" i="172"/>
  <c r="H166" i="172"/>
  <c r="H149" i="172"/>
  <c r="H31" i="172"/>
  <c r="H118" i="172"/>
  <c r="H43" i="172"/>
  <c r="H77" i="172"/>
  <c r="H25" i="172"/>
  <c r="H49" i="172"/>
  <c r="H41" i="172"/>
  <c r="H69" i="172"/>
  <c r="H142" i="172"/>
  <c r="H33" i="172"/>
  <c r="H160" i="172"/>
  <c r="H115" i="172"/>
  <c r="H208" i="42"/>
  <c r="H149" i="42"/>
  <c r="H111" i="42"/>
  <c r="H56" i="42"/>
  <c r="H47" i="42"/>
  <c r="H109" i="42"/>
  <c r="H190" i="42"/>
  <c r="H133" i="42"/>
  <c r="H194" i="120"/>
  <c r="H152" i="120"/>
  <c r="H74" i="120"/>
  <c r="H57" i="120"/>
  <c r="H125" i="120"/>
  <c r="H90" i="120"/>
  <c r="H124" i="120"/>
  <c r="H197" i="120"/>
  <c r="H165" i="120"/>
  <c r="H160" i="120"/>
  <c r="H84" i="120"/>
  <c r="H159" i="120"/>
  <c r="H195" i="120"/>
  <c r="H115" i="120"/>
  <c r="H190" i="120"/>
  <c r="H174" i="120"/>
  <c r="H133" i="120"/>
  <c r="H203" i="120"/>
  <c r="H38" i="120"/>
  <c r="H173" i="142"/>
  <c r="H29" i="142"/>
  <c r="H192" i="142"/>
  <c r="H193" i="142"/>
  <c r="H150" i="142"/>
  <c r="H78" i="142"/>
  <c r="H186" i="142"/>
  <c r="H125" i="142"/>
  <c r="H194" i="142"/>
  <c r="H31" i="142"/>
  <c r="H87" i="142"/>
  <c r="H159" i="142"/>
  <c r="H107" i="142"/>
  <c r="H178" i="142"/>
  <c r="H46" i="142"/>
  <c r="H191" i="142"/>
  <c r="H171" i="142"/>
  <c r="H174" i="142"/>
  <c r="H91" i="142"/>
  <c r="H161" i="142"/>
  <c r="H106" i="142"/>
  <c r="N11" i="102"/>
  <c r="N11" i="145"/>
  <c r="N11" i="106"/>
  <c r="N11" i="21"/>
  <c r="N11" i="111"/>
  <c r="N11" i="149"/>
  <c r="N11" i="172"/>
  <c r="N11" i="10"/>
  <c r="N11" i="174"/>
  <c r="N11" i="157"/>
  <c r="N16" i="152"/>
  <c r="N11" i="58"/>
  <c r="N11" i="143"/>
  <c r="N11" i="28"/>
  <c r="N11" i="84"/>
  <c r="N11" i="55"/>
  <c r="N11" i="71"/>
  <c r="J37" i="97"/>
  <c r="N34" i="89"/>
  <c r="N11" i="60"/>
  <c r="N11" i="120"/>
  <c r="N11" i="79"/>
  <c r="N11" i="37"/>
  <c r="N11" i="72"/>
  <c r="N11" i="156"/>
  <c r="N11" i="103"/>
  <c r="N11" i="24"/>
  <c r="N16" i="19"/>
  <c r="N16" i="135"/>
  <c r="N16" i="136"/>
  <c r="N16" i="175"/>
  <c r="H56" i="84"/>
  <c r="H71" i="84"/>
  <c r="H147" i="84"/>
  <c r="H52" i="84"/>
  <c r="H151" i="84"/>
  <c r="H66" i="84"/>
  <c r="H118" i="84"/>
  <c r="H181" i="84"/>
  <c r="H149" i="84"/>
  <c r="H187" i="84"/>
  <c r="H140" i="84"/>
  <c r="H91" i="84"/>
  <c r="H194" i="84"/>
  <c r="H127" i="84"/>
  <c r="H90" i="84"/>
  <c r="H171" i="84"/>
  <c r="H138" i="84"/>
  <c r="H170" i="84"/>
  <c r="H107" i="84"/>
  <c r="H193" i="84"/>
  <c r="H191" i="84"/>
  <c r="H96" i="84"/>
  <c r="H57" i="84"/>
  <c r="H50" i="84"/>
  <c r="H133" i="84"/>
  <c r="H148" i="84"/>
  <c r="H101" i="84"/>
  <c r="H92" i="84"/>
  <c r="H97" i="84"/>
  <c r="H205" i="84"/>
  <c r="H206" i="84"/>
  <c r="H33" i="84"/>
  <c r="H124" i="84"/>
  <c r="H178" i="84"/>
  <c r="H83" i="84"/>
  <c r="H168" i="84"/>
  <c r="H53" i="84"/>
  <c r="H48" i="84"/>
  <c r="H30" i="84"/>
  <c r="H87" i="84"/>
  <c r="H78" i="84"/>
  <c r="H165" i="84"/>
  <c r="H192" i="84"/>
  <c r="H184" i="84"/>
  <c r="H109" i="84"/>
  <c r="H155" i="84"/>
  <c r="H72" i="84"/>
  <c r="H161" i="84"/>
  <c r="M208" i="84"/>
  <c r="H185" i="84"/>
  <c r="H40" i="84"/>
  <c r="H51" i="84"/>
  <c r="H131" i="84"/>
  <c r="H188" i="84"/>
  <c r="K12" i="84"/>
  <c r="H159" i="84"/>
  <c r="H167" i="84"/>
  <c r="H125" i="84"/>
  <c r="H135" i="84"/>
  <c r="H208" i="84"/>
  <c r="H174" i="84"/>
  <c r="H26" i="84"/>
  <c r="H108" i="84"/>
  <c r="H152" i="84"/>
  <c r="H49" i="84"/>
  <c r="H179" i="84"/>
  <c r="H160" i="84"/>
  <c r="H197" i="84"/>
  <c r="H129" i="84"/>
  <c r="H39" i="84"/>
  <c r="H182" i="84"/>
  <c r="H54" i="84"/>
  <c r="H58" i="84"/>
  <c r="H106" i="84"/>
  <c r="H145" i="84"/>
  <c r="H116" i="84"/>
  <c r="H110" i="84"/>
  <c r="G238" i="71"/>
  <c r="H93" i="1"/>
  <c r="H189" i="1"/>
  <c r="H27" i="1"/>
  <c r="H159" i="1"/>
  <c r="H46" i="1"/>
  <c r="H69" i="1"/>
  <c r="H183" i="1"/>
  <c r="H184" i="1"/>
  <c r="H131" i="1"/>
  <c r="H167" i="1"/>
  <c r="H174" i="1"/>
  <c r="H169" i="1"/>
  <c r="H116" i="19"/>
  <c r="H140" i="19"/>
  <c r="H157" i="19"/>
  <c r="H75" i="19"/>
  <c r="G215" i="24"/>
  <c r="H135" i="24"/>
  <c r="H205" i="24"/>
  <c r="H32" i="24"/>
  <c r="H161" i="24"/>
  <c r="H189" i="84"/>
  <c r="H201" i="141"/>
  <c r="H169" i="141"/>
  <c r="H170" i="141"/>
  <c r="H173" i="141"/>
  <c r="H189" i="141"/>
  <c r="H60" i="141"/>
  <c r="H75" i="141"/>
  <c r="H97" i="141"/>
  <c r="H118" i="141"/>
  <c r="H65" i="141"/>
  <c r="H99" i="141"/>
  <c r="H52" i="141"/>
  <c r="H117" i="141"/>
  <c r="H74" i="141"/>
  <c r="H88" i="141"/>
  <c r="H27" i="141"/>
  <c r="H55" i="141"/>
  <c r="H158" i="141"/>
  <c r="H58" i="141"/>
  <c r="H165" i="141"/>
  <c r="H38" i="141"/>
  <c r="H32" i="141"/>
  <c r="H47" i="141"/>
  <c r="H171" i="141"/>
  <c r="H33" i="141"/>
  <c r="H159" i="141"/>
  <c r="H92" i="141"/>
  <c r="H119" i="141"/>
  <c r="H155" i="141"/>
  <c r="H147" i="141"/>
  <c r="H141" i="141"/>
  <c r="H131" i="141"/>
  <c r="H167" i="141"/>
  <c r="H57" i="141"/>
  <c r="H31" i="141"/>
  <c r="H77" i="141"/>
  <c r="H208" i="141"/>
  <c r="H192" i="141"/>
  <c r="H37" i="141"/>
  <c r="H85" i="141"/>
  <c r="H89" i="141"/>
  <c r="H100" i="141"/>
  <c r="H35" i="141"/>
  <c r="H178" i="141"/>
  <c r="H133" i="141"/>
  <c r="H127" i="141"/>
  <c r="H98" i="141"/>
  <c r="H119" i="84"/>
  <c r="H90" i="19"/>
  <c r="H170" i="19"/>
  <c r="H36" i="19"/>
  <c r="H117" i="19"/>
  <c r="H123" i="19"/>
  <c r="H187" i="19"/>
  <c r="H191" i="19"/>
  <c r="H61" i="19"/>
  <c r="H96" i="19"/>
  <c r="H53" i="19"/>
  <c r="H143" i="19"/>
  <c r="H153" i="19"/>
  <c r="H132" i="19"/>
  <c r="H197" i="19"/>
  <c r="H34" i="19"/>
  <c r="H109" i="19"/>
  <c r="H26" i="19"/>
  <c r="H169" i="19"/>
  <c r="H42" i="19"/>
  <c r="H105" i="19"/>
  <c r="H56" i="19"/>
  <c r="H48" i="19"/>
  <c r="H142" i="19"/>
  <c r="H78" i="19"/>
  <c r="H114" i="19"/>
  <c r="H137" i="19"/>
  <c r="H141" i="19"/>
  <c r="H136" i="19"/>
  <c r="H208" i="19"/>
  <c r="H40" i="19"/>
  <c r="H147" i="19"/>
  <c r="H206" i="19"/>
  <c r="H89" i="19"/>
  <c r="H29" i="19"/>
  <c r="H133" i="19"/>
  <c r="H181" i="19"/>
  <c r="H155" i="19"/>
  <c r="H145" i="19"/>
  <c r="H186" i="19"/>
  <c r="H127" i="19"/>
  <c r="H160" i="19"/>
  <c r="H205" i="19"/>
  <c r="H25" i="19"/>
  <c r="H168" i="19"/>
  <c r="H156" i="19"/>
  <c r="H178" i="19"/>
  <c r="H119" i="19"/>
  <c r="H82" i="19"/>
  <c r="H148" i="19"/>
  <c r="H177" i="19"/>
  <c r="H83" i="19"/>
  <c r="H151" i="19"/>
  <c r="H35" i="19"/>
  <c r="H51" i="19"/>
  <c r="H185" i="19"/>
  <c r="H194" i="19"/>
  <c r="H167" i="19"/>
  <c r="H72" i="19"/>
  <c r="H69" i="19"/>
  <c r="H58" i="19"/>
  <c r="H126" i="19"/>
  <c r="H99" i="19"/>
  <c r="M208" i="19"/>
  <c r="H179" i="19"/>
  <c r="H64" i="19"/>
  <c r="H110" i="19"/>
  <c r="H111" i="19"/>
  <c r="H175" i="19"/>
  <c r="H66" i="19"/>
  <c r="H41" i="19"/>
  <c r="H79" i="19"/>
  <c r="H84" i="19"/>
  <c r="H71" i="19"/>
  <c r="H92" i="19"/>
  <c r="H159" i="19"/>
  <c r="H33" i="19"/>
  <c r="H68" i="19"/>
  <c r="H54" i="19"/>
  <c r="H138" i="19"/>
  <c r="H52" i="19"/>
  <c r="H30" i="19"/>
  <c r="H201" i="19"/>
  <c r="H45" i="19"/>
  <c r="H37" i="19"/>
  <c r="H60" i="19"/>
  <c r="H158" i="19"/>
  <c r="H174" i="19"/>
  <c r="H59" i="19"/>
  <c r="H76" i="19"/>
  <c r="H70" i="19"/>
  <c r="H28" i="19"/>
  <c r="H65" i="19"/>
  <c r="H166" i="19"/>
  <c r="H38" i="19"/>
  <c r="H115" i="19"/>
  <c r="H149" i="19"/>
  <c r="H108" i="19"/>
  <c r="H172" i="19"/>
  <c r="H203" i="19"/>
  <c r="H131" i="19"/>
  <c r="H87" i="19"/>
  <c r="H189" i="19"/>
  <c r="H188" i="19"/>
  <c r="H173" i="19"/>
  <c r="H124" i="19"/>
  <c r="H102" i="19"/>
  <c r="H202" i="19"/>
  <c r="H98" i="19"/>
  <c r="H200" i="19"/>
  <c r="H195" i="19"/>
  <c r="H97" i="19"/>
  <c r="H165" i="19"/>
  <c r="H43" i="19"/>
  <c r="H180" i="19"/>
  <c r="K12" i="19"/>
  <c r="H184" i="19"/>
  <c r="H44" i="19"/>
  <c r="H190" i="19"/>
  <c r="H129" i="19"/>
  <c r="H55" i="19"/>
  <c r="H50" i="19"/>
  <c r="H74" i="19"/>
  <c r="H135" i="19"/>
  <c r="H197" i="24"/>
  <c r="H98" i="24"/>
  <c r="H143" i="24"/>
  <c r="H175" i="24"/>
  <c r="H87" i="24"/>
  <c r="H57" i="24"/>
  <c r="H170" i="24"/>
  <c r="H203" i="24"/>
  <c r="H155" i="24"/>
  <c r="H26" i="24"/>
  <c r="H35" i="24"/>
  <c r="H131" i="24"/>
  <c r="H186" i="24"/>
  <c r="H123" i="24"/>
  <c r="H145" i="24"/>
  <c r="H61" i="24"/>
  <c r="H30" i="24"/>
  <c r="H117" i="24"/>
  <c r="H132" i="24"/>
  <c r="H65" i="24"/>
  <c r="H89" i="24"/>
  <c r="H194" i="24"/>
  <c r="H41" i="24"/>
  <c r="H115" i="24"/>
  <c r="H110" i="24"/>
  <c r="H68" i="24"/>
  <c r="H74" i="24"/>
  <c r="H107" i="24"/>
  <c r="H196" i="24"/>
  <c r="H88" i="24"/>
  <c r="H83" i="24"/>
  <c r="H47" i="24"/>
  <c r="H159" i="24"/>
  <c r="H150" i="24"/>
  <c r="H180" i="24"/>
  <c r="H178" i="24"/>
  <c r="H126" i="24"/>
  <c r="H133" i="24"/>
  <c r="H49" i="24"/>
  <c r="H165" i="24"/>
  <c r="H137" i="24"/>
  <c r="H96" i="24"/>
  <c r="H84" i="24"/>
  <c r="H64" i="24"/>
  <c r="H59" i="24"/>
  <c r="H149" i="24"/>
  <c r="H195" i="24"/>
  <c r="H188" i="24"/>
  <c r="H118" i="24"/>
  <c r="H85" i="24"/>
  <c r="H58" i="24"/>
  <c r="H171" i="24"/>
  <c r="H156" i="24"/>
  <c r="H191" i="24"/>
  <c r="H153" i="24"/>
  <c r="H174" i="24"/>
  <c r="H138" i="24"/>
  <c r="H189" i="24"/>
  <c r="H169" i="24"/>
  <c r="H146" i="24"/>
  <c r="H206" i="24"/>
  <c r="H192" i="24"/>
  <c r="H116" i="24"/>
  <c r="H29" i="24"/>
  <c r="H158" i="24"/>
  <c r="H37" i="24"/>
  <c r="H140" i="24"/>
  <c r="H97" i="24"/>
  <c r="H181" i="24"/>
  <c r="H101" i="24"/>
  <c r="H44" i="24"/>
  <c r="H204" i="24"/>
  <c r="K12" i="24"/>
  <c r="H111" i="24"/>
  <c r="H60" i="24"/>
  <c r="H100" i="24"/>
  <c r="H176" i="24"/>
  <c r="H173" i="24"/>
  <c r="H105" i="24"/>
  <c r="H71" i="24"/>
  <c r="H43" i="24"/>
  <c r="H106" i="24"/>
  <c r="H90" i="24"/>
  <c r="H190" i="24"/>
  <c r="H70" i="24"/>
  <c r="H28" i="24"/>
  <c r="H141" i="24"/>
  <c r="H67" i="24"/>
  <c r="H152" i="24"/>
  <c r="H51" i="24"/>
  <c r="H167" i="24"/>
  <c r="H200" i="24"/>
  <c r="H187" i="24"/>
  <c r="H202" i="24"/>
  <c r="H160" i="24"/>
  <c r="H166" i="24"/>
  <c r="H114" i="24"/>
  <c r="H168" i="24"/>
  <c r="H86" i="24"/>
  <c r="H151" i="24"/>
  <c r="H185" i="24"/>
  <c r="H91" i="24"/>
  <c r="H108" i="24"/>
  <c r="H172" i="24"/>
  <c r="H45" i="24"/>
  <c r="H73" i="24"/>
  <c r="H136" i="24"/>
  <c r="H82" i="24"/>
  <c r="H25" i="24"/>
  <c r="H164" i="24"/>
  <c r="H142" i="24"/>
  <c r="H40" i="24"/>
  <c r="H34" i="24"/>
  <c r="H148" i="24"/>
  <c r="H42" i="24"/>
  <c r="H27" i="24"/>
  <c r="H208" i="24"/>
  <c r="H125" i="24"/>
  <c r="H157" i="24"/>
  <c r="H39" i="24"/>
  <c r="H177" i="24"/>
  <c r="H186" i="149"/>
  <c r="H37" i="149"/>
  <c r="H93" i="149"/>
  <c r="H182" i="149"/>
  <c r="H166" i="149"/>
  <c r="H171" i="149"/>
  <c r="H50" i="149"/>
  <c r="H79" i="104"/>
  <c r="H187" i="104"/>
  <c r="H152" i="104"/>
  <c r="H200" i="104"/>
  <c r="H66" i="1"/>
  <c r="H125" i="1"/>
  <c r="H100" i="1"/>
  <c r="H102" i="1"/>
  <c r="H205" i="1"/>
  <c r="H101" i="1"/>
  <c r="H178" i="1"/>
  <c r="H82" i="1"/>
  <c r="H60" i="1"/>
  <c r="H140" i="1"/>
  <c r="H188" i="1"/>
  <c r="H57" i="1"/>
  <c r="H196" i="19"/>
  <c r="H192" i="19"/>
  <c r="H182" i="19"/>
  <c r="H176" i="19"/>
  <c r="H193" i="19"/>
  <c r="H129" i="141"/>
  <c r="H71" i="141"/>
  <c r="H53" i="24"/>
  <c r="H72" i="24"/>
  <c r="H50" i="24"/>
  <c r="H102" i="24"/>
  <c r="H33" i="24"/>
  <c r="H182" i="155"/>
  <c r="H151" i="155"/>
  <c r="H79" i="49"/>
  <c r="H105" i="84"/>
  <c r="H29" i="84"/>
  <c r="H136" i="84"/>
  <c r="H82" i="84"/>
  <c r="H203" i="149"/>
  <c r="H133" i="149"/>
  <c r="H117" i="149"/>
  <c r="H64" i="149"/>
  <c r="H32" i="149"/>
  <c r="H55" i="149"/>
  <c r="H206" i="149"/>
  <c r="H129" i="104"/>
  <c r="H73" i="104"/>
  <c r="H172" i="104"/>
  <c r="H99" i="104"/>
  <c r="H44" i="104"/>
  <c r="H51" i="1"/>
  <c r="H52" i="1"/>
  <c r="H31" i="1"/>
  <c r="H87" i="1"/>
  <c r="H171" i="1"/>
  <c r="H155" i="1"/>
  <c r="H97" i="1"/>
  <c r="H116" i="1"/>
  <c r="H200" i="1"/>
  <c r="H192" i="1"/>
  <c r="H150" i="1"/>
  <c r="H45" i="1"/>
  <c r="H47" i="19"/>
  <c r="H88" i="19"/>
  <c r="H91" i="19"/>
  <c r="H57" i="19"/>
  <c r="H93" i="19"/>
  <c r="H64" i="141"/>
  <c r="H83" i="141"/>
  <c r="H201" i="24"/>
  <c r="H46" i="24"/>
  <c r="H184" i="24"/>
  <c r="H147" i="24"/>
  <c r="H193" i="24"/>
  <c r="H164" i="155"/>
  <c r="H147" i="49"/>
  <c r="H130" i="49"/>
  <c r="H84" i="84"/>
  <c r="H177" i="84"/>
  <c r="H31" i="84"/>
  <c r="H102" i="84"/>
  <c r="H30" i="149"/>
  <c r="H85" i="149"/>
  <c r="H170" i="149"/>
  <c r="H71" i="149"/>
  <c r="H110" i="149"/>
  <c r="H193" i="149"/>
  <c r="H181" i="149"/>
  <c r="H147" i="104"/>
  <c r="H83" i="104"/>
  <c r="H68" i="104"/>
  <c r="H45" i="104"/>
  <c r="H140" i="104"/>
  <c r="H35" i="1"/>
  <c r="H160" i="1"/>
  <c r="H181" i="1"/>
  <c r="H158" i="1"/>
  <c r="H43" i="1"/>
  <c r="H114" i="1"/>
  <c r="H98" i="1"/>
  <c r="H143" i="1"/>
  <c r="H172" i="1"/>
  <c r="H38" i="1"/>
  <c r="H73" i="1"/>
  <c r="H27" i="19"/>
  <c r="H204" i="19"/>
  <c r="H39" i="19"/>
  <c r="H85" i="19"/>
  <c r="H152" i="19"/>
  <c r="H114" i="141"/>
  <c r="H150" i="141"/>
  <c r="M208" i="24"/>
  <c r="H79" i="24"/>
  <c r="H69" i="24"/>
  <c r="H182" i="24"/>
  <c r="H109" i="24"/>
  <c r="H26" i="49"/>
  <c r="H166" i="84"/>
  <c r="H86" i="84"/>
  <c r="H28" i="84"/>
  <c r="H158" i="84"/>
  <c r="H26" i="1"/>
  <c r="H164" i="1"/>
  <c r="H201" i="1"/>
  <c r="H135" i="1"/>
  <c r="H180" i="1"/>
  <c r="H191" i="1"/>
  <c r="G215" i="1"/>
  <c r="H195" i="1"/>
  <c r="H99" i="1"/>
  <c r="H25" i="1"/>
  <c r="H64" i="1"/>
  <c r="H179" i="1"/>
  <c r="H110" i="1"/>
  <c r="H204" i="1"/>
  <c r="H197" i="1"/>
  <c r="H109" i="1"/>
  <c r="H156" i="1"/>
  <c r="H123" i="1"/>
  <c r="H79" i="1"/>
  <c r="H49" i="1"/>
  <c r="H41" i="1"/>
  <c r="H91" i="1"/>
  <c r="H105" i="1"/>
  <c r="H67" i="1"/>
  <c r="H165" i="1"/>
  <c r="H119" i="1"/>
  <c r="H194" i="1"/>
  <c r="H190" i="1"/>
  <c r="H111" i="1"/>
  <c r="H182" i="1"/>
  <c r="H30" i="1"/>
  <c r="H129" i="1"/>
  <c r="H168" i="1"/>
  <c r="H185" i="1"/>
  <c r="H157" i="1"/>
  <c r="H88" i="1"/>
  <c r="H186" i="1"/>
  <c r="H126" i="1"/>
  <c r="H86" i="1"/>
  <c r="H48" i="1"/>
  <c r="H61" i="1"/>
  <c r="H96" i="1"/>
  <c r="H83" i="1"/>
  <c r="H142" i="1"/>
  <c r="H29" i="1"/>
  <c r="H175" i="1"/>
  <c r="H44" i="1"/>
  <c r="H37" i="1"/>
  <c r="H106" i="1"/>
  <c r="H33" i="1"/>
  <c r="H132" i="1"/>
  <c r="H108" i="1"/>
  <c r="H206" i="1"/>
  <c r="H187" i="1"/>
  <c r="H85" i="1"/>
  <c r="H177" i="1"/>
  <c r="H68" i="1"/>
  <c r="H32" i="1"/>
  <c r="H56" i="1"/>
  <c r="H130" i="1"/>
  <c r="H133" i="1"/>
  <c r="H89" i="1"/>
  <c r="H77" i="1"/>
  <c r="H47" i="1"/>
  <c r="H65" i="1"/>
  <c r="H53" i="1"/>
  <c r="H42" i="1"/>
  <c r="H127" i="1"/>
  <c r="H117" i="1"/>
  <c r="H76" i="1"/>
  <c r="H149" i="1"/>
  <c r="H54" i="1"/>
  <c r="H70" i="1"/>
  <c r="H115" i="1"/>
  <c r="H138" i="1"/>
  <c r="H151" i="1"/>
  <c r="H147" i="1"/>
  <c r="H74" i="1"/>
  <c r="H75" i="1"/>
  <c r="H100" i="19"/>
  <c r="H86" i="19"/>
  <c r="H67" i="19"/>
  <c r="H118" i="19"/>
  <c r="G215" i="19"/>
  <c r="H77" i="19"/>
  <c r="H160" i="141"/>
  <c r="H148" i="141"/>
  <c r="H129" i="24"/>
  <c r="H36" i="24"/>
  <c r="H78" i="24"/>
  <c r="H54" i="24"/>
  <c r="H75" i="24"/>
  <c r="H38" i="84"/>
  <c r="H170" i="155"/>
  <c r="H125" i="155"/>
  <c r="H32" i="155"/>
  <c r="H53" i="155"/>
  <c r="H145" i="155"/>
  <c r="H152" i="155"/>
  <c r="H123" i="155"/>
  <c r="H107" i="155"/>
  <c r="H131" i="155"/>
  <c r="H206" i="155"/>
  <c r="H39" i="155"/>
  <c r="H126" i="155"/>
  <c r="H56" i="155"/>
  <c r="H88" i="155"/>
  <c r="H116" i="155"/>
  <c r="H38" i="155"/>
  <c r="H31" i="155"/>
  <c r="H71" i="155"/>
  <c r="H97" i="155"/>
  <c r="H185" i="155"/>
  <c r="H50" i="155"/>
  <c r="H86" i="155"/>
  <c r="H96" i="155"/>
  <c r="H150" i="155"/>
  <c r="H87" i="155"/>
  <c r="H177" i="155"/>
  <c r="H42" i="155"/>
  <c r="H105" i="155"/>
  <c r="H45" i="155"/>
  <c r="H64" i="155"/>
  <c r="H201" i="155"/>
  <c r="H173" i="155"/>
  <c r="H203" i="155"/>
  <c r="H181" i="49"/>
  <c r="H101" i="49"/>
  <c r="H106" i="49"/>
  <c r="H93" i="49"/>
  <c r="H164" i="49"/>
  <c r="H71" i="49"/>
  <c r="H92" i="49"/>
  <c r="H109" i="49"/>
  <c r="H72" i="49"/>
  <c r="H75" i="49"/>
  <c r="H137" i="49"/>
  <c r="H36" i="49"/>
  <c r="H108" i="49"/>
  <c r="H179" i="49"/>
  <c r="H158" i="49"/>
  <c r="H41" i="49"/>
  <c r="H60" i="49"/>
  <c r="H25" i="49"/>
  <c r="H37" i="49"/>
  <c r="H188" i="49"/>
  <c r="H44" i="49"/>
  <c r="H204" i="49"/>
  <c r="H143" i="49"/>
  <c r="H133" i="49"/>
  <c r="H111" i="49"/>
  <c r="H136" i="49"/>
  <c r="H156" i="49"/>
  <c r="H203" i="49"/>
  <c r="H67" i="49"/>
  <c r="H135" i="49"/>
  <c r="H64" i="49"/>
  <c r="H195" i="49"/>
  <c r="H43" i="84"/>
  <c r="H37" i="84"/>
  <c r="H141" i="84"/>
  <c r="G238" i="27"/>
  <c r="H88" i="84"/>
  <c r="H126" i="84"/>
  <c r="H180" i="84"/>
  <c r="H158" i="149"/>
  <c r="H44" i="149"/>
  <c r="H153" i="149"/>
  <c r="H36" i="149"/>
  <c r="H28" i="149"/>
  <c r="H157" i="149"/>
  <c r="H156" i="149"/>
  <c r="H141" i="149"/>
  <c r="H157" i="104"/>
  <c r="H205" i="104"/>
  <c r="H72" i="104"/>
  <c r="H50" i="104"/>
  <c r="H196" i="1"/>
  <c r="H137" i="1"/>
  <c r="H170" i="1"/>
  <c r="H208" i="1"/>
  <c r="H84" i="1"/>
  <c r="H152" i="1"/>
  <c r="H36" i="1"/>
  <c r="H59" i="1"/>
  <c r="H202" i="1"/>
  <c r="H161" i="1"/>
  <c r="H55" i="1"/>
  <c r="H148" i="1"/>
  <c r="H101" i="19"/>
  <c r="H150" i="19"/>
  <c r="H46" i="19"/>
  <c r="H146" i="19"/>
  <c r="H106" i="19"/>
  <c r="H25" i="141"/>
  <c r="H130" i="24"/>
  <c r="H66" i="24"/>
  <c r="H99" i="24"/>
  <c r="H55" i="24"/>
  <c r="H76" i="24"/>
  <c r="H92" i="24"/>
  <c r="H194" i="155"/>
  <c r="H159" i="49"/>
  <c r="H41" i="84"/>
  <c r="H200" i="84"/>
  <c r="G238" i="84"/>
  <c r="N16" i="16"/>
  <c r="N16" i="92"/>
  <c r="N16" i="42"/>
  <c r="N18" i="135"/>
  <c r="N16" i="120"/>
  <c r="N16" i="53"/>
  <c r="N16" i="49"/>
  <c r="N18" i="20"/>
  <c r="N18" i="165"/>
  <c r="N18" i="150"/>
  <c r="N18" i="90"/>
  <c r="N18" i="98"/>
  <c r="N16" i="94"/>
  <c r="N16" i="45"/>
  <c r="N16" i="68"/>
  <c r="N16" i="10"/>
  <c r="N16" i="63"/>
  <c r="N16" i="60"/>
  <c r="N16" i="165"/>
  <c r="N16" i="143"/>
  <c r="N16" i="21"/>
  <c r="N16" i="62"/>
  <c r="N11" i="62"/>
  <c r="N11" i="33"/>
  <c r="N11" i="15"/>
  <c r="N11" i="45"/>
  <c r="N11" i="27"/>
  <c r="N11" i="136"/>
  <c r="N11" i="94"/>
  <c r="N11" i="118"/>
  <c r="N11" i="49"/>
  <c r="N11" i="57"/>
  <c r="N11" i="167"/>
  <c r="N16" i="33"/>
  <c r="N16" i="27"/>
  <c r="N16" i="90"/>
  <c r="N16" i="159"/>
  <c r="N16" i="55"/>
  <c r="N16" i="39"/>
  <c r="N16" i="20"/>
  <c r="N16" i="66"/>
  <c r="N16" i="85"/>
  <c r="N16" i="98"/>
  <c r="N11" i="92"/>
  <c r="N11" i="64"/>
  <c r="N11" i="178"/>
  <c r="N11" i="86"/>
  <c r="N11" i="119"/>
  <c r="N11" i="68"/>
  <c r="N11" i="150"/>
  <c r="N11" i="85"/>
  <c r="N11" i="113"/>
  <c r="N11" i="50"/>
  <c r="N16" i="172"/>
  <c r="N16" i="111"/>
  <c r="N16" i="167"/>
  <c r="N16" i="54"/>
  <c r="N16" i="47"/>
  <c r="N16" i="142"/>
  <c r="N16" i="25"/>
  <c r="N16" i="32"/>
  <c r="N16" i="43"/>
  <c r="N16" i="84"/>
  <c r="N16" i="150"/>
  <c r="N16" i="164"/>
  <c r="N16" i="102"/>
  <c r="N16" i="89"/>
  <c r="N11" i="31"/>
  <c r="N11" i="69"/>
  <c r="N11" i="65"/>
  <c r="N11" i="159"/>
  <c r="N11" i="66"/>
  <c r="N11" i="135"/>
  <c r="N11" i="1"/>
  <c r="N11" i="158"/>
  <c r="N11" i="43"/>
  <c r="N11" i="152"/>
  <c r="N16" i="57"/>
  <c r="N16" i="31"/>
  <c r="N16" i="83"/>
  <c r="N16" i="28"/>
  <c r="N16" i="24"/>
  <c r="N16" i="86"/>
  <c r="N16" i="177"/>
  <c r="N16" i="119"/>
  <c r="N16" i="133"/>
  <c r="N16" i="50"/>
  <c r="N16" i="65"/>
  <c r="N16" i="58"/>
  <c r="N16" i="15"/>
  <c r="N16" i="118"/>
  <c r="N16" i="14"/>
  <c r="N11" i="155"/>
  <c r="N11" i="87"/>
  <c r="N11" i="141"/>
  <c r="N11" i="176"/>
  <c r="N11" i="39"/>
  <c r="N11" i="53"/>
  <c r="N11" i="20"/>
  <c r="N11" i="165"/>
  <c r="N11" i="25"/>
  <c r="N11" i="46"/>
  <c r="N16" i="103"/>
  <c r="N16" i="71"/>
  <c r="N16" i="72"/>
  <c r="N16" i="149"/>
  <c r="N16" i="113"/>
  <c r="N16" i="157"/>
  <c r="N16" i="87"/>
  <c r="N16" i="69"/>
  <c r="N16" i="176"/>
  <c r="N16" i="104"/>
  <c r="N16" i="37"/>
  <c r="N11" i="63"/>
  <c r="N11" i="95"/>
  <c r="N11" i="90"/>
  <c r="N11" i="16"/>
  <c r="N11" i="38"/>
  <c r="N11" i="32"/>
  <c r="N11" i="54"/>
  <c r="N11" i="104"/>
  <c r="N11" i="42"/>
  <c r="N11" i="14"/>
  <c r="N16" i="155"/>
  <c r="N16" i="46"/>
  <c r="N16" i="79"/>
  <c r="N16" i="174"/>
  <c r="N16" i="1"/>
  <c r="N16" i="145"/>
  <c r="N16" i="106"/>
  <c r="N16" i="178"/>
  <c r="N16" i="141"/>
  <c r="N16" i="158"/>
  <c r="N16" i="38"/>
  <c r="N16" i="64"/>
  <c r="N16" i="95"/>
  <c r="N12" i="89"/>
  <c r="N18" i="21"/>
  <c r="N18" i="62"/>
  <c r="N18" i="14"/>
  <c r="N18" i="136"/>
  <c r="N18" i="175"/>
  <c r="N18" i="142"/>
  <c r="N18" i="31"/>
  <c r="N12" i="178"/>
  <c r="H61" i="72"/>
  <c r="H182" i="72"/>
  <c r="H35" i="72"/>
  <c r="H204" i="72"/>
  <c r="H44" i="72"/>
  <c r="H170" i="72"/>
  <c r="M208" i="72"/>
  <c r="H178" i="72"/>
  <c r="H179" i="72"/>
  <c r="H114" i="72"/>
  <c r="H115" i="72"/>
  <c r="H155" i="72"/>
  <c r="H141" i="72"/>
  <c r="H72" i="72"/>
  <c r="H136" i="72"/>
  <c r="H50" i="72"/>
  <c r="H127" i="72"/>
  <c r="H149" i="72"/>
  <c r="H27" i="72"/>
  <c r="H125" i="72"/>
  <c r="N12" i="21"/>
  <c r="H32" i="72"/>
  <c r="H71" i="72"/>
  <c r="H152" i="72"/>
  <c r="H177" i="72"/>
  <c r="H84" i="72"/>
  <c r="H79" i="72"/>
  <c r="H39" i="72"/>
  <c r="H45" i="72"/>
  <c r="H146" i="72"/>
  <c r="H132" i="72"/>
  <c r="H40" i="72"/>
  <c r="H130" i="72"/>
  <c r="H124" i="72"/>
  <c r="H168" i="72"/>
  <c r="H195" i="72"/>
  <c r="H90" i="72"/>
  <c r="H174" i="72"/>
  <c r="H145" i="72"/>
  <c r="H49" i="72"/>
  <c r="H190" i="72"/>
  <c r="H98" i="72"/>
  <c r="N12" i="95"/>
  <c r="N12" i="62"/>
  <c r="H140" i="72"/>
  <c r="H148" i="72"/>
  <c r="H67" i="72"/>
  <c r="H160" i="72"/>
  <c r="H194" i="72"/>
  <c r="H69" i="72"/>
  <c r="H37" i="72"/>
  <c r="H166" i="72"/>
  <c r="H52" i="72"/>
  <c r="H202" i="72"/>
  <c r="H85" i="72"/>
  <c r="H147" i="72"/>
  <c r="H110" i="72"/>
  <c r="H26" i="72"/>
  <c r="H77" i="72"/>
  <c r="H93" i="72"/>
  <c r="H196" i="72"/>
  <c r="H161" i="72"/>
  <c r="H78" i="72"/>
  <c r="H206" i="72"/>
  <c r="H176" i="72"/>
  <c r="N12" i="20"/>
  <c r="H68" i="72"/>
  <c r="H70" i="72"/>
  <c r="H97" i="72"/>
  <c r="H34" i="72"/>
  <c r="H172" i="72"/>
  <c r="H64" i="72"/>
  <c r="H157" i="72"/>
  <c r="H187" i="72"/>
  <c r="H48" i="72"/>
  <c r="H133" i="72"/>
  <c r="H200" i="72"/>
  <c r="H88" i="72"/>
  <c r="H173" i="72"/>
  <c r="H107" i="72"/>
  <c r="H158" i="72"/>
  <c r="H86" i="72"/>
  <c r="H53" i="72"/>
  <c r="H193" i="72"/>
  <c r="H118" i="72"/>
  <c r="H46" i="72"/>
  <c r="H165" i="72"/>
  <c r="N12" i="157"/>
  <c r="H33" i="72"/>
  <c r="H123" i="72"/>
  <c r="H184" i="72"/>
  <c r="H89" i="72"/>
  <c r="H82" i="72"/>
  <c r="H189" i="72"/>
  <c r="H156" i="72"/>
  <c r="H29" i="72"/>
  <c r="H91" i="72"/>
  <c r="H117" i="72"/>
  <c r="H96" i="72"/>
  <c r="H185" i="72"/>
  <c r="H108" i="72"/>
  <c r="H43" i="72"/>
  <c r="H159" i="72"/>
  <c r="H175" i="72"/>
  <c r="H111" i="72"/>
  <c r="H47" i="72"/>
  <c r="H143" i="72"/>
  <c r="H87" i="72"/>
  <c r="N12" i="94"/>
  <c r="H109" i="65"/>
  <c r="H170" i="65"/>
  <c r="H179" i="15"/>
  <c r="E218" i="97"/>
  <c r="H137" i="65"/>
  <c r="H193" i="65"/>
  <c r="H69" i="65"/>
  <c r="H196" i="65"/>
  <c r="H96" i="65"/>
  <c r="H67" i="15"/>
  <c r="H47" i="15"/>
  <c r="H152" i="15"/>
  <c r="H164" i="15"/>
  <c r="G215" i="15"/>
  <c r="H27" i="15"/>
  <c r="H151" i="15"/>
  <c r="H146" i="15"/>
  <c r="H170" i="15"/>
  <c r="H61" i="15"/>
  <c r="H107" i="15"/>
  <c r="H206" i="15"/>
  <c r="H148" i="15"/>
  <c r="H197" i="15"/>
  <c r="H32" i="15"/>
  <c r="H137" i="15"/>
  <c r="H171" i="15"/>
  <c r="H108" i="15"/>
  <c r="H133" i="15"/>
  <c r="H143" i="15"/>
  <c r="H99" i="15"/>
  <c r="H28" i="15"/>
  <c r="H166" i="15"/>
  <c r="H31" i="15"/>
  <c r="H149" i="15"/>
  <c r="H78" i="15"/>
  <c r="K12" i="15"/>
  <c r="H131" i="15"/>
  <c r="H142" i="15"/>
  <c r="H40" i="15"/>
  <c r="H87" i="15"/>
  <c r="H49" i="15"/>
  <c r="H156" i="15"/>
  <c r="H54" i="15"/>
  <c r="H136" i="15"/>
  <c r="H117" i="15"/>
  <c r="H186" i="15"/>
  <c r="H191" i="15"/>
  <c r="H82" i="15"/>
  <c r="H105" i="15"/>
  <c r="H177" i="15"/>
  <c r="H204" i="15"/>
  <c r="H98" i="15"/>
  <c r="H51" i="15"/>
  <c r="H173" i="15"/>
  <c r="H195" i="15"/>
  <c r="H138" i="15"/>
  <c r="H76" i="15"/>
  <c r="H26" i="15"/>
  <c r="H72" i="15"/>
  <c r="H85" i="15"/>
  <c r="H168" i="15"/>
  <c r="H116" i="15"/>
  <c r="H150" i="15"/>
  <c r="H118" i="15"/>
  <c r="H123" i="15"/>
  <c r="H114" i="15"/>
  <c r="H129" i="15"/>
  <c r="H192" i="15"/>
  <c r="H115" i="15"/>
  <c r="H102" i="15"/>
  <c r="H135" i="15"/>
  <c r="H174" i="15"/>
  <c r="H41" i="15"/>
  <c r="H110" i="15"/>
  <c r="H158" i="15"/>
  <c r="H60" i="15"/>
  <c r="H92" i="15"/>
  <c r="H29" i="15"/>
  <c r="M208" i="15"/>
  <c r="H109" i="15"/>
  <c r="H101" i="15"/>
  <c r="H33" i="15"/>
  <c r="H90" i="15"/>
  <c r="H182" i="15"/>
  <c r="H46" i="15"/>
  <c r="H161" i="15"/>
  <c r="H160" i="15"/>
  <c r="H189" i="15"/>
  <c r="H126" i="15"/>
  <c r="H68" i="15"/>
  <c r="H57" i="15"/>
  <c r="H35" i="15"/>
  <c r="H124" i="15"/>
  <c r="H89" i="15"/>
  <c r="H70" i="15"/>
  <c r="H106" i="15"/>
  <c r="H53" i="15"/>
  <c r="H147" i="15"/>
  <c r="H178" i="15"/>
  <c r="H42" i="15"/>
  <c r="H52" i="15"/>
  <c r="H180" i="15"/>
  <c r="H196" i="15"/>
  <c r="H185" i="15"/>
  <c r="H36" i="15"/>
  <c r="H159" i="15"/>
  <c r="H69" i="15"/>
  <c r="H176" i="15"/>
  <c r="H169" i="15"/>
  <c r="H100" i="15"/>
  <c r="H187" i="15"/>
  <c r="H71" i="15"/>
  <c r="H140" i="15"/>
  <c r="H86" i="15"/>
  <c r="H157" i="15"/>
  <c r="H45" i="15"/>
  <c r="H65" i="15"/>
  <c r="H66" i="15"/>
  <c r="H88" i="15"/>
  <c r="H205" i="15"/>
  <c r="H97" i="15"/>
  <c r="H73" i="15"/>
  <c r="H181" i="15"/>
  <c r="H25" i="15"/>
  <c r="H130" i="15"/>
  <c r="H91" i="15"/>
  <c r="H50" i="15"/>
  <c r="H119" i="15"/>
  <c r="H74" i="15"/>
  <c r="H193" i="15"/>
  <c r="H127" i="15"/>
  <c r="H48" i="15"/>
  <c r="H184" i="15"/>
  <c r="H155" i="15"/>
  <c r="H183" i="15"/>
  <c r="H84" i="15"/>
  <c r="H201" i="15"/>
  <c r="H79" i="15"/>
  <c r="H83" i="15"/>
  <c r="H44" i="15"/>
  <c r="H25" i="65"/>
  <c r="H58" i="15"/>
  <c r="H68" i="65"/>
  <c r="H124" i="65"/>
  <c r="H27" i="65"/>
  <c r="H182" i="65"/>
  <c r="H99" i="65"/>
  <c r="H77" i="15"/>
  <c r="H59" i="15"/>
  <c r="H203" i="15"/>
  <c r="H38" i="15"/>
  <c r="H55" i="15"/>
  <c r="H185" i="65"/>
  <c r="H143" i="65"/>
  <c r="H38" i="65"/>
  <c r="H114" i="65"/>
  <c r="H202" i="15"/>
  <c r="H30" i="15"/>
  <c r="H141" i="15"/>
  <c r="H125" i="15"/>
  <c r="H188" i="15"/>
  <c r="H133" i="65"/>
  <c r="H72" i="65"/>
  <c r="H83" i="65"/>
  <c r="H148" i="65"/>
  <c r="H164" i="65"/>
  <c r="H90" i="65"/>
  <c r="H132" i="65"/>
  <c r="H205" i="65"/>
  <c r="H140" i="65"/>
  <c r="H97" i="65"/>
  <c r="H208" i="65"/>
  <c r="H91" i="65"/>
  <c r="H26" i="65"/>
  <c r="H51" i="65"/>
  <c r="H201" i="65"/>
  <c r="H166" i="65"/>
  <c r="H178" i="65"/>
  <c r="H29" i="65"/>
  <c r="H100" i="65"/>
  <c r="H189" i="65"/>
  <c r="H66" i="65"/>
  <c r="H157" i="65"/>
  <c r="H197" i="65"/>
  <c r="H61" i="65"/>
  <c r="K12" i="65"/>
  <c r="H119" i="65"/>
  <c r="H179" i="65"/>
  <c r="H60" i="65"/>
  <c r="H56" i="65"/>
  <c r="H206" i="65"/>
  <c r="H136" i="65"/>
  <c r="H186" i="65"/>
  <c r="H65" i="65"/>
  <c r="H92" i="65"/>
  <c r="H45" i="65"/>
  <c r="H203" i="65"/>
  <c r="H200" i="65"/>
  <c r="H172" i="65"/>
  <c r="H59" i="65"/>
  <c r="H110" i="65"/>
  <c r="H108" i="65"/>
  <c r="H84" i="65"/>
  <c r="H130" i="65"/>
  <c r="H39" i="65"/>
  <c r="H125" i="65"/>
  <c r="H181" i="65"/>
  <c r="H98" i="65"/>
  <c r="H70" i="65"/>
  <c r="H129" i="65"/>
  <c r="H82" i="65"/>
  <c r="H79" i="65"/>
  <c r="H74" i="65"/>
  <c r="H42" i="65"/>
  <c r="H174" i="65"/>
  <c r="H101" i="65"/>
  <c r="H191" i="65"/>
  <c r="H190" i="65"/>
  <c r="H156" i="65"/>
  <c r="H53" i="65"/>
  <c r="H40" i="65"/>
  <c r="H171" i="65"/>
  <c r="H52" i="65"/>
  <c r="H183" i="65"/>
  <c r="H54" i="65"/>
  <c r="H160" i="65"/>
  <c r="H85" i="65"/>
  <c r="H31" i="65"/>
  <c r="H151" i="65"/>
  <c r="H167" i="65"/>
  <c r="H180" i="65"/>
  <c r="H202" i="65"/>
  <c r="H102" i="65"/>
  <c r="H48" i="65"/>
  <c r="H149" i="65"/>
  <c r="H127" i="65"/>
  <c r="H158" i="65"/>
  <c r="H44" i="65"/>
  <c r="H41" i="65"/>
  <c r="H76" i="65"/>
  <c r="H75" i="65"/>
  <c r="H194" i="65"/>
  <c r="M208" i="65"/>
  <c r="H153" i="65"/>
  <c r="H126" i="65"/>
  <c r="H49" i="65"/>
  <c r="H107" i="65"/>
  <c r="H173" i="65"/>
  <c r="H187" i="65"/>
  <c r="H118" i="65"/>
  <c r="H71" i="65"/>
  <c r="H147" i="65"/>
  <c r="H131" i="65"/>
  <c r="H161" i="65"/>
  <c r="H159" i="65"/>
  <c r="H145" i="65"/>
  <c r="H155" i="65"/>
  <c r="H188" i="65"/>
  <c r="H177" i="65"/>
  <c r="H43" i="65"/>
  <c r="H195" i="65"/>
  <c r="H57" i="65"/>
  <c r="H77" i="65"/>
  <c r="H35" i="65"/>
  <c r="H46" i="65"/>
  <c r="H169" i="65"/>
  <c r="H175" i="65"/>
  <c r="H50" i="65"/>
  <c r="H176" i="65"/>
  <c r="H89" i="65"/>
  <c r="H116" i="65"/>
  <c r="H58" i="65"/>
  <c r="H78" i="65"/>
  <c r="H93" i="65"/>
  <c r="H37" i="65"/>
  <c r="H146" i="65"/>
  <c r="H168" i="65"/>
  <c r="H67" i="65"/>
  <c r="H123" i="65"/>
  <c r="H86" i="65"/>
  <c r="H111" i="65"/>
  <c r="H105" i="65"/>
  <c r="H88" i="65"/>
  <c r="H152" i="65"/>
  <c r="H28" i="65"/>
  <c r="H190" i="15"/>
  <c r="H32" i="65"/>
  <c r="H165" i="65"/>
  <c r="H138" i="65"/>
  <c r="H204" i="65"/>
  <c r="H142" i="65"/>
  <c r="H111" i="15"/>
  <c r="H194" i="15"/>
  <c r="H175" i="15"/>
  <c r="H165" i="15"/>
  <c r="H172" i="15"/>
  <c r="H47" i="65"/>
  <c r="H132" i="15"/>
  <c r="H150" i="65"/>
  <c r="H115" i="65"/>
  <c r="H106" i="65"/>
  <c r="H64" i="65"/>
  <c r="H135" i="65"/>
  <c r="H96" i="15"/>
  <c r="H43" i="15"/>
  <c r="H56" i="15"/>
  <c r="H34" i="15"/>
  <c r="H117" i="65"/>
  <c r="H39" i="15"/>
  <c r="H36" i="65"/>
  <c r="H34" i="65"/>
  <c r="H87" i="65"/>
  <c r="H55" i="65"/>
  <c r="H184" i="65"/>
  <c r="H93" i="15"/>
  <c r="H200" i="15"/>
  <c r="H37" i="15"/>
  <c r="H167" i="15"/>
  <c r="G238" i="55"/>
  <c r="G238" i="95"/>
  <c r="H169" i="177"/>
  <c r="H55" i="177"/>
  <c r="H147" i="177"/>
  <c r="H53" i="177"/>
  <c r="H175" i="177"/>
  <c r="H119" i="177"/>
  <c r="H42" i="177"/>
  <c r="H85" i="177"/>
  <c r="H110" i="177"/>
  <c r="H89" i="177"/>
  <c r="H178" i="177"/>
  <c r="H28" i="177"/>
  <c r="H61" i="177"/>
  <c r="H69" i="177"/>
  <c r="H77" i="177"/>
  <c r="H182" i="177"/>
  <c r="H180" i="177"/>
  <c r="H203" i="177"/>
  <c r="H64" i="177"/>
  <c r="H91" i="177"/>
  <c r="H142" i="177"/>
  <c r="H205" i="149"/>
  <c r="H194" i="149"/>
  <c r="H197" i="149"/>
  <c r="H100" i="149"/>
  <c r="H67" i="149"/>
  <c r="H77" i="149"/>
  <c r="H179" i="149"/>
  <c r="H146" i="149"/>
  <c r="H73" i="149"/>
  <c r="H38" i="149"/>
  <c r="H169" i="149"/>
  <c r="H151" i="149"/>
  <c r="H125" i="149"/>
  <c r="H131" i="149"/>
  <c r="H188" i="149"/>
  <c r="H86" i="149"/>
  <c r="H155" i="149"/>
  <c r="H76" i="149"/>
  <c r="H111" i="149"/>
  <c r="H174" i="149"/>
  <c r="H37" i="64"/>
  <c r="H201" i="64"/>
  <c r="H41" i="64"/>
  <c r="H28" i="64"/>
  <c r="H127" i="175"/>
  <c r="H59" i="175"/>
  <c r="H180" i="175"/>
  <c r="H89" i="175"/>
  <c r="H71" i="175"/>
  <c r="H200" i="175"/>
  <c r="H101" i="175"/>
  <c r="H82" i="175"/>
  <c r="H201" i="175"/>
  <c r="H196" i="175"/>
  <c r="H96" i="175"/>
  <c r="M208" i="175"/>
  <c r="H123" i="175"/>
  <c r="H204" i="175"/>
  <c r="H97" i="175"/>
  <c r="H166" i="175"/>
  <c r="H78" i="175"/>
  <c r="H130" i="175"/>
  <c r="G215" i="175"/>
  <c r="H133" i="175"/>
  <c r="H55" i="175"/>
  <c r="H179" i="141"/>
  <c r="H142" i="141"/>
  <c r="H93" i="141"/>
  <c r="H196" i="141"/>
  <c r="H202" i="141"/>
  <c r="H69" i="141"/>
  <c r="H111" i="141"/>
  <c r="H67" i="141"/>
  <c r="H84" i="141"/>
  <c r="H56" i="141"/>
  <c r="H166" i="141"/>
  <c r="H68" i="141"/>
  <c r="H136" i="141"/>
  <c r="K12" i="141"/>
  <c r="H54" i="141"/>
  <c r="H61" i="141"/>
  <c r="H174" i="141"/>
  <c r="H41" i="141"/>
  <c r="H164" i="141"/>
  <c r="M208" i="141"/>
  <c r="H177" i="141"/>
  <c r="H90" i="42"/>
  <c r="H127" i="42"/>
  <c r="H118" i="42"/>
  <c r="H87" i="42"/>
  <c r="H164" i="42"/>
  <c r="H85" i="42"/>
  <c r="H38" i="42"/>
  <c r="H59" i="42"/>
  <c r="H180" i="42"/>
  <c r="H43" i="42"/>
  <c r="H206" i="42"/>
  <c r="H52" i="42"/>
  <c r="H44" i="42"/>
  <c r="H195" i="42"/>
  <c r="H54" i="42"/>
  <c r="H39" i="42"/>
  <c r="H117" i="42"/>
  <c r="H99" i="42"/>
  <c r="H152" i="42"/>
  <c r="H71" i="42"/>
  <c r="H187" i="10"/>
  <c r="H145" i="10"/>
  <c r="H64" i="10"/>
  <c r="H202" i="10"/>
  <c r="H82" i="10"/>
  <c r="H86" i="10"/>
  <c r="H124" i="10"/>
  <c r="H54" i="10"/>
  <c r="H42" i="10"/>
  <c r="H146" i="10"/>
  <c r="H117" i="10"/>
  <c r="H173" i="10"/>
  <c r="H31" i="10"/>
  <c r="H78" i="10"/>
  <c r="H131" i="10"/>
  <c r="H191" i="10"/>
  <c r="H133" i="10"/>
  <c r="H32" i="10"/>
  <c r="H174" i="10"/>
  <c r="H26" i="10"/>
  <c r="H40" i="10"/>
  <c r="H172" i="175"/>
  <c r="H195" i="175"/>
  <c r="H138" i="175"/>
  <c r="H153" i="175"/>
  <c r="H168" i="175"/>
  <c r="H47" i="175"/>
  <c r="H149" i="175"/>
  <c r="H147" i="175"/>
  <c r="G215" i="42"/>
  <c r="H166" i="177"/>
  <c r="H92" i="177"/>
  <c r="H176" i="177"/>
  <c r="H152" i="177"/>
  <c r="H107" i="177"/>
  <c r="H115" i="177"/>
  <c r="H204" i="177"/>
  <c r="H35" i="177"/>
  <c r="H125" i="177"/>
  <c r="H149" i="177"/>
  <c r="H186" i="177"/>
  <c r="H46" i="177"/>
  <c r="H109" i="177"/>
  <c r="H101" i="177"/>
  <c r="H54" i="177"/>
  <c r="H118" i="177"/>
  <c r="H30" i="177"/>
  <c r="H45" i="177"/>
  <c r="H38" i="177"/>
  <c r="H74" i="177"/>
  <c r="H193" i="177"/>
  <c r="H127" i="149"/>
  <c r="H98" i="149"/>
  <c r="H82" i="149"/>
  <c r="H124" i="149"/>
  <c r="H25" i="149"/>
  <c r="H97" i="149"/>
  <c r="H201" i="149"/>
  <c r="H148" i="149"/>
  <c r="M208" i="149"/>
  <c r="H66" i="149"/>
  <c r="H115" i="149"/>
  <c r="H161" i="149"/>
  <c r="H204" i="149"/>
  <c r="H132" i="149"/>
  <c r="H84" i="149"/>
  <c r="H149" i="149"/>
  <c r="H83" i="149"/>
  <c r="H129" i="149"/>
  <c r="H167" i="149"/>
  <c r="H174" i="64"/>
  <c r="H30" i="64"/>
  <c r="H84" i="64"/>
  <c r="H90" i="64"/>
  <c r="H57" i="175"/>
  <c r="H26" i="175"/>
  <c r="H72" i="175"/>
  <c r="H99" i="175"/>
  <c r="H131" i="175"/>
  <c r="H37" i="175"/>
  <c r="H206" i="175"/>
  <c r="H100" i="175"/>
  <c r="H182" i="175"/>
  <c r="H141" i="175"/>
  <c r="H188" i="175"/>
  <c r="H79" i="175"/>
  <c r="H193" i="175"/>
  <c r="H135" i="175"/>
  <c r="H40" i="175"/>
  <c r="H36" i="175"/>
  <c r="H126" i="175"/>
  <c r="H28" i="175"/>
  <c r="H51" i="175"/>
  <c r="H152" i="175"/>
  <c r="H28" i="141"/>
  <c r="H90" i="141"/>
  <c r="H176" i="141"/>
  <c r="H53" i="141"/>
  <c r="H168" i="141"/>
  <c r="H182" i="141"/>
  <c r="H36" i="141"/>
  <c r="H40" i="141"/>
  <c r="H106" i="141"/>
  <c r="H76" i="141"/>
  <c r="H197" i="141"/>
  <c r="H193" i="141"/>
  <c r="H72" i="141"/>
  <c r="H87" i="141"/>
  <c r="H115" i="141"/>
  <c r="H109" i="141"/>
  <c r="H79" i="141"/>
  <c r="H140" i="141"/>
  <c r="H102" i="141"/>
  <c r="H132" i="141"/>
  <c r="H203" i="141"/>
  <c r="H172" i="42"/>
  <c r="H151" i="42"/>
  <c r="H26" i="42"/>
  <c r="H79" i="42"/>
  <c r="H167" i="42"/>
  <c r="H181" i="42"/>
  <c r="H57" i="42"/>
  <c r="H91" i="42"/>
  <c r="H170" i="42"/>
  <c r="H101" i="42"/>
  <c r="M208" i="42"/>
  <c r="H201" i="42"/>
  <c r="H30" i="42"/>
  <c r="H27" i="42"/>
  <c r="H183" i="42"/>
  <c r="H48" i="42"/>
  <c r="H115" i="42"/>
  <c r="H202" i="42"/>
  <c r="H125" i="42"/>
  <c r="H123" i="42"/>
  <c r="H152" i="10"/>
  <c r="H45" i="10"/>
  <c r="H166" i="10"/>
  <c r="H67" i="10"/>
  <c r="H75" i="10"/>
  <c r="H69" i="10"/>
  <c r="H136" i="10"/>
  <c r="H35" i="10"/>
  <c r="H186" i="10"/>
  <c r="H65" i="10"/>
  <c r="H179" i="10"/>
  <c r="H137" i="10"/>
  <c r="H88" i="10"/>
  <c r="H168" i="10"/>
  <c r="H132" i="10"/>
  <c r="H74" i="10"/>
  <c r="H83" i="10"/>
  <c r="H123" i="10"/>
  <c r="H55" i="10"/>
  <c r="H157" i="10"/>
  <c r="H192" i="175"/>
  <c r="H87" i="175"/>
  <c r="H175" i="175"/>
  <c r="H69" i="175"/>
  <c r="H34" i="175"/>
  <c r="H87" i="177"/>
  <c r="H164" i="177"/>
  <c r="H106" i="177"/>
  <c r="H197" i="177"/>
  <c r="H67" i="177"/>
  <c r="H135" i="177"/>
  <c r="H57" i="177"/>
  <c r="H192" i="177"/>
  <c r="H71" i="177"/>
  <c r="H179" i="177"/>
  <c r="H83" i="177"/>
  <c r="H137" i="177"/>
  <c r="H141" i="177"/>
  <c r="H41" i="177"/>
  <c r="H205" i="177"/>
  <c r="H129" i="177"/>
  <c r="H201" i="177"/>
  <c r="H59" i="177"/>
  <c r="H93" i="177"/>
  <c r="H100" i="177"/>
  <c r="H106" i="149"/>
  <c r="H152" i="149"/>
  <c r="H53" i="149"/>
  <c r="H200" i="149"/>
  <c r="H35" i="149"/>
  <c r="H202" i="149"/>
  <c r="H89" i="149"/>
  <c r="H145" i="149"/>
  <c r="H88" i="149"/>
  <c r="H142" i="149"/>
  <c r="K12" i="149"/>
  <c r="H138" i="149"/>
  <c r="H49" i="149"/>
  <c r="H68" i="149"/>
  <c r="H165" i="149"/>
  <c r="H70" i="149"/>
  <c r="H190" i="149"/>
  <c r="H177" i="149"/>
  <c r="H96" i="149"/>
  <c r="H183" i="149"/>
  <c r="H168" i="149"/>
  <c r="H188" i="64"/>
  <c r="H26" i="64"/>
  <c r="H91" i="64"/>
  <c r="H140" i="64"/>
  <c r="K12" i="175"/>
  <c r="H39" i="175"/>
  <c r="H167" i="175"/>
  <c r="H159" i="175"/>
  <c r="H110" i="175"/>
  <c r="H164" i="175"/>
  <c r="H76" i="175"/>
  <c r="H61" i="175"/>
  <c r="H150" i="175"/>
  <c r="H49" i="175"/>
  <c r="H146" i="175"/>
  <c r="H115" i="175"/>
  <c r="H109" i="175"/>
  <c r="H45" i="175"/>
  <c r="H178" i="175"/>
  <c r="H48" i="175"/>
  <c r="H38" i="175"/>
  <c r="H41" i="175"/>
  <c r="H137" i="175"/>
  <c r="H129" i="175"/>
  <c r="H174" i="175"/>
  <c r="G215" i="141"/>
  <c r="H96" i="141"/>
  <c r="H152" i="141"/>
  <c r="H186" i="141"/>
  <c r="H42" i="141"/>
  <c r="H48" i="141"/>
  <c r="H145" i="141"/>
  <c r="H195" i="141"/>
  <c r="H183" i="141"/>
  <c r="H153" i="141"/>
  <c r="H137" i="141"/>
  <c r="H191" i="141"/>
  <c r="H73" i="141"/>
  <c r="H190" i="141"/>
  <c r="H51" i="141"/>
  <c r="H82" i="141"/>
  <c r="H175" i="141"/>
  <c r="H108" i="141"/>
  <c r="H151" i="141"/>
  <c r="H39" i="141"/>
  <c r="H181" i="141"/>
  <c r="H172" i="141"/>
  <c r="H203" i="42"/>
  <c r="H192" i="42"/>
  <c r="H73" i="42"/>
  <c r="H28" i="42"/>
  <c r="H29" i="42"/>
  <c r="H102" i="42"/>
  <c r="H77" i="42"/>
  <c r="H142" i="42"/>
  <c r="H86" i="42"/>
  <c r="H74" i="42"/>
  <c r="H46" i="42"/>
  <c r="H55" i="42"/>
  <c r="H196" i="42"/>
  <c r="H105" i="42"/>
  <c r="H171" i="42"/>
  <c r="H66" i="42"/>
  <c r="H106" i="42"/>
  <c r="H185" i="42"/>
  <c r="H97" i="42"/>
  <c r="H143" i="42"/>
  <c r="H110" i="42"/>
  <c r="H114" i="10"/>
  <c r="H30" i="10"/>
  <c r="H76" i="10"/>
  <c r="H89" i="10"/>
  <c r="H147" i="10"/>
  <c r="H58" i="10"/>
  <c r="H37" i="10"/>
  <c r="H101" i="10"/>
  <c r="H119" i="10"/>
  <c r="H140" i="10"/>
  <c r="H205" i="10"/>
  <c r="H110" i="10"/>
  <c r="H184" i="10"/>
  <c r="H100" i="10"/>
  <c r="H130" i="10"/>
  <c r="H141" i="10"/>
  <c r="H60" i="10"/>
  <c r="H158" i="10"/>
  <c r="H84" i="10"/>
  <c r="H28" i="10"/>
  <c r="H145" i="175"/>
  <c r="H124" i="175"/>
  <c r="H132" i="175"/>
  <c r="H31" i="177"/>
  <c r="H161" i="177"/>
  <c r="H158" i="177"/>
  <c r="H145" i="177"/>
  <c r="H160" i="177"/>
  <c r="H167" i="177"/>
  <c r="H76" i="177"/>
  <c r="H189" i="177"/>
  <c r="H25" i="177"/>
  <c r="H200" i="177"/>
  <c r="H170" i="177"/>
  <c r="H143" i="177"/>
  <c r="H97" i="177"/>
  <c r="H130" i="177"/>
  <c r="H96" i="177"/>
  <c r="H33" i="177"/>
  <c r="H117" i="177"/>
  <c r="H124" i="177"/>
  <c r="H136" i="177"/>
  <c r="H27" i="177"/>
  <c r="H159" i="149"/>
  <c r="H90" i="149"/>
  <c r="H109" i="149"/>
  <c r="H175" i="149"/>
  <c r="H59" i="149"/>
  <c r="H47" i="149"/>
  <c r="H31" i="149"/>
  <c r="H57" i="149"/>
  <c r="H48" i="149"/>
  <c r="H136" i="149"/>
  <c r="H176" i="149"/>
  <c r="H140" i="149"/>
  <c r="H189" i="149"/>
  <c r="H26" i="149"/>
  <c r="H107" i="149"/>
  <c r="H196" i="149"/>
  <c r="H119" i="149"/>
  <c r="H46" i="149"/>
  <c r="H29" i="149"/>
  <c r="H172" i="149"/>
  <c r="H208" i="149"/>
  <c r="H111" i="64"/>
  <c r="H137" i="64"/>
  <c r="H76" i="64"/>
  <c r="H202" i="64"/>
  <c r="H102" i="175"/>
  <c r="H203" i="175"/>
  <c r="H25" i="175"/>
  <c r="H184" i="175"/>
  <c r="H194" i="175"/>
  <c r="H53" i="175"/>
  <c r="H158" i="175"/>
  <c r="H77" i="175"/>
  <c r="H151" i="175"/>
  <c r="H165" i="175"/>
  <c r="H186" i="175"/>
  <c r="H92" i="175"/>
  <c r="H187" i="175"/>
  <c r="H136" i="175"/>
  <c r="H93" i="175"/>
  <c r="H42" i="175"/>
  <c r="H46" i="175"/>
  <c r="H58" i="175"/>
  <c r="H75" i="175"/>
  <c r="H30" i="175"/>
  <c r="H107" i="175"/>
  <c r="H66" i="141"/>
  <c r="H206" i="141"/>
  <c r="H34" i="141"/>
  <c r="H116" i="141"/>
  <c r="H157" i="141"/>
  <c r="H149" i="141"/>
  <c r="H44" i="141"/>
  <c r="H146" i="141"/>
  <c r="H180" i="141"/>
  <c r="H135" i="141"/>
  <c r="H26" i="141"/>
  <c r="H130" i="141"/>
  <c r="H200" i="141"/>
  <c r="H70" i="141"/>
  <c r="H50" i="141"/>
  <c r="H123" i="141"/>
  <c r="H30" i="141"/>
  <c r="H125" i="141"/>
  <c r="H188" i="141"/>
  <c r="H119" i="42"/>
  <c r="H186" i="42"/>
  <c r="H93" i="42"/>
  <c r="H69" i="42"/>
  <c r="H150" i="42"/>
  <c r="H145" i="42"/>
  <c r="H25" i="42"/>
  <c r="H136" i="42"/>
  <c r="H61" i="42"/>
  <c r="H45" i="42"/>
  <c r="H129" i="42"/>
  <c r="H96" i="42"/>
  <c r="H31" i="42"/>
  <c r="H138" i="42"/>
  <c r="H200" i="42"/>
  <c r="H72" i="42"/>
  <c r="H58" i="42"/>
  <c r="H194" i="42"/>
  <c r="H78" i="42"/>
  <c r="H175" i="42"/>
  <c r="H193" i="42"/>
  <c r="H127" i="10"/>
  <c r="H116" i="10"/>
  <c r="H138" i="10"/>
  <c r="H125" i="10"/>
  <c r="H180" i="10"/>
  <c r="H197" i="10"/>
  <c r="M208" i="10"/>
  <c r="H38" i="10"/>
  <c r="H27" i="10"/>
  <c r="H171" i="10"/>
  <c r="H183" i="10"/>
  <c r="H126" i="10"/>
  <c r="H92" i="10"/>
  <c r="H178" i="10"/>
  <c r="H182" i="10"/>
  <c r="H34" i="10"/>
  <c r="H102" i="10"/>
  <c r="H47" i="10"/>
  <c r="H201" i="10"/>
  <c r="H51" i="10"/>
  <c r="H91" i="10"/>
  <c r="G238" i="1"/>
  <c r="G215" i="84"/>
  <c r="H45" i="84"/>
  <c r="H98" i="84"/>
  <c r="H74" i="84"/>
  <c r="H146" i="84"/>
  <c r="H173" i="84"/>
  <c r="H85" i="84"/>
  <c r="H201" i="84"/>
  <c r="H69" i="84"/>
  <c r="H42" i="84"/>
  <c r="H68" i="84"/>
  <c r="H130" i="84"/>
  <c r="H117" i="84"/>
  <c r="H100" i="84"/>
  <c r="H169" i="84"/>
  <c r="H65" i="84"/>
  <c r="H34" i="84"/>
  <c r="H93" i="84"/>
  <c r="H164" i="84"/>
  <c r="H115" i="84"/>
  <c r="H172" i="84"/>
  <c r="H137" i="84"/>
  <c r="H27" i="84"/>
  <c r="H203" i="84"/>
  <c r="H153" i="84"/>
  <c r="H190" i="84"/>
  <c r="H70" i="84"/>
  <c r="H202" i="84"/>
  <c r="H59" i="84"/>
  <c r="H60" i="84"/>
  <c r="H156" i="84"/>
  <c r="H77" i="84"/>
  <c r="H73" i="84"/>
  <c r="H32" i="84"/>
  <c r="H44" i="84"/>
  <c r="H61" i="84"/>
  <c r="H55" i="84"/>
  <c r="H175" i="84"/>
  <c r="H36" i="84"/>
  <c r="H186" i="84"/>
  <c r="H67" i="84"/>
  <c r="H64" i="84"/>
  <c r="H79" i="84"/>
  <c r="H176" i="84"/>
  <c r="H150" i="84"/>
  <c r="H157" i="84"/>
  <c r="H99" i="84"/>
  <c r="H111" i="84"/>
  <c r="H76" i="84"/>
  <c r="H204" i="84"/>
  <c r="H142" i="84"/>
  <c r="H143" i="84"/>
  <c r="H47" i="84"/>
  <c r="H196" i="84"/>
  <c r="H195" i="84"/>
  <c r="H46" i="84"/>
  <c r="H183" i="84"/>
  <c r="H35" i="84"/>
  <c r="H114" i="84"/>
  <c r="H89" i="84"/>
  <c r="H75" i="84"/>
  <c r="H132" i="84"/>
  <c r="H66" i="175"/>
  <c r="H29" i="175"/>
  <c r="H119" i="175"/>
  <c r="H160" i="175"/>
  <c r="H181" i="175"/>
  <c r="H26" i="177"/>
  <c r="H168" i="177"/>
  <c r="H132" i="177"/>
  <c r="H73" i="177"/>
  <c r="H111" i="177"/>
  <c r="H181" i="177"/>
  <c r="H206" i="177"/>
  <c r="H194" i="177"/>
  <c r="H43" i="177"/>
  <c r="H114" i="177"/>
  <c r="H29" i="177"/>
  <c r="H79" i="177"/>
  <c r="H51" i="177"/>
  <c r="H153" i="177"/>
  <c r="H84" i="177"/>
  <c r="H82" i="177"/>
  <c r="H155" i="177"/>
  <c r="H102" i="177"/>
  <c r="H188" i="177"/>
  <c r="H69" i="149"/>
  <c r="H191" i="149"/>
  <c r="H34" i="149"/>
  <c r="H39" i="149"/>
  <c r="H173" i="149"/>
  <c r="H123" i="149"/>
  <c r="H40" i="149"/>
  <c r="H87" i="149"/>
  <c r="H41" i="149"/>
  <c r="H54" i="149"/>
  <c r="H56" i="149"/>
  <c r="H78" i="149"/>
  <c r="H105" i="149"/>
  <c r="H99" i="149"/>
  <c r="H72" i="149"/>
  <c r="H91" i="149"/>
  <c r="H187" i="149"/>
  <c r="H75" i="149"/>
  <c r="H101" i="149"/>
  <c r="H126" i="149"/>
  <c r="H178" i="149"/>
  <c r="H83" i="64"/>
  <c r="H43" i="64"/>
  <c r="H78" i="64"/>
  <c r="H92" i="64"/>
  <c r="H173" i="175"/>
  <c r="H27" i="175"/>
  <c r="H116" i="175"/>
  <c r="H197" i="175"/>
  <c r="H185" i="175"/>
  <c r="H91" i="175"/>
  <c r="H33" i="175"/>
  <c r="H161" i="175"/>
  <c r="H85" i="175"/>
  <c r="H208" i="175"/>
  <c r="H202" i="175"/>
  <c r="H64" i="175"/>
  <c r="H31" i="175"/>
  <c r="H170" i="175"/>
  <c r="H118" i="175"/>
  <c r="H74" i="175"/>
  <c r="H169" i="175"/>
  <c r="H88" i="175"/>
  <c r="H44" i="175"/>
  <c r="H59" i="141"/>
  <c r="H86" i="141"/>
  <c r="H187" i="141"/>
  <c r="H105" i="141"/>
  <c r="H101" i="141"/>
  <c r="H126" i="141"/>
  <c r="H29" i="141"/>
  <c r="H45" i="141"/>
  <c r="H78" i="141"/>
  <c r="H194" i="141"/>
  <c r="H204" i="141"/>
  <c r="H107" i="141"/>
  <c r="H156" i="141"/>
  <c r="H46" i="141"/>
  <c r="H91" i="141"/>
  <c r="H143" i="141"/>
  <c r="H138" i="141"/>
  <c r="H110" i="141"/>
  <c r="H124" i="141"/>
  <c r="H165" i="42"/>
  <c r="H33" i="42"/>
  <c r="H182" i="42"/>
  <c r="H68" i="42"/>
  <c r="H156" i="42"/>
  <c r="H32" i="42"/>
  <c r="H126" i="42"/>
  <c r="H70" i="42"/>
  <c r="H169" i="42"/>
  <c r="H168" i="42"/>
  <c r="H100" i="42"/>
  <c r="H197" i="42"/>
  <c r="H176" i="42"/>
  <c r="H37" i="42"/>
  <c r="H161" i="42"/>
  <c r="H189" i="42"/>
  <c r="H51" i="42"/>
  <c r="H130" i="42"/>
  <c r="H41" i="42"/>
  <c r="H68" i="10"/>
  <c r="H39" i="10"/>
  <c r="H194" i="10"/>
  <c r="H200" i="10"/>
  <c r="H172" i="10"/>
  <c r="H57" i="10"/>
  <c r="H196" i="10"/>
  <c r="H85" i="10"/>
  <c r="H41" i="10"/>
  <c r="H149" i="10"/>
  <c r="H99" i="10"/>
  <c r="H169" i="10"/>
  <c r="H56" i="10"/>
  <c r="H109" i="10"/>
  <c r="H72" i="10"/>
  <c r="H59" i="10"/>
  <c r="H159" i="10"/>
  <c r="H118" i="10"/>
  <c r="H151" i="10"/>
  <c r="G215" i="10"/>
  <c r="H155" i="87"/>
  <c r="H66" i="87"/>
  <c r="H90" i="87"/>
  <c r="H146" i="87"/>
  <c r="H61" i="87"/>
  <c r="H165" i="87"/>
  <c r="H184" i="87"/>
  <c r="H127" i="87"/>
  <c r="H44" i="87"/>
  <c r="H29" i="87"/>
  <c r="H100" i="87"/>
  <c r="H202" i="87"/>
  <c r="H111" i="87"/>
  <c r="H141" i="87"/>
  <c r="H41" i="87"/>
  <c r="H106" i="87"/>
  <c r="H125" i="87"/>
  <c r="H33" i="87"/>
  <c r="H132" i="87"/>
  <c r="H36" i="87"/>
  <c r="H150" i="87"/>
  <c r="H42" i="87"/>
  <c r="H92" i="87"/>
  <c r="H183" i="87"/>
  <c r="H110" i="87"/>
  <c r="H108" i="87"/>
  <c r="H83" i="87"/>
  <c r="H197" i="87"/>
  <c r="H159" i="87"/>
  <c r="H37" i="87"/>
  <c r="H52" i="87"/>
  <c r="H179" i="87"/>
  <c r="H124" i="87"/>
  <c r="H25" i="87"/>
  <c r="H26" i="87"/>
  <c r="H170" i="87"/>
  <c r="H101" i="87"/>
  <c r="H191" i="87"/>
  <c r="H208" i="87"/>
  <c r="H123" i="87"/>
  <c r="H50" i="87"/>
  <c r="H77" i="87"/>
  <c r="H65" i="87"/>
  <c r="H117" i="87"/>
  <c r="H174" i="87"/>
  <c r="H47" i="87"/>
  <c r="H133" i="87"/>
  <c r="G215" i="87"/>
  <c r="H57" i="87"/>
  <c r="H168" i="87"/>
  <c r="H89" i="87"/>
  <c r="H178" i="87"/>
  <c r="H38" i="87"/>
  <c r="H196" i="87"/>
  <c r="H149" i="87"/>
  <c r="H43" i="87"/>
  <c r="H96" i="87"/>
  <c r="H193" i="87"/>
  <c r="H143" i="87"/>
  <c r="H206" i="87"/>
  <c r="H74" i="87"/>
  <c r="H27" i="87"/>
  <c r="N12" i="63"/>
  <c r="N12" i="150"/>
  <c r="N12" i="174"/>
  <c r="N12" i="15"/>
  <c r="N19" i="38"/>
  <c r="N12" i="37"/>
  <c r="N12" i="90"/>
  <c r="N12" i="1"/>
  <c r="N18" i="143"/>
  <c r="N18" i="92"/>
  <c r="N18" i="164"/>
  <c r="N12" i="25"/>
  <c r="N12" i="43"/>
  <c r="N12" i="92"/>
  <c r="N12" i="19"/>
  <c r="N18" i="64"/>
  <c r="N18" i="43"/>
  <c r="N18" i="10"/>
  <c r="N18" i="57"/>
  <c r="N12" i="85"/>
  <c r="N12" i="55"/>
  <c r="N12" i="71"/>
  <c r="N12" i="58"/>
  <c r="N18" i="111"/>
  <c r="N18" i="103"/>
  <c r="N18" i="33"/>
  <c r="N18" i="49"/>
  <c r="N12" i="143"/>
  <c r="N12" i="72"/>
  <c r="N12" i="113"/>
  <c r="N12" i="33"/>
  <c r="N18" i="69"/>
  <c r="N18" i="19"/>
  <c r="N18" i="66"/>
  <c r="N18" i="133"/>
  <c r="G238" i="79"/>
  <c r="N12" i="84"/>
  <c r="N12" i="27"/>
  <c r="N12" i="98"/>
  <c r="N12" i="141"/>
  <c r="N14" i="118"/>
  <c r="N14" i="133"/>
  <c r="N12" i="28"/>
  <c r="N12" i="24"/>
  <c r="N12" i="45"/>
  <c r="N12" i="83"/>
  <c r="N12" i="104"/>
  <c r="N12" i="87"/>
  <c r="N12" i="65"/>
  <c r="N12" i="31"/>
  <c r="N12" i="111"/>
  <c r="N12" i="118"/>
  <c r="N12" i="145"/>
  <c r="N12" i="42"/>
  <c r="N12" i="66"/>
  <c r="N12" i="79"/>
  <c r="N12" i="53"/>
  <c r="N12" i="158"/>
  <c r="N12" i="47"/>
  <c r="N12" i="172"/>
  <c r="N12" i="32"/>
  <c r="N12" i="156"/>
  <c r="N12" i="142"/>
  <c r="G238" i="37"/>
  <c r="N12" i="49"/>
  <c r="N12" i="135"/>
  <c r="N12" i="164"/>
  <c r="N12" i="86"/>
  <c r="N12" i="39"/>
  <c r="N12" i="120"/>
  <c r="N12" i="106"/>
  <c r="N12" i="54"/>
  <c r="N12" i="69"/>
  <c r="N12" i="133"/>
  <c r="N12" i="38"/>
  <c r="N12" i="149"/>
  <c r="N12" i="50"/>
  <c r="N12" i="64"/>
  <c r="N12" i="46"/>
  <c r="N12" i="167"/>
  <c r="N12" i="177"/>
  <c r="N12" i="152"/>
  <c r="N12" i="57"/>
  <c r="N12" i="155"/>
  <c r="N12" i="10"/>
  <c r="N12" i="176"/>
  <c r="N14" i="157"/>
  <c r="N12" i="16"/>
  <c r="N12" i="60"/>
  <c r="N12" i="119"/>
  <c r="N12" i="159"/>
  <c r="N12" i="136"/>
  <c r="N12" i="14"/>
  <c r="N12" i="103"/>
  <c r="N12" i="68"/>
  <c r="N12" i="102"/>
  <c r="N12" i="165"/>
  <c r="N14" i="135"/>
  <c r="N14" i="14"/>
  <c r="G238" i="85"/>
  <c r="N14" i="27"/>
  <c r="N14" i="175"/>
  <c r="N14" i="21"/>
  <c r="N14" i="159"/>
  <c r="N14" i="106"/>
  <c r="N14" i="53"/>
  <c r="N19" i="159"/>
  <c r="K12" i="102"/>
  <c r="H132" i="102"/>
  <c r="H82" i="102"/>
  <c r="H182" i="102"/>
  <c r="H172" i="102"/>
  <c r="H29" i="102"/>
  <c r="H43" i="102"/>
  <c r="H195" i="102"/>
  <c r="H109" i="102"/>
  <c r="H137" i="102"/>
  <c r="N14" i="136"/>
  <c r="N19" i="79"/>
  <c r="N14" i="95"/>
  <c r="N14" i="102"/>
  <c r="N14" i="84"/>
  <c r="N14" i="33"/>
  <c r="N14" i="39"/>
  <c r="N14" i="71"/>
  <c r="N14" i="94"/>
  <c r="N14" i="87"/>
  <c r="N14" i="167"/>
  <c r="N14" i="145"/>
  <c r="N14" i="49"/>
  <c r="H170" i="102"/>
  <c r="H161" i="102"/>
  <c r="H39" i="102"/>
  <c r="H152" i="102"/>
  <c r="N19" i="92"/>
  <c r="N14" i="90"/>
  <c r="N14" i="20"/>
  <c r="N14" i="45"/>
  <c r="N14" i="113"/>
  <c r="N14" i="57"/>
  <c r="N14" i="60"/>
  <c r="N14" i="25"/>
  <c r="N14" i="55"/>
  <c r="N14" i="158"/>
  <c r="N14" i="83"/>
  <c r="H202" i="102"/>
  <c r="H115" i="102"/>
  <c r="H89" i="102"/>
  <c r="H156" i="102"/>
  <c r="N14" i="42"/>
  <c r="N14" i="64"/>
  <c r="N19" i="47"/>
  <c r="N14" i="111"/>
  <c r="N19" i="136"/>
  <c r="N14" i="156"/>
  <c r="N14" i="16"/>
  <c r="N14" i="69"/>
  <c r="N14" i="1"/>
  <c r="N14" i="63"/>
  <c r="N14" i="79"/>
  <c r="N14" i="85"/>
  <c r="N14" i="155"/>
  <c r="N14" i="142"/>
  <c r="N14" i="24"/>
  <c r="H85" i="102"/>
  <c r="H183" i="102"/>
  <c r="H91" i="102"/>
  <c r="H51" i="102"/>
  <c r="N19" i="15"/>
  <c r="N14" i="164"/>
  <c r="N14" i="38"/>
  <c r="N14" i="152"/>
  <c r="N14" i="119"/>
  <c r="N14" i="43"/>
  <c r="N14" i="58"/>
  <c r="N14" i="150"/>
  <c r="N14" i="86"/>
  <c r="N14" i="66"/>
  <c r="N19" i="158"/>
  <c r="N14" i="28"/>
  <c r="N14" i="65"/>
  <c r="N14" i="172"/>
  <c r="N14" i="92"/>
  <c r="N14" i="10"/>
  <c r="N14" i="54"/>
  <c r="N14" i="37"/>
  <c r="N14" i="178"/>
  <c r="N14" i="176"/>
  <c r="N14" i="98"/>
  <c r="G238" i="102"/>
  <c r="H143" i="102"/>
  <c r="H174" i="102"/>
  <c r="H181" i="102"/>
  <c r="H25" i="102"/>
  <c r="N14" i="72"/>
  <c r="N14" i="143"/>
  <c r="N14" i="32"/>
  <c r="N14" i="46"/>
  <c r="N14" i="120"/>
  <c r="N14" i="15"/>
  <c r="N14" i="104"/>
  <c r="N14" i="174"/>
  <c r="N14" i="165"/>
  <c r="N19" i="21"/>
  <c r="N19" i="42"/>
  <c r="N14" i="47"/>
  <c r="N14" i="103"/>
  <c r="N14" i="177"/>
  <c r="N14" i="149"/>
  <c r="N14" i="62"/>
  <c r="N14" i="19"/>
  <c r="N14" i="31"/>
  <c r="N14" i="68"/>
  <c r="N14" i="50"/>
  <c r="N14" i="89"/>
  <c r="H204" i="102"/>
  <c r="H129" i="102"/>
  <c r="H38" i="102"/>
  <c r="H68" i="102"/>
  <c r="J122" i="97"/>
  <c r="N119" i="79"/>
  <c r="O119" i="79"/>
  <c r="N18" i="157"/>
  <c r="N18" i="53"/>
  <c r="N18" i="159"/>
  <c r="N18" i="84"/>
  <c r="N18" i="177"/>
  <c r="N18" i="39"/>
  <c r="N18" i="42"/>
  <c r="N18" i="68"/>
  <c r="N18" i="25"/>
  <c r="N18" i="46"/>
  <c r="N18" i="63"/>
  <c r="N18" i="118"/>
  <c r="N18" i="38"/>
  <c r="N18" i="85"/>
  <c r="N18" i="47"/>
  <c r="N18" i="94"/>
  <c r="N18" i="167"/>
  <c r="N18" i="86"/>
  <c r="N18" i="120"/>
  <c r="N18" i="113"/>
  <c r="N18" i="27"/>
  <c r="N18" i="24"/>
  <c r="N18" i="95"/>
  <c r="N18" i="50"/>
  <c r="N18" i="158"/>
  <c r="N18" i="156"/>
  <c r="N18" i="60"/>
  <c r="N18" i="55"/>
  <c r="N18" i="152"/>
  <c r="N18" i="172"/>
  <c r="N18" i="174"/>
  <c r="N18" i="1"/>
  <c r="N18" i="104"/>
  <c r="N18" i="28"/>
  <c r="N18" i="83"/>
  <c r="N18" i="16"/>
  <c r="N18" i="149"/>
  <c r="N18" i="87"/>
  <c r="N18" i="89"/>
  <c r="N18" i="72"/>
  <c r="N18" i="102"/>
  <c r="N18" i="37"/>
  <c r="N18" i="106"/>
  <c r="N18" i="176"/>
  <c r="N18" i="119"/>
  <c r="N18" i="71"/>
  <c r="H114" i="104"/>
  <c r="H118" i="104"/>
  <c r="H26" i="104"/>
  <c r="H28" i="104"/>
  <c r="H164" i="104"/>
  <c r="H196" i="104"/>
  <c r="H159" i="104"/>
  <c r="H70" i="104"/>
  <c r="H158" i="104"/>
  <c r="H69" i="104"/>
  <c r="H58" i="104"/>
  <c r="H67" i="104"/>
  <c r="H97" i="104"/>
  <c r="H101" i="104"/>
  <c r="H171" i="104"/>
  <c r="H98" i="104"/>
  <c r="H31" i="104"/>
  <c r="K12" i="104"/>
  <c r="H35" i="104"/>
  <c r="H51" i="104"/>
  <c r="H49" i="104"/>
  <c r="H179" i="104"/>
  <c r="H54" i="104"/>
  <c r="H190" i="104"/>
  <c r="H146" i="104"/>
  <c r="H165" i="104"/>
  <c r="H177" i="104"/>
  <c r="H107" i="104"/>
  <c r="H150" i="104"/>
  <c r="H82" i="104"/>
  <c r="H174" i="104"/>
  <c r="H135" i="104"/>
  <c r="H206" i="104"/>
  <c r="H181" i="104"/>
  <c r="H43" i="104"/>
  <c r="G238" i="149"/>
  <c r="J44" i="97"/>
  <c r="N41" i="39"/>
  <c r="J156" i="97"/>
  <c r="N153" i="60"/>
  <c r="N19" i="55"/>
  <c r="N19" i="39"/>
  <c r="N19" i="31"/>
  <c r="N19" i="37"/>
  <c r="N19" i="20"/>
  <c r="N19" i="58"/>
  <c r="N19" i="102"/>
  <c r="N19" i="84"/>
  <c r="N19" i="175"/>
  <c r="N19" i="24"/>
  <c r="N19" i="176"/>
  <c r="N19" i="43"/>
  <c r="N19" i="65"/>
  <c r="N19" i="16"/>
  <c r="N19" i="64"/>
  <c r="N19" i="86"/>
  <c r="N19" i="164"/>
  <c r="N19" i="165"/>
  <c r="N19" i="141"/>
  <c r="N19" i="71"/>
  <c r="N19" i="27"/>
  <c r="N19" i="106"/>
  <c r="N19" i="46"/>
  <c r="N19" i="111"/>
  <c r="N19" i="119"/>
  <c r="N19" i="66"/>
  <c r="N19" i="90"/>
  <c r="N19" i="89"/>
  <c r="N19" i="113"/>
  <c r="N19" i="167"/>
  <c r="N19" i="145"/>
  <c r="N19" i="19"/>
  <c r="N19" i="53"/>
  <c r="N19" i="143"/>
  <c r="N19" i="62"/>
  <c r="N19" i="60"/>
  <c r="N19" i="1"/>
  <c r="N19" i="69"/>
  <c r="N19" i="94"/>
  <c r="N19" i="178"/>
  <c r="N19" i="142"/>
  <c r="N19" i="57"/>
  <c r="N19" i="14"/>
  <c r="N19" i="149"/>
  <c r="N19" i="150"/>
  <c r="N19" i="72"/>
  <c r="N19" i="68"/>
  <c r="N19" i="156"/>
  <c r="N19" i="50"/>
  <c r="N19" i="157"/>
  <c r="N19" i="28"/>
  <c r="N19" i="63"/>
  <c r="N19" i="54"/>
  <c r="N19" i="103"/>
  <c r="N19" i="10"/>
  <c r="N19" i="83"/>
  <c r="N19" i="49"/>
  <c r="N19" i="32"/>
  <c r="N19" i="33"/>
  <c r="N19" i="45"/>
  <c r="N19" i="98"/>
  <c r="N19" i="118"/>
  <c r="N19" i="87"/>
  <c r="N19" i="25"/>
  <c r="N19" i="177"/>
  <c r="N19" i="95"/>
  <c r="N19" i="85"/>
  <c r="N19" i="172"/>
  <c r="N19" i="135"/>
  <c r="N19" i="174"/>
  <c r="N19" i="120"/>
  <c r="N19" i="104"/>
  <c r="N19" i="152"/>
  <c r="N19" i="133"/>
  <c r="H141" i="64"/>
  <c r="H175" i="64"/>
  <c r="H142" i="64"/>
  <c r="H125" i="64"/>
  <c r="H127" i="64"/>
  <c r="K12" i="64"/>
  <c r="H58" i="64"/>
  <c r="H51" i="64"/>
  <c r="H153" i="64"/>
  <c r="H131" i="64"/>
  <c r="H176" i="157"/>
  <c r="H203" i="157"/>
  <c r="H141" i="157"/>
  <c r="H48" i="157"/>
  <c r="H31" i="157"/>
  <c r="H85" i="157"/>
  <c r="H56" i="157"/>
  <c r="H138" i="157"/>
  <c r="H125" i="157"/>
  <c r="H160" i="102"/>
  <c r="H179" i="102"/>
  <c r="H151" i="102"/>
  <c r="H92" i="102"/>
  <c r="H101" i="102"/>
  <c r="H99" i="102"/>
  <c r="H155" i="102"/>
  <c r="H32" i="102"/>
  <c r="H189" i="102"/>
  <c r="H77" i="89"/>
  <c r="H136" i="89"/>
  <c r="H143" i="89"/>
  <c r="H181" i="89"/>
  <c r="H31" i="89"/>
  <c r="H196" i="89"/>
  <c r="H138" i="89"/>
  <c r="H34" i="89"/>
  <c r="H192" i="89"/>
  <c r="H41" i="155"/>
  <c r="H183" i="155"/>
  <c r="H35" i="155"/>
  <c r="H84" i="155"/>
  <c r="H156" i="155"/>
  <c r="H26" i="155"/>
  <c r="H149" i="155"/>
  <c r="H118" i="155"/>
  <c r="H159" i="155"/>
  <c r="H92" i="155"/>
  <c r="H208" i="155"/>
  <c r="H178" i="49"/>
  <c r="H32" i="49"/>
  <c r="H175" i="49"/>
  <c r="H166" i="49"/>
  <c r="H87" i="49"/>
  <c r="H30" i="49"/>
  <c r="H98" i="49"/>
  <c r="H176" i="49"/>
  <c r="H76" i="49"/>
  <c r="H28" i="49"/>
  <c r="G215" i="157"/>
  <c r="H184" i="157"/>
  <c r="H66" i="157"/>
  <c r="H156" i="157"/>
  <c r="H77" i="157"/>
  <c r="H177" i="157"/>
  <c r="H53" i="157"/>
  <c r="H78" i="157"/>
  <c r="H29" i="157"/>
  <c r="H88" i="157"/>
  <c r="H133" i="157"/>
  <c r="H57" i="157"/>
  <c r="H142" i="157"/>
  <c r="H202" i="157"/>
  <c r="H179" i="157"/>
  <c r="H43" i="157"/>
  <c r="H60" i="157"/>
  <c r="H38" i="157"/>
  <c r="H44" i="157"/>
  <c r="H40" i="157"/>
  <c r="H208" i="157"/>
  <c r="H64" i="157"/>
  <c r="H72" i="157"/>
  <c r="H116" i="157"/>
  <c r="H97" i="157"/>
  <c r="H106" i="157"/>
  <c r="H45" i="157"/>
  <c r="H51" i="157"/>
  <c r="H187" i="157"/>
  <c r="H70" i="157"/>
  <c r="H151" i="157"/>
  <c r="H147" i="157"/>
  <c r="H175" i="157"/>
  <c r="H86" i="157"/>
  <c r="H192" i="157"/>
  <c r="H119" i="157"/>
  <c r="H186" i="157"/>
  <c r="H136" i="157"/>
  <c r="H54" i="157"/>
  <c r="H152" i="157"/>
  <c r="H159" i="157"/>
  <c r="H83" i="157"/>
  <c r="H39" i="157"/>
  <c r="H99" i="157"/>
  <c r="M208" i="157"/>
  <c r="H143" i="157"/>
  <c r="H79" i="157"/>
  <c r="H178" i="157"/>
  <c r="H90" i="157"/>
  <c r="H73" i="157"/>
  <c r="H117" i="157"/>
  <c r="H160" i="157"/>
  <c r="H47" i="157"/>
  <c r="H50" i="157"/>
  <c r="H188" i="157"/>
  <c r="H204" i="157"/>
  <c r="H158" i="157"/>
  <c r="H157" i="157"/>
  <c r="H171" i="157"/>
  <c r="H84" i="157"/>
  <c r="H196" i="157"/>
  <c r="H74" i="157"/>
  <c r="H111" i="157"/>
  <c r="H183" i="157"/>
  <c r="H191" i="157"/>
  <c r="H93" i="157"/>
  <c r="H123" i="157"/>
  <c r="H206" i="157"/>
  <c r="H69" i="157"/>
  <c r="H68" i="157"/>
  <c r="H130" i="157"/>
  <c r="H96" i="157"/>
  <c r="H173" i="157"/>
  <c r="H107" i="157"/>
  <c r="H33" i="157"/>
  <c r="H146" i="157"/>
  <c r="H189" i="157"/>
  <c r="H58" i="157"/>
  <c r="H145" i="157"/>
  <c r="H140" i="157"/>
  <c r="H137" i="157"/>
  <c r="H127" i="157"/>
  <c r="H92" i="157"/>
  <c r="M208" i="89"/>
  <c r="H197" i="89"/>
  <c r="H32" i="89"/>
  <c r="H194" i="89"/>
  <c r="H200" i="89"/>
  <c r="H158" i="89"/>
  <c r="H59" i="89"/>
  <c r="H48" i="89"/>
  <c r="H91" i="89"/>
  <c r="H66" i="89"/>
  <c r="H83" i="89"/>
  <c r="H29" i="89"/>
  <c r="H114" i="89"/>
  <c r="H56" i="89"/>
  <c r="H61" i="89"/>
  <c r="H206" i="89"/>
  <c r="H125" i="89"/>
  <c r="H46" i="89"/>
  <c r="H124" i="89"/>
  <c r="H129" i="89"/>
  <c r="H97" i="89"/>
  <c r="H126" i="89"/>
  <c r="H99" i="89"/>
  <c r="H201" i="89"/>
  <c r="H47" i="89"/>
  <c r="H116" i="89"/>
  <c r="H141" i="89"/>
  <c r="H109" i="89"/>
  <c r="H30" i="89"/>
  <c r="H85" i="89"/>
  <c r="H96" i="89"/>
  <c r="H26" i="89"/>
  <c r="H79" i="89"/>
  <c r="H190" i="89"/>
  <c r="H45" i="89"/>
  <c r="H78" i="89"/>
  <c r="H187" i="89"/>
  <c r="H76" i="89"/>
  <c r="H49" i="89"/>
  <c r="H185" i="89"/>
  <c r="H101" i="89"/>
  <c r="H51" i="89"/>
  <c r="H127" i="89"/>
  <c r="H175" i="89"/>
  <c r="H36" i="89"/>
  <c r="H140" i="89"/>
  <c r="H188" i="89"/>
  <c r="H155" i="89"/>
  <c r="H118" i="89"/>
  <c r="H171" i="89"/>
  <c r="H156" i="89"/>
  <c r="H145" i="89"/>
  <c r="H133" i="89"/>
  <c r="H208" i="89"/>
  <c r="H106" i="89"/>
  <c r="H43" i="89"/>
  <c r="H161" i="89"/>
  <c r="H146" i="89"/>
  <c r="H178" i="89"/>
  <c r="H142" i="89"/>
  <c r="H172" i="89"/>
  <c r="H137" i="89"/>
  <c r="H189" i="89"/>
  <c r="H27" i="89"/>
  <c r="H38" i="89"/>
  <c r="H108" i="89"/>
  <c r="H202" i="89"/>
  <c r="H67" i="89"/>
  <c r="H110" i="89"/>
  <c r="H117" i="89"/>
  <c r="H150" i="89"/>
  <c r="H53" i="89"/>
  <c r="H149" i="89"/>
  <c r="H60" i="89"/>
  <c r="H58" i="89"/>
  <c r="H168" i="89"/>
  <c r="H35" i="89"/>
  <c r="H55" i="89"/>
  <c r="H65" i="89"/>
  <c r="H88" i="89"/>
  <c r="H193" i="89"/>
  <c r="H28" i="89"/>
  <c r="G238" i="176"/>
  <c r="G215" i="102"/>
  <c r="H49" i="64"/>
  <c r="H159" i="64"/>
  <c r="H145" i="64"/>
  <c r="H152" i="64"/>
  <c r="H114" i="64"/>
  <c r="H53" i="64"/>
  <c r="H148" i="64"/>
  <c r="H164" i="64"/>
  <c r="H189" i="64"/>
  <c r="H190" i="157"/>
  <c r="H114" i="157"/>
  <c r="H28" i="157"/>
  <c r="H166" i="157"/>
  <c r="H126" i="157"/>
  <c r="H148" i="157"/>
  <c r="H61" i="157"/>
  <c r="H82" i="157"/>
  <c r="H132" i="157"/>
  <c r="H205" i="157"/>
  <c r="M208" i="102"/>
  <c r="H192" i="102"/>
  <c r="H119" i="102"/>
  <c r="H78" i="102"/>
  <c r="H88" i="102"/>
  <c r="H167" i="102"/>
  <c r="H177" i="102"/>
  <c r="H102" i="102"/>
  <c r="H205" i="102"/>
  <c r="H165" i="102"/>
  <c r="H169" i="102"/>
  <c r="H102" i="89"/>
  <c r="H148" i="89"/>
  <c r="H25" i="89"/>
  <c r="H132" i="89"/>
  <c r="H176" i="89"/>
  <c r="H42" i="89"/>
  <c r="H186" i="89"/>
  <c r="H100" i="89"/>
  <c r="H50" i="89"/>
  <c r="H160" i="89"/>
  <c r="H75" i="89"/>
  <c r="H69" i="155"/>
  <c r="H117" i="155"/>
  <c r="H99" i="155"/>
  <c r="H158" i="155"/>
  <c r="H130" i="155"/>
  <c r="H49" i="155"/>
  <c r="H85" i="155"/>
  <c r="H169" i="155"/>
  <c r="H129" i="155"/>
  <c r="H58" i="49"/>
  <c r="H208" i="49"/>
  <c r="H59" i="49"/>
  <c r="H150" i="49"/>
  <c r="H68" i="49"/>
  <c r="M208" i="49"/>
  <c r="H117" i="49"/>
  <c r="H152" i="49"/>
  <c r="H138" i="49"/>
  <c r="H116" i="49"/>
  <c r="G215" i="64"/>
  <c r="H173" i="64"/>
  <c r="H50" i="64"/>
  <c r="H170" i="64"/>
  <c r="H182" i="64"/>
  <c r="H190" i="64"/>
  <c r="H208" i="64"/>
  <c r="H192" i="64"/>
  <c r="H38" i="64"/>
  <c r="H77" i="64"/>
  <c r="H86" i="64"/>
  <c r="H180" i="64"/>
  <c r="H52" i="64"/>
  <c r="H110" i="64"/>
  <c r="H206" i="64"/>
  <c r="H99" i="64"/>
  <c r="H117" i="64"/>
  <c r="H27" i="64"/>
  <c r="H132" i="64"/>
  <c r="H196" i="64"/>
  <c r="H25" i="64"/>
  <c r="H205" i="64"/>
  <c r="H60" i="64"/>
  <c r="H184" i="64"/>
  <c r="H71" i="64"/>
  <c r="H171" i="64"/>
  <c r="H172" i="64"/>
  <c r="H123" i="64"/>
  <c r="H36" i="64"/>
  <c r="H45" i="64"/>
  <c r="H167" i="64"/>
  <c r="H186" i="64"/>
  <c r="H183" i="64"/>
  <c r="H72" i="64"/>
  <c r="H73" i="64"/>
  <c r="H157" i="64"/>
  <c r="H87" i="64"/>
  <c r="H165" i="64"/>
  <c r="H200" i="64"/>
  <c r="H187" i="64"/>
  <c r="H31" i="64"/>
  <c r="H67" i="64"/>
  <c r="H155" i="64"/>
  <c r="H70" i="64"/>
  <c r="H59" i="64"/>
  <c r="H44" i="64"/>
  <c r="H149" i="64"/>
  <c r="H108" i="64"/>
  <c r="H160" i="64"/>
  <c r="H135" i="64"/>
  <c r="H161" i="64"/>
  <c r="H40" i="64"/>
  <c r="H143" i="64"/>
  <c r="H66" i="64"/>
  <c r="H147" i="64"/>
  <c r="H168" i="64"/>
  <c r="H93" i="64"/>
  <c r="H126" i="64"/>
  <c r="H97" i="64"/>
  <c r="H39" i="64"/>
  <c r="H130" i="64"/>
  <c r="H89" i="64"/>
  <c r="H75" i="64"/>
  <c r="H195" i="64"/>
  <c r="H176" i="64"/>
  <c r="H65" i="64"/>
  <c r="H96" i="64"/>
  <c r="H169" i="64"/>
  <c r="H46" i="64"/>
  <c r="H82" i="64"/>
  <c r="H124" i="64"/>
  <c r="H181" i="64"/>
  <c r="H85" i="64"/>
  <c r="H178" i="64"/>
  <c r="H48" i="64"/>
  <c r="H55" i="64"/>
  <c r="H129" i="64"/>
  <c r="H197" i="64"/>
  <c r="H61" i="64"/>
  <c r="H146" i="64"/>
  <c r="H57" i="64"/>
  <c r="H34" i="64"/>
  <c r="H185" i="64"/>
  <c r="H47" i="64"/>
  <c r="H32" i="64"/>
  <c r="H124" i="157"/>
  <c r="H129" i="157"/>
  <c r="H175" i="102"/>
  <c r="H158" i="102"/>
  <c r="H54" i="102"/>
  <c r="H124" i="102"/>
  <c r="H111" i="102"/>
  <c r="H149" i="102"/>
  <c r="H141" i="102"/>
  <c r="H100" i="102"/>
  <c r="H72" i="102"/>
  <c r="H57" i="102"/>
  <c r="H147" i="89"/>
  <c r="H92" i="89"/>
  <c r="H64" i="89"/>
  <c r="H73" i="89"/>
  <c r="H177" i="89"/>
  <c r="H39" i="89"/>
  <c r="H182" i="89"/>
  <c r="H71" i="89"/>
  <c r="H44" i="89"/>
  <c r="H90" i="89"/>
  <c r="H167" i="89"/>
  <c r="N18" i="15"/>
  <c r="N18" i="58"/>
  <c r="N18" i="54"/>
  <c r="N18" i="32"/>
  <c r="N18" i="145"/>
  <c r="N18" i="178"/>
  <c r="N18" i="45"/>
  <c r="N18" i="65"/>
  <c r="N18" i="79"/>
  <c r="N18" i="141"/>
  <c r="G215" i="104"/>
  <c r="H78" i="104"/>
  <c r="H42" i="104"/>
  <c r="H185" i="104"/>
  <c r="H40" i="104"/>
  <c r="H110" i="104"/>
  <c r="H117" i="104"/>
  <c r="H175" i="104"/>
  <c r="H86" i="104"/>
  <c r="H119" i="104"/>
  <c r="H106" i="104"/>
  <c r="H149" i="104"/>
  <c r="H167" i="104"/>
  <c r="H39" i="104"/>
  <c r="H173" i="104"/>
  <c r="H208" i="104"/>
  <c r="H38" i="104"/>
  <c r="H201" i="104"/>
  <c r="H194" i="104"/>
  <c r="H93" i="104"/>
  <c r="H131" i="104"/>
  <c r="H189" i="104"/>
  <c r="H102" i="104"/>
  <c r="H115" i="104"/>
  <c r="H33" i="104"/>
  <c r="H71" i="104"/>
  <c r="H66" i="104"/>
  <c r="H184" i="104"/>
  <c r="H143" i="104"/>
  <c r="H100" i="104"/>
  <c r="H57" i="104"/>
  <c r="H96" i="104"/>
  <c r="H183" i="104"/>
  <c r="H168" i="104"/>
  <c r="H186" i="104"/>
  <c r="H59" i="104"/>
  <c r="M208" i="104"/>
  <c r="H136" i="104"/>
  <c r="H89" i="104"/>
  <c r="H156" i="104"/>
  <c r="H125" i="104"/>
  <c r="H109" i="104"/>
  <c r="H193" i="104"/>
  <c r="H111" i="104"/>
  <c r="H123" i="104"/>
  <c r="H197" i="104"/>
  <c r="H47" i="104"/>
  <c r="H60" i="104"/>
  <c r="H161" i="104"/>
  <c r="H53" i="104"/>
  <c r="H133" i="104"/>
  <c r="H84" i="104"/>
  <c r="H37" i="104"/>
  <c r="H76" i="104"/>
  <c r="H29" i="104"/>
  <c r="H203" i="104"/>
  <c r="H170" i="104"/>
  <c r="H108" i="104"/>
  <c r="H180" i="104"/>
  <c r="H178" i="104"/>
  <c r="H145" i="104"/>
  <c r="H126" i="104"/>
  <c r="H56" i="104"/>
  <c r="H65" i="104"/>
  <c r="H30" i="104"/>
  <c r="H87" i="104"/>
  <c r="H36" i="104"/>
  <c r="H151" i="104"/>
  <c r="H192" i="104"/>
  <c r="H153" i="104"/>
  <c r="H77" i="104"/>
  <c r="H166" i="104"/>
  <c r="H138" i="104"/>
  <c r="H52" i="104"/>
  <c r="H74" i="104"/>
  <c r="H25" i="104"/>
  <c r="H141" i="104"/>
  <c r="H90" i="104"/>
  <c r="H105" i="104"/>
  <c r="H130" i="104"/>
  <c r="H61" i="104"/>
  <c r="H188" i="104"/>
  <c r="H191" i="155"/>
  <c r="K12" i="155"/>
  <c r="G215" i="155"/>
  <c r="H172" i="155"/>
  <c r="H98" i="155"/>
  <c r="H186" i="155"/>
  <c r="H48" i="155"/>
  <c r="H101" i="155"/>
  <c r="H161" i="155"/>
  <c r="H55" i="155"/>
  <c r="H74" i="155"/>
  <c r="H25" i="155"/>
  <c r="H89" i="155"/>
  <c r="H138" i="155"/>
  <c r="H100" i="155"/>
  <c r="H83" i="155"/>
  <c r="H61" i="155"/>
  <c r="H143" i="155"/>
  <c r="H46" i="155"/>
  <c r="H155" i="155"/>
  <c r="H147" i="155"/>
  <c r="H44" i="155"/>
  <c r="H124" i="155"/>
  <c r="H119" i="155"/>
  <c r="H114" i="155"/>
  <c r="H133" i="155"/>
  <c r="H146" i="155"/>
  <c r="H202" i="155"/>
  <c r="H192" i="155"/>
  <c r="H66" i="155"/>
  <c r="H29" i="155"/>
  <c r="H181" i="155"/>
  <c r="H77" i="155"/>
  <c r="H51" i="155"/>
  <c r="H179" i="155"/>
  <c r="H137" i="155"/>
  <c r="H136" i="155"/>
  <c r="H189" i="155"/>
  <c r="H141" i="155"/>
  <c r="H73" i="155"/>
  <c r="H193" i="155"/>
  <c r="H197" i="155"/>
  <c r="H153" i="155"/>
  <c r="H36" i="155"/>
  <c r="H106" i="155"/>
  <c r="H178" i="155"/>
  <c r="H174" i="155"/>
  <c r="H188" i="155"/>
  <c r="H127" i="155"/>
  <c r="H70" i="155"/>
  <c r="H135" i="155"/>
  <c r="H65" i="155"/>
  <c r="H190" i="155"/>
  <c r="H47" i="155"/>
  <c r="H79" i="155"/>
  <c r="H60" i="155"/>
  <c r="H75" i="155"/>
  <c r="H110" i="155"/>
  <c r="H148" i="155"/>
  <c r="H175" i="155"/>
  <c r="H28" i="155"/>
  <c r="H67" i="155"/>
  <c r="H109" i="155"/>
  <c r="H76" i="155"/>
  <c r="H34" i="155"/>
  <c r="H166" i="155"/>
  <c r="H102" i="155"/>
  <c r="H187" i="155"/>
  <c r="H142" i="155"/>
  <c r="H167" i="155"/>
  <c r="H43" i="155"/>
  <c r="H59" i="155"/>
  <c r="H57" i="155"/>
  <c r="H82" i="155"/>
  <c r="H165" i="155"/>
  <c r="H160" i="155"/>
  <c r="H93" i="155"/>
  <c r="H132" i="155"/>
  <c r="H37" i="155"/>
  <c r="H140" i="155"/>
  <c r="H33" i="155"/>
  <c r="H169" i="49"/>
  <c r="H172" i="49"/>
  <c r="H66" i="49"/>
  <c r="H177" i="49"/>
  <c r="H50" i="49"/>
  <c r="H56" i="49"/>
  <c r="H190" i="49"/>
  <c r="H43" i="49"/>
  <c r="H35" i="49"/>
  <c r="H54" i="49"/>
  <c r="H142" i="49"/>
  <c r="H55" i="49"/>
  <c r="H202" i="49"/>
  <c r="H140" i="49"/>
  <c r="H40" i="49"/>
  <c r="H129" i="49"/>
  <c r="H88" i="49"/>
  <c r="H86" i="49"/>
  <c r="H78" i="49"/>
  <c r="H194" i="49"/>
  <c r="H168" i="49"/>
  <c r="H34" i="49"/>
  <c r="H206" i="49"/>
  <c r="H173" i="49"/>
  <c r="H132" i="49"/>
  <c r="H185" i="49"/>
  <c r="H96" i="49"/>
  <c r="H197" i="49"/>
  <c r="H51" i="49"/>
  <c r="H146" i="49"/>
  <c r="H49" i="49"/>
  <c r="H115" i="49"/>
  <c r="H38" i="49"/>
  <c r="H153" i="49"/>
  <c r="H174" i="49"/>
  <c r="H192" i="49"/>
  <c r="H180" i="49"/>
  <c r="H29" i="49"/>
  <c r="H118" i="49"/>
  <c r="H39" i="49"/>
  <c r="H127" i="49"/>
  <c r="H82" i="49"/>
  <c r="H149" i="49"/>
  <c r="H186" i="49"/>
  <c r="H65" i="49"/>
  <c r="H31" i="49"/>
  <c r="H125" i="49"/>
  <c r="H33" i="49"/>
  <c r="H124" i="49"/>
  <c r="H155" i="49"/>
  <c r="H184" i="49"/>
  <c r="H182" i="49"/>
  <c r="H183" i="49"/>
  <c r="H97" i="49"/>
  <c r="H170" i="49"/>
  <c r="H70" i="49"/>
  <c r="H42" i="49"/>
  <c r="H91" i="49"/>
  <c r="H57" i="49"/>
  <c r="H47" i="49"/>
  <c r="H201" i="49"/>
  <c r="H171" i="49"/>
  <c r="H102" i="49"/>
  <c r="H189" i="49"/>
  <c r="H45" i="49"/>
  <c r="H69" i="49"/>
  <c r="H74" i="49"/>
  <c r="H165" i="49"/>
  <c r="H126" i="49"/>
  <c r="H110" i="49"/>
  <c r="H167" i="49"/>
  <c r="H89" i="49"/>
  <c r="H105" i="49"/>
  <c r="H145" i="49"/>
  <c r="H119" i="49"/>
  <c r="H187" i="49"/>
  <c r="H157" i="49"/>
  <c r="H191" i="49"/>
  <c r="H83" i="49"/>
  <c r="H99" i="49"/>
  <c r="H205" i="49"/>
  <c r="G215" i="49"/>
  <c r="H164" i="119"/>
  <c r="H35" i="119"/>
  <c r="H114" i="119"/>
  <c r="H131" i="119"/>
  <c r="H60" i="119"/>
  <c r="H61" i="119"/>
  <c r="H39" i="119"/>
  <c r="H66" i="119"/>
  <c r="H191" i="119"/>
  <c r="H79" i="119"/>
  <c r="H101" i="119"/>
  <c r="H90" i="119"/>
  <c r="H170" i="119"/>
  <c r="H49" i="119"/>
  <c r="H71" i="119"/>
  <c r="H184" i="119"/>
  <c r="H43" i="119"/>
  <c r="H146" i="119"/>
  <c r="H152" i="119"/>
  <c r="H30" i="119"/>
  <c r="H187" i="119"/>
  <c r="H91" i="119"/>
  <c r="H140" i="119"/>
  <c r="H75" i="119"/>
  <c r="H145" i="119"/>
  <c r="H58" i="119"/>
  <c r="H93" i="119"/>
  <c r="H40" i="119"/>
  <c r="H150" i="119"/>
  <c r="H87" i="119"/>
  <c r="H174" i="119"/>
  <c r="H109" i="119"/>
  <c r="H100" i="119"/>
  <c r="H105" i="119"/>
  <c r="H137" i="119"/>
  <c r="H148" i="119"/>
  <c r="H147" i="119"/>
  <c r="H36" i="119"/>
  <c r="H68" i="119"/>
  <c r="H157" i="119"/>
  <c r="H26" i="119"/>
  <c r="H166" i="119"/>
  <c r="H158" i="119"/>
  <c r="H183" i="119"/>
  <c r="H115" i="119"/>
  <c r="H34" i="119"/>
  <c r="H167" i="119"/>
  <c r="H97" i="119"/>
  <c r="H188" i="119"/>
  <c r="H126" i="119"/>
  <c r="H156" i="119"/>
  <c r="H185" i="119"/>
  <c r="H56" i="119"/>
  <c r="H149" i="119"/>
  <c r="H189" i="119"/>
  <c r="H110" i="119"/>
  <c r="H47" i="119"/>
  <c r="H106" i="119"/>
  <c r="H116" i="119"/>
  <c r="H73" i="119"/>
  <c r="G215" i="119"/>
  <c r="H48" i="119"/>
  <c r="H168" i="119"/>
  <c r="H135" i="119"/>
  <c r="H160" i="119"/>
  <c r="H37" i="119"/>
  <c r="H186" i="119"/>
  <c r="H190" i="119"/>
  <c r="H177" i="119"/>
  <c r="H165" i="119"/>
  <c r="H96" i="119"/>
  <c r="H119" i="119"/>
  <c r="H89" i="119"/>
  <c r="H59" i="119"/>
  <c r="H69" i="119"/>
  <c r="H53" i="119"/>
  <c r="H127" i="119"/>
  <c r="H57" i="119"/>
  <c r="H65" i="119"/>
  <c r="H153" i="119"/>
  <c r="H55" i="119"/>
  <c r="H136" i="119"/>
  <c r="G238" i="119"/>
  <c r="H83" i="102"/>
  <c r="H74" i="102"/>
  <c r="H194" i="102"/>
  <c r="H60" i="102"/>
  <c r="H135" i="102"/>
  <c r="H148" i="102"/>
  <c r="H90" i="102"/>
  <c r="H191" i="102"/>
  <c r="H147" i="102"/>
  <c r="H133" i="102"/>
  <c r="H35" i="102"/>
  <c r="H61" i="102"/>
  <c r="H87" i="102"/>
  <c r="H52" i="102"/>
  <c r="H173" i="102"/>
  <c r="H106" i="102"/>
  <c r="H164" i="102"/>
  <c r="H97" i="102"/>
  <c r="H116" i="102"/>
  <c r="H203" i="102"/>
  <c r="H75" i="102"/>
  <c r="H70" i="102"/>
  <c r="H41" i="102"/>
  <c r="H59" i="102"/>
  <c r="H56" i="102"/>
  <c r="H142" i="102"/>
  <c r="H176" i="102"/>
  <c r="H55" i="102"/>
  <c r="H49" i="102"/>
  <c r="H73" i="102"/>
  <c r="H105" i="102"/>
  <c r="H208" i="102"/>
  <c r="H96" i="102"/>
  <c r="H79" i="102"/>
  <c r="H27" i="102"/>
  <c r="H136" i="102"/>
  <c r="H108" i="102"/>
  <c r="H196" i="102"/>
  <c r="H131" i="102"/>
  <c r="H36" i="102"/>
  <c r="H28" i="102"/>
  <c r="H188" i="102"/>
  <c r="H125" i="102"/>
  <c r="H187" i="102"/>
  <c r="H34" i="102"/>
  <c r="H33" i="102"/>
  <c r="H117" i="102"/>
  <c r="H67" i="102"/>
  <c r="H50" i="102"/>
  <c r="H42" i="102"/>
  <c r="H69" i="102"/>
  <c r="H186" i="102"/>
  <c r="H168" i="102"/>
  <c r="H86" i="102"/>
  <c r="H77" i="102"/>
  <c r="H206" i="102"/>
  <c r="H118" i="102"/>
  <c r="H45" i="102"/>
  <c r="H46" i="102"/>
  <c r="H184" i="102"/>
  <c r="H190" i="102"/>
  <c r="H140" i="102"/>
  <c r="H127" i="102"/>
  <c r="H47" i="102"/>
  <c r="H159" i="102"/>
  <c r="H193" i="102"/>
  <c r="H30" i="102"/>
  <c r="H130" i="102"/>
  <c r="H145" i="102"/>
  <c r="H171" i="102"/>
  <c r="H146" i="102"/>
  <c r="H153" i="102"/>
  <c r="H114" i="102"/>
  <c r="H98" i="102"/>
  <c r="H93" i="102"/>
  <c r="H84" i="102"/>
  <c r="H76" i="102"/>
  <c r="H44" i="102"/>
  <c r="H180" i="102"/>
  <c r="H31" i="102"/>
  <c r="H48" i="102"/>
  <c r="H109" i="64"/>
  <c r="H29" i="64"/>
  <c r="H98" i="64"/>
  <c r="H136" i="64"/>
  <c r="H204" i="64"/>
  <c r="H151" i="64"/>
  <c r="H118" i="64"/>
  <c r="H182" i="157"/>
  <c r="H32" i="157"/>
  <c r="H41" i="157"/>
  <c r="H71" i="157"/>
  <c r="H102" i="157"/>
  <c r="H164" i="157"/>
  <c r="H89" i="157"/>
  <c r="H172" i="157"/>
  <c r="H79" i="64"/>
  <c r="H203" i="64"/>
  <c r="H106" i="64"/>
  <c r="H69" i="64"/>
  <c r="H64" i="64"/>
  <c r="H138" i="64"/>
  <c r="H33" i="64"/>
  <c r="H102" i="64"/>
  <c r="H101" i="64"/>
  <c r="H54" i="64"/>
  <c r="H137" i="104"/>
  <c r="H34" i="104"/>
  <c r="H48" i="104"/>
  <c r="H127" i="104"/>
  <c r="H204" i="104"/>
  <c r="H46" i="104"/>
  <c r="H124" i="104"/>
  <c r="H202" i="104"/>
  <c r="H195" i="104"/>
  <c r="H55" i="104"/>
  <c r="H32" i="104"/>
  <c r="H98" i="157"/>
  <c r="H109" i="157"/>
  <c r="H135" i="157"/>
  <c r="H115" i="157"/>
  <c r="H27" i="157"/>
  <c r="H174" i="157"/>
  <c r="H167" i="157"/>
  <c r="H155" i="157"/>
  <c r="H181" i="157"/>
  <c r="H42" i="157"/>
  <c r="H64" i="102"/>
  <c r="H138" i="102"/>
  <c r="H37" i="102"/>
  <c r="H123" i="102"/>
  <c r="H150" i="102"/>
  <c r="H126" i="102"/>
  <c r="H65" i="102"/>
  <c r="H157" i="102"/>
  <c r="H201" i="102"/>
  <c r="H40" i="102"/>
  <c r="H74" i="89"/>
  <c r="H157" i="89"/>
  <c r="H86" i="89"/>
  <c r="H180" i="89"/>
  <c r="H57" i="89"/>
  <c r="H173" i="89"/>
  <c r="H107" i="89"/>
  <c r="H174" i="89"/>
  <c r="H111" i="89"/>
  <c r="H191" i="89"/>
  <c r="H111" i="155"/>
  <c r="H196" i="155"/>
  <c r="H168" i="155"/>
  <c r="H30" i="155"/>
  <c r="H108" i="155"/>
  <c r="H200" i="155"/>
  <c r="H171" i="155"/>
  <c r="H72" i="155"/>
  <c r="H157" i="155"/>
  <c r="H204" i="155"/>
  <c r="H90" i="49"/>
  <c r="H61" i="49"/>
  <c r="H123" i="49"/>
  <c r="H48" i="49"/>
  <c r="H161" i="49"/>
  <c r="H27" i="49"/>
  <c r="H107" i="49"/>
  <c r="H114" i="49"/>
  <c r="K12" i="49"/>
  <c r="H100" i="49"/>
  <c r="H56" i="64"/>
  <c r="H179" i="64"/>
  <c r="H74" i="64"/>
  <c r="H116" i="64"/>
  <c r="M208" i="64"/>
  <c r="H177" i="64"/>
  <c r="H42" i="64"/>
  <c r="H68" i="64"/>
  <c r="H35" i="64"/>
  <c r="H100" i="64"/>
  <c r="H133" i="64"/>
  <c r="H201" i="157"/>
  <c r="H194" i="157"/>
  <c r="H91" i="157"/>
  <c r="H161" i="157"/>
  <c r="H59" i="157"/>
  <c r="H75" i="157"/>
  <c r="H193" i="157"/>
  <c r="H76" i="157"/>
  <c r="H37" i="157"/>
  <c r="H197" i="157"/>
  <c r="H53" i="102"/>
  <c r="H71" i="102"/>
  <c r="H110" i="102"/>
  <c r="H185" i="102"/>
  <c r="H166" i="102"/>
  <c r="H107" i="102"/>
  <c r="H178" i="102"/>
  <c r="H26" i="102"/>
  <c r="H197" i="102"/>
  <c r="H66" i="102"/>
  <c r="H169" i="89"/>
  <c r="H123" i="89"/>
  <c r="H184" i="89"/>
  <c r="H203" i="89"/>
  <c r="H205" i="89"/>
  <c r="H164" i="89"/>
  <c r="H165" i="89"/>
  <c r="H204" i="89"/>
  <c r="H98" i="89"/>
  <c r="H153" i="89"/>
  <c r="H68" i="155"/>
  <c r="H78" i="155"/>
  <c r="H90" i="155"/>
  <c r="H184" i="155"/>
  <c r="H52" i="155"/>
  <c r="M208" i="155"/>
  <c r="H54" i="155"/>
  <c r="H205" i="155"/>
  <c r="H27" i="155"/>
  <c r="H115" i="155"/>
  <c r="H85" i="49"/>
  <c r="H193" i="49"/>
  <c r="H196" i="49"/>
  <c r="H53" i="49"/>
  <c r="H52" i="49"/>
  <c r="H141" i="49"/>
  <c r="H84" i="49"/>
  <c r="H200" i="49"/>
  <c r="H46" i="49"/>
  <c r="H148" i="49"/>
  <c r="G238" i="90"/>
  <c r="G238" i="118"/>
  <c r="G238" i="68"/>
  <c r="G238" i="141"/>
  <c r="J164" i="97"/>
  <c r="N161" i="55"/>
  <c r="O161" i="55"/>
  <c r="J200" i="97"/>
  <c r="N197" i="167"/>
  <c r="H30" i="32"/>
  <c r="H188" i="32"/>
  <c r="H47" i="32"/>
  <c r="H179" i="32"/>
  <c r="H172" i="32"/>
  <c r="H101" i="32"/>
  <c r="H109" i="32"/>
  <c r="H119" i="32"/>
  <c r="H58" i="32"/>
  <c r="H82" i="32"/>
  <c r="H61" i="32"/>
  <c r="H99" i="32"/>
  <c r="H68" i="32"/>
  <c r="H117" i="32"/>
  <c r="H191" i="32"/>
  <c r="H72" i="32"/>
  <c r="H145" i="32"/>
  <c r="H190" i="32"/>
  <c r="H201" i="32"/>
  <c r="H98" i="32"/>
  <c r="H151" i="32"/>
  <c r="H193" i="32"/>
  <c r="H180" i="32"/>
  <c r="H100" i="32"/>
  <c r="H161" i="32"/>
  <c r="H116" i="32"/>
  <c r="H73" i="32"/>
  <c r="H93" i="32"/>
  <c r="H164" i="32"/>
  <c r="H53" i="32"/>
  <c r="H143" i="32"/>
  <c r="H148" i="32"/>
  <c r="H70" i="32"/>
  <c r="H60" i="32"/>
  <c r="H203" i="32"/>
  <c r="H90" i="32"/>
  <c r="H126" i="32"/>
  <c r="H208" i="32"/>
  <c r="H55" i="32"/>
  <c r="H86" i="32"/>
  <c r="H168" i="32"/>
  <c r="H76" i="32"/>
  <c r="H96" i="32"/>
  <c r="H181" i="32"/>
  <c r="H152" i="32"/>
  <c r="H182" i="32"/>
  <c r="H156" i="32"/>
  <c r="H34" i="32"/>
  <c r="H159" i="32"/>
  <c r="H106" i="32"/>
  <c r="H177" i="32"/>
  <c r="H118" i="32"/>
  <c r="H206" i="32"/>
  <c r="H169" i="32"/>
  <c r="H137" i="32"/>
  <c r="H49" i="32"/>
  <c r="H33" i="32"/>
  <c r="H167" i="32"/>
  <c r="H195" i="32"/>
  <c r="H130" i="32"/>
  <c r="H36" i="32"/>
  <c r="H127" i="32"/>
  <c r="H71" i="32"/>
  <c r="H107" i="32"/>
  <c r="H51" i="32"/>
  <c r="H125" i="32"/>
  <c r="K12" i="32"/>
  <c r="H97" i="32"/>
  <c r="H114" i="32"/>
  <c r="H85" i="32"/>
  <c r="H192" i="32"/>
  <c r="H178" i="32"/>
  <c r="H132" i="32"/>
  <c r="H37" i="32"/>
  <c r="H131" i="32"/>
  <c r="H25" i="32"/>
  <c r="H40" i="32"/>
  <c r="H202" i="32"/>
  <c r="H74" i="32"/>
  <c r="H88" i="32"/>
  <c r="H28" i="32"/>
  <c r="H141" i="32"/>
  <c r="H39" i="32"/>
  <c r="H32" i="32"/>
  <c r="H170" i="32"/>
  <c r="H54" i="32"/>
  <c r="H115" i="32"/>
  <c r="H38" i="32"/>
  <c r="H185" i="32"/>
  <c r="H135" i="32"/>
  <c r="H26" i="32"/>
  <c r="H138" i="32"/>
  <c r="H27" i="32"/>
  <c r="H171" i="32"/>
  <c r="H66" i="32"/>
  <c r="H196" i="32"/>
  <c r="H75" i="32"/>
  <c r="H79" i="32"/>
  <c r="H48" i="32"/>
  <c r="H41" i="32"/>
  <c r="H31" i="32"/>
  <c r="H146" i="32"/>
  <c r="H129" i="32"/>
  <c r="H108" i="32"/>
  <c r="H84" i="32"/>
  <c r="H59" i="32"/>
  <c r="H102" i="32"/>
  <c r="H46" i="32"/>
  <c r="H110" i="32"/>
  <c r="H173" i="32"/>
  <c r="H186" i="32"/>
  <c r="H43" i="32"/>
  <c r="H200" i="32"/>
  <c r="H91" i="32"/>
  <c r="H133" i="32"/>
  <c r="H44" i="32"/>
  <c r="H57" i="32"/>
  <c r="H155" i="32"/>
  <c r="H67" i="32"/>
  <c r="H184" i="32"/>
  <c r="H142" i="32"/>
  <c r="H175" i="32"/>
  <c r="H197" i="32"/>
  <c r="H150" i="32"/>
  <c r="H136" i="32"/>
  <c r="H158" i="32"/>
  <c r="H111" i="32"/>
  <c r="H56" i="32"/>
  <c r="H187" i="32"/>
  <c r="H174" i="32"/>
  <c r="H64" i="32"/>
  <c r="H205" i="32"/>
  <c r="H87" i="32"/>
  <c r="H92" i="32"/>
  <c r="H149" i="32"/>
  <c r="H204" i="32"/>
  <c r="H89" i="32"/>
  <c r="H77" i="32"/>
  <c r="H165" i="32"/>
  <c r="H189" i="32"/>
  <c r="H65" i="32"/>
  <c r="H183" i="32"/>
  <c r="H83" i="32"/>
  <c r="H78" i="32"/>
  <c r="H105" i="32"/>
  <c r="H176" i="32"/>
  <c r="H50" i="32"/>
  <c r="H153" i="32"/>
  <c r="M208" i="32"/>
  <c r="H160" i="32"/>
  <c r="H123" i="32"/>
  <c r="H166" i="32"/>
  <c r="H42" i="32"/>
  <c r="H45" i="32"/>
  <c r="H140" i="32"/>
  <c r="H157" i="32"/>
  <c r="H147" i="32"/>
  <c r="H194" i="32"/>
  <c r="H29" i="32"/>
  <c r="H124" i="32"/>
  <c r="H69" i="32"/>
  <c r="H35" i="32"/>
  <c r="H52" i="32"/>
  <c r="J150" i="97"/>
  <c r="N147" i="158"/>
  <c r="H203" i="178"/>
  <c r="H197" i="178"/>
  <c r="H193" i="178"/>
  <c r="H189" i="178"/>
  <c r="H185" i="178"/>
  <c r="H181" i="178"/>
  <c r="H177" i="178"/>
  <c r="H173" i="178"/>
  <c r="H169" i="178"/>
  <c r="H165" i="178"/>
  <c r="H118" i="178"/>
  <c r="H114" i="178"/>
  <c r="H101" i="178"/>
  <c r="H97" i="178"/>
  <c r="H58" i="178"/>
  <c r="H54" i="178"/>
  <c r="H50" i="178"/>
  <c r="H46" i="178"/>
  <c r="H42" i="178"/>
  <c r="H38" i="178"/>
  <c r="H34" i="178"/>
  <c r="H30" i="178"/>
  <c r="H26" i="178"/>
  <c r="H208" i="178"/>
  <c r="H158" i="178"/>
  <c r="H153" i="178"/>
  <c r="H149" i="178"/>
  <c r="H145" i="178"/>
  <c r="H140" i="178"/>
  <c r="H135" i="178"/>
  <c r="H130" i="178"/>
  <c r="H125" i="178"/>
  <c r="H111" i="178"/>
  <c r="H107" i="178"/>
  <c r="H90" i="178"/>
  <c r="H86" i="178"/>
  <c r="H82" i="178"/>
  <c r="H76" i="178"/>
  <c r="H72" i="178"/>
  <c r="H68" i="178"/>
  <c r="H64" i="178"/>
  <c r="H161" i="178"/>
  <c r="H157" i="178"/>
  <c r="H152" i="178"/>
  <c r="H148" i="178"/>
  <c r="H143" i="178"/>
  <c r="H138" i="178"/>
  <c r="H133" i="178"/>
  <c r="H129" i="178"/>
  <c r="H124" i="178"/>
  <c r="H110" i="178"/>
  <c r="H106" i="178"/>
  <c r="H93" i="178"/>
  <c r="H89" i="178"/>
  <c r="H85" i="178"/>
  <c r="H79" i="178"/>
  <c r="H75" i="178"/>
  <c r="H71" i="178"/>
  <c r="H67" i="178"/>
  <c r="M208" i="178"/>
  <c r="H202" i="178"/>
  <c r="H194" i="178"/>
  <c r="H187" i="178"/>
  <c r="H168" i="178"/>
  <c r="H146" i="178"/>
  <c r="H137" i="178"/>
  <c r="H119" i="178"/>
  <c r="H92" i="178"/>
  <c r="H65" i="178"/>
  <c r="H49" i="178"/>
  <c r="H43" i="178"/>
  <c r="H36" i="178"/>
  <c r="H201" i="178"/>
  <c r="H180" i="178"/>
  <c r="H174" i="178"/>
  <c r="H167" i="178"/>
  <c r="H159" i="178"/>
  <c r="H151" i="178"/>
  <c r="H109" i="178"/>
  <c r="H100" i="178"/>
  <c r="H77" i="178"/>
  <c r="H70" i="178"/>
  <c r="H61" i="178"/>
  <c r="H55" i="178"/>
  <c r="H48" i="178"/>
  <c r="H29" i="178"/>
  <c r="H192" i="178"/>
  <c r="H186" i="178"/>
  <c r="H179" i="178"/>
  <c r="H136" i="178"/>
  <c r="H127" i="178"/>
  <c r="H117" i="178"/>
  <c r="H99" i="178"/>
  <c r="H91" i="178"/>
  <c r="H84" i="178"/>
  <c r="H60" i="178"/>
  <c r="H41" i="178"/>
  <c r="H35" i="178"/>
  <c r="H28" i="178"/>
  <c r="H206" i="178"/>
  <c r="H200" i="178"/>
  <c r="H191" i="178"/>
  <c r="H172" i="178"/>
  <c r="H166" i="178"/>
  <c r="H150" i="178"/>
  <c r="H142" i="178"/>
  <c r="H116" i="178"/>
  <c r="H108" i="178"/>
  <c r="H69" i="178"/>
  <c r="H53" i="178"/>
  <c r="H47" i="178"/>
  <c r="H40" i="178"/>
  <c r="H196" i="178"/>
  <c r="H183" i="178"/>
  <c r="H141" i="178"/>
  <c r="H88" i="178"/>
  <c r="H45" i="178"/>
  <c r="H32" i="178"/>
  <c r="H195" i="178"/>
  <c r="H170" i="178"/>
  <c r="H155" i="178"/>
  <c r="H105" i="178"/>
  <c r="H73" i="178"/>
  <c r="H57" i="178"/>
  <c r="H44" i="178"/>
  <c r="H182" i="178"/>
  <c r="H123" i="178"/>
  <c r="H102" i="178"/>
  <c r="H87" i="178"/>
  <c r="H56" i="178"/>
  <c r="H31" i="178"/>
  <c r="H190" i="178"/>
  <c r="H164" i="178"/>
  <c r="H132" i="178"/>
  <c r="H115" i="178"/>
  <c r="H39" i="178"/>
  <c r="H96" i="178"/>
  <c r="H66" i="178"/>
  <c r="H188" i="178"/>
  <c r="H160" i="178"/>
  <c r="H131" i="178"/>
  <c r="H37" i="178"/>
  <c r="H184" i="178"/>
  <c r="H156" i="178"/>
  <c r="H126" i="178"/>
  <c r="H59" i="178"/>
  <c r="H33" i="178"/>
  <c r="K12" i="178"/>
  <c r="H205" i="178"/>
  <c r="H178" i="178"/>
  <c r="H83" i="178"/>
  <c r="H52" i="178"/>
  <c r="H27" i="178"/>
  <c r="H176" i="178"/>
  <c r="H51" i="178"/>
  <c r="H175" i="178"/>
  <c r="H171" i="178"/>
  <c r="H98" i="178"/>
  <c r="H78" i="178"/>
  <c r="H204" i="178"/>
  <c r="H147" i="178"/>
  <c r="H74" i="178"/>
  <c r="H25" i="178"/>
  <c r="J39" i="97"/>
  <c r="N36" i="25"/>
  <c r="J85" i="97"/>
  <c r="N82" i="60"/>
  <c r="J28" i="97"/>
  <c r="N25" i="55"/>
  <c r="G238" i="54"/>
  <c r="H158" i="152"/>
  <c r="H167" i="152"/>
  <c r="H161" i="152"/>
  <c r="H66" i="152"/>
  <c r="H75" i="152"/>
  <c r="H189" i="152"/>
  <c r="H136" i="152"/>
  <c r="H157" i="152"/>
  <c r="H187" i="152"/>
  <c r="H100" i="152"/>
  <c r="H123" i="152"/>
  <c r="H38" i="152"/>
  <c r="H174" i="152"/>
  <c r="H126" i="152"/>
  <c r="H193" i="152"/>
  <c r="H156" i="152"/>
  <c r="H143" i="152"/>
  <c r="H65" i="152"/>
  <c r="H55" i="152"/>
  <c r="H142" i="152"/>
  <c r="H173" i="152"/>
  <c r="H93" i="152"/>
  <c r="H166" i="152"/>
  <c r="H155" i="152"/>
  <c r="H88" i="152"/>
  <c r="H130" i="152"/>
  <c r="H133" i="152"/>
  <c r="H31" i="152"/>
  <c r="H106" i="152"/>
  <c r="H170" i="152"/>
  <c r="H84" i="152"/>
  <c r="H202" i="152"/>
  <c r="H150" i="152"/>
  <c r="M208" i="152"/>
  <c r="H79" i="152"/>
  <c r="H194" i="152"/>
  <c r="H101" i="152"/>
  <c r="H172" i="152"/>
  <c r="H109" i="152"/>
  <c r="H148" i="152"/>
  <c r="H146" i="152"/>
  <c r="H179" i="152"/>
  <c r="H74" i="152"/>
  <c r="H49" i="152"/>
  <c r="H46" i="152"/>
  <c r="H72" i="152"/>
  <c r="H37" i="152"/>
  <c r="H191" i="152"/>
  <c r="H98" i="152"/>
  <c r="H64" i="152"/>
  <c r="H86" i="152"/>
  <c r="H195" i="152"/>
  <c r="H96" i="152"/>
  <c r="K12" i="152"/>
  <c r="H138" i="152"/>
  <c r="H40" i="152"/>
  <c r="H44" i="152"/>
  <c r="H175" i="152"/>
  <c r="H83" i="152"/>
  <c r="H181" i="152"/>
  <c r="H111" i="152"/>
  <c r="H151" i="152"/>
  <c r="H197" i="152"/>
  <c r="H29" i="152"/>
  <c r="H204" i="152"/>
  <c r="H33" i="152"/>
  <c r="H164" i="152"/>
  <c r="H25" i="152"/>
  <c r="H114" i="152"/>
  <c r="H42" i="152"/>
  <c r="H61" i="152"/>
  <c r="H76" i="152"/>
  <c r="H205" i="152"/>
  <c r="H78" i="152"/>
  <c r="H90" i="152"/>
  <c r="H152" i="152"/>
  <c r="H160" i="152"/>
  <c r="H89" i="152"/>
  <c r="H206" i="152"/>
  <c r="H56" i="152"/>
  <c r="H115" i="152"/>
  <c r="H47" i="152"/>
  <c r="H147" i="152"/>
  <c r="H34" i="152"/>
  <c r="H116" i="152"/>
  <c r="H190" i="152"/>
  <c r="H168" i="152"/>
  <c r="H69" i="152"/>
  <c r="H105" i="152"/>
  <c r="H73" i="152"/>
  <c r="H48" i="152"/>
  <c r="H32" i="152"/>
  <c r="H27" i="152"/>
  <c r="H54" i="152"/>
  <c r="H177" i="152"/>
  <c r="H71" i="152"/>
  <c r="H124" i="152"/>
  <c r="H141" i="152"/>
  <c r="H99" i="152"/>
  <c r="H140" i="152"/>
  <c r="H102" i="152"/>
  <c r="H28" i="152"/>
  <c r="H67" i="152"/>
  <c r="H58" i="152"/>
  <c r="H137" i="152"/>
  <c r="H186" i="152"/>
  <c r="H118" i="152"/>
  <c r="H108" i="152"/>
  <c r="H196" i="152"/>
  <c r="H110" i="152"/>
  <c r="H171" i="152"/>
  <c r="H185" i="152"/>
  <c r="H184" i="152"/>
  <c r="H117" i="152"/>
  <c r="H153" i="152"/>
  <c r="H82" i="152"/>
  <c r="H149" i="152"/>
  <c r="H182" i="152"/>
  <c r="H192" i="152"/>
  <c r="H129" i="152"/>
  <c r="H39" i="152"/>
  <c r="H35" i="152"/>
  <c r="H183" i="152"/>
  <c r="H107" i="152"/>
  <c r="H180" i="152"/>
  <c r="H135" i="152"/>
  <c r="H45" i="152"/>
  <c r="H208" i="152"/>
  <c r="H201" i="152"/>
  <c r="H53" i="152"/>
  <c r="H52" i="152"/>
  <c r="H43" i="152"/>
  <c r="H57" i="152"/>
  <c r="H188" i="152"/>
  <c r="H169" i="152"/>
  <c r="H176" i="152"/>
  <c r="H87" i="152"/>
  <c r="H68" i="152"/>
  <c r="H51" i="152"/>
  <c r="H159" i="152"/>
  <c r="H125" i="152"/>
  <c r="H50" i="152"/>
  <c r="H91" i="152"/>
  <c r="H59" i="152"/>
  <c r="H200" i="152"/>
  <c r="H131" i="152"/>
  <c r="H60" i="152"/>
  <c r="H165" i="152"/>
  <c r="H132" i="152"/>
  <c r="H70" i="152"/>
  <c r="H85" i="152"/>
  <c r="H77" i="152"/>
  <c r="H97" i="152"/>
  <c r="H36" i="152"/>
  <c r="H203" i="152"/>
  <c r="H30" i="152"/>
  <c r="H178" i="152"/>
  <c r="H127" i="152"/>
  <c r="H119" i="152"/>
  <c r="H26" i="152"/>
  <c r="H41" i="152"/>
  <c r="H145" i="152"/>
  <c r="H92" i="152"/>
  <c r="G215" i="152"/>
  <c r="H158" i="38"/>
  <c r="H29" i="38"/>
  <c r="H107" i="38"/>
  <c r="H180" i="38"/>
  <c r="H76" i="38"/>
  <c r="H86" i="38"/>
  <c r="H67" i="38"/>
  <c r="H68" i="38"/>
  <c r="H108" i="38"/>
  <c r="H73" i="38"/>
  <c r="H43" i="38"/>
  <c r="H177" i="38"/>
  <c r="H40" i="38"/>
  <c r="H160" i="38"/>
  <c r="H97" i="38"/>
  <c r="H56" i="38"/>
  <c r="H54" i="38"/>
  <c r="H157" i="38"/>
  <c r="H202" i="38"/>
  <c r="H149" i="38"/>
  <c r="H39" i="38"/>
  <c r="H60" i="38"/>
  <c r="H178" i="38"/>
  <c r="H171" i="38"/>
  <c r="H96" i="38"/>
  <c r="H145" i="38"/>
  <c r="H181" i="38"/>
  <c r="H151" i="38"/>
  <c r="H189" i="38"/>
  <c r="H90" i="38"/>
  <c r="H164" i="38"/>
  <c r="H92" i="38"/>
  <c r="H132" i="38"/>
  <c r="H193" i="38"/>
  <c r="H184" i="38"/>
  <c r="H190" i="38"/>
  <c r="H152" i="38"/>
  <c r="H197" i="38"/>
  <c r="H82" i="38"/>
  <c r="H206" i="38"/>
  <c r="H204" i="38"/>
  <c r="H172" i="38"/>
  <c r="H173" i="38"/>
  <c r="H72" i="38"/>
  <c r="H166" i="38"/>
  <c r="H148" i="38"/>
  <c r="H123" i="38"/>
  <c r="H85" i="38"/>
  <c r="H37" i="38"/>
  <c r="H70" i="38"/>
  <c r="H125" i="38"/>
  <c r="H74" i="38"/>
  <c r="H129" i="38"/>
  <c r="H52" i="38"/>
  <c r="H88" i="38"/>
  <c r="H48" i="38"/>
  <c r="M208" i="38"/>
  <c r="H116" i="38"/>
  <c r="H136" i="38"/>
  <c r="H175" i="38"/>
  <c r="H124" i="38"/>
  <c r="H155" i="38"/>
  <c r="H165" i="38"/>
  <c r="H118" i="38"/>
  <c r="H191" i="38"/>
  <c r="H34" i="38"/>
  <c r="H183" i="38"/>
  <c r="H137" i="38"/>
  <c r="H83" i="38"/>
  <c r="H27" i="38"/>
  <c r="H143" i="38"/>
  <c r="H69" i="38"/>
  <c r="K12" i="38"/>
  <c r="H117" i="38"/>
  <c r="H150" i="38"/>
  <c r="H156" i="38"/>
  <c r="H44" i="38"/>
  <c r="H78" i="38"/>
  <c r="H138" i="38"/>
  <c r="H65" i="38"/>
  <c r="H53" i="38"/>
  <c r="H194" i="38"/>
  <c r="H208" i="38"/>
  <c r="H168" i="38"/>
  <c r="H46" i="38"/>
  <c r="H126" i="38"/>
  <c r="H115" i="38"/>
  <c r="H47" i="38"/>
  <c r="H41" i="38"/>
  <c r="H89" i="38"/>
  <c r="H59" i="38"/>
  <c r="H75" i="38"/>
  <c r="H100" i="38"/>
  <c r="H71" i="38"/>
  <c r="H159" i="38"/>
  <c r="H61" i="38"/>
  <c r="H174" i="38"/>
  <c r="H87" i="38"/>
  <c r="H106" i="38"/>
  <c r="H133" i="38"/>
  <c r="H187" i="38"/>
  <c r="H200" i="38"/>
  <c r="H66" i="38"/>
  <c r="H64" i="38"/>
  <c r="H26" i="38"/>
  <c r="H31" i="38"/>
  <c r="H102" i="38"/>
  <c r="H131" i="38"/>
  <c r="H195" i="38"/>
  <c r="H205" i="38"/>
  <c r="H203" i="38"/>
  <c r="H127" i="38"/>
  <c r="H114" i="38"/>
  <c r="H119" i="38"/>
  <c r="H50" i="38"/>
  <c r="H153" i="38"/>
  <c r="H176" i="38"/>
  <c r="H93" i="38"/>
  <c r="H42" i="38"/>
  <c r="H110" i="38"/>
  <c r="H99" i="38"/>
  <c r="H169" i="38"/>
  <c r="H140" i="38"/>
  <c r="H28" i="38"/>
  <c r="H186" i="38"/>
  <c r="H185" i="38"/>
  <c r="H38" i="38"/>
  <c r="H33" i="38"/>
  <c r="H79" i="38"/>
  <c r="H77" i="38"/>
  <c r="H84" i="38"/>
  <c r="H161" i="38"/>
  <c r="H179" i="38"/>
  <c r="H142" i="38"/>
  <c r="H49" i="38"/>
  <c r="H130" i="38"/>
  <c r="H30" i="38"/>
  <c r="H57" i="38"/>
  <c r="H182" i="38"/>
  <c r="H98" i="38"/>
  <c r="H58" i="38"/>
  <c r="H36" i="38"/>
  <c r="H188" i="38"/>
  <c r="H35" i="38"/>
  <c r="H109" i="38"/>
  <c r="H135" i="38"/>
  <c r="H55" i="38"/>
  <c r="H101" i="38"/>
  <c r="H91" i="38"/>
  <c r="H192" i="38"/>
  <c r="H196" i="38"/>
  <c r="H45" i="38"/>
  <c r="H201" i="38"/>
  <c r="H141" i="38"/>
  <c r="H105" i="38"/>
  <c r="H167" i="38"/>
  <c r="H147" i="38"/>
  <c r="H170" i="38"/>
  <c r="H51" i="38"/>
  <c r="H146" i="38"/>
  <c r="H32" i="38"/>
  <c r="H111" i="38"/>
  <c r="H25" i="38"/>
  <c r="J55" i="97"/>
  <c r="N52" i="94"/>
  <c r="J32" i="97"/>
  <c r="N29" i="120"/>
  <c r="J140" i="97"/>
  <c r="N137" i="54"/>
  <c r="H183" i="103"/>
  <c r="H127" i="103"/>
  <c r="H159" i="103"/>
  <c r="H200" i="103"/>
  <c r="H37" i="103"/>
  <c r="H169" i="103"/>
  <c r="H194" i="103"/>
  <c r="H78" i="103"/>
  <c r="H147" i="103"/>
  <c r="H74" i="103"/>
  <c r="H205" i="103"/>
  <c r="H51" i="103"/>
  <c r="H119" i="103"/>
  <c r="H172" i="103"/>
  <c r="H107" i="103"/>
  <c r="H125" i="103"/>
  <c r="H90" i="103"/>
  <c r="H175" i="103"/>
  <c r="H45" i="103"/>
  <c r="H41" i="103"/>
  <c r="H110" i="103"/>
  <c r="H55" i="103"/>
  <c r="H168" i="103"/>
  <c r="H131" i="103"/>
  <c r="H174" i="103"/>
  <c r="H177" i="103"/>
  <c r="H181" i="103"/>
  <c r="H196" i="103"/>
  <c r="H71" i="103"/>
  <c r="H178" i="103"/>
  <c r="H32" i="103"/>
  <c r="H195" i="103"/>
  <c r="H155" i="103"/>
  <c r="H118" i="103"/>
  <c r="H58" i="103"/>
  <c r="H57" i="103"/>
  <c r="H99" i="103"/>
  <c r="H166" i="103"/>
  <c r="H77" i="103"/>
  <c r="H108" i="103"/>
  <c r="H132" i="103"/>
  <c r="H116" i="103"/>
  <c r="H106" i="103"/>
  <c r="H49" i="103"/>
  <c r="H176" i="103"/>
  <c r="H164" i="103"/>
  <c r="H138" i="103"/>
  <c r="H150" i="103"/>
  <c r="H105" i="103"/>
  <c r="H111" i="103"/>
  <c r="H39" i="103"/>
  <c r="H59" i="103"/>
  <c r="H75" i="103"/>
  <c r="H123" i="103"/>
  <c r="H68" i="103"/>
  <c r="K12" i="103"/>
  <c r="H202" i="103"/>
  <c r="H46" i="103"/>
  <c r="H137" i="103"/>
  <c r="H197" i="103"/>
  <c r="H130" i="103"/>
  <c r="H92" i="103"/>
  <c r="H145" i="103"/>
  <c r="H153" i="103"/>
  <c r="H124" i="103"/>
  <c r="H192" i="103"/>
  <c r="H65" i="103"/>
  <c r="H208" i="103"/>
  <c r="H179" i="103"/>
  <c r="H109" i="103"/>
  <c r="H182" i="103"/>
  <c r="H44" i="103"/>
  <c r="H73" i="103"/>
  <c r="H50" i="103"/>
  <c r="H96" i="103"/>
  <c r="H31" i="103"/>
  <c r="H35" i="103"/>
  <c r="H156" i="103"/>
  <c r="H33" i="103"/>
  <c r="H54" i="103"/>
  <c r="H26" i="103"/>
  <c r="H151" i="103"/>
  <c r="H204" i="103"/>
  <c r="H70" i="103"/>
  <c r="H167" i="103"/>
  <c r="H28" i="103"/>
  <c r="H160" i="103"/>
  <c r="H56" i="103"/>
  <c r="M208" i="103"/>
  <c r="H149" i="103"/>
  <c r="H191" i="103"/>
  <c r="H86" i="103"/>
  <c r="H43" i="103"/>
  <c r="H157" i="103"/>
  <c r="G215" i="103"/>
  <c r="H38" i="103"/>
  <c r="H40" i="103"/>
  <c r="H83" i="103"/>
  <c r="H67" i="103"/>
  <c r="H64" i="103"/>
  <c r="H114" i="103"/>
  <c r="H143" i="103"/>
  <c r="H48" i="103"/>
  <c r="H89" i="103"/>
  <c r="H189" i="103"/>
  <c r="H98" i="103"/>
  <c r="H100" i="103"/>
  <c r="H190" i="103"/>
  <c r="H76" i="103"/>
  <c r="H201" i="103"/>
  <c r="H87" i="103"/>
  <c r="H188" i="103"/>
  <c r="H29" i="103"/>
  <c r="H53" i="103"/>
  <c r="H142" i="103"/>
  <c r="H193" i="103"/>
  <c r="H88" i="103"/>
  <c r="H93" i="103"/>
  <c r="H184" i="103"/>
  <c r="H36" i="103"/>
  <c r="H165" i="103"/>
  <c r="H25" i="103"/>
  <c r="H140" i="103"/>
  <c r="H84" i="103"/>
  <c r="H180" i="103"/>
  <c r="H91" i="103"/>
  <c r="H126" i="103"/>
  <c r="H148" i="103"/>
  <c r="H47" i="103"/>
  <c r="H82" i="103"/>
  <c r="H146" i="103"/>
  <c r="H206" i="103"/>
  <c r="H171" i="103"/>
  <c r="H135" i="103"/>
  <c r="H30" i="103"/>
  <c r="H186" i="103"/>
  <c r="H101" i="103"/>
  <c r="H115" i="103"/>
  <c r="H42" i="103"/>
  <c r="H161" i="103"/>
  <c r="H136" i="103"/>
  <c r="H61" i="103"/>
  <c r="H66" i="103"/>
  <c r="H34" i="103"/>
  <c r="H60" i="103"/>
  <c r="H185" i="103"/>
  <c r="H97" i="103"/>
  <c r="H152" i="103"/>
  <c r="H85" i="103"/>
  <c r="H117" i="103"/>
  <c r="H102" i="103"/>
  <c r="H158" i="103"/>
  <c r="H27" i="103"/>
  <c r="H203" i="103"/>
  <c r="H173" i="103"/>
  <c r="H133" i="103"/>
  <c r="H72" i="103"/>
  <c r="H69" i="103"/>
  <c r="H141" i="103"/>
  <c r="H187" i="103"/>
  <c r="H52" i="103"/>
  <c r="H129" i="103"/>
  <c r="H170" i="103"/>
  <c r="H79" i="103"/>
  <c r="H36" i="66"/>
  <c r="H195" i="66"/>
  <c r="H93" i="66"/>
  <c r="H35" i="66"/>
  <c r="H78" i="66"/>
  <c r="H150" i="66"/>
  <c r="H96" i="66"/>
  <c r="H86" i="66"/>
  <c r="H196" i="66"/>
  <c r="H76" i="66"/>
  <c r="H74" i="66"/>
  <c r="H179" i="66"/>
  <c r="H173" i="66"/>
  <c r="H202" i="66"/>
  <c r="H170" i="66"/>
  <c r="H37" i="66"/>
  <c r="H25" i="66"/>
  <c r="H67" i="66"/>
  <c r="H140" i="66"/>
  <c r="H132" i="66"/>
  <c r="H26" i="66"/>
  <c r="H29" i="66"/>
  <c r="H48" i="66"/>
  <c r="H177" i="66"/>
  <c r="H146" i="66"/>
  <c r="H189" i="66"/>
  <c r="H148" i="66"/>
  <c r="H117" i="66"/>
  <c r="H145" i="66"/>
  <c r="H115" i="66"/>
  <c r="H44" i="66"/>
  <c r="H180" i="66"/>
  <c r="H141" i="66"/>
  <c r="H197" i="66"/>
  <c r="H54" i="66"/>
  <c r="H102" i="66"/>
  <c r="H69" i="66"/>
  <c r="H64" i="66"/>
  <c r="H52" i="66"/>
  <c r="H68" i="66"/>
  <c r="H165" i="66"/>
  <c r="H171" i="66"/>
  <c r="H97" i="66"/>
  <c r="H157" i="66"/>
  <c r="K12" i="66"/>
  <c r="H42" i="66"/>
  <c r="H193" i="66"/>
  <c r="H111" i="66"/>
  <c r="H149" i="66"/>
  <c r="H130" i="66"/>
  <c r="H75" i="66"/>
  <c r="H99" i="66"/>
  <c r="H191" i="66"/>
  <c r="H38" i="66"/>
  <c r="H65" i="66"/>
  <c r="H33" i="66"/>
  <c r="H31" i="66"/>
  <c r="H203" i="66"/>
  <c r="H164" i="66"/>
  <c r="H142" i="66"/>
  <c r="H185" i="66"/>
  <c r="H152" i="66"/>
  <c r="H176" i="66"/>
  <c r="H161" i="66"/>
  <c r="H41" i="66"/>
  <c r="H39" i="66"/>
  <c r="H153" i="66"/>
  <c r="H160" i="66"/>
  <c r="H124" i="66"/>
  <c r="H90" i="66"/>
  <c r="H79" i="66"/>
  <c r="H192" i="66"/>
  <c r="H91" i="66"/>
  <c r="H187" i="66"/>
  <c r="H155" i="66"/>
  <c r="H129" i="66"/>
  <c r="H32" i="66"/>
  <c r="H66" i="66"/>
  <c r="H133" i="66"/>
  <c r="H116" i="66"/>
  <c r="H70" i="66"/>
  <c r="H178" i="66"/>
  <c r="H30" i="66"/>
  <c r="M208" i="66"/>
  <c r="H110" i="66"/>
  <c r="H61" i="66"/>
  <c r="H188" i="66"/>
  <c r="H204" i="66"/>
  <c r="H88" i="66"/>
  <c r="H109" i="66"/>
  <c r="H159" i="66"/>
  <c r="H119" i="66"/>
  <c r="H147" i="66"/>
  <c r="H143" i="66"/>
  <c r="H34" i="66"/>
  <c r="H50" i="66"/>
  <c r="H108" i="66"/>
  <c r="H135" i="66"/>
  <c r="H131" i="66"/>
  <c r="H58" i="66"/>
  <c r="H45" i="66"/>
  <c r="H206" i="66"/>
  <c r="H138" i="66"/>
  <c r="H175" i="66"/>
  <c r="H84" i="66"/>
  <c r="H71" i="66"/>
  <c r="H118" i="66"/>
  <c r="H77" i="66"/>
  <c r="H183" i="66"/>
  <c r="H82" i="66"/>
  <c r="H208" i="66"/>
  <c r="H114" i="66"/>
  <c r="H158" i="66"/>
  <c r="H201" i="66"/>
  <c r="H194" i="66"/>
  <c r="H126" i="66"/>
  <c r="H51" i="66"/>
  <c r="H205" i="66"/>
  <c r="H136" i="66"/>
  <c r="H56" i="66"/>
  <c r="H49" i="66"/>
  <c r="H43" i="66"/>
  <c r="H125" i="66"/>
  <c r="H151" i="66"/>
  <c r="H184" i="66"/>
  <c r="H40" i="66"/>
  <c r="H169" i="66"/>
  <c r="H123" i="66"/>
  <c r="H92" i="66"/>
  <c r="H182" i="66"/>
  <c r="H168" i="66"/>
  <c r="H98" i="66"/>
  <c r="H107" i="66"/>
  <c r="H166" i="66"/>
  <c r="H101" i="66"/>
  <c r="H46" i="66"/>
  <c r="H186" i="66"/>
  <c r="H60" i="66"/>
  <c r="H106" i="66"/>
  <c r="H27" i="66"/>
  <c r="H28" i="66"/>
  <c r="H59" i="66"/>
  <c r="H100" i="66"/>
  <c r="H55" i="66"/>
  <c r="H156" i="66"/>
  <c r="H200" i="66"/>
  <c r="H73" i="66"/>
  <c r="H87" i="66"/>
  <c r="H181" i="66"/>
  <c r="H172" i="66"/>
  <c r="H105" i="66"/>
  <c r="H85" i="66"/>
  <c r="H47" i="66"/>
  <c r="H57" i="66"/>
  <c r="H83" i="66"/>
  <c r="H167" i="66"/>
  <c r="H137" i="66"/>
  <c r="H53" i="66"/>
  <c r="H127" i="66"/>
  <c r="H190" i="66"/>
  <c r="H174" i="66"/>
  <c r="H89" i="66"/>
  <c r="H72" i="66"/>
  <c r="G238" i="43"/>
  <c r="H68" i="94"/>
  <c r="H44" i="94"/>
  <c r="H169" i="94"/>
  <c r="H141" i="94"/>
  <c r="H108" i="94"/>
  <c r="H125" i="94"/>
  <c r="H82" i="94"/>
  <c r="H25" i="94"/>
  <c r="H167" i="94"/>
  <c r="H86" i="94"/>
  <c r="H61" i="94"/>
  <c r="H67" i="94"/>
  <c r="H30" i="94"/>
  <c r="H42" i="94"/>
  <c r="H190" i="94"/>
  <c r="H160" i="94"/>
  <c r="H43" i="94"/>
  <c r="H206" i="94"/>
  <c r="H28" i="94"/>
  <c r="H176" i="94"/>
  <c r="H179" i="94"/>
  <c r="H164" i="94"/>
  <c r="H92" i="94"/>
  <c r="H59" i="94"/>
  <c r="H38" i="94"/>
  <c r="H203" i="94"/>
  <c r="H182" i="94"/>
  <c r="H111" i="94"/>
  <c r="H71" i="94"/>
  <c r="H186" i="94"/>
  <c r="H146" i="94"/>
  <c r="H170" i="94"/>
  <c r="H126" i="94"/>
  <c r="H119" i="94"/>
  <c r="H91" i="94"/>
  <c r="H76" i="94"/>
  <c r="H172" i="94"/>
  <c r="H49" i="94"/>
  <c r="H39" i="94"/>
  <c r="H131" i="94"/>
  <c r="H102" i="94"/>
  <c r="H79" i="94"/>
  <c r="H208" i="94"/>
  <c r="H181" i="94"/>
  <c r="H155" i="94"/>
  <c r="H109" i="94"/>
  <c r="H66" i="94"/>
  <c r="H194" i="94"/>
  <c r="H174" i="94"/>
  <c r="H87" i="94"/>
  <c r="H47" i="94"/>
  <c r="H51" i="94"/>
  <c r="H31" i="94"/>
  <c r="H27" i="94"/>
  <c r="H185" i="94"/>
  <c r="H178" i="94"/>
  <c r="H99" i="94"/>
  <c r="H69" i="94"/>
  <c r="H75" i="94"/>
  <c r="H78" i="94"/>
  <c r="H34" i="94"/>
  <c r="H191" i="94"/>
  <c r="H138" i="94"/>
  <c r="H106" i="94"/>
  <c r="H74" i="94"/>
  <c r="K12" i="94"/>
  <c r="M208" i="94"/>
  <c r="H98" i="94"/>
  <c r="H55" i="94"/>
  <c r="H173" i="94"/>
  <c r="H193" i="94"/>
  <c r="H156" i="94"/>
  <c r="H151" i="94"/>
  <c r="H127" i="94"/>
  <c r="H96" i="94"/>
  <c r="H137" i="94"/>
  <c r="H204" i="94"/>
  <c r="H116" i="94"/>
  <c r="H133" i="94"/>
  <c r="H73" i="94"/>
  <c r="H101" i="94"/>
  <c r="H70" i="94"/>
  <c r="H46" i="94"/>
  <c r="H171" i="94"/>
  <c r="H152" i="94"/>
  <c r="H48" i="94"/>
  <c r="H196" i="94"/>
  <c r="H132" i="94"/>
  <c r="H88" i="94"/>
  <c r="H201" i="94"/>
  <c r="H180" i="94"/>
  <c r="H184" i="94"/>
  <c r="H143" i="94"/>
  <c r="H157" i="94"/>
  <c r="H114" i="94"/>
  <c r="H147" i="94"/>
  <c r="H136" i="94"/>
  <c r="H58" i="94"/>
  <c r="H52" i="94"/>
  <c r="H159" i="94"/>
  <c r="H130" i="94"/>
  <c r="H150" i="94"/>
  <c r="H26" i="94"/>
  <c r="H100" i="94"/>
  <c r="H123" i="94"/>
  <c r="H161" i="94"/>
  <c r="H202" i="94"/>
  <c r="H168" i="94"/>
  <c r="H65" i="94"/>
  <c r="H142" i="94"/>
  <c r="H197" i="94"/>
  <c r="H89" i="94"/>
  <c r="H189" i="94"/>
  <c r="H36" i="94"/>
  <c r="H175" i="94"/>
  <c r="H107" i="94"/>
  <c r="H60" i="94"/>
  <c r="H90" i="94"/>
  <c r="H165" i="94"/>
  <c r="H54" i="94"/>
  <c r="H118" i="94"/>
  <c r="H93" i="94"/>
  <c r="H145" i="94"/>
  <c r="H115" i="94"/>
  <c r="H72" i="94"/>
  <c r="H195" i="94"/>
  <c r="H45" i="94"/>
  <c r="H50" i="94"/>
  <c r="H124" i="94"/>
  <c r="H35" i="94"/>
  <c r="H64" i="94"/>
  <c r="H105" i="94"/>
  <c r="H85" i="94"/>
  <c r="H117" i="94"/>
  <c r="H183" i="94"/>
  <c r="H40" i="94"/>
  <c r="H77" i="94"/>
  <c r="H140" i="94"/>
  <c r="H53" i="94"/>
  <c r="H187" i="94"/>
  <c r="H149" i="94"/>
  <c r="H166" i="94"/>
  <c r="H56" i="94"/>
  <c r="H97" i="94"/>
  <c r="H29" i="94"/>
  <c r="H177" i="94"/>
  <c r="H83" i="94"/>
  <c r="H129" i="94"/>
  <c r="H200" i="94"/>
  <c r="H158" i="94"/>
  <c r="H41" i="94"/>
  <c r="H37" i="94"/>
  <c r="H153" i="94"/>
  <c r="H32" i="94"/>
  <c r="H57" i="94"/>
  <c r="H33" i="94"/>
  <c r="H188" i="94"/>
  <c r="H84" i="94"/>
  <c r="H135" i="94"/>
  <c r="H192" i="94"/>
  <c r="H110" i="94"/>
  <c r="H148" i="94"/>
  <c r="H205" i="94"/>
  <c r="H124" i="71"/>
  <c r="M208" i="71"/>
  <c r="H208" i="71"/>
  <c r="H35" i="71"/>
  <c r="H88" i="71"/>
  <c r="H135" i="71"/>
  <c r="H141" i="71"/>
  <c r="H130" i="71"/>
  <c r="H190" i="71"/>
  <c r="H74" i="71"/>
  <c r="H178" i="71"/>
  <c r="H89" i="71"/>
  <c r="H168" i="71"/>
  <c r="H59" i="71"/>
  <c r="H158" i="71"/>
  <c r="H47" i="71"/>
  <c r="H37" i="71"/>
  <c r="H204" i="71"/>
  <c r="H51" i="71"/>
  <c r="H61" i="71"/>
  <c r="H132" i="71"/>
  <c r="H76" i="71"/>
  <c r="H46" i="71"/>
  <c r="H171" i="71"/>
  <c r="H100" i="71"/>
  <c r="H200" i="71"/>
  <c r="H96" i="71"/>
  <c r="H161" i="71"/>
  <c r="H108" i="71"/>
  <c r="H175" i="71"/>
  <c r="H206" i="71"/>
  <c r="H187" i="71"/>
  <c r="H33" i="71"/>
  <c r="H44" i="71"/>
  <c r="H114" i="71"/>
  <c r="H99" i="71"/>
  <c r="H48" i="71"/>
  <c r="H55" i="71"/>
  <c r="H123" i="71"/>
  <c r="H109" i="71"/>
  <c r="H192" i="71"/>
  <c r="H110" i="71"/>
  <c r="K12" i="71"/>
  <c r="H125" i="71"/>
  <c r="H31" i="71"/>
  <c r="H101" i="71"/>
  <c r="H152" i="71"/>
  <c r="H69" i="71"/>
  <c r="H133" i="71"/>
  <c r="H65" i="71"/>
  <c r="H148" i="71"/>
  <c r="H84" i="71"/>
  <c r="H203" i="71"/>
  <c r="H67" i="71"/>
  <c r="H102" i="71"/>
  <c r="H164" i="71"/>
  <c r="H79" i="71"/>
  <c r="H68" i="71"/>
  <c r="H87" i="71"/>
  <c r="H146" i="71"/>
  <c r="H117" i="71"/>
  <c r="H165" i="71"/>
  <c r="H93" i="71"/>
  <c r="H180" i="71"/>
  <c r="H34" i="71"/>
  <c r="H194" i="71"/>
  <c r="H78" i="71"/>
  <c r="H172" i="71"/>
  <c r="H83" i="71"/>
  <c r="H127" i="71"/>
  <c r="H43" i="71"/>
  <c r="H115" i="71"/>
  <c r="H129" i="71"/>
  <c r="H160" i="71"/>
  <c r="H98" i="71"/>
  <c r="H77" i="71"/>
  <c r="H72" i="71"/>
  <c r="H197" i="71"/>
  <c r="H73" i="71"/>
  <c r="H137" i="71"/>
  <c r="H151" i="71"/>
  <c r="H60" i="71"/>
  <c r="H138" i="71"/>
  <c r="H75" i="71"/>
  <c r="H159" i="71"/>
  <c r="H26" i="71"/>
  <c r="H176" i="71"/>
  <c r="H41" i="71"/>
  <c r="H195" i="71"/>
  <c r="H29" i="71"/>
  <c r="H28" i="71"/>
  <c r="H25" i="71"/>
  <c r="H86" i="71"/>
  <c r="H97" i="71"/>
  <c r="H181" i="71"/>
  <c r="H131" i="71"/>
  <c r="H27" i="71"/>
  <c r="H167" i="71"/>
  <c r="H126" i="71"/>
  <c r="H50" i="71"/>
  <c r="H174" i="71"/>
  <c r="H157" i="71"/>
  <c r="H118" i="71"/>
  <c r="H205" i="71"/>
  <c r="H106" i="71"/>
  <c r="H143" i="71"/>
  <c r="H82" i="71"/>
  <c r="H185" i="71"/>
  <c r="H201" i="71"/>
  <c r="H202" i="71"/>
  <c r="H91" i="71"/>
  <c r="H149" i="71"/>
  <c r="H196" i="71"/>
  <c r="H49" i="71"/>
  <c r="H173" i="71"/>
  <c r="H150" i="71"/>
  <c r="H90" i="71"/>
  <c r="H57" i="71"/>
  <c r="H38" i="71"/>
  <c r="H169" i="71"/>
  <c r="H179" i="71"/>
  <c r="H153" i="71"/>
  <c r="H188" i="71"/>
  <c r="H53" i="71"/>
  <c r="H170" i="71"/>
  <c r="H70" i="71"/>
  <c r="H64" i="71"/>
  <c r="H136" i="71"/>
  <c r="H107" i="71"/>
  <c r="H183" i="71"/>
  <c r="H184" i="71"/>
  <c r="H119" i="71"/>
  <c r="H52" i="71"/>
  <c r="H189" i="71"/>
  <c r="H182" i="71"/>
  <c r="H105" i="71"/>
  <c r="H92" i="71"/>
  <c r="H142" i="71"/>
  <c r="H54" i="71"/>
  <c r="H145" i="71"/>
  <c r="H140" i="71"/>
  <c r="H155" i="71"/>
  <c r="H45" i="71"/>
  <c r="H36" i="71"/>
  <c r="H42" i="71"/>
  <c r="H111" i="71"/>
  <c r="H85" i="71"/>
  <c r="H56" i="71"/>
  <c r="H147" i="71"/>
  <c r="H58" i="71"/>
  <c r="H193" i="71"/>
  <c r="H186" i="71"/>
  <c r="H191" i="71"/>
  <c r="H156" i="71"/>
  <c r="H66" i="71"/>
  <c r="H177" i="71"/>
  <c r="H166" i="71"/>
  <c r="H32" i="71"/>
  <c r="H116" i="71"/>
  <c r="H30" i="71"/>
  <c r="H40" i="71"/>
  <c r="H71" i="71"/>
  <c r="H39" i="71"/>
  <c r="H151" i="176"/>
  <c r="H37" i="176"/>
  <c r="H177" i="176"/>
  <c r="H184" i="176"/>
  <c r="H131" i="176"/>
  <c r="H82" i="176"/>
  <c r="H161" i="176"/>
  <c r="H78" i="176"/>
  <c r="H191" i="176"/>
  <c r="H32" i="176"/>
  <c r="H96" i="176"/>
  <c r="H130" i="176"/>
  <c r="H83" i="176"/>
  <c r="H192" i="176"/>
  <c r="H176" i="176"/>
  <c r="H98" i="176"/>
  <c r="H158" i="176"/>
  <c r="H196" i="176"/>
  <c r="H157" i="176"/>
  <c r="H65" i="176"/>
  <c r="H125" i="176"/>
  <c r="H106" i="176"/>
  <c r="H193" i="176"/>
  <c r="H33" i="176"/>
  <c r="H31" i="176"/>
  <c r="H186" i="176"/>
  <c r="H102" i="176"/>
  <c r="H87" i="176"/>
  <c r="H52" i="176"/>
  <c r="H49" i="176"/>
  <c r="H175" i="176"/>
  <c r="H28" i="176"/>
  <c r="H58" i="176"/>
  <c r="H89" i="176"/>
  <c r="H159" i="176"/>
  <c r="H90" i="176"/>
  <c r="H140" i="176"/>
  <c r="H197" i="176"/>
  <c r="H118" i="176"/>
  <c r="H25" i="176"/>
  <c r="H117" i="176"/>
  <c r="H88" i="176"/>
  <c r="H202" i="176"/>
  <c r="H35" i="176"/>
  <c r="H91" i="176"/>
  <c r="H26" i="176"/>
  <c r="H124" i="176"/>
  <c r="H187" i="176"/>
  <c r="H138" i="176"/>
  <c r="H114" i="176"/>
  <c r="H108" i="176"/>
  <c r="H185" i="176"/>
  <c r="H69" i="176"/>
  <c r="H188" i="176"/>
  <c r="H92" i="176"/>
  <c r="H147" i="176"/>
  <c r="H36" i="176"/>
  <c r="H66" i="176"/>
  <c r="H60" i="176"/>
  <c r="H48" i="176"/>
  <c r="H206" i="176"/>
  <c r="H123" i="176"/>
  <c r="H143" i="176"/>
  <c r="H100" i="176"/>
  <c r="H160" i="176"/>
  <c r="H116" i="176"/>
  <c r="H110" i="176"/>
  <c r="H152" i="176"/>
  <c r="H126" i="176"/>
  <c r="H51" i="176"/>
  <c r="H165" i="176"/>
  <c r="H44" i="176"/>
  <c r="H145" i="176"/>
  <c r="H72" i="176"/>
  <c r="H97" i="176"/>
  <c r="H115" i="176"/>
  <c r="H119" i="176"/>
  <c r="H34" i="176"/>
  <c r="H153" i="176"/>
  <c r="H178" i="176"/>
  <c r="H200" i="176"/>
  <c r="H194" i="176"/>
  <c r="H189" i="176"/>
  <c r="H38" i="176"/>
  <c r="H167" i="176"/>
  <c r="H93" i="176"/>
  <c r="H74" i="176"/>
  <c r="H99" i="176"/>
  <c r="H190" i="176"/>
  <c r="H47" i="176"/>
  <c r="H75" i="176"/>
  <c r="H127" i="176"/>
  <c r="H148" i="176"/>
  <c r="H70" i="176"/>
  <c r="H101" i="176"/>
  <c r="H46" i="176"/>
  <c r="H204" i="176"/>
  <c r="H107" i="176"/>
  <c r="H166" i="176"/>
  <c r="H195" i="176"/>
  <c r="H111" i="176"/>
  <c r="H171" i="176"/>
  <c r="H203" i="176"/>
  <c r="H156" i="176"/>
  <c r="H71" i="176"/>
  <c r="H86" i="176"/>
  <c r="H57" i="176"/>
  <c r="H170" i="176"/>
  <c r="H173" i="176"/>
  <c r="H135" i="176"/>
  <c r="H41" i="176"/>
  <c r="H149" i="176"/>
  <c r="H109" i="176"/>
  <c r="H73" i="176"/>
  <c r="H50" i="176"/>
  <c r="H172" i="176"/>
  <c r="H141" i="176"/>
  <c r="H181" i="176"/>
  <c r="H169" i="176"/>
  <c r="H105" i="176"/>
  <c r="H30" i="176"/>
  <c r="H84" i="176"/>
  <c r="H85" i="176"/>
  <c r="H129" i="176"/>
  <c r="H155" i="176"/>
  <c r="H79" i="176"/>
  <c r="H77" i="176"/>
  <c r="H64" i="176"/>
  <c r="H208" i="176"/>
  <c r="H55" i="176"/>
  <c r="H146" i="176"/>
  <c r="H40" i="176"/>
  <c r="H168" i="176"/>
  <c r="H133" i="176"/>
  <c r="H54" i="176"/>
  <c r="H142" i="176"/>
  <c r="H76" i="176"/>
  <c r="H179" i="176"/>
  <c r="H136" i="176"/>
  <c r="H132" i="176"/>
  <c r="H205" i="176"/>
  <c r="H182" i="176"/>
  <c r="H53" i="176"/>
  <c r="K12" i="176"/>
  <c r="H61" i="176"/>
  <c r="H39" i="176"/>
  <c r="H29" i="176"/>
  <c r="H43" i="176"/>
  <c r="H67" i="176"/>
  <c r="H137" i="176"/>
  <c r="H59" i="176"/>
  <c r="H56" i="176"/>
  <c r="H27" i="176"/>
  <c r="H164" i="176"/>
  <c r="H42" i="176"/>
  <c r="H201" i="176"/>
  <c r="H68" i="176"/>
  <c r="H45" i="176"/>
  <c r="H150" i="176"/>
  <c r="H180" i="176"/>
  <c r="M208" i="176"/>
  <c r="H174" i="176"/>
  <c r="H183" i="176"/>
  <c r="G215" i="176"/>
  <c r="H110" i="83"/>
  <c r="H125" i="83"/>
  <c r="H79" i="83"/>
  <c r="H40" i="83"/>
  <c r="H190" i="83"/>
  <c r="H98" i="83"/>
  <c r="H185" i="83"/>
  <c r="H127" i="83"/>
  <c r="H51" i="83"/>
  <c r="H159" i="83"/>
  <c r="H46" i="83"/>
  <c r="H172" i="83"/>
  <c r="H105" i="83"/>
  <c r="H56" i="83"/>
  <c r="H91" i="83"/>
  <c r="H45" i="83"/>
  <c r="H71" i="83"/>
  <c r="H142" i="83"/>
  <c r="H197" i="83"/>
  <c r="H42" i="83"/>
  <c r="H61" i="83"/>
  <c r="H176" i="83"/>
  <c r="H84" i="83"/>
  <c r="H28" i="83"/>
  <c r="H145" i="83"/>
  <c r="H86" i="83"/>
  <c r="H54" i="83"/>
  <c r="H182" i="83"/>
  <c r="H184" i="83"/>
  <c r="H90" i="83"/>
  <c r="H33" i="83"/>
  <c r="H72" i="83"/>
  <c r="H93" i="83"/>
  <c r="H195" i="83"/>
  <c r="H32" i="83"/>
  <c r="H77" i="83"/>
  <c r="H149" i="83"/>
  <c r="H97" i="83"/>
  <c r="H131" i="83"/>
  <c r="H92" i="83"/>
  <c r="H206" i="83"/>
  <c r="H50" i="83"/>
  <c r="H29" i="83"/>
  <c r="H200" i="83"/>
  <c r="H141" i="83"/>
  <c r="H83" i="83"/>
  <c r="H177" i="83"/>
  <c r="H76" i="83"/>
  <c r="H186" i="83"/>
  <c r="H158" i="83"/>
  <c r="H114" i="83"/>
  <c r="H59" i="83"/>
  <c r="H96" i="83"/>
  <c r="H168" i="83"/>
  <c r="H192" i="83"/>
  <c r="H70" i="83"/>
  <c r="H31" i="83"/>
  <c r="H194" i="83"/>
  <c r="H123" i="83"/>
  <c r="H101" i="83"/>
  <c r="H181" i="83"/>
  <c r="H44" i="83"/>
  <c r="H196" i="83"/>
  <c r="H208" i="83"/>
  <c r="H189" i="83"/>
  <c r="H165" i="83"/>
  <c r="H146" i="83"/>
  <c r="H115" i="83"/>
  <c r="H41" i="83"/>
  <c r="H129" i="83"/>
  <c r="H119" i="83"/>
  <c r="H179" i="83"/>
  <c r="H52" i="83"/>
  <c r="H126" i="83"/>
  <c r="H166" i="83"/>
  <c r="H75" i="83"/>
  <c r="H171" i="83"/>
  <c r="H78" i="83"/>
  <c r="H135" i="83"/>
  <c r="H174" i="83"/>
  <c r="H73" i="83"/>
  <c r="H38" i="83"/>
  <c r="H68" i="83"/>
  <c r="H69" i="83"/>
  <c r="H170" i="83"/>
  <c r="H117" i="83"/>
  <c r="H204" i="83"/>
  <c r="H178" i="83"/>
  <c r="H160" i="83"/>
  <c r="H132" i="83"/>
  <c r="H100" i="83"/>
  <c r="H30" i="83"/>
  <c r="H55" i="83"/>
  <c r="K12" i="83"/>
  <c r="H191" i="83"/>
  <c r="H164" i="83"/>
  <c r="H107" i="83"/>
  <c r="H26" i="83"/>
  <c r="H108" i="83"/>
  <c r="H157" i="83"/>
  <c r="M208" i="83"/>
  <c r="H136" i="83"/>
  <c r="H102" i="83"/>
  <c r="H147" i="83"/>
  <c r="H57" i="83"/>
  <c r="H175" i="83"/>
  <c r="H180" i="83"/>
  <c r="H193" i="83"/>
  <c r="H153" i="83"/>
  <c r="H88" i="83"/>
  <c r="H169" i="83"/>
  <c r="H201" i="83"/>
  <c r="H155" i="83"/>
  <c r="H203" i="83"/>
  <c r="H183" i="83"/>
  <c r="H25" i="83"/>
  <c r="H148" i="83"/>
  <c r="H161" i="83"/>
  <c r="H58" i="83"/>
  <c r="H85" i="83"/>
  <c r="H173" i="83"/>
  <c r="H36" i="83"/>
  <c r="H143" i="83"/>
  <c r="H106" i="83"/>
  <c r="H133" i="83"/>
  <c r="H150" i="83"/>
  <c r="H156" i="83"/>
  <c r="H89" i="83"/>
  <c r="H39" i="83"/>
  <c r="H67" i="83"/>
  <c r="H116" i="83"/>
  <c r="H138" i="83"/>
  <c r="H188" i="83"/>
  <c r="H43" i="83"/>
  <c r="H47" i="83"/>
  <c r="H99" i="83"/>
  <c r="H130" i="83"/>
  <c r="H27" i="83"/>
  <c r="H82" i="83"/>
  <c r="H49" i="83"/>
  <c r="H205" i="83"/>
  <c r="H137" i="83"/>
  <c r="H74" i="83"/>
  <c r="H167" i="83"/>
  <c r="H35" i="83"/>
  <c r="H65" i="83"/>
  <c r="H64" i="83"/>
  <c r="H140" i="83"/>
  <c r="H109" i="83"/>
  <c r="H34" i="83"/>
  <c r="H60" i="83"/>
  <c r="H202" i="83"/>
  <c r="H66" i="83"/>
  <c r="H152" i="83"/>
  <c r="H124" i="83"/>
  <c r="H187" i="83"/>
  <c r="H87" i="83"/>
  <c r="H37" i="83"/>
  <c r="H151" i="83"/>
  <c r="H118" i="83"/>
  <c r="H53" i="83"/>
  <c r="H111" i="83"/>
  <c r="H48" i="83"/>
  <c r="G215" i="83"/>
  <c r="H141" i="164"/>
  <c r="H66" i="164"/>
  <c r="H147" i="164"/>
  <c r="H93" i="164"/>
  <c r="H194" i="164"/>
  <c r="H107" i="164"/>
  <c r="H186" i="164"/>
  <c r="K12" i="164"/>
  <c r="H150" i="164"/>
  <c r="H180" i="164"/>
  <c r="H119" i="164"/>
  <c r="H44" i="164"/>
  <c r="H170" i="164"/>
  <c r="H131" i="164"/>
  <c r="H106" i="164"/>
  <c r="H114" i="164"/>
  <c r="H174" i="164"/>
  <c r="H203" i="164"/>
  <c r="H168" i="164"/>
  <c r="H72" i="164"/>
  <c r="M208" i="164"/>
  <c r="H169" i="164"/>
  <c r="H204" i="164"/>
  <c r="H39" i="164"/>
  <c r="H158" i="164"/>
  <c r="H151" i="164"/>
  <c r="H102" i="164"/>
  <c r="H189" i="164"/>
  <c r="H32" i="164"/>
  <c r="H126" i="164"/>
  <c r="H125" i="164"/>
  <c r="H86" i="164"/>
  <c r="H110" i="164"/>
  <c r="H28" i="164"/>
  <c r="H48" i="164"/>
  <c r="H197" i="164"/>
  <c r="H45" i="164"/>
  <c r="H149" i="164"/>
  <c r="H31" i="164"/>
  <c r="H29" i="164"/>
  <c r="H84" i="164"/>
  <c r="H208" i="164"/>
  <c r="H100" i="164"/>
  <c r="H69" i="164"/>
  <c r="H181" i="164"/>
  <c r="H43" i="164"/>
  <c r="H91" i="164"/>
  <c r="H88" i="164"/>
  <c r="H117" i="164"/>
  <c r="H54" i="164"/>
  <c r="H124" i="164"/>
  <c r="H184" i="164"/>
  <c r="H191" i="164"/>
  <c r="H130" i="164"/>
  <c r="H133" i="164"/>
  <c r="H99" i="164"/>
  <c r="H171" i="164"/>
  <c r="H34" i="164"/>
  <c r="H49" i="164"/>
  <c r="H153" i="164"/>
  <c r="H148" i="164"/>
  <c r="H136" i="164"/>
  <c r="H202" i="164"/>
  <c r="H25" i="164"/>
  <c r="H85" i="164"/>
  <c r="H123" i="164"/>
  <c r="H188" i="164"/>
  <c r="H145" i="164"/>
  <c r="H59" i="164"/>
  <c r="H182" i="164"/>
  <c r="H183" i="164"/>
  <c r="H195" i="164"/>
  <c r="H51" i="164"/>
  <c r="H143" i="164"/>
  <c r="H175" i="164"/>
  <c r="H83" i="164"/>
  <c r="H165" i="164"/>
  <c r="H176" i="164"/>
  <c r="H187" i="164"/>
  <c r="H155" i="164"/>
  <c r="H116" i="164"/>
  <c r="H138" i="164"/>
  <c r="H57" i="164"/>
  <c r="H53" i="164"/>
  <c r="H101" i="164"/>
  <c r="H76" i="164"/>
  <c r="H135" i="164"/>
  <c r="H127" i="164"/>
  <c r="H56" i="164"/>
  <c r="H142" i="164"/>
  <c r="H172" i="164"/>
  <c r="H105" i="164"/>
  <c r="H193" i="164"/>
  <c r="H37" i="164"/>
  <c r="H96" i="164"/>
  <c r="H160" i="164"/>
  <c r="H60" i="164"/>
  <c r="H159" i="164"/>
  <c r="H35" i="164"/>
  <c r="H98" i="164"/>
  <c r="H40" i="164"/>
  <c r="H118" i="164"/>
  <c r="H90" i="164"/>
  <c r="H61" i="164"/>
  <c r="H58" i="164"/>
  <c r="H38" i="164"/>
  <c r="H179" i="164"/>
  <c r="H108" i="164"/>
  <c r="H196" i="164"/>
  <c r="H46" i="164"/>
  <c r="H50" i="164"/>
  <c r="H79" i="164"/>
  <c r="H140" i="164"/>
  <c r="H157" i="164"/>
  <c r="H177" i="164"/>
  <c r="H77" i="164"/>
  <c r="H156" i="164"/>
  <c r="H78" i="164"/>
  <c r="H97" i="164"/>
  <c r="H30" i="164"/>
  <c r="H164" i="164"/>
  <c r="H71" i="164"/>
  <c r="H167" i="164"/>
  <c r="H33" i="164"/>
  <c r="H67" i="164"/>
  <c r="H64" i="164"/>
  <c r="H137" i="164"/>
  <c r="H47" i="164"/>
  <c r="H36" i="164"/>
  <c r="H26" i="164"/>
  <c r="H75" i="164"/>
  <c r="H146" i="164"/>
  <c r="H129" i="164"/>
  <c r="H206" i="164"/>
  <c r="H178" i="164"/>
  <c r="H65" i="164"/>
  <c r="H73" i="164"/>
  <c r="H27" i="164"/>
  <c r="H200" i="164"/>
  <c r="H166" i="164"/>
  <c r="H74" i="164"/>
  <c r="H68" i="164"/>
  <c r="H41" i="164"/>
  <c r="H55" i="164"/>
  <c r="H70" i="164"/>
  <c r="H201" i="164"/>
  <c r="H185" i="164"/>
  <c r="H192" i="164"/>
  <c r="H109" i="164"/>
  <c r="H42" i="164"/>
  <c r="H82" i="164"/>
  <c r="H111" i="164"/>
  <c r="H152" i="164"/>
  <c r="H92" i="164"/>
  <c r="H115" i="164"/>
  <c r="H190" i="164"/>
  <c r="H161" i="164"/>
  <c r="H89" i="164"/>
  <c r="H52" i="164"/>
  <c r="H87" i="164"/>
  <c r="H132" i="164"/>
  <c r="H173" i="164"/>
  <c r="H205" i="164"/>
  <c r="H116" i="39"/>
  <c r="H185" i="39"/>
  <c r="H49" i="39"/>
  <c r="H42" i="39"/>
  <c r="H40" i="39"/>
  <c r="H56" i="39"/>
  <c r="H93" i="39"/>
  <c r="H155" i="39"/>
  <c r="H150" i="39"/>
  <c r="H39" i="39"/>
  <c r="H34" i="39"/>
  <c r="H30" i="39"/>
  <c r="H182" i="39"/>
  <c r="H127" i="39"/>
  <c r="H147" i="39"/>
  <c r="H60" i="39"/>
  <c r="H46" i="39"/>
  <c r="H187" i="39"/>
  <c r="H73" i="39"/>
  <c r="H160" i="39"/>
  <c r="H184" i="39"/>
  <c r="H29" i="39"/>
  <c r="H41" i="39"/>
  <c r="H189" i="39"/>
  <c r="H111" i="39"/>
  <c r="H26" i="39"/>
  <c r="H100" i="39"/>
  <c r="H158" i="39"/>
  <c r="H183" i="39"/>
  <c r="H181" i="39"/>
  <c r="H69" i="39"/>
  <c r="H170" i="39"/>
  <c r="H196" i="39"/>
  <c r="H171" i="39"/>
  <c r="H74" i="39"/>
  <c r="H186" i="39"/>
  <c r="H140" i="39"/>
  <c r="H99" i="39"/>
  <c r="H37" i="39"/>
  <c r="H208" i="39"/>
  <c r="H92" i="39"/>
  <c r="H98" i="39"/>
  <c r="H78" i="39"/>
  <c r="H205" i="39"/>
  <c r="H169" i="39"/>
  <c r="H82" i="39"/>
  <c r="H96" i="39"/>
  <c r="H110" i="39"/>
  <c r="H38" i="39"/>
  <c r="H168" i="39"/>
  <c r="H173" i="39"/>
  <c r="H176" i="39"/>
  <c r="H206" i="39"/>
  <c r="H153" i="39"/>
  <c r="H51" i="39"/>
  <c r="H172" i="39"/>
  <c r="H75" i="39"/>
  <c r="H91" i="39"/>
  <c r="H66" i="39"/>
  <c r="H164" i="39"/>
  <c r="K12" i="39"/>
  <c r="H114" i="39"/>
  <c r="H136" i="39"/>
  <c r="H135" i="39"/>
  <c r="H45" i="39"/>
  <c r="H118" i="39"/>
  <c r="H44" i="39"/>
  <c r="H159" i="39"/>
  <c r="H203" i="39"/>
  <c r="H188" i="39"/>
  <c r="H90" i="39"/>
  <c r="H125" i="39"/>
  <c r="H202" i="39"/>
  <c r="H57" i="39"/>
  <c r="M208" i="39"/>
  <c r="H117" i="39"/>
  <c r="H178" i="39"/>
  <c r="H148" i="39"/>
  <c r="H204" i="39"/>
  <c r="H55" i="39"/>
  <c r="H200" i="39"/>
  <c r="H102" i="39"/>
  <c r="H109" i="39"/>
  <c r="H180" i="39"/>
  <c r="H165" i="39"/>
  <c r="H167" i="39"/>
  <c r="H79" i="39"/>
  <c r="H141" i="39"/>
  <c r="H64" i="39"/>
  <c r="H119" i="39"/>
  <c r="H197" i="39"/>
  <c r="H36" i="39"/>
  <c r="H83" i="39"/>
  <c r="H190" i="39"/>
  <c r="H54" i="39"/>
  <c r="H28" i="39"/>
  <c r="H201" i="39"/>
  <c r="H47" i="39"/>
  <c r="H174" i="39"/>
  <c r="H97" i="39"/>
  <c r="H84" i="39"/>
  <c r="H195" i="39"/>
  <c r="H67" i="39"/>
  <c r="H157" i="39"/>
  <c r="H88" i="39"/>
  <c r="H166" i="39"/>
  <c r="H133" i="39"/>
  <c r="H175" i="39"/>
  <c r="H61" i="39"/>
  <c r="H105" i="39"/>
  <c r="H191" i="39"/>
  <c r="H129" i="39"/>
  <c r="H27" i="39"/>
  <c r="H72" i="39"/>
  <c r="H124" i="39"/>
  <c r="H33" i="39"/>
  <c r="H145" i="39"/>
  <c r="H131" i="39"/>
  <c r="H52" i="39"/>
  <c r="H151" i="39"/>
  <c r="H123" i="39"/>
  <c r="H25" i="39"/>
  <c r="H35" i="39"/>
  <c r="H137" i="39"/>
  <c r="H43" i="39"/>
  <c r="H76" i="39"/>
  <c r="H192" i="39"/>
  <c r="H132" i="39"/>
  <c r="H70" i="39"/>
  <c r="H31" i="39"/>
  <c r="H59" i="39"/>
  <c r="H50" i="39"/>
  <c r="H149" i="39"/>
  <c r="H115" i="39"/>
  <c r="H179" i="39"/>
  <c r="H161" i="39"/>
  <c r="H143" i="39"/>
  <c r="H126" i="39"/>
  <c r="H138" i="39"/>
  <c r="H48" i="39"/>
  <c r="H107" i="39"/>
  <c r="H58" i="39"/>
  <c r="H85" i="39"/>
  <c r="H87" i="39"/>
  <c r="H194" i="39"/>
  <c r="H68" i="39"/>
  <c r="H77" i="39"/>
  <c r="H177" i="39"/>
  <c r="H193" i="39"/>
  <c r="H71" i="39"/>
  <c r="H53" i="39"/>
  <c r="H106" i="39"/>
  <c r="H32" i="39"/>
  <c r="H89" i="39"/>
  <c r="H156" i="39"/>
  <c r="H65" i="39"/>
  <c r="H152" i="39"/>
  <c r="H108" i="39"/>
  <c r="H142" i="39"/>
  <c r="H130" i="39"/>
  <c r="H101" i="39"/>
  <c r="H86" i="39"/>
  <c r="H146" i="39"/>
  <c r="G215" i="39"/>
  <c r="H84" i="63"/>
  <c r="H43" i="63"/>
  <c r="H146" i="63"/>
  <c r="H82" i="63"/>
  <c r="H40" i="63"/>
  <c r="H157" i="63"/>
  <c r="H71" i="63"/>
  <c r="H176" i="63"/>
  <c r="H65" i="63"/>
  <c r="H106" i="63"/>
  <c r="H136" i="63"/>
  <c r="H70" i="63"/>
  <c r="H193" i="63"/>
  <c r="H143" i="63"/>
  <c r="H174" i="63"/>
  <c r="H201" i="63"/>
  <c r="H194" i="63"/>
  <c r="H126" i="63"/>
  <c r="H85" i="63"/>
  <c r="H60" i="63"/>
  <c r="H148" i="63"/>
  <c r="H68" i="63"/>
  <c r="H147" i="63"/>
  <c r="H137" i="63"/>
  <c r="H59" i="63"/>
  <c r="H204" i="63"/>
  <c r="H125" i="63"/>
  <c r="H166" i="63"/>
  <c r="H117" i="63"/>
  <c r="H49" i="63"/>
  <c r="H188" i="63"/>
  <c r="H127" i="63"/>
  <c r="H203" i="63"/>
  <c r="H140" i="63"/>
  <c r="H123" i="63"/>
  <c r="H58" i="63"/>
  <c r="H46" i="63"/>
  <c r="H150" i="63"/>
  <c r="H31" i="63"/>
  <c r="H200" i="63"/>
  <c r="H52" i="63"/>
  <c r="H192" i="63"/>
  <c r="H42" i="63"/>
  <c r="H116" i="63"/>
  <c r="H100" i="63"/>
  <c r="H39" i="63"/>
  <c r="H153" i="63"/>
  <c r="H47" i="63"/>
  <c r="H110" i="63"/>
  <c r="H98" i="63"/>
  <c r="H26" i="63"/>
  <c r="H161" i="63"/>
  <c r="H89" i="63"/>
  <c r="H156" i="63"/>
  <c r="H130" i="63"/>
  <c r="H73" i="63"/>
  <c r="H172" i="63"/>
  <c r="H173" i="63"/>
  <c r="H56" i="63"/>
  <c r="H36" i="63"/>
  <c r="H115" i="63"/>
  <c r="H78" i="63"/>
  <c r="H32" i="63"/>
  <c r="H158" i="63"/>
  <c r="H72" i="63"/>
  <c r="H108" i="63"/>
  <c r="H132" i="63"/>
  <c r="H88" i="63"/>
  <c r="H44" i="63"/>
  <c r="H67" i="63"/>
  <c r="H92" i="63"/>
  <c r="H181" i="63"/>
  <c r="H48" i="63"/>
  <c r="H30" i="63"/>
  <c r="H54" i="63"/>
  <c r="H37" i="63"/>
  <c r="H79" i="63"/>
  <c r="H96" i="63"/>
  <c r="H66" i="63"/>
  <c r="H124" i="63"/>
  <c r="H28" i="63"/>
  <c r="H171" i="63"/>
  <c r="H180" i="63"/>
  <c r="H190" i="63"/>
  <c r="H25" i="63"/>
  <c r="H197" i="63"/>
  <c r="H75" i="63"/>
  <c r="H191" i="63"/>
  <c r="H129" i="63"/>
  <c r="H131" i="63"/>
  <c r="H50" i="63"/>
  <c r="H61" i="63"/>
  <c r="H177" i="63"/>
  <c r="H105" i="63"/>
  <c r="H27" i="63"/>
  <c r="H102" i="63"/>
  <c r="H107" i="63"/>
  <c r="H160" i="63"/>
  <c r="H83" i="63"/>
  <c r="H69" i="63"/>
  <c r="H35" i="63"/>
  <c r="H183" i="63"/>
  <c r="H87" i="63"/>
  <c r="H169" i="63"/>
  <c r="H175" i="63"/>
  <c r="H187" i="63"/>
  <c r="H111" i="63"/>
  <c r="H182" i="63"/>
  <c r="H165" i="63"/>
  <c r="H186" i="63"/>
  <c r="H151" i="63"/>
  <c r="H205" i="63"/>
  <c r="H195" i="63"/>
  <c r="H170" i="63"/>
  <c r="H189" i="63"/>
  <c r="H142" i="63"/>
  <c r="H159" i="63"/>
  <c r="H97" i="63"/>
  <c r="H55" i="63"/>
  <c r="H90" i="63"/>
  <c r="H109" i="63"/>
  <c r="H57" i="63"/>
  <c r="H206" i="63"/>
  <c r="H178" i="63"/>
  <c r="H202" i="63"/>
  <c r="H141" i="63"/>
  <c r="H164" i="63"/>
  <c r="H93" i="63"/>
  <c r="H118" i="63"/>
  <c r="H64" i="63"/>
  <c r="H184" i="63"/>
  <c r="H145" i="63"/>
  <c r="H196" i="63"/>
  <c r="H114" i="63"/>
  <c r="H74" i="63"/>
  <c r="H135" i="63"/>
  <c r="H152" i="63"/>
  <c r="H133" i="63"/>
  <c r="H138" i="63"/>
  <c r="H155" i="63"/>
  <c r="M208" i="63"/>
  <c r="H38" i="63"/>
  <c r="H101" i="63"/>
  <c r="H51" i="63"/>
  <c r="H86" i="63"/>
  <c r="H179" i="63"/>
  <c r="H76" i="63"/>
  <c r="H45" i="63"/>
  <c r="H167" i="63"/>
  <c r="H33" i="63"/>
  <c r="H119" i="63"/>
  <c r="H41" i="63"/>
  <c r="H208" i="63"/>
  <c r="H34" i="63"/>
  <c r="H91" i="63"/>
  <c r="H185" i="63"/>
  <c r="H53" i="63"/>
  <c r="H77" i="63"/>
  <c r="H168" i="63"/>
  <c r="H149" i="63"/>
  <c r="H99" i="63"/>
  <c r="K12" i="63"/>
  <c r="H29" i="63"/>
  <c r="G211" i="97"/>
  <c r="G215" i="94"/>
  <c r="J180" i="97"/>
  <c r="N177" i="159"/>
  <c r="J42" i="97"/>
  <c r="N39" i="133"/>
  <c r="J74" i="97"/>
  <c r="N71" i="98"/>
  <c r="J184" i="97"/>
  <c r="N181" i="45"/>
  <c r="J199" i="97"/>
  <c r="N196" i="39"/>
  <c r="M208" i="85"/>
  <c r="H137" i="85"/>
  <c r="H176" i="85"/>
  <c r="H50" i="85"/>
  <c r="H127" i="85"/>
  <c r="H186" i="85"/>
  <c r="H126" i="85"/>
  <c r="H75" i="85"/>
  <c r="H195" i="85"/>
  <c r="H149" i="85"/>
  <c r="H100" i="85"/>
  <c r="H129" i="85"/>
  <c r="H125" i="85"/>
  <c r="H64" i="85"/>
  <c r="H67" i="85"/>
  <c r="H73" i="85"/>
  <c r="H161" i="85"/>
  <c r="H72" i="85"/>
  <c r="H55" i="85"/>
  <c r="H130" i="85"/>
  <c r="H49" i="85"/>
  <c r="H148" i="85"/>
  <c r="H117" i="85"/>
  <c r="H31" i="85"/>
  <c r="H133" i="85"/>
  <c r="H68" i="85"/>
  <c r="H101" i="85"/>
  <c r="H151" i="85"/>
  <c r="H109" i="85"/>
  <c r="H201" i="85"/>
  <c r="H82" i="85"/>
  <c r="H45" i="85"/>
  <c r="H155" i="85"/>
  <c r="H108" i="85"/>
  <c r="H26" i="85"/>
  <c r="H70" i="85"/>
  <c r="H173" i="85"/>
  <c r="H93" i="85"/>
  <c r="H178" i="85"/>
  <c r="H59" i="85"/>
  <c r="H141" i="85"/>
  <c r="H90" i="85"/>
  <c r="H191" i="85"/>
  <c r="H29" i="85"/>
  <c r="H36" i="85"/>
  <c r="H179" i="85"/>
  <c r="H142" i="85"/>
  <c r="H175" i="85"/>
  <c r="H169" i="85"/>
  <c r="H150" i="85"/>
  <c r="H204" i="85"/>
  <c r="H40" i="85"/>
  <c r="H165" i="85"/>
  <c r="H35" i="85"/>
  <c r="H203" i="85"/>
  <c r="H76" i="85"/>
  <c r="H79" i="85"/>
  <c r="H131" i="85"/>
  <c r="H168" i="85"/>
  <c r="H27" i="85"/>
  <c r="H25" i="85"/>
  <c r="H66" i="85"/>
  <c r="H41" i="85"/>
  <c r="H38" i="85"/>
  <c r="H174" i="85"/>
  <c r="H43" i="85"/>
  <c r="H182" i="85"/>
  <c r="H181" i="85"/>
  <c r="H158" i="85"/>
  <c r="H205" i="85"/>
  <c r="H91" i="85"/>
  <c r="H78" i="85"/>
  <c r="H46" i="85"/>
  <c r="H99" i="85"/>
  <c r="H83" i="85"/>
  <c r="H177" i="85"/>
  <c r="H135" i="85"/>
  <c r="H167" i="85"/>
  <c r="H28" i="85"/>
  <c r="H54" i="85"/>
  <c r="H32" i="85"/>
  <c r="H97" i="85"/>
  <c r="H110" i="85"/>
  <c r="H105" i="85"/>
  <c r="H71" i="85"/>
  <c r="H85" i="85"/>
  <c r="H96" i="85"/>
  <c r="H170" i="85"/>
  <c r="H196" i="85"/>
  <c r="H47" i="85"/>
  <c r="H123" i="85"/>
  <c r="H52" i="85"/>
  <c r="H147" i="85"/>
  <c r="H185" i="85"/>
  <c r="H160" i="85"/>
  <c r="H132" i="85"/>
  <c r="H89" i="85"/>
  <c r="H106" i="85"/>
  <c r="H184" i="85"/>
  <c r="H65" i="85"/>
  <c r="H51" i="85"/>
  <c r="H156" i="85"/>
  <c r="H42" i="85"/>
  <c r="H146" i="85"/>
  <c r="H164" i="85"/>
  <c r="H69" i="85"/>
  <c r="H152" i="85"/>
  <c r="H206" i="85"/>
  <c r="H92" i="85"/>
  <c r="H200" i="85"/>
  <c r="H188" i="85"/>
  <c r="H192" i="85"/>
  <c r="H116" i="85"/>
  <c r="K12" i="85"/>
  <c r="H86" i="85"/>
  <c r="H118" i="85"/>
  <c r="H183" i="85"/>
  <c r="H102" i="85"/>
  <c r="H98" i="85"/>
  <c r="H39" i="85"/>
  <c r="H77" i="85"/>
  <c r="H143" i="85"/>
  <c r="H145" i="85"/>
  <c r="H157" i="85"/>
  <c r="H115" i="85"/>
  <c r="H61" i="85"/>
  <c r="H30" i="85"/>
  <c r="H159" i="85"/>
  <c r="H197" i="85"/>
  <c r="H84" i="85"/>
  <c r="H187" i="85"/>
  <c r="H166" i="85"/>
  <c r="H114" i="85"/>
  <c r="H111" i="85"/>
  <c r="H34" i="85"/>
  <c r="H57" i="85"/>
  <c r="H58" i="85"/>
  <c r="H194" i="85"/>
  <c r="H88" i="85"/>
  <c r="H202" i="85"/>
  <c r="H140" i="85"/>
  <c r="H172" i="85"/>
  <c r="H119" i="85"/>
  <c r="H74" i="85"/>
  <c r="H171" i="85"/>
  <c r="H189" i="85"/>
  <c r="H124" i="85"/>
  <c r="H48" i="85"/>
  <c r="H193" i="85"/>
  <c r="H33" i="85"/>
  <c r="H44" i="85"/>
  <c r="H153" i="85"/>
  <c r="H53" i="85"/>
  <c r="H208" i="85"/>
  <c r="H138" i="85"/>
  <c r="H190" i="85"/>
  <c r="H56" i="85"/>
  <c r="H136" i="85"/>
  <c r="H87" i="85"/>
  <c r="H60" i="85"/>
  <c r="H180" i="85"/>
  <c r="H107" i="85"/>
  <c r="H37" i="85"/>
  <c r="G215" i="85"/>
  <c r="N13" i="178"/>
  <c r="N13" i="155"/>
  <c r="N13" i="46"/>
  <c r="N13" i="142"/>
  <c r="N13" i="159"/>
  <c r="N13" i="27"/>
  <c r="N13" i="62"/>
  <c r="N13" i="167"/>
  <c r="N13" i="15"/>
  <c r="N13" i="39"/>
  <c r="N13" i="92"/>
  <c r="N13" i="60"/>
  <c r="N13" i="118"/>
  <c r="N13" i="21"/>
  <c r="N13" i="113"/>
  <c r="N13" i="25"/>
  <c r="N13" i="177"/>
  <c r="N13" i="145"/>
  <c r="N13" i="50"/>
  <c r="N13" i="95"/>
  <c r="N13" i="172"/>
  <c r="N13" i="43"/>
  <c r="N13" i="33"/>
  <c r="N13" i="57"/>
  <c r="N13" i="55"/>
  <c r="N13" i="150"/>
  <c r="N13" i="58"/>
  <c r="N13" i="66"/>
  <c r="N13" i="90"/>
  <c r="N13" i="86"/>
  <c r="N13" i="133"/>
  <c r="N13" i="24"/>
  <c r="N13" i="54"/>
  <c r="N13" i="98"/>
  <c r="N13" i="165"/>
  <c r="N13" i="31"/>
  <c r="N13" i="53"/>
  <c r="N13" i="16"/>
  <c r="N13" i="38"/>
  <c r="N13" i="152"/>
  <c r="N13" i="87"/>
  <c r="N13" i="42"/>
  <c r="N13" i="47"/>
  <c r="N13" i="64"/>
  <c r="N13" i="69"/>
  <c r="N13" i="149"/>
  <c r="N13" i="157"/>
  <c r="N13" i="104"/>
  <c r="N13" i="63"/>
  <c r="N13" i="49"/>
  <c r="N13" i="71"/>
  <c r="N13" i="136"/>
  <c r="N13" i="79"/>
  <c r="N13" i="10"/>
  <c r="N13" i="164"/>
  <c r="N13" i="20"/>
  <c r="N13" i="119"/>
  <c r="N13" i="28"/>
  <c r="N13" i="45"/>
  <c r="N13" i="72"/>
  <c r="N13" i="176"/>
  <c r="N13" i="89"/>
  <c r="N13" i="65"/>
  <c r="N13" i="156"/>
  <c r="N13" i="141"/>
  <c r="N13" i="94"/>
  <c r="N13" i="85"/>
  <c r="N13" i="111"/>
  <c r="N13" i="83"/>
  <c r="N13" i="1"/>
  <c r="N13" i="106"/>
  <c r="N13" i="174"/>
  <c r="N13" i="158"/>
  <c r="N13" i="14"/>
  <c r="N13" i="32"/>
  <c r="N13" i="175"/>
  <c r="N13" i="102"/>
  <c r="N13" i="68"/>
  <c r="N13" i="103"/>
  <c r="N13" i="135"/>
  <c r="N13" i="19"/>
  <c r="N13" i="120"/>
  <c r="N13" i="84"/>
  <c r="N13" i="37"/>
  <c r="N13" i="143"/>
  <c r="H71" i="20"/>
  <c r="H166" i="20"/>
  <c r="H53" i="20"/>
  <c r="H90" i="20"/>
  <c r="H189" i="20"/>
  <c r="H91" i="20"/>
  <c r="H171" i="20"/>
  <c r="H196" i="20"/>
  <c r="H35" i="20"/>
  <c r="H89" i="20"/>
  <c r="H64" i="20"/>
  <c r="H29" i="20"/>
  <c r="H33" i="20"/>
  <c r="H92" i="20"/>
  <c r="H50" i="20"/>
  <c r="H152" i="20"/>
  <c r="H141" i="20"/>
  <c r="H195" i="20"/>
  <c r="H34" i="20"/>
  <c r="H58" i="20"/>
  <c r="H158" i="20"/>
  <c r="H179" i="20"/>
  <c r="H136" i="20"/>
  <c r="H100" i="20"/>
  <c r="H147" i="20"/>
  <c r="H110" i="20"/>
  <c r="H75" i="20"/>
  <c r="H197" i="20"/>
  <c r="H59" i="20"/>
  <c r="H45" i="20"/>
  <c r="H151" i="20"/>
  <c r="H129" i="20"/>
  <c r="H68" i="20"/>
  <c r="H102" i="20"/>
  <c r="H69" i="20"/>
  <c r="H54" i="20"/>
  <c r="H47" i="20"/>
  <c r="H187" i="20"/>
  <c r="H84" i="20"/>
  <c r="H125" i="20"/>
  <c r="H126" i="20"/>
  <c r="H117" i="20"/>
  <c r="H61" i="20"/>
  <c r="H32" i="20"/>
  <c r="H79" i="20"/>
  <c r="H118" i="20"/>
  <c r="H119" i="20"/>
  <c r="H52" i="20"/>
  <c r="H131" i="20"/>
  <c r="H87" i="20"/>
  <c r="H66" i="20"/>
  <c r="H44" i="20"/>
  <c r="H185" i="20"/>
  <c r="H99" i="20"/>
  <c r="H137" i="20"/>
  <c r="H159" i="20"/>
  <c r="H149" i="20"/>
  <c r="H107" i="20"/>
  <c r="H206" i="20"/>
  <c r="H97" i="20"/>
  <c r="H127" i="20"/>
  <c r="H186" i="20"/>
  <c r="H169" i="20"/>
  <c r="H172" i="20"/>
  <c r="H70" i="20"/>
  <c r="H208" i="20"/>
  <c r="H178" i="20"/>
  <c r="H168" i="20"/>
  <c r="H78" i="20"/>
  <c r="H142" i="20"/>
  <c r="H56" i="20"/>
  <c r="H193" i="20"/>
  <c r="H74" i="20"/>
  <c r="H180" i="20"/>
  <c r="H43" i="20"/>
  <c r="H156" i="20"/>
  <c r="H130" i="20"/>
  <c r="H115" i="20"/>
  <c r="H191" i="20"/>
  <c r="H67" i="20"/>
  <c r="H167" i="20"/>
  <c r="H170" i="20"/>
  <c r="H108" i="20"/>
  <c r="H109" i="20"/>
  <c r="H183" i="20"/>
  <c r="H123" i="20"/>
  <c r="H192" i="20"/>
  <c r="H157" i="20"/>
  <c r="H124" i="20"/>
  <c r="H76" i="20"/>
  <c r="H194" i="20"/>
  <c r="H140" i="20"/>
  <c r="H201" i="20"/>
  <c r="H114" i="20"/>
  <c r="H40" i="20"/>
  <c r="H132" i="20"/>
  <c r="H73" i="20"/>
  <c r="H85" i="20"/>
  <c r="H188" i="20"/>
  <c r="H105" i="20"/>
  <c r="H72" i="20"/>
  <c r="H77" i="20"/>
  <c r="H42" i="20"/>
  <c r="H106" i="20"/>
  <c r="H150" i="20"/>
  <c r="H37" i="20"/>
  <c r="H204" i="20"/>
  <c r="H160" i="20"/>
  <c r="H202" i="20"/>
  <c r="H41" i="20"/>
  <c r="H96" i="20"/>
  <c r="H205" i="20"/>
  <c r="H155" i="20"/>
  <c r="H93" i="20"/>
  <c r="H48" i="20"/>
  <c r="H116" i="20"/>
  <c r="H82" i="20"/>
  <c r="H57" i="20"/>
  <c r="H36" i="20"/>
  <c r="H182" i="20"/>
  <c r="H153" i="20"/>
  <c r="H146" i="20"/>
  <c r="H181" i="20"/>
  <c r="H165" i="20"/>
  <c r="H138" i="20"/>
  <c r="H111" i="20"/>
  <c r="H83" i="20"/>
  <c r="H51" i="20"/>
  <c r="H31" i="20"/>
  <c r="H135" i="20"/>
  <c r="H38" i="20"/>
  <c r="H173" i="20"/>
  <c r="H30" i="20"/>
  <c r="H176" i="20"/>
  <c r="H26" i="20"/>
  <c r="H27" i="20"/>
  <c r="H86" i="20"/>
  <c r="H203" i="20"/>
  <c r="H101" i="20"/>
  <c r="H25" i="20"/>
  <c r="H49" i="20"/>
  <c r="H200" i="20"/>
  <c r="H184" i="20"/>
  <c r="H143" i="20"/>
  <c r="H98" i="20"/>
  <c r="H88" i="20"/>
  <c r="H177" i="20"/>
  <c r="H161" i="20"/>
  <c r="K12" i="20"/>
  <c r="H55" i="20"/>
  <c r="H28" i="20"/>
  <c r="H148" i="20"/>
  <c r="H65" i="20"/>
  <c r="H190" i="20"/>
  <c r="H175" i="20"/>
  <c r="H174" i="20"/>
  <c r="H46" i="20"/>
  <c r="M208" i="20"/>
  <c r="H164" i="20"/>
  <c r="H145" i="20"/>
  <c r="H39" i="20"/>
  <c r="H133" i="20"/>
  <c r="H60" i="20"/>
  <c r="G215" i="20"/>
  <c r="H147" i="106"/>
  <c r="H27" i="106"/>
  <c r="H70" i="106"/>
  <c r="H177" i="106"/>
  <c r="H61" i="106"/>
  <c r="H78" i="106"/>
  <c r="H193" i="106"/>
  <c r="H28" i="106"/>
  <c r="H133" i="106"/>
  <c r="H55" i="106"/>
  <c r="H99" i="106"/>
  <c r="H66" i="106"/>
  <c r="H129" i="106"/>
  <c r="H71" i="106"/>
  <c r="H76" i="106"/>
  <c r="H75" i="106"/>
  <c r="H47" i="106"/>
  <c r="H46" i="106"/>
  <c r="H185" i="106"/>
  <c r="H53" i="106"/>
  <c r="H117" i="106"/>
  <c r="H157" i="106"/>
  <c r="H151" i="106"/>
  <c r="H208" i="106"/>
  <c r="H142" i="106"/>
  <c r="H73" i="106"/>
  <c r="H165" i="106"/>
  <c r="H152" i="106"/>
  <c r="H153" i="106"/>
  <c r="H67" i="106"/>
  <c r="H160" i="106"/>
  <c r="H168" i="106"/>
  <c r="H30" i="106"/>
  <c r="H34" i="106"/>
  <c r="H83" i="106"/>
  <c r="H195" i="106"/>
  <c r="H197" i="106"/>
  <c r="H58" i="106"/>
  <c r="H101" i="106"/>
  <c r="H59" i="106"/>
  <c r="H116" i="106"/>
  <c r="H41" i="106"/>
  <c r="H205" i="106"/>
  <c r="H171" i="106"/>
  <c r="M208" i="106"/>
  <c r="H164" i="106"/>
  <c r="H93" i="106"/>
  <c r="H88" i="106"/>
  <c r="H77" i="106"/>
  <c r="H102" i="106"/>
  <c r="H52" i="106"/>
  <c r="H96" i="106"/>
  <c r="H109" i="106"/>
  <c r="H127" i="106"/>
  <c r="H35" i="106"/>
  <c r="K12" i="106"/>
  <c r="H119" i="106"/>
  <c r="H39" i="106"/>
  <c r="H98" i="106"/>
  <c r="H49" i="106"/>
  <c r="H43" i="106"/>
  <c r="H92" i="106"/>
  <c r="H29" i="106"/>
  <c r="H159" i="106"/>
  <c r="H84" i="106"/>
  <c r="H79" i="106"/>
  <c r="H100" i="106"/>
  <c r="H90" i="106"/>
  <c r="H56" i="106"/>
  <c r="H85" i="106"/>
  <c r="H68" i="106"/>
  <c r="H45" i="106"/>
  <c r="H115" i="106"/>
  <c r="H33" i="106"/>
  <c r="H65" i="106"/>
  <c r="H114" i="106"/>
  <c r="H155" i="106"/>
  <c r="H89" i="106"/>
  <c r="H118" i="106"/>
  <c r="H176" i="106"/>
  <c r="H74" i="106"/>
  <c r="H138" i="106"/>
  <c r="H54" i="106"/>
  <c r="H110" i="106"/>
  <c r="H148" i="106"/>
  <c r="H170" i="106"/>
  <c r="H130" i="106"/>
  <c r="H124" i="106"/>
  <c r="H172" i="106"/>
  <c r="H72" i="106"/>
  <c r="H178" i="106"/>
  <c r="H131" i="106"/>
  <c r="H69" i="106"/>
  <c r="H179" i="106"/>
  <c r="H97" i="106"/>
  <c r="H143" i="106"/>
  <c r="H126" i="106"/>
  <c r="H51" i="106"/>
  <c r="H107" i="106"/>
  <c r="H48" i="106"/>
  <c r="H188" i="106"/>
  <c r="H201" i="106"/>
  <c r="H203" i="106"/>
  <c r="H140" i="106"/>
  <c r="H186" i="106"/>
  <c r="H31" i="106"/>
  <c r="H136" i="106"/>
  <c r="H204" i="106"/>
  <c r="H173" i="106"/>
  <c r="H196" i="106"/>
  <c r="H167" i="106"/>
  <c r="H50" i="106"/>
  <c r="H190" i="106"/>
  <c r="H183" i="106"/>
  <c r="H187" i="106"/>
  <c r="H105" i="106"/>
  <c r="H161" i="106"/>
  <c r="H181" i="106"/>
  <c r="H132" i="106"/>
  <c r="H38" i="106"/>
  <c r="H82" i="106"/>
  <c r="H194" i="106"/>
  <c r="H25" i="106"/>
  <c r="H135" i="106"/>
  <c r="H137" i="106"/>
  <c r="H146" i="106"/>
  <c r="H86" i="106"/>
  <c r="H158" i="106"/>
  <c r="H64" i="106"/>
  <c r="H145" i="106"/>
  <c r="H192" i="106"/>
  <c r="H191" i="106"/>
  <c r="H184" i="106"/>
  <c r="H87" i="106"/>
  <c r="H175" i="106"/>
  <c r="H106" i="106"/>
  <c r="H180" i="106"/>
  <c r="H36" i="106"/>
  <c r="H60" i="106"/>
  <c r="H91" i="106"/>
  <c r="H202" i="106"/>
  <c r="H182" i="106"/>
  <c r="H44" i="106"/>
  <c r="G215" i="106"/>
  <c r="H169" i="106"/>
  <c r="H108" i="106"/>
  <c r="H206" i="106"/>
  <c r="H26" i="106"/>
  <c r="H149" i="106"/>
  <c r="H125" i="106"/>
  <c r="H141" i="106"/>
  <c r="H123" i="106"/>
  <c r="H40" i="106"/>
  <c r="H189" i="106"/>
  <c r="H32" i="106"/>
  <c r="H111" i="106"/>
  <c r="H166" i="106"/>
  <c r="H57" i="106"/>
  <c r="H174" i="106"/>
  <c r="H150" i="106"/>
  <c r="H37" i="106"/>
  <c r="H156" i="106"/>
  <c r="H200" i="106"/>
  <c r="H42" i="106"/>
  <c r="H28" i="14"/>
  <c r="H138" i="14"/>
  <c r="H47" i="14"/>
  <c r="H142" i="14"/>
  <c r="H131" i="14"/>
  <c r="H33" i="14"/>
  <c r="H167" i="14"/>
  <c r="H73" i="14"/>
  <c r="H188" i="14"/>
  <c r="H98" i="14"/>
  <c r="H41" i="14"/>
  <c r="H140" i="14"/>
  <c r="H169" i="14"/>
  <c r="H200" i="14"/>
  <c r="H129" i="14"/>
  <c r="H133" i="14"/>
  <c r="H74" i="14"/>
  <c r="H159" i="14"/>
  <c r="H88" i="14"/>
  <c r="H193" i="14"/>
  <c r="H82" i="14"/>
  <c r="H69" i="14"/>
  <c r="H135" i="14"/>
  <c r="H183" i="14"/>
  <c r="H78" i="14"/>
  <c r="H51" i="14"/>
  <c r="H181" i="14"/>
  <c r="H99" i="14"/>
  <c r="H67" i="14"/>
  <c r="H60" i="14"/>
  <c r="H176" i="14"/>
  <c r="H83" i="14"/>
  <c r="H177" i="14"/>
  <c r="H50" i="14"/>
  <c r="H170" i="14"/>
  <c r="H68" i="14"/>
  <c r="H202" i="14"/>
  <c r="H110" i="14"/>
  <c r="H26" i="14"/>
  <c r="H141" i="14"/>
  <c r="H76" i="14"/>
  <c r="H175" i="14"/>
  <c r="H85" i="14"/>
  <c r="H124" i="14"/>
  <c r="H34" i="14"/>
  <c r="H38" i="14"/>
  <c r="H56" i="14"/>
  <c r="H48" i="14"/>
  <c r="H102" i="14"/>
  <c r="H116" i="14"/>
  <c r="H197" i="14"/>
  <c r="H184" i="14"/>
  <c r="H77" i="14"/>
  <c r="H35" i="14"/>
  <c r="H70" i="14"/>
  <c r="H57" i="14"/>
  <c r="H101" i="14"/>
  <c r="H152" i="14"/>
  <c r="H204" i="14"/>
  <c r="H153" i="14"/>
  <c r="H97" i="14"/>
  <c r="H208" i="14"/>
  <c r="H126" i="14"/>
  <c r="H29" i="14"/>
  <c r="H86" i="14"/>
  <c r="H203" i="14"/>
  <c r="H107" i="14"/>
  <c r="H55" i="14"/>
  <c r="H151" i="14"/>
  <c r="H58" i="14"/>
  <c r="H178" i="14"/>
  <c r="H118" i="14"/>
  <c r="H31" i="14"/>
  <c r="H196" i="14"/>
  <c r="H205" i="14"/>
  <c r="H111" i="14"/>
  <c r="H145" i="14"/>
  <c r="H79" i="14"/>
  <c r="H49" i="14"/>
  <c r="H165" i="14"/>
  <c r="H187" i="14"/>
  <c r="H100" i="14"/>
  <c r="H136" i="14"/>
  <c r="H192" i="14"/>
  <c r="H150" i="14"/>
  <c r="H168" i="14"/>
  <c r="H65" i="14"/>
  <c r="M208" i="14"/>
  <c r="H130" i="14"/>
  <c r="H189" i="14"/>
  <c r="H45" i="14"/>
  <c r="H137" i="14"/>
  <c r="H46" i="14"/>
  <c r="H166" i="14"/>
  <c r="H64" i="14"/>
  <c r="H125" i="14"/>
  <c r="H36" i="14"/>
  <c r="H148" i="14"/>
  <c r="H91" i="14"/>
  <c r="H185" i="14"/>
  <c r="H93" i="14"/>
  <c r="H44" i="14"/>
  <c r="H157" i="14"/>
  <c r="H66" i="14"/>
  <c r="H75" i="14"/>
  <c r="H108" i="14"/>
  <c r="H39" i="14"/>
  <c r="H43" i="14"/>
  <c r="H71" i="14"/>
  <c r="H42" i="14"/>
  <c r="H179" i="14"/>
  <c r="H160" i="14"/>
  <c r="H173" i="14"/>
  <c r="H161" i="14"/>
  <c r="H37" i="14"/>
  <c r="H105" i="14"/>
  <c r="H155" i="14"/>
  <c r="G215" i="14"/>
  <c r="H158" i="14"/>
  <c r="H96" i="14"/>
  <c r="H87" i="14"/>
  <c r="H59" i="14"/>
  <c r="H92" i="14"/>
  <c r="H201" i="14"/>
  <c r="H25" i="14"/>
  <c r="H117" i="14"/>
  <c r="H32" i="14"/>
  <c r="H143" i="14"/>
  <c r="H195" i="14"/>
  <c r="H106" i="14"/>
  <c r="H54" i="14"/>
  <c r="H174" i="14"/>
  <c r="H72" i="14"/>
  <c r="H171" i="14"/>
  <c r="H115" i="14"/>
  <c r="H30" i="14"/>
  <c r="H146" i="14"/>
  <c r="H109" i="14"/>
  <c r="H119" i="14"/>
  <c r="K12" i="14"/>
  <c r="H52" i="14"/>
  <c r="H132" i="14"/>
  <c r="H172" i="14"/>
  <c r="H186" i="14"/>
  <c r="H180" i="14"/>
  <c r="H147" i="14"/>
  <c r="H90" i="14"/>
  <c r="H206" i="14"/>
  <c r="H114" i="14"/>
  <c r="H27" i="14"/>
  <c r="H156" i="14"/>
  <c r="H61" i="14"/>
  <c r="H182" i="14"/>
  <c r="H194" i="14"/>
  <c r="H123" i="14"/>
  <c r="H127" i="14"/>
  <c r="H53" i="14"/>
  <c r="H164" i="14"/>
  <c r="H190" i="14"/>
  <c r="H89" i="14"/>
  <c r="H191" i="14"/>
  <c r="H40" i="14"/>
  <c r="H84" i="14"/>
  <c r="H149" i="14"/>
  <c r="H203" i="53"/>
  <c r="H110" i="53"/>
  <c r="H114" i="53"/>
  <c r="H51" i="53"/>
  <c r="H147" i="53"/>
  <c r="H60" i="53"/>
  <c r="H56" i="53"/>
  <c r="H108" i="53"/>
  <c r="H149" i="53"/>
  <c r="H194" i="53"/>
  <c r="H90" i="53"/>
  <c r="H71" i="53"/>
  <c r="H39" i="53"/>
  <c r="H197" i="53"/>
  <c r="H37" i="53"/>
  <c r="H192" i="53"/>
  <c r="H170" i="53"/>
  <c r="H146" i="53"/>
  <c r="H25" i="53"/>
  <c r="H173" i="53"/>
  <c r="H93" i="53"/>
  <c r="H125" i="53"/>
  <c r="H155" i="53"/>
  <c r="H188" i="53"/>
  <c r="H184" i="53"/>
  <c r="H102" i="53"/>
  <c r="H31" i="53"/>
  <c r="H83" i="53"/>
  <c r="H59" i="53"/>
  <c r="H53" i="53"/>
  <c r="H65" i="53"/>
  <c r="H138" i="53"/>
  <c r="H41" i="53"/>
  <c r="H143" i="53"/>
  <c r="H27" i="53"/>
  <c r="H150" i="53"/>
  <c r="H85" i="53"/>
  <c r="H72" i="53"/>
  <c r="H132" i="53"/>
  <c r="H140" i="53"/>
  <c r="H135" i="53"/>
  <c r="H190" i="53"/>
  <c r="H152" i="53"/>
  <c r="H101" i="53"/>
  <c r="H174" i="53"/>
  <c r="H206" i="53"/>
  <c r="H87" i="53"/>
  <c r="H204" i="53"/>
  <c r="H55" i="53"/>
  <c r="H91" i="53"/>
  <c r="H82" i="53"/>
  <c r="H115" i="53"/>
  <c r="H73" i="53"/>
  <c r="H54" i="53"/>
  <c r="H38" i="53"/>
  <c r="H36" i="53"/>
  <c r="H79" i="53"/>
  <c r="H145" i="53"/>
  <c r="H158" i="53"/>
  <c r="H109" i="53"/>
  <c r="H97" i="53"/>
  <c r="H164" i="53"/>
  <c r="H44" i="53"/>
  <c r="H193" i="53"/>
  <c r="H185" i="53"/>
  <c r="H75" i="53"/>
  <c r="H89" i="53"/>
  <c r="H118" i="53"/>
  <c r="H133" i="53"/>
  <c r="H28" i="53"/>
  <c r="H124" i="53"/>
  <c r="H40" i="53"/>
  <c r="H186" i="53"/>
  <c r="H84" i="53"/>
  <c r="H46" i="53"/>
  <c r="H92" i="53"/>
  <c r="H105" i="53"/>
  <c r="H129" i="53"/>
  <c r="H200" i="53"/>
  <c r="H49" i="53"/>
  <c r="H99" i="53"/>
  <c r="H182" i="53"/>
  <c r="H142" i="53"/>
  <c r="H159" i="53"/>
  <c r="H52" i="53"/>
  <c r="H116" i="53"/>
  <c r="H66" i="53"/>
  <c r="H189" i="53"/>
  <c r="H167" i="53"/>
  <c r="H201" i="53"/>
  <c r="H175" i="53"/>
  <c r="H68" i="53"/>
  <c r="H64" i="53"/>
  <c r="H168" i="53"/>
  <c r="H165" i="53"/>
  <c r="H172" i="53"/>
  <c r="H180" i="53"/>
  <c r="H208" i="53"/>
  <c r="H117" i="53"/>
  <c r="H35" i="53"/>
  <c r="H157" i="53"/>
  <c r="H47" i="53"/>
  <c r="H130" i="53"/>
  <c r="H183" i="53"/>
  <c r="H177" i="53"/>
  <c r="H57" i="53"/>
  <c r="H78" i="53"/>
  <c r="H195" i="53"/>
  <c r="H156" i="53"/>
  <c r="H70" i="53"/>
  <c r="H100" i="53"/>
  <c r="H151" i="53"/>
  <c r="H137" i="53"/>
  <c r="H153" i="53"/>
  <c r="H111" i="53"/>
  <c r="H33" i="53"/>
  <c r="H58" i="53"/>
  <c r="H30" i="53"/>
  <c r="H86" i="53"/>
  <c r="H29" i="53"/>
  <c r="H196" i="53"/>
  <c r="H205" i="53"/>
  <c r="H74" i="53"/>
  <c r="H69" i="53"/>
  <c r="H181" i="53"/>
  <c r="H26" i="53"/>
  <c r="H166" i="53"/>
  <c r="H32" i="53"/>
  <c r="H171" i="53"/>
  <c r="H119" i="53"/>
  <c r="H169" i="53"/>
  <c r="H123" i="53"/>
  <c r="H50" i="53"/>
  <c r="H98" i="53"/>
  <c r="H136" i="53"/>
  <c r="K12" i="53"/>
  <c r="H141" i="53"/>
  <c r="H107" i="53"/>
  <c r="H126" i="53"/>
  <c r="H61" i="53"/>
  <c r="H202" i="53"/>
  <c r="H45" i="53"/>
  <c r="H77" i="53"/>
  <c r="H106" i="53"/>
  <c r="H187" i="53"/>
  <c r="H191" i="53"/>
  <c r="H88" i="53"/>
  <c r="H48" i="53"/>
  <c r="H179" i="53"/>
  <c r="H176" i="53"/>
  <c r="H42" i="53"/>
  <c r="H67" i="53"/>
  <c r="H96" i="53"/>
  <c r="H76" i="53"/>
  <c r="H127" i="53"/>
  <c r="H43" i="53"/>
  <c r="H161" i="53"/>
  <c r="H34" i="53"/>
  <c r="H178" i="53"/>
  <c r="H148" i="53"/>
  <c r="M208" i="53"/>
  <c r="H160" i="53"/>
  <c r="H131" i="53"/>
  <c r="H156" i="133"/>
  <c r="H101" i="133"/>
  <c r="H105" i="133"/>
  <c r="H49" i="133"/>
  <c r="H164" i="133"/>
  <c r="H137" i="133"/>
  <c r="H53" i="133"/>
  <c r="H169" i="133"/>
  <c r="H92" i="133"/>
  <c r="H102" i="133"/>
  <c r="H33" i="133"/>
  <c r="H47" i="133"/>
  <c r="H119" i="133"/>
  <c r="H170" i="133"/>
  <c r="M208" i="133"/>
  <c r="H70" i="133"/>
  <c r="H160" i="133"/>
  <c r="H151" i="133"/>
  <c r="H145" i="133"/>
  <c r="H73" i="133"/>
  <c r="H131" i="133"/>
  <c r="H28" i="133"/>
  <c r="H72" i="133"/>
  <c r="H192" i="133"/>
  <c r="H130" i="133"/>
  <c r="H110" i="133"/>
  <c r="H202" i="133"/>
  <c r="H44" i="133"/>
  <c r="H66" i="133"/>
  <c r="H61" i="133"/>
  <c r="H205" i="133"/>
  <c r="H31" i="133"/>
  <c r="H90" i="133"/>
  <c r="H126" i="133"/>
  <c r="H27" i="133"/>
  <c r="H136" i="133"/>
  <c r="H165" i="133"/>
  <c r="H109" i="133"/>
  <c r="H175" i="133"/>
  <c r="H114" i="133"/>
  <c r="H99" i="133"/>
  <c r="H176" i="133"/>
  <c r="H60" i="133"/>
  <c r="H133" i="133"/>
  <c r="H142" i="133"/>
  <c r="H36" i="133"/>
  <c r="H25" i="133"/>
  <c r="H85" i="133"/>
  <c r="H194" i="133"/>
  <c r="H67" i="133"/>
  <c r="H197" i="133"/>
  <c r="H106" i="133"/>
  <c r="H29" i="133"/>
  <c r="H141" i="133"/>
  <c r="H161" i="133"/>
  <c r="H150" i="133"/>
  <c r="H34" i="133"/>
  <c r="H123" i="133"/>
  <c r="H32" i="133"/>
  <c r="H97" i="133"/>
  <c r="H84" i="133"/>
  <c r="H37" i="133"/>
  <c r="H180" i="133"/>
  <c r="H54" i="133"/>
  <c r="H195" i="133"/>
  <c r="H77" i="133"/>
  <c r="H184" i="133"/>
  <c r="H200" i="133"/>
  <c r="H179" i="133"/>
  <c r="H167" i="133"/>
  <c r="H46" i="133"/>
  <c r="H148" i="133"/>
  <c r="H118" i="133"/>
  <c r="H191" i="133"/>
  <c r="H91" i="133"/>
  <c r="H69" i="133"/>
  <c r="H181" i="133"/>
  <c r="H182" i="133"/>
  <c r="H64" i="133"/>
  <c r="H68" i="133"/>
  <c r="H193" i="133"/>
  <c r="H56" i="133"/>
  <c r="H152" i="133"/>
  <c r="H196" i="133"/>
  <c r="H140" i="133"/>
  <c r="H30" i="133"/>
  <c r="H76" i="133"/>
  <c r="H78" i="133"/>
  <c r="H132" i="133"/>
  <c r="H96" i="133"/>
  <c r="H190" i="133"/>
  <c r="H43" i="133"/>
  <c r="H45" i="133"/>
  <c r="H71" i="133"/>
  <c r="H177" i="133"/>
  <c r="H82" i="133"/>
  <c r="H86" i="133"/>
  <c r="H74" i="133"/>
  <c r="H38" i="133"/>
  <c r="H83" i="133"/>
  <c r="H203" i="133"/>
  <c r="H55" i="133"/>
  <c r="H204" i="133"/>
  <c r="H158" i="133"/>
  <c r="H41" i="133"/>
  <c r="K12" i="133"/>
  <c r="H171" i="133"/>
  <c r="H59" i="133"/>
  <c r="H185" i="133"/>
  <c r="H149" i="133"/>
  <c r="H153" i="133"/>
  <c r="H117" i="133"/>
  <c r="H201" i="133"/>
  <c r="H155" i="133"/>
  <c r="H127" i="133"/>
  <c r="H135" i="133"/>
  <c r="H178" i="133"/>
  <c r="H183" i="133"/>
  <c r="H208" i="133"/>
  <c r="H206" i="133"/>
  <c r="H189" i="133"/>
  <c r="H115" i="133"/>
  <c r="H108" i="133"/>
  <c r="H172" i="133"/>
  <c r="H174" i="133"/>
  <c r="H157" i="133"/>
  <c r="H116" i="133"/>
  <c r="H89" i="133"/>
  <c r="H42" i="133"/>
  <c r="H147" i="133"/>
  <c r="H26" i="133"/>
  <c r="H48" i="133"/>
  <c r="H173" i="133"/>
  <c r="H58" i="133"/>
  <c r="H52" i="133"/>
  <c r="H75" i="133"/>
  <c r="H98" i="133"/>
  <c r="H107" i="133"/>
  <c r="H51" i="133"/>
  <c r="H40" i="133"/>
  <c r="H88" i="133"/>
  <c r="H111" i="133"/>
  <c r="H87" i="133"/>
  <c r="H50" i="133"/>
  <c r="H93" i="133"/>
  <c r="H65" i="133"/>
  <c r="H186" i="133"/>
  <c r="H143" i="133"/>
  <c r="H39" i="133"/>
  <c r="H129" i="133"/>
  <c r="H168" i="133"/>
  <c r="H138" i="133"/>
  <c r="H166" i="133"/>
  <c r="H57" i="133"/>
  <c r="H35" i="133"/>
  <c r="H146" i="133"/>
  <c r="H100" i="133"/>
  <c r="H124" i="133"/>
  <c r="H125" i="133"/>
  <c r="H187" i="133"/>
  <c r="H188" i="133"/>
  <c r="H159" i="133"/>
  <c r="H79" i="133"/>
  <c r="H91" i="55"/>
  <c r="H155" i="55"/>
  <c r="H61" i="55"/>
  <c r="H200" i="55"/>
  <c r="H167" i="55"/>
  <c r="H172" i="55"/>
  <c r="H114" i="55"/>
  <c r="H141" i="55"/>
  <c r="H39" i="55"/>
  <c r="H111" i="55"/>
  <c r="K12" i="55"/>
  <c r="H203" i="55"/>
  <c r="H140" i="55"/>
  <c r="H54" i="55"/>
  <c r="H149" i="55"/>
  <c r="H29" i="55"/>
  <c r="H157" i="55"/>
  <c r="H35" i="55"/>
  <c r="H37" i="55"/>
  <c r="H166" i="55"/>
  <c r="H148" i="55"/>
  <c r="H57" i="55"/>
  <c r="H83" i="55"/>
  <c r="H33" i="55"/>
  <c r="H137" i="55"/>
  <c r="H73" i="55"/>
  <c r="H146" i="55"/>
  <c r="H45" i="55"/>
  <c r="H164" i="55"/>
  <c r="H50" i="55"/>
  <c r="H147" i="55"/>
  <c r="H26" i="55"/>
  <c r="H129" i="55"/>
  <c r="H208" i="55"/>
  <c r="H82" i="55"/>
  <c r="H92" i="55"/>
  <c r="H177" i="55"/>
  <c r="H168" i="55"/>
  <c r="H93" i="55"/>
  <c r="H34" i="55"/>
  <c r="H41" i="55"/>
  <c r="H65" i="55"/>
  <c r="H55" i="55"/>
  <c r="H185" i="55"/>
  <c r="H181" i="55"/>
  <c r="H193" i="55"/>
  <c r="H38" i="55"/>
  <c r="H53" i="55"/>
  <c r="H116" i="55"/>
  <c r="H195" i="55"/>
  <c r="H107" i="55"/>
  <c r="H117" i="55"/>
  <c r="H186" i="55"/>
  <c r="H160" i="55"/>
  <c r="H59" i="55"/>
  <c r="H90" i="55"/>
  <c r="H58" i="55"/>
  <c r="H98" i="55"/>
  <c r="H188" i="55"/>
  <c r="H32" i="55"/>
  <c r="H151" i="55"/>
  <c r="H132" i="55"/>
  <c r="H191" i="55"/>
  <c r="H31" i="55"/>
  <c r="H187" i="55"/>
  <c r="H115" i="55"/>
  <c r="H47" i="55"/>
  <c r="H156" i="55"/>
  <c r="H194" i="55"/>
  <c r="H76" i="55"/>
  <c r="M208" i="55"/>
  <c r="H87" i="55"/>
  <c r="H123" i="55"/>
  <c r="H178" i="55"/>
  <c r="H100" i="55"/>
  <c r="H192" i="55"/>
  <c r="H30" i="55"/>
  <c r="H131" i="55"/>
  <c r="H169" i="55"/>
  <c r="H64" i="55"/>
  <c r="H85" i="55"/>
  <c r="H56" i="55"/>
  <c r="H170" i="55"/>
  <c r="H184" i="55"/>
  <c r="H182" i="55"/>
  <c r="H161" i="55"/>
  <c r="H99" i="55"/>
  <c r="H77" i="55"/>
  <c r="H71" i="55"/>
  <c r="H143" i="55"/>
  <c r="H66" i="55"/>
  <c r="H179" i="55"/>
  <c r="H46" i="55"/>
  <c r="H28" i="55"/>
  <c r="H119" i="55"/>
  <c r="H142" i="55"/>
  <c r="H175" i="55"/>
  <c r="H136" i="55"/>
  <c r="H110" i="55"/>
  <c r="H118" i="55"/>
  <c r="H84" i="55"/>
  <c r="H189" i="55"/>
  <c r="H43" i="55"/>
  <c r="H97" i="55"/>
  <c r="H153" i="55"/>
  <c r="H130" i="55"/>
  <c r="H70" i="55"/>
  <c r="H138" i="55"/>
  <c r="H201" i="55"/>
  <c r="H165" i="55"/>
  <c r="H197" i="55"/>
  <c r="H75" i="55"/>
  <c r="H135" i="55"/>
  <c r="H125" i="55"/>
  <c r="H40" i="55"/>
  <c r="H78" i="55"/>
  <c r="H174" i="55"/>
  <c r="H102" i="55"/>
  <c r="H204" i="55"/>
  <c r="H25" i="55"/>
  <c r="H206" i="55"/>
  <c r="H183" i="55"/>
  <c r="H180" i="55"/>
  <c r="H27" i="55"/>
  <c r="H150" i="55"/>
  <c r="H127" i="55"/>
  <c r="H42" i="55"/>
  <c r="H86" i="55"/>
  <c r="H44" i="55"/>
  <c r="H196" i="55"/>
  <c r="H67" i="55"/>
  <c r="H152" i="55"/>
  <c r="H176" i="55"/>
  <c r="H159" i="55"/>
  <c r="H96" i="55"/>
  <c r="H79" i="55"/>
  <c r="H68" i="55"/>
  <c r="H205" i="55"/>
  <c r="H173" i="55"/>
  <c r="H36" i="55"/>
  <c r="H49" i="55"/>
  <c r="H74" i="55"/>
  <c r="H105" i="55"/>
  <c r="H108" i="55"/>
  <c r="H89" i="55"/>
  <c r="H48" i="55"/>
  <c r="H190" i="55"/>
  <c r="H106" i="55"/>
  <c r="H124" i="55"/>
  <c r="H171" i="55"/>
  <c r="H109" i="55"/>
  <c r="H158" i="55"/>
  <c r="H101" i="55"/>
  <c r="H72" i="55"/>
  <c r="H126" i="55"/>
  <c r="H52" i="55"/>
  <c r="H69" i="55"/>
  <c r="H145" i="55"/>
  <c r="H51" i="55"/>
  <c r="H60" i="55"/>
  <c r="H133" i="55"/>
  <c r="H202" i="55"/>
  <c r="H88" i="55"/>
  <c r="H119" i="174"/>
  <c r="H181" i="174"/>
  <c r="H57" i="174"/>
  <c r="H201" i="174"/>
  <c r="H35" i="174"/>
  <c r="H42" i="174"/>
  <c r="H67" i="174"/>
  <c r="H150" i="174"/>
  <c r="H92" i="174"/>
  <c r="H71" i="174"/>
  <c r="H82" i="174"/>
  <c r="H192" i="174"/>
  <c r="H140" i="174"/>
  <c r="H153" i="174"/>
  <c r="H110" i="174"/>
  <c r="H182" i="174"/>
  <c r="H200" i="174"/>
  <c r="H98" i="174"/>
  <c r="H141" i="174"/>
  <c r="H176" i="174"/>
  <c r="H184" i="174"/>
  <c r="H191" i="174"/>
  <c r="H135" i="174"/>
  <c r="H115" i="174"/>
  <c r="H77" i="174"/>
  <c r="H55" i="174"/>
  <c r="H148" i="174"/>
  <c r="H66" i="174"/>
  <c r="H158" i="174"/>
  <c r="H156" i="174"/>
  <c r="H130" i="174"/>
  <c r="H53" i="174"/>
  <c r="H174" i="174"/>
  <c r="H118" i="174"/>
  <c r="H106" i="174"/>
  <c r="H86" i="174"/>
  <c r="H75" i="174"/>
  <c r="H204" i="174"/>
  <c r="H59" i="174"/>
  <c r="H54" i="174"/>
  <c r="H186" i="174"/>
  <c r="H58" i="174"/>
  <c r="H49" i="174"/>
  <c r="H169" i="174"/>
  <c r="H205" i="174"/>
  <c r="H189" i="174"/>
  <c r="H60" i="174"/>
  <c r="H123" i="174"/>
  <c r="H129" i="174"/>
  <c r="H171" i="174"/>
  <c r="H132" i="174"/>
  <c r="H100" i="174"/>
  <c r="H126" i="174"/>
  <c r="H159" i="174"/>
  <c r="H89" i="174"/>
  <c r="H108" i="174"/>
  <c r="H161" i="174"/>
  <c r="H38" i="174"/>
  <c r="H147" i="174"/>
  <c r="H179" i="174"/>
  <c r="H202" i="174"/>
  <c r="H111" i="174"/>
  <c r="H125" i="174"/>
  <c r="H188" i="174"/>
  <c r="H40" i="174"/>
  <c r="H88" i="174"/>
  <c r="H167" i="174"/>
  <c r="H79" i="174"/>
  <c r="H143" i="174"/>
  <c r="H34" i="174"/>
  <c r="H33" i="174"/>
  <c r="H145" i="174"/>
  <c r="H168" i="174"/>
  <c r="H166" i="174"/>
  <c r="H187" i="174"/>
  <c r="H114" i="174"/>
  <c r="H73" i="174"/>
  <c r="H44" i="174"/>
  <c r="H131" i="174"/>
  <c r="H178" i="174"/>
  <c r="H47" i="174"/>
  <c r="H91" i="174"/>
  <c r="H51" i="174"/>
  <c r="H72" i="174"/>
  <c r="H26" i="174"/>
  <c r="H195" i="174"/>
  <c r="H29" i="174"/>
  <c r="H170" i="174"/>
  <c r="H149" i="174"/>
  <c r="H164" i="174"/>
  <c r="H137" i="174"/>
  <c r="H102" i="174"/>
  <c r="H183" i="174"/>
  <c r="H46" i="174"/>
  <c r="H138" i="174"/>
  <c r="H136" i="174"/>
  <c r="H43" i="174"/>
  <c r="H190" i="174"/>
  <c r="H97" i="174"/>
  <c r="H69" i="174"/>
  <c r="H36" i="174"/>
  <c r="H117" i="174"/>
  <c r="M208" i="174"/>
  <c r="H175" i="174"/>
  <c r="H173" i="174"/>
  <c r="H180" i="174"/>
  <c r="H142" i="174"/>
  <c r="H105" i="174"/>
  <c r="H70" i="174"/>
  <c r="H68" i="174"/>
  <c r="H203" i="174"/>
  <c r="H76" i="174"/>
  <c r="H208" i="174"/>
  <c r="H133" i="174"/>
  <c r="H85" i="174"/>
  <c r="H25" i="174"/>
  <c r="H177" i="174"/>
  <c r="H31" i="174"/>
  <c r="H78" i="174"/>
  <c r="H90" i="174"/>
  <c r="H101" i="174"/>
  <c r="K12" i="174"/>
  <c r="H197" i="174"/>
  <c r="H74" i="174"/>
  <c r="H56" i="174"/>
  <c r="H87" i="174"/>
  <c r="H96" i="174"/>
  <c r="H61" i="174"/>
  <c r="H206" i="174"/>
  <c r="H109" i="174"/>
  <c r="H93" i="174"/>
  <c r="H32" i="174"/>
  <c r="H185" i="174"/>
  <c r="H28" i="174"/>
  <c r="H83" i="174"/>
  <c r="H127" i="174"/>
  <c r="H146" i="174"/>
  <c r="H160" i="174"/>
  <c r="H27" i="174"/>
  <c r="H41" i="174"/>
  <c r="H30" i="174"/>
  <c r="H155" i="174"/>
  <c r="H45" i="174"/>
  <c r="H107" i="174"/>
  <c r="H84" i="174"/>
  <c r="H157" i="174"/>
  <c r="H52" i="174"/>
  <c r="H124" i="174"/>
  <c r="H194" i="174"/>
  <c r="H48" i="174"/>
  <c r="H64" i="174"/>
  <c r="H116" i="174"/>
  <c r="H151" i="174"/>
  <c r="H37" i="174"/>
  <c r="H193" i="174"/>
  <c r="H99" i="174"/>
  <c r="H152" i="174"/>
  <c r="H172" i="174"/>
  <c r="H165" i="174"/>
  <c r="H39" i="174"/>
  <c r="H196" i="174"/>
  <c r="H65" i="174"/>
  <c r="H50" i="174"/>
  <c r="G215" i="174"/>
  <c r="J191" i="97"/>
  <c r="N188" i="14"/>
  <c r="J159" i="97"/>
  <c r="N156" i="72"/>
  <c r="J90" i="97"/>
  <c r="N87" i="31"/>
  <c r="H108" i="46"/>
  <c r="H57" i="46"/>
  <c r="H178" i="46"/>
  <c r="H87" i="46"/>
  <c r="H157" i="46"/>
  <c r="H146" i="46"/>
  <c r="H194" i="46"/>
  <c r="H173" i="46"/>
  <c r="H36" i="46"/>
  <c r="K12" i="46"/>
  <c r="H116" i="46"/>
  <c r="H202" i="46"/>
  <c r="H55" i="46"/>
  <c r="H208" i="46"/>
  <c r="H28" i="46"/>
  <c r="H167" i="46"/>
  <c r="H49" i="46"/>
  <c r="H50" i="46"/>
  <c r="H74" i="46"/>
  <c r="H99" i="46"/>
  <c r="H206" i="46"/>
  <c r="H93" i="46"/>
  <c r="H181" i="46"/>
  <c r="H168" i="46"/>
  <c r="H137" i="46"/>
  <c r="H190" i="46"/>
  <c r="H44" i="46"/>
  <c r="H156" i="46"/>
  <c r="H174" i="46"/>
  <c r="H141" i="46"/>
  <c r="H152" i="46"/>
  <c r="H176" i="46"/>
  <c r="H201" i="46"/>
  <c r="H195" i="46"/>
  <c r="H183" i="46"/>
  <c r="H37" i="46"/>
  <c r="H136" i="46"/>
  <c r="H107" i="46"/>
  <c r="H150" i="46"/>
  <c r="H83" i="46"/>
  <c r="H48" i="46"/>
  <c r="H27" i="46"/>
  <c r="H38" i="46"/>
  <c r="H43" i="46"/>
  <c r="H33" i="46"/>
  <c r="H106" i="46"/>
  <c r="H164" i="46"/>
  <c r="H160" i="46"/>
  <c r="H189" i="46"/>
  <c r="H97" i="46"/>
  <c r="H188" i="46"/>
  <c r="H130" i="46"/>
  <c r="H65" i="46"/>
  <c r="H102" i="46"/>
  <c r="H191" i="46"/>
  <c r="H166" i="46"/>
  <c r="H84" i="46"/>
  <c r="H59" i="46"/>
  <c r="H78" i="46"/>
  <c r="H142" i="46"/>
  <c r="H34" i="46"/>
  <c r="H39" i="46"/>
  <c r="H82" i="46"/>
  <c r="H56" i="46"/>
  <c r="H68" i="46"/>
  <c r="H109" i="46"/>
  <c r="H40" i="46"/>
  <c r="H182" i="46"/>
  <c r="H42" i="46"/>
  <c r="H203" i="46"/>
  <c r="H165" i="46"/>
  <c r="H89" i="46"/>
  <c r="H30" i="46"/>
  <c r="H179" i="46"/>
  <c r="H111" i="46"/>
  <c r="H151" i="46"/>
  <c r="H197" i="46"/>
  <c r="H41" i="46"/>
  <c r="H29" i="46"/>
  <c r="H90" i="46"/>
  <c r="H138" i="46"/>
  <c r="H171" i="46"/>
  <c r="H187" i="46"/>
  <c r="H184" i="46"/>
  <c r="H115" i="46"/>
  <c r="H52" i="46"/>
  <c r="H70" i="46"/>
  <c r="H124" i="46"/>
  <c r="H96" i="46"/>
  <c r="H91" i="46"/>
  <c r="H45" i="46"/>
  <c r="H159" i="46"/>
  <c r="H25" i="46"/>
  <c r="H180" i="46"/>
  <c r="H200" i="46"/>
  <c r="H71" i="46"/>
  <c r="H158" i="46"/>
  <c r="H169" i="46"/>
  <c r="H92" i="46"/>
  <c r="H131" i="46"/>
  <c r="H175" i="46"/>
  <c r="H31" i="46"/>
  <c r="H129" i="46"/>
  <c r="H119" i="46"/>
  <c r="H127" i="46"/>
  <c r="H161" i="46"/>
  <c r="H76" i="46"/>
  <c r="H118" i="46"/>
  <c r="H54" i="46"/>
  <c r="H155" i="46"/>
  <c r="H88" i="46"/>
  <c r="H125" i="46"/>
  <c r="H98" i="46"/>
  <c r="H79" i="46"/>
  <c r="H58" i="46"/>
  <c r="H73" i="46"/>
  <c r="H192" i="46"/>
  <c r="H186" i="46"/>
  <c r="H60" i="46"/>
  <c r="H114" i="46"/>
  <c r="H153" i="46"/>
  <c r="H196" i="46"/>
  <c r="H69" i="46"/>
  <c r="H185" i="46"/>
  <c r="H149" i="46"/>
  <c r="H26" i="46"/>
  <c r="H64" i="46"/>
  <c r="H75" i="46"/>
  <c r="H101" i="46"/>
  <c r="H123" i="46"/>
  <c r="H143" i="46"/>
  <c r="H148" i="46"/>
  <c r="H66" i="46"/>
  <c r="H47" i="46"/>
  <c r="H132" i="46"/>
  <c r="H32" i="46"/>
  <c r="H46" i="46"/>
  <c r="H77" i="46"/>
  <c r="H67" i="46"/>
  <c r="H204" i="46"/>
  <c r="H100" i="46"/>
  <c r="H105" i="46"/>
  <c r="H126" i="46"/>
  <c r="H177" i="46"/>
  <c r="H140" i="46"/>
  <c r="H53" i="46"/>
  <c r="H35" i="46"/>
  <c r="H133" i="46"/>
  <c r="H205" i="46"/>
  <c r="H135" i="46"/>
  <c r="H110" i="46"/>
  <c r="H85" i="46"/>
  <c r="H61" i="46"/>
  <c r="H172" i="46"/>
  <c r="H147" i="46"/>
  <c r="H72" i="46"/>
  <c r="H86" i="46"/>
  <c r="H145" i="46"/>
  <c r="H51" i="46"/>
  <c r="M208" i="46"/>
  <c r="H193" i="46"/>
  <c r="H117" i="46"/>
  <c r="H170" i="46"/>
  <c r="G215" i="32"/>
  <c r="H49" i="62"/>
  <c r="H89" i="62"/>
  <c r="H164" i="62"/>
  <c r="H140" i="62"/>
  <c r="H78" i="62"/>
  <c r="H126" i="62"/>
  <c r="H185" i="62"/>
  <c r="H114" i="62"/>
  <c r="H205" i="62"/>
  <c r="H29" i="62"/>
  <c r="H97" i="62"/>
  <c r="H159" i="62"/>
  <c r="H58" i="62"/>
  <c r="H157" i="62"/>
  <c r="H116" i="62"/>
  <c r="H39" i="62"/>
  <c r="H31" i="62"/>
  <c r="H183" i="62"/>
  <c r="H161" i="62"/>
  <c r="H48" i="62"/>
  <c r="G215" i="62"/>
  <c r="H28" i="62"/>
  <c r="H186" i="62"/>
  <c r="H92" i="62"/>
  <c r="H107" i="62"/>
  <c r="H69" i="62"/>
  <c r="H93" i="62"/>
  <c r="H170" i="62"/>
  <c r="H90" i="62"/>
  <c r="H105" i="62"/>
  <c r="H101" i="62"/>
  <c r="H203" i="62"/>
  <c r="H138" i="62"/>
  <c r="H117" i="62"/>
  <c r="H204" i="62"/>
  <c r="H53" i="62"/>
  <c r="M208" i="62"/>
  <c r="H59" i="62"/>
  <c r="H85" i="62"/>
  <c r="H168" i="62"/>
  <c r="H142" i="62"/>
  <c r="H151" i="62"/>
  <c r="H66" i="62"/>
  <c r="H70" i="62"/>
  <c r="H77" i="62"/>
  <c r="H64" i="62"/>
  <c r="H32" i="62"/>
  <c r="H57" i="62"/>
  <c r="H75" i="62"/>
  <c r="H96" i="62"/>
  <c r="H65" i="62"/>
  <c r="H47" i="62"/>
  <c r="H187" i="62"/>
  <c r="H188" i="62"/>
  <c r="H119" i="62"/>
  <c r="H124" i="62"/>
  <c r="H30" i="62"/>
  <c r="H182" i="62"/>
  <c r="H127" i="62"/>
  <c r="H100" i="62"/>
  <c r="H131" i="62"/>
  <c r="H68" i="62"/>
  <c r="H197" i="62"/>
  <c r="H74" i="62"/>
  <c r="H147" i="62"/>
  <c r="H192" i="62"/>
  <c r="H83" i="62"/>
  <c r="H36" i="62"/>
  <c r="H45" i="62"/>
  <c r="H175" i="62"/>
  <c r="H38" i="62"/>
  <c r="H149" i="62"/>
  <c r="H179" i="62"/>
  <c r="H99" i="62"/>
  <c r="H76" i="62"/>
  <c r="H43" i="62"/>
  <c r="H37" i="62"/>
  <c r="H135" i="62"/>
  <c r="H123" i="62"/>
  <c r="H136" i="62"/>
  <c r="H169" i="62"/>
  <c r="H156" i="62"/>
  <c r="H79" i="62"/>
  <c r="H143" i="62"/>
  <c r="K12" i="62"/>
  <c r="H193" i="62"/>
  <c r="H61" i="62"/>
  <c r="H98" i="62"/>
  <c r="H141" i="62"/>
  <c r="H200" i="62"/>
  <c r="H178" i="62"/>
  <c r="H180" i="62"/>
  <c r="H153" i="62"/>
  <c r="H190" i="62"/>
  <c r="H115" i="62"/>
  <c r="H166" i="62"/>
  <c r="H25" i="62"/>
  <c r="H177" i="62"/>
  <c r="H118" i="62"/>
  <c r="H52" i="62"/>
  <c r="H44" i="62"/>
  <c r="H125" i="62"/>
  <c r="H54" i="62"/>
  <c r="H67" i="62"/>
  <c r="H27" i="62"/>
  <c r="H110" i="62"/>
  <c r="H42" i="62"/>
  <c r="H173" i="62"/>
  <c r="H87" i="62"/>
  <c r="H181" i="62"/>
  <c r="H111" i="62"/>
  <c r="H196" i="62"/>
  <c r="H167" i="62"/>
  <c r="H60" i="62"/>
  <c r="H56" i="62"/>
  <c r="H191" i="62"/>
  <c r="H109" i="62"/>
  <c r="H189" i="62"/>
  <c r="H34" i="62"/>
  <c r="H206" i="62"/>
  <c r="H146" i="62"/>
  <c r="H171" i="62"/>
  <c r="H194" i="62"/>
  <c r="H155" i="62"/>
  <c r="H130" i="62"/>
  <c r="H148" i="62"/>
  <c r="H132" i="62"/>
  <c r="H174" i="62"/>
  <c r="H55" i="62"/>
  <c r="H84" i="62"/>
  <c r="H129" i="62"/>
  <c r="H108" i="62"/>
  <c r="H71" i="62"/>
  <c r="H152" i="62"/>
  <c r="H46" i="62"/>
  <c r="H145" i="62"/>
  <c r="H202" i="62"/>
  <c r="H208" i="62"/>
  <c r="H160" i="62"/>
  <c r="H158" i="62"/>
  <c r="H133" i="62"/>
  <c r="H195" i="62"/>
  <c r="H26" i="62"/>
  <c r="H150" i="62"/>
  <c r="H172" i="62"/>
  <c r="H50" i="62"/>
  <c r="H201" i="62"/>
  <c r="H82" i="62"/>
  <c r="H73" i="62"/>
  <c r="H165" i="62"/>
  <c r="H41" i="62"/>
  <c r="H35" i="62"/>
  <c r="H137" i="62"/>
  <c r="H72" i="62"/>
  <c r="H106" i="62"/>
  <c r="H184" i="62"/>
  <c r="H51" i="62"/>
  <c r="H33" i="62"/>
  <c r="H40" i="62"/>
  <c r="H91" i="62"/>
  <c r="H102" i="62"/>
  <c r="H176" i="62"/>
  <c r="H86" i="62"/>
  <c r="H88" i="62"/>
  <c r="H90" i="92"/>
  <c r="H66" i="92"/>
  <c r="H99" i="92"/>
  <c r="H83" i="92"/>
  <c r="H76" i="92"/>
  <c r="H167" i="92"/>
  <c r="H127" i="92"/>
  <c r="H33" i="92"/>
  <c r="H176" i="92"/>
  <c r="H78" i="92"/>
  <c r="H126" i="92"/>
  <c r="H87" i="92"/>
  <c r="H58" i="92"/>
  <c r="H67" i="92"/>
  <c r="H204" i="92"/>
  <c r="H182" i="92"/>
  <c r="H27" i="92"/>
  <c r="H49" i="92"/>
  <c r="H116" i="92"/>
  <c r="H172" i="92"/>
  <c r="H111" i="92"/>
  <c r="H187" i="92"/>
  <c r="H71" i="92"/>
  <c r="H155" i="92"/>
  <c r="H55" i="92"/>
  <c r="H203" i="92"/>
  <c r="H68" i="92"/>
  <c r="H161" i="92"/>
  <c r="H200" i="92"/>
  <c r="H52" i="92"/>
  <c r="H43" i="92"/>
  <c r="H44" i="92"/>
  <c r="H97" i="92"/>
  <c r="H40" i="92"/>
  <c r="H30" i="92"/>
  <c r="H125" i="92"/>
  <c r="H130" i="92"/>
  <c r="H96" i="92"/>
  <c r="H135" i="92"/>
  <c r="H102" i="92"/>
  <c r="H147" i="92"/>
  <c r="H45" i="92"/>
  <c r="H73" i="92"/>
  <c r="H123" i="92"/>
  <c r="H183" i="92"/>
  <c r="H174" i="92"/>
  <c r="H194" i="92"/>
  <c r="H56" i="92"/>
  <c r="H148" i="92"/>
  <c r="H188" i="92"/>
  <c r="H136" i="92"/>
  <c r="H101" i="92"/>
  <c r="H82" i="92"/>
  <c r="H133" i="92"/>
  <c r="H132" i="92"/>
  <c r="H201" i="92"/>
  <c r="H169" i="92"/>
  <c r="H89" i="92"/>
  <c r="H173" i="92"/>
  <c r="H114" i="92"/>
  <c r="H36" i="92"/>
  <c r="H51" i="92"/>
  <c r="H177" i="92"/>
  <c r="H47" i="92"/>
  <c r="H109" i="92"/>
  <c r="H105" i="92"/>
  <c r="H60" i="92"/>
  <c r="H137" i="92"/>
  <c r="H181" i="92"/>
  <c r="H75" i="92"/>
  <c r="H131" i="92"/>
  <c r="H61" i="92"/>
  <c r="H165" i="92"/>
  <c r="H34" i="92"/>
  <c r="H206" i="92"/>
  <c r="H166" i="92"/>
  <c r="H179" i="92"/>
  <c r="H158" i="92"/>
  <c r="H38" i="92"/>
  <c r="H119" i="92"/>
  <c r="H72" i="92"/>
  <c r="H153" i="92"/>
  <c r="H65" i="92"/>
  <c r="H196" i="92"/>
  <c r="H138" i="92"/>
  <c r="H31" i="92"/>
  <c r="H100" i="92"/>
  <c r="H28" i="92"/>
  <c r="H35" i="92"/>
  <c r="H168" i="92"/>
  <c r="H189" i="92"/>
  <c r="H129" i="92"/>
  <c r="H110" i="92"/>
  <c r="H175" i="92"/>
  <c r="H98" i="92"/>
  <c r="H185" i="92"/>
  <c r="H151" i="92"/>
  <c r="H124" i="92"/>
  <c r="H193" i="92"/>
  <c r="H64" i="92"/>
  <c r="H160" i="92"/>
  <c r="H149" i="92"/>
  <c r="H88" i="92"/>
  <c r="H170" i="92"/>
  <c r="H190" i="92"/>
  <c r="H146" i="92"/>
  <c r="H180" i="92"/>
  <c r="H79" i="92"/>
  <c r="H77" i="92"/>
  <c r="H46" i="92"/>
  <c r="H70" i="92"/>
  <c r="H118" i="92"/>
  <c r="H48" i="92"/>
  <c r="K12" i="92"/>
  <c r="H37" i="92"/>
  <c r="H164" i="92"/>
  <c r="H91" i="92"/>
  <c r="H117" i="92"/>
  <c r="H197" i="92"/>
  <c r="H41" i="92"/>
  <c r="H54" i="92"/>
  <c r="M208" i="92"/>
  <c r="H191" i="92"/>
  <c r="H208" i="92"/>
  <c r="H192" i="92"/>
  <c r="H74" i="92"/>
  <c r="H157" i="92"/>
  <c r="H156" i="92"/>
  <c r="H25" i="92"/>
  <c r="H150" i="92"/>
  <c r="H50" i="92"/>
  <c r="H92" i="92"/>
  <c r="H202" i="92"/>
  <c r="H184" i="92"/>
  <c r="H86" i="92"/>
  <c r="H140" i="92"/>
  <c r="H69" i="92"/>
  <c r="H195" i="92"/>
  <c r="H59" i="92"/>
  <c r="H141" i="92"/>
  <c r="H57" i="92"/>
  <c r="H171" i="92"/>
  <c r="H145" i="92"/>
  <c r="H42" i="92"/>
  <c r="H29" i="92"/>
  <c r="H85" i="92"/>
  <c r="H93" i="92"/>
  <c r="H32" i="92"/>
  <c r="H143" i="92"/>
  <c r="H159" i="92"/>
  <c r="H106" i="92"/>
  <c r="H53" i="92"/>
  <c r="H107" i="92"/>
  <c r="H26" i="92"/>
  <c r="H115" i="92"/>
  <c r="G215" i="92"/>
  <c r="H205" i="92"/>
  <c r="H142" i="92"/>
  <c r="H39" i="92"/>
  <c r="H186" i="92"/>
  <c r="H108" i="92"/>
  <c r="H152" i="92"/>
  <c r="H84" i="92"/>
  <c r="H178" i="92"/>
  <c r="H181" i="165"/>
  <c r="H105" i="165"/>
  <c r="H193" i="165"/>
  <c r="H58" i="165"/>
  <c r="H187" i="165"/>
  <c r="H72" i="165"/>
  <c r="H194" i="165"/>
  <c r="H129" i="165"/>
  <c r="H79" i="165"/>
  <c r="H176" i="165"/>
  <c r="H158" i="165"/>
  <c r="H38" i="165"/>
  <c r="H57" i="165"/>
  <c r="H130" i="165"/>
  <c r="H125" i="165"/>
  <c r="H184" i="165"/>
  <c r="H200" i="165"/>
  <c r="H43" i="165"/>
  <c r="H152" i="165"/>
  <c r="H123" i="165"/>
  <c r="H185" i="165"/>
  <c r="H55" i="165"/>
  <c r="M208" i="165"/>
  <c r="H54" i="165"/>
  <c r="H178" i="165"/>
  <c r="H75" i="165"/>
  <c r="H85" i="165"/>
  <c r="H70" i="165"/>
  <c r="H97" i="165"/>
  <c r="H92" i="165"/>
  <c r="H165" i="165"/>
  <c r="H36" i="165"/>
  <c r="H109" i="165"/>
  <c r="H206" i="165"/>
  <c r="H26" i="165"/>
  <c r="H183" i="165"/>
  <c r="H115" i="165"/>
  <c r="H118" i="165"/>
  <c r="H101" i="165"/>
  <c r="H50" i="165"/>
  <c r="H71" i="165"/>
  <c r="H69" i="165"/>
  <c r="H25" i="165"/>
  <c r="H34" i="165"/>
  <c r="H45" i="165"/>
  <c r="H177" i="165"/>
  <c r="H148" i="165"/>
  <c r="H141" i="165"/>
  <c r="H108" i="165"/>
  <c r="H127" i="165"/>
  <c r="H96" i="165"/>
  <c r="H88" i="165"/>
  <c r="H182" i="165"/>
  <c r="H138" i="165"/>
  <c r="H204" i="165"/>
  <c r="H180" i="165"/>
  <c r="H135" i="165"/>
  <c r="H150" i="165"/>
  <c r="H189" i="165"/>
  <c r="H160" i="165"/>
  <c r="H169" i="165"/>
  <c r="H195" i="165"/>
  <c r="H208" i="165"/>
  <c r="H87" i="165"/>
  <c r="H111" i="165"/>
  <c r="H159" i="165"/>
  <c r="H133" i="165"/>
  <c r="H137" i="165"/>
  <c r="H40" i="165"/>
  <c r="H49" i="165"/>
  <c r="H170" i="165"/>
  <c r="H151" i="165"/>
  <c r="H174" i="165"/>
  <c r="H107" i="165"/>
  <c r="H190" i="165"/>
  <c r="H29" i="165"/>
  <c r="H156" i="165"/>
  <c r="H192" i="165"/>
  <c r="H145" i="165"/>
  <c r="H32" i="165"/>
  <c r="H132" i="165"/>
  <c r="H66" i="165"/>
  <c r="H61" i="165"/>
  <c r="H149" i="165"/>
  <c r="H175" i="165"/>
  <c r="H91" i="165"/>
  <c r="H33" i="165"/>
  <c r="H140" i="165"/>
  <c r="H93" i="165"/>
  <c r="H48" i="165"/>
  <c r="H78" i="165"/>
  <c r="H197" i="165"/>
  <c r="H53" i="165"/>
  <c r="H35" i="165"/>
  <c r="H203" i="165"/>
  <c r="H44" i="165"/>
  <c r="H47" i="165"/>
  <c r="H39" i="165"/>
  <c r="G215" i="165"/>
  <c r="H83" i="165"/>
  <c r="H100" i="165"/>
  <c r="H67" i="165"/>
  <c r="H205" i="165"/>
  <c r="H110" i="165"/>
  <c r="H168" i="165"/>
  <c r="H60" i="165"/>
  <c r="H188" i="165"/>
  <c r="K12" i="165"/>
  <c r="H46" i="165"/>
  <c r="H143" i="165"/>
  <c r="H114" i="165"/>
  <c r="H164" i="165"/>
  <c r="H146" i="165"/>
  <c r="H64" i="165"/>
  <c r="H41" i="165"/>
  <c r="H84" i="165"/>
  <c r="H171" i="165"/>
  <c r="H68" i="165"/>
  <c r="H191" i="165"/>
  <c r="H27" i="165"/>
  <c r="H179" i="165"/>
  <c r="H99" i="165"/>
  <c r="H119" i="165"/>
  <c r="H98" i="165"/>
  <c r="H77" i="165"/>
  <c r="H73" i="165"/>
  <c r="H136" i="165"/>
  <c r="H37" i="165"/>
  <c r="H202" i="165"/>
  <c r="H31" i="165"/>
  <c r="H116" i="165"/>
  <c r="H90" i="165"/>
  <c r="H30" i="165"/>
  <c r="H196" i="165"/>
  <c r="H147" i="165"/>
  <c r="H42" i="165"/>
  <c r="H86" i="165"/>
  <c r="H102" i="165"/>
  <c r="H74" i="165"/>
  <c r="H153" i="165"/>
  <c r="H173" i="165"/>
  <c r="H201" i="165"/>
  <c r="H167" i="165"/>
  <c r="H28" i="165"/>
  <c r="H82" i="165"/>
  <c r="H124" i="165"/>
  <c r="H172" i="165"/>
  <c r="H166" i="165"/>
  <c r="H59" i="165"/>
  <c r="H117" i="165"/>
  <c r="H52" i="165"/>
  <c r="H126" i="165"/>
  <c r="H161" i="165"/>
  <c r="H186" i="165"/>
  <c r="H157" i="165"/>
  <c r="H56" i="165"/>
  <c r="H89" i="165"/>
  <c r="H65" i="165"/>
  <c r="H51" i="165"/>
  <c r="H76" i="165"/>
  <c r="H106" i="165"/>
  <c r="H142" i="165"/>
  <c r="H131" i="165"/>
  <c r="H155" i="165"/>
  <c r="H116" i="68"/>
  <c r="H41" i="68"/>
  <c r="H57" i="68"/>
  <c r="H191" i="68"/>
  <c r="H182" i="68"/>
  <c r="H136" i="68"/>
  <c r="H172" i="68"/>
  <c r="H156" i="68"/>
  <c r="H178" i="68"/>
  <c r="H101" i="68"/>
  <c r="H197" i="68"/>
  <c r="H75" i="68"/>
  <c r="H61" i="68"/>
  <c r="H55" i="68"/>
  <c r="K12" i="68"/>
  <c r="H105" i="68"/>
  <c r="H89" i="68"/>
  <c r="H68" i="68"/>
  <c r="H69" i="68"/>
  <c r="H201" i="68"/>
  <c r="H153" i="68"/>
  <c r="H123" i="68"/>
  <c r="H47" i="68"/>
  <c r="H29" i="68"/>
  <c r="H92" i="68"/>
  <c r="H50" i="68"/>
  <c r="H185" i="68"/>
  <c r="H166" i="68"/>
  <c r="H111" i="68"/>
  <c r="H31" i="68"/>
  <c r="H114" i="68"/>
  <c r="H97" i="68"/>
  <c r="H35" i="68"/>
  <c r="H78" i="68"/>
  <c r="H152" i="68"/>
  <c r="H176" i="68"/>
  <c r="H36" i="68"/>
  <c r="H173" i="68"/>
  <c r="H99" i="68"/>
  <c r="H132" i="68"/>
  <c r="H126" i="68"/>
  <c r="H70" i="68"/>
  <c r="H25" i="68"/>
  <c r="H205" i="68"/>
  <c r="H187" i="68"/>
  <c r="H130" i="68"/>
  <c r="H33" i="68"/>
  <c r="H181" i="68"/>
  <c r="H26" i="68"/>
  <c r="H118" i="68"/>
  <c r="H76" i="68"/>
  <c r="H30" i="68"/>
  <c r="H40" i="68"/>
  <c r="H42" i="68"/>
  <c r="H188" i="68"/>
  <c r="H93" i="68"/>
  <c r="H73" i="68"/>
  <c r="H28" i="68"/>
  <c r="H110" i="68"/>
  <c r="H72" i="68"/>
  <c r="H204" i="68"/>
  <c r="H115" i="68"/>
  <c r="H150" i="68"/>
  <c r="H174" i="68"/>
  <c r="H133" i="68"/>
  <c r="H203" i="68"/>
  <c r="H27" i="68"/>
  <c r="H88" i="68"/>
  <c r="H184" i="68"/>
  <c r="H170" i="68"/>
  <c r="H102" i="68"/>
  <c r="H87" i="68"/>
  <c r="H109" i="68"/>
  <c r="H171" i="68"/>
  <c r="H67" i="68"/>
  <c r="H161" i="68"/>
  <c r="H158" i="68"/>
  <c r="H60" i="68"/>
  <c r="H107" i="68"/>
  <c r="H44" i="68"/>
  <c r="H177" i="68"/>
  <c r="H141" i="68"/>
  <c r="H147" i="68"/>
  <c r="H32" i="68"/>
  <c r="H48" i="68"/>
  <c r="H124" i="68"/>
  <c r="M208" i="68"/>
  <c r="H138" i="68"/>
  <c r="H164" i="68"/>
  <c r="H192" i="68"/>
  <c r="H206" i="68"/>
  <c r="H193" i="68"/>
  <c r="H135" i="68"/>
  <c r="H34" i="68"/>
  <c r="H125" i="68"/>
  <c r="H64" i="68"/>
  <c r="H86" i="68"/>
  <c r="H77" i="68"/>
  <c r="H90" i="68"/>
  <c r="H84" i="68"/>
  <c r="H56" i="68"/>
  <c r="H83" i="68"/>
  <c r="H168" i="68"/>
  <c r="H183" i="68"/>
  <c r="H189" i="68"/>
  <c r="H137" i="68"/>
  <c r="H58" i="68"/>
  <c r="H100" i="68"/>
  <c r="H119" i="68"/>
  <c r="H43" i="68"/>
  <c r="H148" i="68"/>
  <c r="H195" i="68"/>
  <c r="H155" i="68"/>
  <c r="H196" i="68"/>
  <c r="H131" i="68"/>
  <c r="H37" i="68"/>
  <c r="H186" i="68"/>
  <c r="H127" i="68"/>
  <c r="H208" i="68"/>
  <c r="H96" i="68"/>
  <c r="H194" i="68"/>
  <c r="H167" i="68"/>
  <c r="H59" i="68"/>
  <c r="H74" i="68"/>
  <c r="H51" i="68"/>
  <c r="H52" i="68"/>
  <c r="H46" i="68"/>
  <c r="H157" i="68"/>
  <c r="H39" i="68"/>
  <c r="H117" i="68"/>
  <c r="H200" i="68"/>
  <c r="H82" i="68"/>
  <c r="H160" i="68"/>
  <c r="H53" i="68"/>
  <c r="H145" i="68"/>
  <c r="H149" i="68"/>
  <c r="H49" i="68"/>
  <c r="H143" i="68"/>
  <c r="H106" i="68"/>
  <c r="H175" i="68"/>
  <c r="H98" i="68"/>
  <c r="H38" i="68"/>
  <c r="H159" i="68"/>
  <c r="H71" i="68"/>
  <c r="H108" i="68"/>
  <c r="H180" i="68"/>
  <c r="H165" i="68"/>
  <c r="H91" i="68"/>
  <c r="H142" i="68"/>
  <c r="H65" i="68"/>
  <c r="H146" i="68"/>
  <c r="H151" i="68"/>
  <c r="H79" i="68"/>
  <c r="H54" i="68"/>
  <c r="H140" i="68"/>
  <c r="H190" i="68"/>
  <c r="H169" i="68"/>
  <c r="H129" i="68"/>
  <c r="H179" i="68"/>
  <c r="H45" i="68"/>
  <c r="H66" i="68"/>
  <c r="H85" i="68"/>
  <c r="H202" i="68"/>
  <c r="G215" i="68"/>
  <c r="H116" i="156"/>
  <c r="H36" i="156"/>
  <c r="H189" i="156"/>
  <c r="H97" i="156"/>
  <c r="H107" i="156"/>
  <c r="H34" i="156"/>
  <c r="H146" i="156"/>
  <c r="H84" i="156"/>
  <c r="H93" i="156"/>
  <c r="H201" i="156"/>
  <c r="H60" i="156"/>
  <c r="H101" i="156"/>
  <c r="H208" i="156"/>
  <c r="H72" i="156"/>
  <c r="H170" i="156"/>
  <c r="H179" i="156"/>
  <c r="H177" i="156"/>
  <c r="H111" i="156"/>
  <c r="H26" i="156"/>
  <c r="H152" i="156"/>
  <c r="H109" i="156"/>
  <c r="H127" i="156"/>
  <c r="H185" i="156"/>
  <c r="H45" i="156"/>
  <c r="H65" i="156"/>
  <c r="H129" i="156"/>
  <c r="H205" i="156"/>
  <c r="H106" i="156"/>
  <c r="H47" i="156"/>
  <c r="H196" i="156"/>
  <c r="H118" i="156"/>
  <c r="H148" i="156"/>
  <c r="H98" i="156"/>
  <c r="H132" i="156"/>
  <c r="H96" i="156"/>
  <c r="H183" i="156"/>
  <c r="H33" i="156"/>
  <c r="H147" i="156"/>
  <c r="H28" i="156"/>
  <c r="H145" i="156"/>
  <c r="H76" i="156"/>
  <c r="H197" i="156"/>
  <c r="H31" i="156"/>
  <c r="H39" i="156"/>
  <c r="H91" i="156"/>
  <c r="H150" i="156"/>
  <c r="H159" i="156"/>
  <c r="H75" i="156"/>
  <c r="H204" i="156"/>
  <c r="H71" i="156"/>
  <c r="H194" i="156"/>
  <c r="H86" i="156"/>
  <c r="H82" i="156"/>
  <c r="H117" i="156"/>
  <c r="H187" i="156"/>
  <c r="H79" i="156"/>
  <c r="H142" i="156"/>
  <c r="H42" i="156"/>
  <c r="H49" i="156"/>
  <c r="H85" i="156"/>
  <c r="H182" i="156"/>
  <c r="H166" i="156"/>
  <c r="H51" i="156"/>
  <c r="H43" i="156"/>
  <c r="H181" i="156"/>
  <c r="H114" i="156"/>
  <c r="H30" i="156"/>
  <c r="H102" i="156"/>
  <c r="H124" i="156"/>
  <c r="H69" i="156"/>
  <c r="H168" i="156"/>
  <c r="H155" i="156"/>
  <c r="H171" i="156"/>
  <c r="H52" i="156"/>
  <c r="H100" i="156"/>
  <c r="H186" i="156"/>
  <c r="H174" i="156"/>
  <c r="H206" i="156"/>
  <c r="H158" i="156"/>
  <c r="H151" i="156"/>
  <c r="H29" i="156"/>
  <c r="H108" i="156"/>
  <c r="H99" i="156"/>
  <c r="H123" i="156"/>
  <c r="H161" i="156"/>
  <c r="H136" i="156"/>
  <c r="H164" i="156"/>
  <c r="H156" i="156"/>
  <c r="H175" i="156"/>
  <c r="H64" i="156"/>
  <c r="H35" i="156"/>
  <c r="H119" i="156"/>
  <c r="H178" i="156"/>
  <c r="H55" i="156"/>
  <c r="H40" i="156"/>
  <c r="H83" i="156"/>
  <c r="H57" i="156"/>
  <c r="H68" i="156"/>
  <c r="H56" i="156"/>
  <c r="H50" i="156"/>
  <c r="H87" i="156"/>
  <c r="H37" i="156"/>
  <c r="H172" i="156"/>
  <c r="H78" i="156"/>
  <c r="H125" i="156"/>
  <c r="H90" i="156"/>
  <c r="H61" i="156"/>
  <c r="H153" i="156"/>
  <c r="H176" i="156"/>
  <c r="H70" i="156"/>
  <c r="H167" i="156"/>
  <c r="H77" i="156"/>
  <c r="H149" i="156"/>
  <c r="H74" i="156"/>
  <c r="H195" i="156"/>
  <c r="H73" i="156"/>
  <c r="H115" i="156"/>
  <c r="H133" i="156"/>
  <c r="H202" i="156"/>
  <c r="H67" i="156"/>
  <c r="H188" i="156"/>
  <c r="H180" i="156"/>
  <c r="H48" i="156"/>
  <c r="H192" i="156"/>
  <c r="H38" i="156"/>
  <c r="H59" i="156"/>
  <c r="H169" i="156"/>
  <c r="H200" i="156"/>
  <c r="H66" i="156"/>
  <c r="H46" i="156"/>
  <c r="H138" i="156"/>
  <c r="H110" i="156"/>
  <c r="H89" i="156"/>
  <c r="H190" i="156"/>
  <c r="H92" i="156"/>
  <c r="H203" i="156"/>
  <c r="H140" i="156"/>
  <c r="H25" i="156"/>
  <c r="H173" i="156"/>
  <c r="H41" i="156"/>
  <c r="H191" i="156"/>
  <c r="H58" i="156"/>
  <c r="H130" i="156"/>
  <c r="K12" i="156"/>
  <c r="H131" i="156"/>
  <c r="H184" i="156"/>
  <c r="H135" i="156"/>
  <c r="H143" i="156"/>
  <c r="H105" i="156"/>
  <c r="H126" i="156"/>
  <c r="H27" i="156"/>
  <c r="H137" i="156"/>
  <c r="H54" i="156"/>
  <c r="H165" i="156"/>
  <c r="H44" i="156"/>
  <c r="M208" i="156"/>
  <c r="H88" i="156"/>
  <c r="H141" i="156"/>
  <c r="H160" i="156"/>
  <c r="H53" i="156"/>
  <c r="H193" i="156"/>
  <c r="H32" i="156"/>
  <c r="H157" i="156"/>
  <c r="H101" i="60"/>
  <c r="H74" i="60"/>
  <c r="H203" i="60"/>
  <c r="H175" i="60"/>
  <c r="H143" i="60"/>
  <c r="H43" i="60"/>
  <c r="H206" i="60"/>
  <c r="K12" i="60"/>
  <c r="H184" i="60"/>
  <c r="H147" i="60"/>
  <c r="H192" i="60"/>
  <c r="H50" i="60"/>
  <c r="H180" i="60"/>
  <c r="H54" i="60"/>
  <c r="H157" i="60"/>
  <c r="H35" i="60"/>
  <c r="H159" i="60"/>
  <c r="H140" i="60"/>
  <c r="H48" i="60"/>
  <c r="H100" i="60"/>
  <c r="H32" i="60"/>
  <c r="H181" i="60"/>
  <c r="H131" i="60"/>
  <c r="H99" i="60"/>
  <c r="H64" i="60"/>
  <c r="H160" i="60"/>
  <c r="H136" i="60"/>
  <c r="H135" i="60"/>
  <c r="H107" i="60"/>
  <c r="H69" i="60"/>
  <c r="H41" i="60"/>
  <c r="H87" i="60"/>
  <c r="H29" i="60"/>
  <c r="H91" i="60"/>
  <c r="H191" i="60"/>
  <c r="H73" i="60"/>
  <c r="H96" i="60"/>
  <c r="H189" i="60"/>
  <c r="H102" i="60"/>
  <c r="H40" i="60"/>
  <c r="H171" i="60"/>
  <c r="H148" i="60"/>
  <c r="H106" i="60"/>
  <c r="H51" i="60"/>
  <c r="H30" i="60"/>
  <c r="M208" i="60"/>
  <c r="H84" i="60"/>
  <c r="H55" i="60"/>
  <c r="H58" i="60"/>
  <c r="H33" i="60"/>
  <c r="H188" i="60"/>
  <c r="H82" i="60"/>
  <c r="H132" i="60"/>
  <c r="H187" i="60"/>
  <c r="H127" i="60"/>
  <c r="H46" i="60"/>
  <c r="H118" i="60"/>
  <c r="H166" i="60"/>
  <c r="H125" i="60"/>
  <c r="H182" i="60"/>
  <c r="H52" i="60"/>
  <c r="H93" i="60"/>
  <c r="H68" i="60"/>
  <c r="H36" i="60"/>
  <c r="H169" i="60"/>
  <c r="H146" i="60"/>
  <c r="H201" i="60"/>
  <c r="H165" i="60"/>
  <c r="H178" i="60"/>
  <c r="H149" i="60"/>
  <c r="H114" i="60"/>
  <c r="H126" i="60"/>
  <c r="H176" i="60"/>
  <c r="H42" i="60"/>
  <c r="H172" i="60"/>
  <c r="H83" i="60"/>
  <c r="H158" i="60"/>
  <c r="H89" i="60"/>
  <c r="H185" i="60"/>
  <c r="H150" i="60"/>
  <c r="H170" i="60"/>
  <c r="H141" i="60"/>
  <c r="H108" i="60"/>
  <c r="H72" i="60"/>
  <c r="H208" i="60"/>
  <c r="H173" i="60"/>
  <c r="H75" i="60"/>
  <c r="H49" i="60"/>
  <c r="H205" i="60"/>
  <c r="H27" i="60"/>
  <c r="H190" i="60"/>
  <c r="H67" i="60"/>
  <c r="H196" i="60"/>
  <c r="H61" i="60"/>
  <c r="H123" i="60"/>
  <c r="H34" i="60"/>
  <c r="H164" i="60"/>
  <c r="H47" i="60"/>
  <c r="H76" i="60"/>
  <c r="H60" i="60"/>
  <c r="H85" i="60"/>
  <c r="H177" i="60"/>
  <c r="H138" i="60"/>
  <c r="H129" i="60"/>
  <c r="H65" i="60"/>
  <c r="H45" i="60"/>
  <c r="H179" i="60"/>
  <c r="H124" i="60"/>
  <c r="H79" i="60"/>
  <c r="H28" i="60"/>
  <c r="H145" i="60"/>
  <c r="H119" i="60"/>
  <c r="H77" i="60"/>
  <c r="H183" i="60"/>
  <c r="H57" i="60"/>
  <c r="H167" i="60"/>
  <c r="H71" i="60"/>
  <c r="H195" i="60"/>
  <c r="H70" i="60"/>
  <c r="H204" i="60"/>
  <c r="H56" i="60"/>
  <c r="H133" i="60"/>
  <c r="H130" i="60"/>
  <c r="H156" i="60"/>
  <c r="H38" i="60"/>
  <c r="H66" i="60"/>
  <c r="H90" i="60"/>
  <c r="H116" i="60"/>
  <c r="H25" i="60"/>
  <c r="H110" i="60"/>
  <c r="H200" i="60"/>
  <c r="H37" i="60"/>
  <c r="H44" i="60"/>
  <c r="H92" i="60"/>
  <c r="H31" i="60"/>
  <c r="H155" i="60"/>
  <c r="H97" i="60"/>
  <c r="H88" i="60"/>
  <c r="H39" i="60"/>
  <c r="H105" i="60"/>
  <c r="H115" i="60"/>
  <c r="H193" i="60"/>
  <c r="H174" i="60"/>
  <c r="H152" i="60"/>
  <c r="H137" i="60"/>
  <c r="H59" i="60"/>
  <c r="H202" i="60"/>
  <c r="H161" i="60"/>
  <c r="H153" i="60"/>
  <c r="H53" i="60"/>
  <c r="H109" i="60"/>
  <c r="H78" i="60"/>
  <c r="H186" i="60"/>
  <c r="H111" i="60"/>
  <c r="H26" i="60"/>
  <c r="H86" i="60"/>
  <c r="H194" i="60"/>
  <c r="H98" i="60"/>
  <c r="H151" i="60"/>
  <c r="H168" i="60"/>
  <c r="H197" i="60"/>
  <c r="H117" i="60"/>
  <c r="H142" i="60"/>
  <c r="G215" i="60"/>
  <c r="J49" i="97"/>
  <c r="J162" i="97"/>
  <c r="N159" i="156"/>
  <c r="J82" i="97"/>
  <c r="J57" i="97"/>
  <c r="N54" i="95"/>
  <c r="H194" i="25"/>
  <c r="H118" i="25"/>
  <c r="H97" i="25"/>
  <c r="H148" i="25"/>
  <c r="H191" i="25"/>
  <c r="H150" i="25"/>
  <c r="H208" i="25"/>
  <c r="H188" i="25"/>
  <c r="H51" i="25"/>
  <c r="H40" i="25"/>
  <c r="H117" i="25"/>
  <c r="H136" i="25"/>
  <c r="H28" i="25"/>
  <c r="H182" i="25"/>
  <c r="H124" i="25"/>
  <c r="H152" i="25"/>
  <c r="H151" i="25"/>
  <c r="H129" i="25"/>
  <c r="H138" i="25"/>
  <c r="H53" i="25"/>
  <c r="H200" i="25"/>
  <c r="H159" i="25"/>
  <c r="H74" i="25"/>
  <c r="H49" i="25"/>
  <c r="H131" i="25"/>
  <c r="H69" i="25"/>
  <c r="H59" i="25"/>
  <c r="H137" i="25"/>
  <c r="H39" i="25"/>
  <c r="H167" i="25"/>
  <c r="H142" i="25"/>
  <c r="H202" i="25"/>
  <c r="H76" i="25"/>
  <c r="H77" i="25"/>
  <c r="H177" i="25"/>
  <c r="H190" i="25"/>
  <c r="H130" i="25"/>
  <c r="H115" i="25"/>
  <c r="H164" i="25"/>
  <c r="H133" i="25"/>
  <c r="H42" i="25"/>
  <c r="H169" i="25"/>
  <c r="H100" i="25"/>
  <c r="H179" i="25"/>
  <c r="H88" i="25"/>
  <c r="H143" i="25"/>
  <c r="H41" i="25"/>
  <c r="H83" i="25"/>
  <c r="H160" i="25"/>
  <c r="H101" i="25"/>
  <c r="H31" i="25"/>
  <c r="H201" i="25"/>
  <c r="H37" i="25"/>
  <c r="H29" i="25"/>
  <c r="H86" i="25"/>
  <c r="H145" i="25"/>
  <c r="H183" i="25"/>
  <c r="H165" i="25"/>
  <c r="H89" i="25"/>
  <c r="M208" i="25"/>
  <c r="H84" i="25"/>
  <c r="H114" i="25"/>
  <c r="H91" i="25"/>
  <c r="H108" i="25"/>
  <c r="H68" i="25"/>
  <c r="H78" i="25"/>
  <c r="H55" i="25"/>
  <c r="H72" i="25"/>
  <c r="H90" i="25"/>
  <c r="H48" i="25"/>
  <c r="H106" i="25"/>
  <c r="H82" i="25"/>
  <c r="H25" i="25"/>
  <c r="H126" i="25"/>
  <c r="H161" i="25"/>
  <c r="H173" i="25"/>
  <c r="H172" i="25"/>
  <c r="H98" i="25"/>
  <c r="H26" i="25"/>
  <c r="H27" i="25"/>
  <c r="H102" i="25"/>
  <c r="H119" i="25"/>
  <c r="H60" i="25"/>
  <c r="H174" i="25"/>
  <c r="H196" i="25"/>
  <c r="H181" i="25"/>
  <c r="H123" i="25"/>
  <c r="H176" i="25"/>
  <c r="H168" i="25"/>
  <c r="H166" i="25"/>
  <c r="H34" i="25"/>
  <c r="H57" i="25"/>
  <c r="H43" i="25"/>
  <c r="H170" i="25"/>
  <c r="H204" i="25"/>
  <c r="H50" i="25"/>
  <c r="H44" i="25"/>
  <c r="H92" i="25"/>
  <c r="H71" i="25"/>
  <c r="H109" i="25"/>
  <c r="H65" i="25"/>
  <c r="H56" i="25"/>
  <c r="H64" i="25"/>
  <c r="H132" i="25"/>
  <c r="H33" i="25"/>
  <c r="H93" i="25"/>
  <c r="H99" i="25"/>
  <c r="H186" i="25"/>
  <c r="H110" i="25"/>
  <c r="H157" i="25"/>
  <c r="H116" i="25"/>
  <c r="H54" i="25"/>
  <c r="H125" i="25"/>
  <c r="K12" i="25"/>
  <c r="H30" i="25"/>
  <c r="H127" i="25"/>
  <c r="H153" i="25"/>
  <c r="H47" i="25"/>
  <c r="H195" i="25"/>
  <c r="H61" i="25"/>
  <c r="H79" i="25"/>
  <c r="H185" i="25"/>
  <c r="H46" i="25"/>
  <c r="H96" i="25"/>
  <c r="H35" i="25"/>
  <c r="H75" i="25"/>
  <c r="H187" i="25"/>
  <c r="H67" i="25"/>
  <c r="H36" i="25"/>
  <c r="H107" i="25"/>
  <c r="H66" i="25"/>
  <c r="H203" i="25"/>
  <c r="H149" i="25"/>
  <c r="H141" i="25"/>
  <c r="H178" i="25"/>
  <c r="H135" i="25"/>
  <c r="H158" i="25"/>
  <c r="H87" i="25"/>
  <c r="H192" i="25"/>
  <c r="H206" i="25"/>
  <c r="H147" i="25"/>
  <c r="H85" i="25"/>
  <c r="H171" i="25"/>
  <c r="H197" i="25"/>
  <c r="H189" i="25"/>
  <c r="H193" i="25"/>
  <c r="H175" i="25"/>
  <c r="H73" i="25"/>
  <c r="H140" i="25"/>
  <c r="H180" i="25"/>
  <c r="H146" i="25"/>
  <c r="H111" i="25"/>
  <c r="H155" i="25"/>
  <c r="H205" i="25"/>
  <c r="H38" i="25"/>
  <c r="H105" i="25"/>
  <c r="H156" i="25"/>
  <c r="H45" i="25"/>
  <c r="H58" i="25"/>
  <c r="H32" i="25"/>
  <c r="H184" i="25"/>
  <c r="H70" i="25"/>
  <c r="H52" i="25"/>
  <c r="G215" i="25"/>
  <c r="G215" i="156"/>
  <c r="G215" i="178"/>
  <c r="H169" i="145"/>
  <c r="H89" i="145"/>
  <c r="M208" i="145"/>
  <c r="H148" i="145"/>
  <c r="H69" i="145"/>
  <c r="H182" i="145"/>
  <c r="H106" i="145"/>
  <c r="H34" i="145"/>
  <c r="H105" i="145"/>
  <c r="H180" i="145"/>
  <c r="H57" i="145"/>
  <c r="H135" i="145"/>
  <c r="H93" i="145"/>
  <c r="H125" i="145"/>
  <c r="H84" i="145"/>
  <c r="H54" i="145"/>
  <c r="H189" i="145"/>
  <c r="K12" i="145"/>
  <c r="H110" i="145"/>
  <c r="H40" i="145"/>
  <c r="H53" i="145"/>
  <c r="H147" i="145"/>
  <c r="H123" i="145"/>
  <c r="H39" i="145"/>
  <c r="H70" i="145"/>
  <c r="H87" i="145"/>
  <c r="H208" i="145"/>
  <c r="H149" i="145"/>
  <c r="H49" i="145"/>
  <c r="H77" i="145"/>
  <c r="H194" i="145"/>
  <c r="H155" i="145"/>
  <c r="H188" i="145"/>
  <c r="H159" i="145"/>
  <c r="H79" i="145"/>
  <c r="H138" i="145"/>
  <c r="H59" i="145"/>
  <c r="H174" i="145"/>
  <c r="H96" i="145"/>
  <c r="H26" i="145"/>
  <c r="H90" i="145"/>
  <c r="H168" i="145"/>
  <c r="H46" i="145"/>
  <c r="H118" i="145"/>
  <c r="H202" i="145"/>
  <c r="H82" i="145"/>
  <c r="H91" i="145"/>
  <c r="H55" i="145"/>
  <c r="H28" i="145"/>
  <c r="H164" i="145"/>
  <c r="H172" i="145"/>
  <c r="H38" i="145"/>
  <c r="H183" i="145"/>
  <c r="H68" i="145"/>
  <c r="H192" i="145"/>
  <c r="H205" i="145"/>
  <c r="H78" i="145"/>
  <c r="H109" i="145"/>
  <c r="H140" i="145"/>
  <c r="H184" i="145"/>
  <c r="H67" i="145"/>
  <c r="H29" i="145"/>
  <c r="H42" i="145"/>
  <c r="H31" i="145"/>
  <c r="H48" i="145"/>
  <c r="H150" i="145"/>
  <c r="H71" i="145"/>
  <c r="H201" i="145"/>
  <c r="H129" i="145"/>
  <c r="H51" i="145"/>
  <c r="H166" i="145"/>
  <c r="H86" i="145"/>
  <c r="H195" i="145"/>
  <c r="H74" i="145"/>
  <c r="H152" i="145"/>
  <c r="H32" i="145"/>
  <c r="H101" i="145"/>
  <c r="H187" i="145"/>
  <c r="H66" i="145"/>
  <c r="H64" i="145"/>
  <c r="H30" i="145"/>
  <c r="H196" i="145"/>
  <c r="H133" i="145"/>
  <c r="H92" i="145"/>
  <c r="H197" i="145"/>
  <c r="H203" i="145"/>
  <c r="H107" i="145"/>
  <c r="H170" i="145"/>
  <c r="H72" i="145"/>
  <c r="H176" i="145"/>
  <c r="H143" i="145"/>
  <c r="H167" i="145"/>
  <c r="H50" i="145"/>
  <c r="H88" i="145"/>
  <c r="H130" i="145"/>
  <c r="H75" i="145"/>
  <c r="H157" i="145"/>
  <c r="H124" i="145"/>
  <c r="H111" i="145"/>
  <c r="H98" i="145"/>
  <c r="H141" i="145"/>
  <c r="H61" i="145"/>
  <c r="H191" i="145"/>
  <c r="H117" i="145"/>
  <c r="H43" i="145"/>
  <c r="H156" i="145"/>
  <c r="H76" i="145"/>
  <c r="H181" i="145"/>
  <c r="H60" i="145"/>
  <c r="H136" i="145"/>
  <c r="H206" i="145"/>
  <c r="H85" i="145"/>
  <c r="H173" i="145"/>
  <c r="H52" i="145"/>
  <c r="H36" i="145"/>
  <c r="H204" i="145"/>
  <c r="H171" i="145"/>
  <c r="H100" i="145"/>
  <c r="H161" i="145"/>
  <c r="H158" i="145"/>
  <c r="H131" i="145"/>
  <c r="H35" i="145"/>
  <c r="H47" i="145"/>
  <c r="H160" i="145"/>
  <c r="H142" i="145"/>
  <c r="H37" i="145"/>
  <c r="H127" i="145"/>
  <c r="H165" i="145"/>
  <c r="H114" i="145"/>
  <c r="H99" i="145"/>
  <c r="H116" i="145"/>
  <c r="H151" i="145"/>
  <c r="H83" i="145"/>
  <c r="H193" i="145"/>
  <c r="H119" i="145"/>
  <c r="H45" i="145"/>
  <c r="H175" i="145"/>
  <c r="H97" i="145"/>
  <c r="H27" i="145"/>
  <c r="H137" i="145"/>
  <c r="H58" i="145"/>
  <c r="H153" i="145"/>
  <c r="H33" i="145"/>
  <c r="H102" i="145"/>
  <c r="H179" i="145"/>
  <c r="H56" i="145"/>
  <c r="H145" i="145"/>
  <c r="H25" i="145"/>
  <c r="H178" i="145"/>
  <c r="H146" i="145"/>
  <c r="H108" i="145"/>
  <c r="H41" i="145"/>
  <c r="H132" i="145"/>
  <c r="H126" i="145"/>
  <c r="H185" i="145"/>
  <c r="H200" i="145"/>
  <c r="H44" i="145"/>
  <c r="H186" i="145"/>
  <c r="H177" i="145"/>
  <c r="H190" i="145"/>
  <c r="H73" i="145"/>
  <c r="H115" i="145"/>
  <c r="H65" i="145"/>
  <c r="G215" i="145"/>
  <c r="G238" i="49"/>
  <c r="G215" i="53"/>
  <c r="H205" i="118"/>
  <c r="H91" i="118"/>
  <c r="H66" i="118"/>
  <c r="H34" i="118"/>
  <c r="H33" i="118"/>
  <c r="H167" i="118"/>
  <c r="H150" i="118"/>
  <c r="H106" i="118"/>
  <c r="H193" i="118"/>
  <c r="H172" i="118"/>
  <c r="H160" i="118"/>
  <c r="H155" i="118"/>
  <c r="H117" i="118"/>
  <c r="H187" i="118"/>
  <c r="H38" i="118"/>
  <c r="H108" i="118"/>
  <c r="H89" i="118"/>
  <c r="H72" i="118"/>
  <c r="H135" i="118"/>
  <c r="H111" i="118"/>
  <c r="H186" i="118"/>
  <c r="H176" i="118"/>
  <c r="H92" i="118"/>
  <c r="H164" i="118"/>
  <c r="M208" i="118"/>
  <c r="H82" i="118"/>
  <c r="H118" i="118"/>
  <c r="H141" i="118"/>
  <c r="H203" i="118"/>
  <c r="H158" i="118"/>
  <c r="H138" i="118"/>
  <c r="H206" i="118"/>
  <c r="H77" i="118"/>
  <c r="H65" i="118"/>
  <c r="H100" i="118"/>
  <c r="H129" i="118"/>
  <c r="H191" i="118"/>
  <c r="H119" i="118"/>
  <c r="H67" i="118"/>
  <c r="H115" i="118"/>
  <c r="H58" i="118"/>
  <c r="H78" i="118"/>
  <c r="H179" i="118"/>
  <c r="H56" i="118"/>
  <c r="H53" i="118"/>
  <c r="H55" i="118"/>
  <c r="H102" i="118"/>
  <c r="H123" i="118"/>
  <c r="H159" i="118"/>
  <c r="H90" i="118"/>
  <c r="H85" i="118"/>
  <c r="H74" i="118"/>
  <c r="H28" i="118"/>
  <c r="H178" i="118"/>
  <c r="H96" i="118"/>
  <c r="H45" i="118"/>
  <c r="H196" i="118"/>
  <c r="H170" i="118"/>
  <c r="H152" i="118"/>
  <c r="H132" i="118"/>
  <c r="H52" i="118"/>
  <c r="H40" i="118"/>
  <c r="H88" i="118"/>
  <c r="H31" i="118"/>
  <c r="H93" i="118"/>
  <c r="H145" i="118"/>
  <c r="H110" i="118"/>
  <c r="H47" i="118"/>
  <c r="H44" i="118"/>
  <c r="H76" i="118"/>
  <c r="H107" i="118"/>
  <c r="H87" i="118"/>
  <c r="H71" i="118"/>
  <c r="H105" i="118"/>
  <c r="H174" i="118"/>
  <c r="H182" i="118"/>
  <c r="H26" i="118"/>
  <c r="H177" i="118"/>
  <c r="H43" i="118"/>
  <c r="H86" i="118"/>
  <c r="H192" i="118"/>
  <c r="H41" i="118"/>
  <c r="H116" i="118"/>
  <c r="H97" i="118"/>
  <c r="H57" i="118"/>
  <c r="H60" i="118"/>
  <c r="H68" i="118"/>
  <c r="H30" i="118"/>
  <c r="H168" i="118"/>
  <c r="H64" i="118"/>
  <c r="H161" i="118"/>
  <c r="H127" i="118"/>
  <c r="H125" i="118"/>
  <c r="H79" i="118"/>
  <c r="H35" i="118"/>
  <c r="H126" i="118"/>
  <c r="H156" i="118"/>
  <c r="H49" i="118"/>
  <c r="H157" i="118"/>
  <c r="H83" i="118"/>
  <c r="H130" i="118"/>
  <c r="H29" i="118"/>
  <c r="H188" i="118"/>
  <c r="H136" i="118"/>
  <c r="H151" i="118"/>
  <c r="H166" i="118"/>
  <c r="H133" i="118"/>
  <c r="H25" i="118"/>
  <c r="H59" i="118"/>
  <c r="K12" i="118"/>
  <c r="H181" i="118"/>
  <c r="H175" i="118"/>
  <c r="H149" i="118"/>
  <c r="H202" i="118"/>
  <c r="H137" i="118"/>
  <c r="H148" i="118"/>
  <c r="H73" i="118"/>
  <c r="H37" i="118"/>
  <c r="H42" i="118"/>
  <c r="H201" i="118"/>
  <c r="H75" i="118"/>
  <c r="H54" i="118"/>
  <c r="H180" i="118"/>
  <c r="H50" i="118"/>
  <c r="H69" i="118"/>
  <c r="H99" i="118"/>
  <c r="H98" i="118"/>
  <c r="H173" i="118"/>
  <c r="H51" i="118"/>
  <c r="H27" i="118"/>
  <c r="H46" i="118"/>
  <c r="H197" i="118"/>
  <c r="H70" i="118"/>
  <c r="H153" i="118"/>
  <c r="H183" i="118"/>
  <c r="H36" i="118"/>
  <c r="H189" i="118"/>
  <c r="H195" i="118"/>
  <c r="H194" i="118"/>
  <c r="H114" i="118"/>
  <c r="H185" i="118"/>
  <c r="H124" i="118"/>
  <c r="H171" i="118"/>
  <c r="H84" i="118"/>
  <c r="H165" i="118"/>
  <c r="H140" i="118"/>
  <c r="H101" i="118"/>
  <c r="H190" i="118"/>
  <c r="H61" i="118"/>
  <c r="H142" i="118"/>
  <c r="H32" i="118"/>
  <c r="H208" i="118"/>
  <c r="H200" i="118"/>
  <c r="H39" i="118"/>
  <c r="H204" i="118"/>
  <c r="H184" i="118"/>
  <c r="H146" i="118"/>
  <c r="H131" i="118"/>
  <c r="H48" i="118"/>
  <c r="H169" i="118"/>
  <c r="H147" i="118"/>
  <c r="H143" i="118"/>
  <c r="H109" i="118"/>
  <c r="G238" i="63"/>
  <c r="H166" i="28"/>
  <c r="H200" i="28"/>
  <c r="H147" i="28"/>
  <c r="H205" i="28"/>
  <c r="H109" i="28"/>
  <c r="H40" i="28"/>
  <c r="H73" i="28"/>
  <c r="H167" i="28"/>
  <c r="H78" i="28"/>
  <c r="H197" i="28"/>
  <c r="H97" i="28"/>
  <c r="H156" i="28"/>
  <c r="H119" i="28"/>
  <c r="H126" i="28"/>
  <c r="H189" i="28"/>
  <c r="G215" i="28"/>
  <c r="H136" i="28"/>
  <c r="H185" i="28"/>
  <c r="H188" i="28"/>
  <c r="H32" i="28"/>
  <c r="H89" i="28"/>
  <c r="H48" i="28"/>
  <c r="H180" i="28"/>
  <c r="H114" i="28"/>
  <c r="H28" i="28"/>
  <c r="H127" i="28"/>
  <c r="H138" i="28"/>
  <c r="H181" i="28"/>
  <c r="H96" i="28"/>
  <c r="H203" i="28"/>
  <c r="H85" i="28"/>
  <c r="H194" i="28"/>
  <c r="H148" i="28"/>
  <c r="H107" i="28"/>
  <c r="H111" i="28"/>
  <c r="H133" i="28"/>
  <c r="H88" i="28"/>
  <c r="H43" i="28"/>
  <c r="H86" i="28"/>
  <c r="H79" i="28"/>
  <c r="H71" i="28"/>
  <c r="H129" i="28"/>
  <c r="H69" i="28"/>
  <c r="H159" i="28"/>
  <c r="H58" i="28"/>
  <c r="H176" i="28"/>
  <c r="H116" i="28"/>
  <c r="H72" i="28"/>
  <c r="H201" i="28"/>
  <c r="H36" i="28"/>
  <c r="H52" i="28"/>
  <c r="H131" i="28"/>
  <c r="H49" i="28"/>
  <c r="H137" i="28"/>
  <c r="H92" i="28"/>
  <c r="H84" i="28"/>
  <c r="H146" i="28"/>
  <c r="H102" i="28"/>
  <c r="H179" i="28"/>
  <c r="H178" i="28"/>
  <c r="H169" i="28"/>
  <c r="H42" i="28"/>
  <c r="H56" i="28"/>
  <c r="H93" i="28"/>
  <c r="H70" i="28"/>
  <c r="H174" i="28"/>
  <c r="H158" i="28"/>
  <c r="H108" i="28"/>
  <c r="H30" i="28"/>
  <c r="H64" i="28"/>
  <c r="H157" i="28"/>
  <c r="H39" i="28"/>
  <c r="H41" i="28"/>
  <c r="H31" i="28"/>
  <c r="H35" i="28"/>
  <c r="H75" i="28"/>
  <c r="H182" i="28"/>
  <c r="H123" i="28"/>
  <c r="H45" i="28"/>
  <c r="K12" i="28"/>
  <c r="H150" i="28"/>
  <c r="H186" i="28"/>
  <c r="H183" i="28"/>
  <c r="H118" i="28"/>
  <c r="H66" i="28"/>
  <c r="H204" i="28"/>
  <c r="H105" i="28"/>
  <c r="H87" i="28"/>
  <c r="H26" i="28"/>
  <c r="H164" i="28"/>
  <c r="H55" i="28"/>
  <c r="H82" i="28"/>
  <c r="H193" i="28"/>
  <c r="H60" i="28"/>
  <c r="H175" i="28"/>
  <c r="H34" i="28"/>
  <c r="H173" i="28"/>
  <c r="H91" i="28"/>
  <c r="H51" i="28"/>
  <c r="H141" i="28"/>
  <c r="H151" i="28"/>
  <c r="H190" i="28"/>
  <c r="H187" i="28"/>
  <c r="H171" i="28"/>
  <c r="H135" i="28"/>
  <c r="H44" i="28"/>
  <c r="H208" i="28"/>
  <c r="M208" i="28"/>
  <c r="H83" i="28"/>
  <c r="H195" i="28"/>
  <c r="H196" i="28"/>
  <c r="H101" i="28"/>
  <c r="H46" i="28"/>
  <c r="H65" i="28"/>
  <c r="H53" i="28"/>
  <c r="H149" i="28"/>
  <c r="H98" i="28"/>
  <c r="H106" i="28"/>
  <c r="H206" i="28"/>
  <c r="H99" i="28"/>
  <c r="H59" i="28"/>
  <c r="H145" i="28"/>
  <c r="H125" i="28"/>
  <c r="H202" i="28"/>
  <c r="H25" i="28"/>
  <c r="H191" i="28"/>
  <c r="H50" i="28"/>
  <c r="H33" i="28"/>
  <c r="H117" i="28"/>
  <c r="H132" i="28"/>
  <c r="H153" i="28"/>
  <c r="H54" i="28"/>
  <c r="H165" i="28"/>
  <c r="H168" i="28"/>
  <c r="H61" i="28"/>
  <c r="H100" i="28"/>
  <c r="H192" i="28"/>
  <c r="H140" i="28"/>
  <c r="H38" i="28"/>
  <c r="H130" i="28"/>
  <c r="H143" i="28"/>
  <c r="H77" i="28"/>
  <c r="H160" i="28"/>
  <c r="H110" i="28"/>
  <c r="H47" i="28"/>
  <c r="H161" i="28"/>
  <c r="H37" i="28"/>
  <c r="H90" i="28"/>
  <c r="H170" i="28"/>
  <c r="H124" i="28"/>
  <c r="H115" i="28"/>
  <c r="H152" i="28"/>
  <c r="H57" i="28"/>
  <c r="H142" i="28"/>
  <c r="H155" i="28"/>
  <c r="H27" i="28"/>
  <c r="H172" i="28"/>
  <c r="H29" i="28"/>
  <c r="H184" i="28"/>
  <c r="H177" i="28"/>
  <c r="H74" i="28"/>
  <c r="H67" i="28"/>
  <c r="H76" i="28"/>
  <c r="H68" i="28"/>
  <c r="K12" i="98"/>
  <c r="H116" i="98"/>
  <c r="H41" i="98"/>
  <c r="H82" i="98"/>
  <c r="H176" i="98"/>
  <c r="H153" i="98"/>
  <c r="H130" i="98"/>
  <c r="H181" i="98"/>
  <c r="H91" i="98"/>
  <c r="H59" i="98"/>
  <c r="H36" i="98"/>
  <c r="H126" i="98"/>
  <c r="H55" i="98"/>
  <c r="H191" i="98"/>
  <c r="H201" i="98"/>
  <c r="H156" i="98"/>
  <c r="H66" i="98"/>
  <c r="H83" i="98"/>
  <c r="H149" i="98"/>
  <c r="H172" i="98"/>
  <c r="H189" i="98"/>
  <c r="H208" i="98"/>
  <c r="H45" i="98"/>
  <c r="H39" i="98"/>
  <c r="H73" i="98"/>
  <c r="H152" i="98"/>
  <c r="H33" i="98"/>
  <c r="H40" i="98"/>
  <c r="H99" i="98"/>
  <c r="H28" i="98"/>
  <c r="H57" i="98"/>
  <c r="H60" i="98"/>
  <c r="H202" i="98"/>
  <c r="H166" i="98"/>
  <c r="H129" i="98"/>
  <c r="H77" i="98"/>
  <c r="H148" i="98"/>
  <c r="H118" i="98"/>
  <c r="H107" i="98"/>
  <c r="H43" i="98"/>
  <c r="H131" i="98"/>
  <c r="H155" i="98"/>
  <c r="H146" i="98"/>
  <c r="H50" i="98"/>
  <c r="H132" i="98"/>
  <c r="H30" i="98"/>
  <c r="H161" i="98"/>
  <c r="H92" i="98"/>
  <c r="H97" i="98"/>
  <c r="H138" i="98"/>
  <c r="H96" i="98"/>
  <c r="H170" i="98"/>
  <c r="H84" i="98"/>
  <c r="H34" i="98"/>
  <c r="H192" i="98"/>
  <c r="H196" i="98"/>
  <c r="H142" i="98"/>
  <c r="H151" i="98"/>
  <c r="H27" i="98"/>
  <c r="H32" i="98"/>
  <c r="H86" i="98"/>
  <c r="H71" i="98"/>
  <c r="H87" i="98"/>
  <c r="H69" i="98"/>
  <c r="H37" i="98"/>
  <c r="H177" i="98"/>
  <c r="H136" i="98"/>
  <c r="H115" i="98"/>
  <c r="H133" i="98"/>
  <c r="H54" i="98"/>
  <c r="H85" i="98"/>
  <c r="H168" i="98"/>
  <c r="H158" i="98"/>
  <c r="H35" i="98"/>
  <c r="H180" i="98"/>
  <c r="H31" i="98"/>
  <c r="H90" i="98"/>
  <c r="H70" i="98"/>
  <c r="H38" i="98"/>
  <c r="H206" i="98"/>
  <c r="H65" i="98"/>
  <c r="H25" i="98"/>
  <c r="H110" i="98"/>
  <c r="H178" i="98"/>
  <c r="H174" i="98"/>
  <c r="H98" i="98"/>
  <c r="H61" i="98"/>
  <c r="H135" i="98"/>
  <c r="H159" i="98"/>
  <c r="H157" i="98"/>
  <c r="H106" i="98"/>
  <c r="H160" i="98"/>
  <c r="H72" i="98"/>
  <c r="H100" i="98"/>
  <c r="H186" i="98"/>
  <c r="H46" i="98"/>
  <c r="H68" i="98"/>
  <c r="H145" i="98"/>
  <c r="H169" i="98"/>
  <c r="H89" i="98"/>
  <c r="H102" i="98"/>
  <c r="H48" i="98"/>
  <c r="H44" i="98"/>
  <c r="H78" i="98"/>
  <c r="H205" i="98"/>
  <c r="H58" i="98"/>
  <c r="H49" i="98"/>
  <c r="H183" i="98"/>
  <c r="H127" i="98"/>
  <c r="H125" i="98"/>
  <c r="H64" i="98"/>
  <c r="H195" i="98"/>
  <c r="H29" i="98"/>
  <c r="H108" i="98"/>
  <c r="H123" i="98"/>
  <c r="H124" i="98"/>
  <c r="H141" i="98"/>
  <c r="H26" i="98"/>
  <c r="H184" i="98"/>
  <c r="H88" i="98"/>
  <c r="H190" i="98"/>
  <c r="H193" i="98"/>
  <c r="H67" i="98"/>
  <c r="H53" i="98"/>
  <c r="H185" i="98"/>
  <c r="H101" i="98"/>
  <c r="H203" i="98"/>
  <c r="H194" i="98"/>
  <c r="H119" i="98"/>
  <c r="H150" i="98"/>
  <c r="H204" i="98"/>
  <c r="H179" i="98"/>
  <c r="H79" i="98"/>
  <c r="H47" i="98"/>
  <c r="H109" i="98"/>
  <c r="H140" i="98"/>
  <c r="H117" i="98"/>
  <c r="H143" i="98"/>
  <c r="H182" i="98"/>
  <c r="H187" i="98"/>
  <c r="H171" i="98"/>
  <c r="H165" i="98"/>
  <c r="H164" i="98"/>
  <c r="H56" i="98"/>
  <c r="H75" i="98"/>
  <c r="M208" i="98"/>
  <c r="H76" i="98"/>
  <c r="H51" i="98"/>
  <c r="H188" i="98"/>
  <c r="H52" i="98"/>
  <c r="H175" i="98"/>
  <c r="H93" i="98"/>
  <c r="H137" i="98"/>
  <c r="H147" i="98"/>
  <c r="H42" i="98"/>
  <c r="H173" i="98"/>
  <c r="H105" i="98"/>
  <c r="H197" i="98"/>
  <c r="H114" i="98"/>
  <c r="H74" i="98"/>
  <c r="H111" i="98"/>
  <c r="H200" i="98"/>
  <c r="H167" i="98"/>
  <c r="H203" i="37"/>
  <c r="H183" i="37"/>
  <c r="H58" i="37"/>
  <c r="H136" i="37"/>
  <c r="H88" i="37"/>
  <c r="H119" i="37"/>
  <c r="H92" i="37"/>
  <c r="H190" i="37"/>
  <c r="H170" i="37"/>
  <c r="H192" i="37"/>
  <c r="H66" i="37"/>
  <c r="H27" i="37"/>
  <c r="H35" i="37"/>
  <c r="H164" i="37"/>
  <c r="H201" i="37"/>
  <c r="H161" i="37"/>
  <c r="H77" i="37"/>
  <c r="H33" i="37"/>
  <c r="H75" i="37"/>
  <c r="H142" i="37"/>
  <c r="H28" i="37"/>
  <c r="H177" i="37"/>
  <c r="H53" i="37"/>
  <c r="H146" i="37"/>
  <c r="H25" i="37"/>
  <c r="H125" i="37"/>
  <c r="H159" i="37"/>
  <c r="H71" i="37"/>
  <c r="H108" i="37"/>
  <c r="H195" i="37"/>
  <c r="H56" i="37"/>
  <c r="H132" i="37"/>
  <c r="H55" i="37"/>
  <c r="H87" i="37"/>
  <c r="H26" i="37"/>
  <c r="H176" i="37"/>
  <c r="H57" i="37"/>
  <c r="H151" i="37"/>
  <c r="H39" i="37"/>
  <c r="H68" i="37"/>
  <c r="H93" i="37"/>
  <c r="H45" i="37"/>
  <c r="H168" i="37"/>
  <c r="H131" i="37"/>
  <c r="H196" i="37"/>
  <c r="H100" i="37"/>
  <c r="H69" i="37"/>
  <c r="H109" i="37"/>
  <c r="H38" i="37"/>
  <c r="H48" i="37"/>
  <c r="H82" i="37"/>
  <c r="H74" i="37"/>
  <c r="H179" i="37"/>
  <c r="H61" i="37"/>
  <c r="H34" i="37"/>
  <c r="H64" i="37"/>
  <c r="H184" i="37"/>
  <c r="H84" i="37"/>
  <c r="H150" i="37"/>
  <c r="H43" i="37"/>
  <c r="H130" i="37"/>
  <c r="H106" i="37"/>
  <c r="H145" i="37"/>
  <c r="H189" i="37"/>
  <c r="H175" i="37"/>
  <c r="H187" i="37"/>
  <c r="H172" i="37"/>
  <c r="H194" i="37"/>
  <c r="H123" i="37"/>
  <c r="M208" i="37"/>
  <c r="H105" i="37"/>
  <c r="H117" i="37"/>
  <c r="H167" i="37"/>
  <c r="H126" i="37"/>
  <c r="H44" i="37"/>
  <c r="H76" i="37"/>
  <c r="H102" i="37"/>
  <c r="H47" i="37"/>
  <c r="H116" i="37"/>
  <c r="H73" i="37"/>
  <c r="H60" i="37"/>
  <c r="H180" i="37"/>
  <c r="H67" i="37"/>
  <c r="H54" i="37"/>
  <c r="H96" i="37"/>
  <c r="H147" i="37"/>
  <c r="H173" i="37"/>
  <c r="H200" i="37"/>
  <c r="H115" i="37"/>
  <c r="H32" i="37"/>
  <c r="H178" i="37"/>
  <c r="H186" i="37"/>
  <c r="H127" i="37"/>
  <c r="H208" i="37"/>
  <c r="H166" i="37"/>
  <c r="H160" i="37"/>
  <c r="H90" i="37"/>
  <c r="H157" i="37"/>
  <c r="H153" i="37"/>
  <c r="H185" i="37"/>
  <c r="H137" i="37"/>
  <c r="H40" i="37"/>
  <c r="H97" i="37"/>
  <c r="H141" i="37"/>
  <c r="H165" i="37"/>
  <c r="H174" i="37"/>
  <c r="H83" i="37"/>
  <c r="H49" i="37"/>
  <c r="H99" i="37"/>
  <c r="H98" i="37"/>
  <c r="H110" i="37"/>
  <c r="H46" i="37"/>
  <c r="H86" i="37"/>
  <c r="H31" i="37"/>
  <c r="H41" i="37"/>
  <c r="H85" i="37"/>
  <c r="H78" i="37"/>
  <c r="H52" i="37"/>
  <c r="H107" i="37"/>
  <c r="H79" i="37"/>
  <c r="H89" i="37"/>
  <c r="H50" i="37"/>
  <c r="H202" i="37"/>
  <c r="H29" i="37"/>
  <c r="H182" i="37"/>
  <c r="H59" i="37"/>
  <c r="H138" i="37"/>
  <c r="H158" i="37"/>
  <c r="H143" i="37"/>
  <c r="H135" i="37"/>
  <c r="H204" i="37"/>
  <c r="H171" i="37"/>
  <c r="H91" i="37"/>
  <c r="H51" i="37"/>
  <c r="H101" i="37"/>
  <c r="H36" i="37"/>
  <c r="H156" i="37"/>
  <c r="H148" i="37"/>
  <c r="H133" i="37"/>
  <c r="H124" i="37"/>
  <c r="H42" i="37"/>
  <c r="H205" i="37"/>
  <c r="H206" i="37"/>
  <c r="H70" i="37"/>
  <c r="H129" i="37"/>
  <c r="H181" i="37"/>
  <c r="H149" i="37"/>
  <c r="H30" i="37"/>
  <c r="H111" i="37"/>
  <c r="H65" i="37"/>
  <c r="H193" i="37"/>
  <c r="H37" i="37"/>
  <c r="H188" i="37"/>
  <c r="H72" i="37"/>
  <c r="H118" i="37"/>
  <c r="H140" i="37"/>
  <c r="H197" i="37"/>
  <c r="H155" i="37"/>
  <c r="H152" i="37"/>
  <c r="K12" i="37"/>
  <c r="H114" i="37"/>
  <c r="H169" i="37"/>
  <c r="H191" i="37"/>
  <c r="G215" i="37"/>
  <c r="J145" i="97"/>
  <c r="N142" i="143"/>
  <c r="J149" i="97"/>
  <c r="N146" i="174"/>
  <c r="J186" i="97"/>
  <c r="N183" i="15"/>
  <c r="J203" i="97"/>
  <c r="N200" i="113"/>
  <c r="J153" i="97"/>
  <c r="N150" i="85"/>
  <c r="H58" i="43"/>
  <c r="H33" i="43"/>
  <c r="H188" i="43"/>
  <c r="H204" i="43"/>
  <c r="H182" i="43"/>
  <c r="H187" i="43"/>
  <c r="H167" i="43"/>
  <c r="H86" i="43"/>
  <c r="H46" i="43"/>
  <c r="H159" i="43"/>
  <c r="H136" i="43"/>
  <c r="H43" i="43"/>
  <c r="H181" i="43"/>
  <c r="H92" i="43"/>
  <c r="H44" i="43"/>
  <c r="H164" i="43"/>
  <c r="H110" i="43"/>
  <c r="H183" i="43"/>
  <c r="H67" i="43"/>
  <c r="H52" i="43"/>
  <c r="H64" i="43"/>
  <c r="H125" i="43"/>
  <c r="H127" i="43"/>
  <c r="H89" i="43"/>
  <c r="H119" i="43"/>
  <c r="H85" i="43"/>
  <c r="K12" i="43"/>
  <c r="H100" i="43"/>
  <c r="H171" i="43"/>
  <c r="H206" i="43"/>
  <c r="H131" i="43"/>
  <c r="H79" i="43"/>
  <c r="H107" i="43"/>
  <c r="H29" i="43"/>
  <c r="H38" i="43"/>
  <c r="H74" i="43"/>
  <c r="H35" i="43"/>
  <c r="H178" i="43"/>
  <c r="H149" i="43"/>
  <c r="H114" i="43"/>
  <c r="H132" i="43"/>
  <c r="H105" i="43"/>
  <c r="H93" i="43"/>
  <c r="H54" i="43"/>
  <c r="H186" i="43"/>
  <c r="H146" i="43"/>
  <c r="H59" i="43"/>
  <c r="H200" i="43"/>
  <c r="H123" i="43"/>
  <c r="H88" i="43"/>
  <c r="H192" i="43"/>
  <c r="H143" i="43"/>
  <c r="H145" i="43"/>
  <c r="H41" i="43"/>
  <c r="H83" i="43"/>
  <c r="H118" i="43"/>
  <c r="H151" i="43"/>
  <c r="H53" i="43"/>
  <c r="H96" i="43"/>
  <c r="H73" i="43"/>
  <c r="H202" i="43"/>
  <c r="H99" i="43"/>
  <c r="H197" i="43"/>
  <c r="H140" i="43"/>
  <c r="H66" i="43"/>
  <c r="H87" i="43"/>
  <c r="H158" i="43"/>
  <c r="H185" i="43"/>
  <c r="H173" i="43"/>
  <c r="H98" i="43"/>
  <c r="H71" i="43"/>
  <c r="H37" i="43"/>
  <c r="H56" i="43"/>
  <c r="H31" i="43"/>
  <c r="H194" i="43"/>
  <c r="H155" i="43"/>
  <c r="H70" i="43"/>
  <c r="H47" i="43"/>
  <c r="H160" i="43"/>
  <c r="H106" i="43"/>
  <c r="H32" i="43"/>
  <c r="H172" i="43"/>
  <c r="H76" i="43"/>
  <c r="H45" i="43"/>
  <c r="H51" i="43"/>
  <c r="H174" i="43"/>
  <c r="H196" i="43"/>
  <c r="H165" i="43"/>
  <c r="H90" i="43"/>
  <c r="G215" i="43"/>
  <c r="H142" i="43"/>
  <c r="H60" i="43"/>
  <c r="H28" i="43"/>
  <c r="H102" i="43"/>
  <c r="M208" i="43"/>
  <c r="H170" i="43"/>
  <c r="H133" i="43"/>
  <c r="H42" i="43"/>
  <c r="H152" i="43"/>
  <c r="H150" i="43"/>
  <c r="H61" i="43"/>
  <c r="H75" i="43"/>
  <c r="H156" i="43"/>
  <c r="H191" i="43"/>
  <c r="H27" i="43"/>
  <c r="H190" i="43"/>
  <c r="H195" i="43"/>
  <c r="H176" i="43"/>
  <c r="H137" i="43"/>
  <c r="H78" i="43"/>
  <c r="H55" i="43"/>
  <c r="H169" i="43"/>
  <c r="H115" i="43"/>
  <c r="H48" i="43"/>
  <c r="H205" i="43"/>
  <c r="H129" i="43"/>
  <c r="H72" i="43"/>
  <c r="H175" i="43"/>
  <c r="H161" i="43"/>
  <c r="H201" i="43"/>
  <c r="H77" i="43"/>
  <c r="H101" i="43"/>
  <c r="H34" i="43"/>
  <c r="H30" i="43"/>
  <c r="H116" i="43"/>
  <c r="H177" i="43"/>
  <c r="H148" i="43"/>
  <c r="H82" i="43"/>
  <c r="H126" i="43"/>
  <c r="H147" i="43"/>
  <c r="H168" i="43"/>
  <c r="H130" i="43"/>
  <c r="H109" i="43"/>
  <c r="H138" i="43"/>
  <c r="H69" i="43"/>
  <c r="H179" i="43"/>
  <c r="H91" i="43"/>
  <c r="H40" i="43"/>
  <c r="H65" i="43"/>
  <c r="H39" i="43"/>
  <c r="H50" i="43"/>
  <c r="H25" i="43"/>
  <c r="H180" i="43"/>
  <c r="H84" i="43"/>
  <c r="H36" i="43"/>
  <c r="H157" i="43"/>
  <c r="H124" i="43"/>
  <c r="H49" i="43"/>
  <c r="H153" i="43"/>
  <c r="H108" i="43"/>
  <c r="H203" i="43"/>
  <c r="H166" i="43"/>
  <c r="H208" i="43"/>
  <c r="H189" i="43"/>
  <c r="H111" i="43"/>
  <c r="H97" i="43"/>
  <c r="H193" i="43"/>
  <c r="H184" i="43"/>
  <c r="H57" i="43"/>
  <c r="H117" i="43"/>
  <c r="H135" i="43"/>
  <c r="H68" i="43"/>
  <c r="H141" i="43"/>
  <c r="H26" i="43"/>
  <c r="G238" i="155"/>
  <c r="G215" i="55"/>
  <c r="H106" i="58"/>
  <c r="H99" i="58"/>
  <c r="H109" i="58"/>
  <c r="H110" i="58"/>
  <c r="H190" i="58"/>
  <c r="H82" i="58"/>
  <c r="H108" i="58"/>
  <c r="H66" i="58"/>
  <c r="H48" i="58"/>
  <c r="H88" i="58"/>
  <c r="H84" i="58"/>
  <c r="H146" i="58"/>
  <c r="H187" i="58"/>
  <c r="H137" i="58"/>
  <c r="H188" i="58"/>
  <c r="H153" i="58"/>
  <c r="H59" i="58"/>
  <c r="H200" i="58"/>
  <c r="H195" i="58"/>
  <c r="H203" i="58"/>
  <c r="H135" i="58"/>
  <c r="H159" i="58"/>
  <c r="H145" i="58"/>
  <c r="H29" i="58"/>
  <c r="H101" i="58"/>
  <c r="H167" i="58"/>
  <c r="H70" i="58"/>
  <c r="H87" i="58"/>
  <c r="H168" i="58"/>
  <c r="H205" i="58"/>
  <c r="H26" i="58"/>
  <c r="H189" i="58"/>
  <c r="H42" i="58"/>
  <c r="H124" i="58"/>
  <c r="H57" i="58"/>
  <c r="H125" i="58"/>
  <c r="H152" i="58"/>
  <c r="H147" i="58"/>
  <c r="H39" i="58"/>
  <c r="H86" i="58"/>
  <c r="H76" i="58"/>
  <c r="H46" i="58"/>
  <c r="H197" i="58"/>
  <c r="H173" i="58"/>
  <c r="H169" i="58"/>
  <c r="H133" i="58"/>
  <c r="H65" i="58"/>
  <c r="H43" i="58"/>
  <c r="H196" i="58"/>
  <c r="H47" i="58"/>
  <c r="H55" i="58"/>
  <c r="H132" i="58"/>
  <c r="H119" i="58"/>
  <c r="H192" i="58"/>
  <c r="H208" i="58"/>
  <c r="H174" i="58"/>
  <c r="H64" i="58"/>
  <c r="H117" i="58"/>
  <c r="H123" i="58"/>
  <c r="H136" i="58"/>
  <c r="H178" i="58"/>
  <c r="H72" i="58"/>
  <c r="H49" i="58"/>
  <c r="H116" i="58"/>
  <c r="H74" i="58"/>
  <c r="H56" i="58"/>
  <c r="H193" i="58"/>
  <c r="H180" i="58"/>
  <c r="H143" i="58"/>
  <c r="H175" i="58"/>
  <c r="H115" i="58"/>
  <c r="H179" i="58"/>
  <c r="M208" i="58"/>
  <c r="H69" i="58"/>
  <c r="H127" i="58"/>
  <c r="H85" i="58"/>
  <c r="H105" i="58"/>
  <c r="H141" i="58"/>
  <c r="H177" i="58"/>
  <c r="H148" i="58"/>
  <c r="H52" i="58"/>
  <c r="H182" i="58"/>
  <c r="H54" i="58"/>
  <c r="H131" i="58"/>
  <c r="H44" i="58"/>
  <c r="H32" i="58"/>
  <c r="H129" i="58"/>
  <c r="H25" i="58"/>
  <c r="H158" i="58"/>
  <c r="H186" i="58"/>
  <c r="H181" i="58"/>
  <c r="H202" i="58"/>
  <c r="H53" i="58"/>
  <c r="H184" i="58"/>
  <c r="H90" i="58"/>
  <c r="H92" i="58"/>
  <c r="H176" i="58"/>
  <c r="H45" i="58"/>
  <c r="H118" i="58"/>
  <c r="H68" i="58"/>
  <c r="H78" i="58"/>
  <c r="H73" i="58"/>
  <c r="H41" i="58"/>
  <c r="H96" i="58"/>
  <c r="H100" i="58"/>
  <c r="H30" i="58"/>
  <c r="H164" i="58"/>
  <c r="H156" i="58"/>
  <c r="H165" i="58"/>
  <c r="H71" i="58"/>
  <c r="H191" i="58"/>
  <c r="H102" i="58"/>
  <c r="H83" i="58"/>
  <c r="H28" i="58"/>
  <c r="H140" i="58"/>
  <c r="H107" i="58"/>
  <c r="H34" i="58"/>
  <c r="H75" i="58"/>
  <c r="H172" i="58"/>
  <c r="H183" i="58"/>
  <c r="H204" i="58"/>
  <c r="H36" i="58"/>
  <c r="H79" i="58"/>
  <c r="H89" i="58"/>
  <c r="H111" i="58"/>
  <c r="H61" i="58"/>
  <c r="H33" i="58"/>
  <c r="H77" i="58"/>
  <c r="H91" i="58"/>
  <c r="H138" i="58"/>
  <c r="H126" i="58"/>
  <c r="H50" i="58"/>
  <c r="H185" i="58"/>
  <c r="H157" i="58"/>
  <c r="K12" i="58"/>
  <c r="H160" i="58"/>
  <c r="H155" i="58"/>
  <c r="H142" i="58"/>
  <c r="H98" i="58"/>
  <c r="H171" i="58"/>
  <c r="H40" i="58"/>
  <c r="H201" i="58"/>
  <c r="H194" i="58"/>
  <c r="H37" i="58"/>
  <c r="H60" i="58"/>
  <c r="H51" i="58"/>
  <c r="H27" i="58"/>
  <c r="H170" i="58"/>
  <c r="H151" i="58"/>
  <c r="H58" i="58"/>
  <c r="H130" i="58"/>
  <c r="H150" i="58"/>
  <c r="H31" i="58"/>
  <c r="H161" i="58"/>
  <c r="H67" i="58"/>
  <c r="H35" i="58"/>
  <c r="H93" i="58"/>
  <c r="H166" i="58"/>
  <c r="H149" i="58"/>
  <c r="H38" i="58"/>
  <c r="H97" i="58"/>
  <c r="H114" i="58"/>
  <c r="H206" i="58"/>
  <c r="J33" i="97"/>
  <c r="J189" i="97"/>
  <c r="J30" i="97"/>
  <c r="J169" i="97"/>
  <c r="J138" i="97"/>
  <c r="N17" i="177"/>
  <c r="N17" i="174"/>
  <c r="N17" i="113"/>
  <c r="N17" i="42"/>
  <c r="N17" i="69"/>
  <c r="N17" i="175"/>
  <c r="N17" i="16"/>
  <c r="N17" i="63"/>
  <c r="N17" i="89"/>
  <c r="N17" i="46"/>
  <c r="N17" i="167"/>
  <c r="N17" i="106"/>
  <c r="N17" i="133"/>
  <c r="N17" i="79"/>
  <c r="N17" i="49"/>
  <c r="N17" i="37"/>
  <c r="N17" i="1"/>
  <c r="N17" i="84"/>
  <c r="N17" i="45"/>
  <c r="N17" i="102"/>
  <c r="N17" i="68"/>
  <c r="N17" i="136"/>
  <c r="N17" i="19"/>
  <c r="N17" i="27"/>
  <c r="N17" i="94"/>
  <c r="N17" i="33"/>
  <c r="N17" i="83"/>
  <c r="N17" i="38"/>
  <c r="N17" i="62"/>
  <c r="N17" i="58"/>
  <c r="N17" i="92"/>
  <c r="N17" i="164"/>
  <c r="N17" i="159"/>
  <c r="N17" i="86"/>
  <c r="N17" i="157"/>
  <c r="N17" i="111"/>
  <c r="N17" i="172"/>
  <c r="N17" i="119"/>
  <c r="N17" i="104"/>
  <c r="N17" i="65"/>
  <c r="N17" i="28"/>
  <c r="N17" i="66"/>
  <c r="N17" i="178"/>
  <c r="N17" i="53"/>
  <c r="N17" i="50"/>
  <c r="N17" i="142"/>
  <c r="N17" i="54"/>
  <c r="N17" i="120"/>
  <c r="N17" i="143"/>
  <c r="N17" i="118"/>
  <c r="N17" i="60"/>
  <c r="N17" i="152"/>
  <c r="N17" i="145"/>
  <c r="N17" i="85"/>
  <c r="N17" i="14"/>
  <c r="N17" i="25"/>
  <c r="N17" i="31"/>
  <c r="N17" i="32"/>
  <c r="N17" i="43"/>
  <c r="N17" i="103"/>
  <c r="N17" i="90"/>
  <c r="N17" i="87"/>
  <c r="N17" i="95"/>
  <c r="N17" i="98"/>
  <c r="N17" i="47"/>
  <c r="N17" i="24"/>
  <c r="N17" i="71"/>
  <c r="N17" i="165"/>
  <c r="N17" i="72"/>
  <c r="N17" i="21"/>
  <c r="N17" i="20"/>
  <c r="N17" i="64"/>
  <c r="N17" i="141"/>
  <c r="N17" i="39"/>
  <c r="N17" i="55"/>
  <c r="N17" i="149"/>
  <c r="N17" i="155"/>
  <c r="N17" i="158"/>
  <c r="N17" i="156"/>
  <c r="N17" i="10"/>
  <c r="N17" i="176"/>
  <c r="N17" i="135"/>
  <c r="N17" i="15"/>
  <c r="N17" i="150"/>
  <c r="N17" i="57"/>
  <c r="J173" i="97"/>
  <c r="M18" i="97"/>
  <c r="G240" i="97"/>
  <c r="J104" i="97"/>
  <c r="J187" i="97"/>
  <c r="J105" i="97"/>
  <c r="H228" i="97"/>
  <c r="H17" i="97"/>
  <c r="H14" i="97"/>
  <c r="H23" i="97"/>
  <c r="H15" i="97"/>
  <c r="H20" i="97"/>
  <c r="M14" i="97"/>
  <c r="H22" i="97"/>
  <c r="H19" i="97"/>
  <c r="H16" i="97"/>
  <c r="H18" i="97"/>
  <c r="H24" i="97"/>
  <c r="H21" i="97"/>
  <c r="N64" i="79"/>
  <c r="N64" i="83"/>
  <c r="N64" i="177"/>
  <c r="N64" i="174"/>
  <c r="N64" i="31"/>
  <c r="N64" i="65"/>
  <c r="N64" i="165"/>
  <c r="N64" i="102"/>
  <c r="N64" i="54"/>
  <c r="N64" i="27"/>
  <c r="N64" i="68"/>
  <c r="N64" i="57"/>
  <c r="N64" i="20"/>
  <c r="N64" i="50"/>
  <c r="N64" i="92"/>
  <c r="N64" i="152"/>
  <c r="N64" i="58"/>
  <c r="N64" i="133"/>
  <c r="N64" i="95"/>
  <c r="N64" i="39"/>
  <c r="N64" i="142"/>
  <c r="N64" i="158"/>
  <c r="N64" i="143"/>
  <c r="N64" i="53"/>
  <c r="N64" i="113"/>
  <c r="N64" i="135"/>
  <c r="N64" i="64"/>
  <c r="N64" i="103"/>
  <c r="N64" i="15"/>
  <c r="N64" i="90"/>
  <c r="N64" i="155"/>
  <c r="N64" i="21"/>
  <c r="N64" i="37"/>
  <c r="N64" i="150"/>
  <c r="N64" i="43"/>
  <c r="N64" i="47"/>
  <c r="N64" i="136"/>
  <c r="N64" i="86"/>
  <c r="N64" i="19"/>
  <c r="N64" i="149"/>
  <c r="N64" i="118"/>
  <c r="N64" i="175"/>
  <c r="N64" i="60"/>
  <c r="N64" i="159"/>
  <c r="N64" i="63"/>
  <c r="N64" i="62"/>
  <c r="N64" i="32"/>
  <c r="N64" i="38"/>
  <c r="N64" i="46"/>
  <c r="N64" i="69"/>
  <c r="N64" i="71"/>
  <c r="N64" i="156"/>
  <c r="N64" i="28"/>
  <c r="N64" i="104"/>
  <c r="N64" i="14"/>
  <c r="N64" i="98"/>
  <c r="N64" i="120"/>
  <c r="N64" i="42"/>
  <c r="N64" i="172"/>
  <c r="N64" i="111"/>
  <c r="N64" i="85"/>
  <c r="N64" i="25"/>
  <c r="N64" i="55"/>
  <c r="N64" i="94"/>
  <c r="N64" i="16"/>
  <c r="N64" i="49"/>
  <c r="N64" i="87"/>
  <c r="N64" i="141"/>
  <c r="N64" i="178"/>
  <c r="N64" i="176"/>
  <c r="N64" i="10"/>
  <c r="N64" i="1"/>
  <c r="N64" i="157"/>
  <c r="N64" i="45"/>
  <c r="N64" i="106"/>
  <c r="N64" i="84"/>
  <c r="N64" i="89"/>
  <c r="N64" i="72"/>
  <c r="N64" i="33"/>
  <c r="N64" i="164"/>
  <c r="N64" i="119"/>
  <c r="N64" i="145"/>
  <c r="N64" i="167"/>
  <c r="N64" i="66"/>
  <c r="N64" i="24"/>
  <c r="G238" i="113"/>
  <c r="J110" i="97"/>
  <c r="Q149" i="97"/>
  <c r="Q169" i="97"/>
  <c r="Q203" i="97"/>
  <c r="Q28" i="97"/>
  <c r="Q140" i="97"/>
  <c r="Q128" i="97"/>
  <c r="Q211" i="97"/>
  <c r="Q171" i="97"/>
  <c r="Q150" i="97"/>
  <c r="Q148" i="97"/>
  <c r="Q175" i="97"/>
  <c r="Q138" i="97"/>
  <c r="Q99" i="97"/>
  <c r="Q130" i="97"/>
  <c r="Q127" i="97"/>
  <c r="H231" i="97"/>
  <c r="Q129" i="97"/>
  <c r="H223" i="97"/>
  <c r="H226" i="97"/>
  <c r="H230" i="97"/>
  <c r="Q173" i="97"/>
  <c r="Q151" i="97"/>
  <c r="Q117" i="97"/>
  <c r="G239" i="97"/>
  <c r="Q152" i="97"/>
  <c r="Q30" i="97"/>
  <c r="Q54" i="97"/>
  <c r="Q167" i="97"/>
  <c r="H224" i="97"/>
  <c r="H225" i="97"/>
  <c r="Q126" i="97"/>
  <c r="Q108" i="97"/>
  <c r="Q85" i="97"/>
  <c r="Q139" i="97"/>
  <c r="Q29" i="97"/>
  <c r="Q141" i="97"/>
  <c r="M16" i="97"/>
  <c r="Q177" i="97"/>
  <c r="J41" i="97"/>
  <c r="J75" i="97"/>
  <c r="J192" i="97"/>
  <c r="J143" i="97"/>
  <c r="J119" i="97"/>
  <c r="J87" i="97"/>
  <c r="J176" i="97"/>
  <c r="J62" i="97"/>
  <c r="J94" i="97"/>
  <c r="J135" i="97"/>
  <c r="J175" i="97"/>
  <c r="J174" i="97"/>
  <c r="J170" i="97"/>
  <c r="J72" i="97"/>
  <c r="J76" i="97"/>
  <c r="J101" i="97"/>
  <c r="J61" i="97"/>
  <c r="J151" i="97"/>
  <c r="J81" i="97"/>
  <c r="J171" i="97"/>
  <c r="J190" i="97"/>
  <c r="J163" i="97"/>
  <c r="J194" i="97"/>
  <c r="J136" i="97"/>
  <c r="J132" i="97"/>
  <c r="J152" i="97"/>
  <c r="J35" i="97"/>
  <c r="J130" i="97"/>
  <c r="J91" i="97"/>
  <c r="J93" i="97"/>
  <c r="J60" i="97"/>
  <c r="J31" i="97"/>
  <c r="J127" i="97"/>
  <c r="J43" i="97"/>
  <c r="J160" i="97"/>
  <c r="J128" i="97"/>
  <c r="J172" i="97"/>
  <c r="J86" i="97"/>
  <c r="J78" i="97"/>
  <c r="J133" i="97"/>
  <c r="J120" i="97"/>
  <c r="J109" i="97"/>
  <c r="J161" i="97"/>
  <c r="J29" i="97"/>
  <c r="J111" i="97"/>
  <c r="J99" i="97"/>
  <c r="J108" i="97"/>
  <c r="J204" i="97"/>
  <c r="J59" i="97"/>
  <c r="J34" i="97"/>
  <c r="J95" i="97"/>
  <c r="J56" i="97"/>
  <c r="J77" i="97"/>
  <c r="J45" i="97"/>
  <c r="J155" i="97"/>
  <c r="J40" i="97"/>
  <c r="J183" i="97"/>
  <c r="J141" i="97"/>
  <c r="J188" i="97"/>
  <c r="J92" i="97"/>
  <c r="J144" i="97"/>
  <c r="J52" i="97"/>
  <c r="J208" i="97"/>
  <c r="J146" i="97"/>
  <c r="J113" i="97"/>
  <c r="J112" i="97"/>
  <c r="J154" i="97"/>
  <c r="J100" i="97"/>
  <c r="J73" i="97"/>
  <c r="J36" i="97"/>
  <c r="J206" i="97"/>
  <c r="J63" i="97"/>
  <c r="J198" i="97"/>
  <c r="J139" i="97"/>
  <c r="H227" i="97"/>
  <c r="J126" i="97"/>
  <c r="J38" i="97"/>
  <c r="J64" i="97"/>
  <c r="J71" i="97"/>
  <c r="J79" i="97"/>
  <c r="J103" i="97"/>
  <c r="J129" i="97"/>
  <c r="J209" i="97"/>
  <c r="J118" i="97"/>
  <c r="J88" i="97"/>
  <c r="J193" i="97"/>
  <c r="J185" i="97"/>
  <c r="J197" i="97"/>
  <c r="J117" i="97"/>
  <c r="J54" i="97"/>
  <c r="J181" i="97"/>
  <c r="J50" i="97"/>
  <c r="J195" i="97"/>
  <c r="H229" i="97"/>
  <c r="J58" i="97"/>
  <c r="J69" i="97"/>
  <c r="J158" i="97"/>
  <c r="J134" i="97"/>
  <c r="H222" i="97"/>
  <c r="J24" i="97"/>
  <c r="J148" i="97"/>
  <c r="J68" i="97"/>
  <c r="J70" i="97"/>
  <c r="J121" i="97"/>
  <c r="J102" i="97"/>
  <c r="J114" i="97"/>
  <c r="J80" i="97"/>
  <c r="J89" i="97"/>
  <c r="J96" i="97"/>
  <c r="N165" i="103"/>
  <c r="N165" i="38"/>
  <c r="N165" i="10"/>
  <c r="N165" i="72"/>
  <c r="N165" i="84"/>
  <c r="N165" i="165"/>
  <c r="N165" i="19"/>
  <c r="N165" i="142"/>
  <c r="N165" i="45"/>
  <c r="N165" i="71"/>
  <c r="N165" i="64"/>
  <c r="N165" i="20"/>
  <c r="N165" i="98"/>
  <c r="N165" i="94"/>
  <c r="N165" i="157"/>
  <c r="N165" i="90"/>
  <c r="N165" i="176"/>
  <c r="N165" i="172"/>
  <c r="N165" i="55"/>
  <c r="N165" i="106"/>
  <c r="N165" i="102"/>
  <c r="N165" i="15"/>
  <c r="N165" i="178"/>
  <c r="N165" i="104"/>
  <c r="N165" i="92"/>
  <c r="N165" i="167"/>
  <c r="N165" i="1"/>
  <c r="N165" i="79"/>
  <c r="N165" i="111"/>
  <c r="N165" i="24"/>
  <c r="N165" i="65"/>
  <c r="N165" i="32"/>
  <c r="N165" i="47"/>
  <c r="N165" i="58"/>
  <c r="N165" i="119"/>
  <c r="N165" i="53"/>
  <c r="N165" i="85"/>
  <c r="N165" i="66"/>
  <c r="N165" i="95"/>
  <c r="N165" i="164"/>
  <c r="N165" i="42"/>
  <c r="N165" i="136"/>
  <c r="N165" i="54"/>
  <c r="N165" i="25"/>
  <c r="N165" i="175"/>
  <c r="N165" i="89"/>
  <c r="N165" i="159"/>
  <c r="N165" i="39"/>
  <c r="N165" i="145"/>
  <c r="N165" i="49"/>
  <c r="N165" i="14"/>
  <c r="N165" i="68"/>
  <c r="N165" i="83"/>
  <c r="N165" i="118"/>
  <c r="N165" i="113"/>
  <c r="N165" i="143"/>
  <c r="N165" i="57"/>
  <c r="N165" i="33"/>
  <c r="N165" i="27"/>
  <c r="N165" i="86"/>
  <c r="N165" i="16"/>
  <c r="N165" i="50"/>
  <c r="N165" i="141"/>
  <c r="N165" i="156"/>
  <c r="N165" i="63"/>
  <c r="N165" i="174"/>
  <c r="N165" i="150"/>
  <c r="N165" i="177"/>
  <c r="N165" i="87"/>
  <c r="N165" i="152"/>
  <c r="N165" i="31"/>
  <c r="N165" i="28"/>
  <c r="N165" i="43"/>
  <c r="N165" i="69"/>
  <c r="N165" i="135"/>
  <c r="N165" i="149"/>
  <c r="N165" i="120"/>
  <c r="N165" i="62"/>
  <c r="N165" i="60"/>
  <c r="N165" i="133"/>
  <c r="N165" i="21"/>
  <c r="N165" i="158"/>
  <c r="N165" i="37"/>
  <c r="N165" i="155"/>
  <c r="N165" i="46"/>
  <c r="N204" i="145"/>
  <c r="N204" i="49"/>
  <c r="N204" i="85"/>
  <c r="N204" i="152"/>
  <c r="N204" i="37"/>
  <c r="N204" i="71"/>
  <c r="N204" i="68"/>
  <c r="N204" i="94"/>
  <c r="N204" i="89"/>
  <c r="N204" i="119"/>
  <c r="N204" i="167"/>
  <c r="N204" i="1"/>
  <c r="N204" i="156"/>
  <c r="N204" i="165"/>
  <c r="N204" i="142"/>
  <c r="N204" i="118"/>
  <c r="N204" i="43"/>
  <c r="N204" i="155"/>
  <c r="N204" i="66"/>
  <c r="N204" i="95"/>
  <c r="N204" i="31"/>
  <c r="N204" i="27"/>
  <c r="N204" i="120"/>
  <c r="N204" i="150"/>
  <c r="N204" i="164"/>
  <c r="N204" i="136"/>
  <c r="N204" i="141"/>
  <c r="N204" i="33"/>
  <c r="N204" i="106"/>
  <c r="N204" i="15"/>
  <c r="N204" i="135"/>
  <c r="N204" i="21"/>
  <c r="N204" i="24"/>
  <c r="N204" i="39"/>
  <c r="N204" i="62"/>
  <c r="N204" i="32"/>
  <c r="N204" i="158"/>
  <c r="N204" i="55"/>
  <c r="N204" i="104"/>
  <c r="N204" i="38"/>
  <c r="N204" i="69"/>
  <c r="N204" i="159"/>
  <c r="N204" i="133"/>
  <c r="N204" i="113"/>
  <c r="N204" i="79"/>
  <c r="N204" i="72"/>
  <c r="N204" i="60"/>
  <c r="N204" i="176"/>
  <c r="N204" i="86"/>
  <c r="N204" i="111"/>
  <c r="N204" i="64"/>
  <c r="N204" i="19"/>
  <c r="N204" i="47"/>
  <c r="N204" i="16"/>
  <c r="N204" i="45"/>
  <c r="N204" i="172"/>
  <c r="N204" i="57"/>
  <c r="N204" i="42"/>
  <c r="N204" i="20"/>
  <c r="N204" i="28"/>
  <c r="N204" i="175"/>
  <c r="N204" i="58"/>
  <c r="N204" i="84"/>
  <c r="N204" i="83"/>
  <c r="N204" i="103"/>
  <c r="N204" i="178"/>
  <c r="N204" i="102"/>
  <c r="N204" i="157"/>
  <c r="N204" i="149"/>
  <c r="N204" i="143"/>
  <c r="N204" i="65"/>
  <c r="N204" i="53"/>
  <c r="N204" i="25"/>
  <c r="N204" i="90"/>
  <c r="N204" i="87"/>
  <c r="N204" i="10"/>
  <c r="N204" i="92"/>
  <c r="N204" i="98"/>
  <c r="N204" i="54"/>
  <c r="N204" i="63"/>
  <c r="N204" i="50"/>
  <c r="N204" i="174"/>
  <c r="N204" i="14"/>
  <c r="N204" i="177"/>
  <c r="N204" i="46"/>
  <c r="N34" i="152"/>
  <c r="N119" i="72"/>
  <c r="O119" i="72"/>
  <c r="N119" i="149"/>
  <c r="O119" i="149"/>
  <c r="N202" i="136"/>
  <c r="N34" i="113"/>
  <c r="N202" i="133"/>
  <c r="N34" i="38"/>
  <c r="N34" i="43"/>
  <c r="N34" i="49"/>
  <c r="N34" i="118"/>
  <c r="N34" i="177"/>
  <c r="N34" i="135"/>
  <c r="N34" i="50"/>
  <c r="N34" i="16"/>
  <c r="N34" i="86"/>
  <c r="N34" i="98"/>
  <c r="N34" i="157"/>
  <c r="N34" i="106"/>
  <c r="N34" i="164"/>
  <c r="N34" i="141"/>
  <c r="N34" i="83"/>
  <c r="N34" i="104"/>
  <c r="N34" i="53"/>
  <c r="N34" i="62"/>
  <c r="N202" i="27"/>
  <c r="N34" i="54"/>
  <c r="N34" i="145"/>
  <c r="N34" i="167"/>
  <c r="N34" i="69"/>
  <c r="N34" i="87"/>
  <c r="N34" i="19"/>
  <c r="N34" i="158"/>
  <c r="N34" i="178"/>
  <c r="N34" i="71"/>
  <c r="N34" i="176"/>
  <c r="N34" i="57"/>
  <c r="N34" i="60"/>
  <c r="N34" i="142"/>
  <c r="N34" i="21"/>
  <c r="N34" i="42"/>
  <c r="N34" i="155"/>
  <c r="N34" i="1"/>
  <c r="N34" i="94"/>
  <c r="N34" i="175"/>
  <c r="N34" i="72"/>
  <c r="N34" i="149"/>
  <c r="N202" i="33"/>
  <c r="N202" i="152"/>
  <c r="N202" i="1"/>
  <c r="N202" i="55"/>
  <c r="N202" i="89"/>
  <c r="N202" i="42"/>
  <c r="N202" i="149"/>
  <c r="N202" i="10"/>
  <c r="N202" i="69"/>
  <c r="N202" i="178"/>
  <c r="N202" i="155"/>
  <c r="N202" i="71"/>
  <c r="N202" i="95"/>
  <c r="N202" i="118"/>
  <c r="N202" i="58"/>
  <c r="N202" i="62"/>
  <c r="N202" i="63"/>
  <c r="N202" i="24"/>
  <c r="N202" i="145"/>
  <c r="N202" i="141"/>
  <c r="N202" i="54"/>
  <c r="N202" i="159"/>
  <c r="N202" i="16"/>
  <c r="N202" i="68"/>
  <c r="N202" i="156"/>
  <c r="N202" i="43"/>
  <c r="N202" i="143"/>
  <c r="N202" i="65"/>
  <c r="N202" i="53"/>
  <c r="N202" i="167"/>
  <c r="N202" i="175"/>
  <c r="N202" i="174"/>
  <c r="N202" i="106"/>
  <c r="N202" i="25"/>
  <c r="N202" i="21"/>
  <c r="N202" i="50"/>
  <c r="N202" i="14"/>
  <c r="N202" i="176"/>
  <c r="N202" i="15"/>
  <c r="N202" i="83"/>
  <c r="N202" i="49"/>
  <c r="N202" i="150"/>
  <c r="N202" i="79"/>
  <c r="N202" i="86"/>
  <c r="N202" i="142"/>
  <c r="N202" i="47"/>
  <c r="N202" i="19"/>
  <c r="N202" i="39"/>
  <c r="N202" i="111"/>
  <c r="N202" i="46"/>
  <c r="N202" i="119"/>
  <c r="N202" i="103"/>
  <c r="N202" i="102"/>
  <c r="N202" i="84"/>
  <c r="N202" i="135"/>
  <c r="N202" i="31"/>
  <c r="N202" i="64"/>
  <c r="N202" i="120"/>
  <c r="N202" i="165"/>
  <c r="N202" i="157"/>
  <c r="N202" i="37"/>
  <c r="N202" i="38"/>
  <c r="N202" i="113"/>
  <c r="N202" i="28"/>
  <c r="N202" i="90"/>
  <c r="N202" i="32"/>
  <c r="N202" i="104"/>
  <c r="N202" i="60"/>
  <c r="N202" i="177"/>
  <c r="N202" i="158"/>
  <c r="N202" i="20"/>
  <c r="N202" i="92"/>
  <c r="N202" i="66"/>
  <c r="N202" i="45"/>
  <c r="N202" i="57"/>
  <c r="N202" i="94"/>
  <c r="N202" i="172"/>
  <c r="N202" i="98"/>
  <c r="N202" i="72"/>
  <c r="N202" i="85"/>
  <c r="N202" i="164"/>
  <c r="N34" i="159"/>
  <c r="N34" i="45"/>
  <c r="N34" i="119"/>
  <c r="N34" i="58"/>
  <c r="N34" i="133"/>
  <c r="N34" i="15"/>
  <c r="N34" i="25"/>
  <c r="N34" i="33"/>
  <c r="N34" i="79"/>
  <c r="N34" i="150"/>
  <c r="N34" i="172"/>
  <c r="N34" i="65"/>
  <c r="N34" i="32"/>
  <c r="N34" i="136"/>
  <c r="N34" i="37"/>
  <c r="N34" i="39"/>
  <c r="N34" i="103"/>
  <c r="N34" i="174"/>
  <c r="N34" i="92"/>
  <c r="N34" i="14"/>
  <c r="N34" i="120"/>
  <c r="N34" i="55"/>
  <c r="N34" i="111"/>
  <c r="N34" i="90"/>
  <c r="N34" i="20"/>
  <c r="N34" i="85"/>
  <c r="N34" i="156"/>
  <c r="N34" i="66"/>
  <c r="N34" i="63"/>
  <c r="N34" i="47"/>
  <c r="N34" i="165"/>
  <c r="N34" i="68"/>
  <c r="N34" i="46"/>
  <c r="N34" i="24"/>
  <c r="N34" i="10"/>
  <c r="N34" i="64"/>
  <c r="N34" i="102"/>
  <c r="N34" i="27"/>
  <c r="N34" i="31"/>
  <c r="N34" i="84"/>
  <c r="N34" i="95"/>
  <c r="N34" i="143"/>
  <c r="N34" i="28"/>
  <c r="N119" i="85"/>
  <c r="O119" i="85"/>
  <c r="N119" i="119"/>
  <c r="O119" i="119"/>
  <c r="N119" i="174"/>
  <c r="O119" i="174"/>
  <c r="N119" i="42"/>
  <c r="O119" i="42"/>
  <c r="N119" i="21"/>
  <c r="O119" i="21"/>
  <c r="N119" i="43"/>
  <c r="O119" i="43"/>
  <c r="N119" i="84"/>
  <c r="O119" i="84"/>
  <c r="N119" i="38"/>
  <c r="O119" i="38"/>
  <c r="N119" i="95"/>
  <c r="O119" i="95"/>
  <c r="N119" i="69"/>
  <c r="O119" i="69"/>
  <c r="N52" i="92"/>
  <c r="N183" i="143"/>
  <c r="N183" i="24"/>
  <c r="N153" i="141"/>
  <c r="N29" i="21"/>
  <c r="N153" i="14"/>
  <c r="N119" i="33"/>
  <c r="O119" i="33"/>
  <c r="N119" i="150"/>
  <c r="O119" i="150"/>
  <c r="N119" i="155"/>
  <c r="O119" i="155"/>
  <c r="N119" i="164"/>
  <c r="O119" i="164"/>
  <c r="N200" i="145"/>
  <c r="N119" i="157"/>
  <c r="O119" i="157"/>
  <c r="N119" i="55"/>
  <c r="O119" i="55"/>
  <c r="N119" i="133"/>
  <c r="O119" i="133"/>
  <c r="N119" i="113"/>
  <c r="O119" i="113"/>
  <c r="N200" i="45"/>
  <c r="N119" i="45"/>
  <c r="O119" i="45"/>
  <c r="N119" i="49"/>
  <c r="O119" i="49"/>
  <c r="N119" i="66"/>
  <c r="O119" i="66"/>
  <c r="N119" i="165"/>
  <c r="O119" i="165"/>
  <c r="N119" i="20"/>
  <c r="O119" i="20"/>
  <c r="N119" i="10"/>
  <c r="O119" i="10"/>
  <c r="N119" i="102"/>
  <c r="O119" i="102"/>
  <c r="N119" i="37"/>
  <c r="O119" i="37"/>
  <c r="N146" i="47"/>
  <c r="N119" i="89"/>
  <c r="O119" i="89"/>
  <c r="N119" i="39"/>
  <c r="O119" i="39"/>
  <c r="N119" i="53"/>
  <c r="O119" i="53"/>
  <c r="N119" i="103"/>
  <c r="O119" i="103"/>
  <c r="N200" i="65"/>
  <c r="N196" i="172"/>
  <c r="N82" i="50"/>
  <c r="N156" i="119"/>
  <c r="N153" i="39"/>
  <c r="N196" i="152"/>
  <c r="N82" i="156"/>
  <c r="N156" i="149"/>
  <c r="N196" i="155"/>
  <c r="N41" i="54"/>
  <c r="N150" i="62"/>
  <c r="N82" i="31"/>
  <c r="N156" i="43"/>
  <c r="N41" i="64"/>
  <c r="N87" i="141"/>
  <c r="N196" i="164"/>
  <c r="N153" i="102"/>
  <c r="N82" i="58"/>
  <c r="N200" i="174"/>
  <c r="N196" i="60"/>
  <c r="N153" i="103"/>
  <c r="N153" i="133"/>
  <c r="N82" i="92"/>
  <c r="N41" i="167"/>
  <c r="N119" i="71"/>
  <c r="O119" i="71"/>
  <c r="N119" i="158"/>
  <c r="O119" i="158"/>
  <c r="N146" i="31"/>
  <c r="N196" i="33"/>
  <c r="N196" i="136"/>
  <c r="N196" i="68"/>
  <c r="N41" i="90"/>
  <c r="N41" i="158"/>
  <c r="N153" i="155"/>
  <c r="N153" i="83"/>
  <c r="N153" i="45"/>
  <c r="N82" i="159"/>
  <c r="N82" i="111"/>
  <c r="N200" i="157"/>
  <c r="N200" i="143"/>
  <c r="N36" i="60"/>
  <c r="N156" i="66"/>
  <c r="N156" i="37"/>
  <c r="N156" i="167"/>
  <c r="N119" i="136"/>
  <c r="O119" i="136"/>
  <c r="N119" i="46"/>
  <c r="O119" i="46"/>
  <c r="N119" i="175"/>
  <c r="O119" i="175"/>
  <c r="N119" i="1"/>
  <c r="O119" i="1"/>
  <c r="N119" i="156"/>
  <c r="O119" i="156"/>
  <c r="N119" i="27"/>
  <c r="O119" i="27"/>
  <c r="N119" i="16"/>
  <c r="O119" i="16"/>
  <c r="N119" i="178"/>
  <c r="O119" i="178"/>
  <c r="N119" i="87"/>
  <c r="O119" i="87"/>
  <c r="N119" i="92"/>
  <c r="O119" i="92"/>
  <c r="N196" i="156"/>
  <c r="N153" i="1"/>
  <c r="N200" i="149"/>
  <c r="N156" i="135"/>
  <c r="N188" i="178"/>
  <c r="N82" i="177"/>
  <c r="N181" i="90"/>
  <c r="N156" i="54"/>
  <c r="N156" i="177"/>
  <c r="N146" i="90"/>
  <c r="N196" i="145"/>
  <c r="N153" i="164"/>
  <c r="N200" i="57"/>
  <c r="N156" i="156"/>
  <c r="N119" i="120"/>
  <c r="O119" i="120"/>
  <c r="N119" i="19"/>
  <c r="O119" i="19"/>
  <c r="N119" i="106"/>
  <c r="O119" i="106"/>
  <c r="N119" i="65"/>
  <c r="O119" i="65"/>
  <c r="N119" i="172"/>
  <c r="O119" i="172"/>
  <c r="N146" i="72"/>
  <c r="N196" i="10"/>
  <c r="N196" i="104"/>
  <c r="N196" i="150"/>
  <c r="N41" i="159"/>
  <c r="N41" i="63"/>
  <c r="N153" i="167"/>
  <c r="N153" i="71"/>
  <c r="N82" i="172"/>
  <c r="N82" i="28"/>
  <c r="N82" i="64"/>
  <c r="N200" i="58"/>
  <c r="N200" i="69"/>
  <c r="N200" i="43"/>
  <c r="N71" i="149"/>
  <c r="N156" i="152"/>
  <c r="N156" i="32"/>
  <c r="N54" i="106"/>
  <c r="N119" i="25"/>
  <c r="O119" i="25"/>
  <c r="N119" i="58"/>
  <c r="O119" i="58"/>
  <c r="N119" i="83"/>
  <c r="O119" i="83"/>
  <c r="N119" i="145"/>
  <c r="O119" i="145"/>
  <c r="N119" i="50"/>
  <c r="O119" i="50"/>
  <c r="N119" i="62"/>
  <c r="O119" i="62"/>
  <c r="N119" i="15"/>
  <c r="O119" i="15"/>
  <c r="N119" i="104"/>
  <c r="O119" i="104"/>
  <c r="N119" i="64"/>
  <c r="O119" i="64"/>
  <c r="N119" i="177"/>
  <c r="O119" i="177"/>
  <c r="N119" i="28"/>
  <c r="O119" i="28"/>
  <c r="N82" i="37"/>
  <c r="N200" i="31"/>
  <c r="N156" i="83"/>
  <c r="N196" i="57"/>
  <c r="N153" i="47"/>
  <c r="N200" i="119"/>
  <c r="N156" i="46"/>
  <c r="N196" i="133"/>
  <c r="N153" i="10"/>
  <c r="N153" i="68"/>
  <c r="N82" i="25"/>
  <c r="N200" i="152"/>
  <c r="N156" i="68"/>
  <c r="N119" i="176"/>
  <c r="O119" i="176"/>
  <c r="N146" i="155"/>
  <c r="N196" i="63"/>
  <c r="N196" i="19"/>
  <c r="N196" i="72"/>
  <c r="N41" i="135"/>
  <c r="N41" i="46"/>
  <c r="N153" i="98"/>
  <c r="N153" i="31"/>
  <c r="N82" i="54"/>
  <c r="N82" i="46"/>
  <c r="N82" i="83"/>
  <c r="N200" i="33"/>
  <c r="N200" i="95"/>
  <c r="N200" i="20"/>
  <c r="N156" i="63"/>
  <c r="N156" i="86"/>
  <c r="N119" i="94"/>
  <c r="O119" i="94"/>
  <c r="N119" i="167"/>
  <c r="O119" i="167"/>
  <c r="N119" i="152"/>
  <c r="O119" i="152"/>
  <c r="N119" i="31"/>
  <c r="O119" i="31"/>
  <c r="N119" i="47"/>
  <c r="O119" i="47"/>
  <c r="N119" i="60"/>
  <c r="O119" i="60"/>
  <c r="N119" i="90"/>
  <c r="O119" i="90"/>
  <c r="N119" i="24"/>
  <c r="O119" i="24"/>
  <c r="N119" i="159"/>
  <c r="O119" i="159"/>
  <c r="N119" i="32"/>
  <c r="O119" i="32"/>
  <c r="N119" i="68"/>
  <c r="O119" i="68"/>
  <c r="N196" i="165"/>
  <c r="N153" i="15"/>
  <c r="N82" i="85"/>
  <c r="N156" i="141"/>
  <c r="N41" i="27"/>
  <c r="N82" i="94"/>
  <c r="N200" i="176"/>
  <c r="N183" i="98"/>
  <c r="N41" i="141"/>
  <c r="N82" i="47"/>
  <c r="N36" i="50"/>
  <c r="N156" i="150"/>
  <c r="N119" i="63"/>
  <c r="O119" i="63"/>
  <c r="N119" i="135"/>
  <c r="O119" i="135"/>
  <c r="N146" i="135"/>
  <c r="N196" i="118"/>
  <c r="N196" i="102"/>
  <c r="N196" i="37"/>
  <c r="N41" i="69"/>
  <c r="N153" i="150"/>
  <c r="N153" i="157"/>
  <c r="N153" i="50"/>
  <c r="N82" i="157"/>
  <c r="N82" i="104"/>
  <c r="N82" i="53"/>
  <c r="N200" i="111"/>
  <c r="N200" i="64"/>
  <c r="N200" i="175"/>
  <c r="N156" i="33"/>
  <c r="N156" i="178"/>
  <c r="N156" i="136"/>
  <c r="N119" i="54"/>
  <c r="O119" i="54"/>
  <c r="N119" i="141"/>
  <c r="O119" i="141"/>
  <c r="N119" i="142"/>
  <c r="O119" i="142"/>
  <c r="N119" i="118"/>
  <c r="O119" i="118"/>
  <c r="N119" i="57"/>
  <c r="O119" i="57"/>
  <c r="N119" i="14"/>
  <c r="O119" i="14"/>
  <c r="N119" i="111"/>
  <c r="O119" i="111"/>
  <c r="N119" i="86"/>
  <c r="O119" i="86"/>
  <c r="N119" i="143"/>
  <c r="O119" i="143"/>
  <c r="N119" i="98"/>
  <c r="O119" i="98"/>
  <c r="N150" i="1"/>
  <c r="N196" i="141"/>
  <c r="N196" i="28"/>
  <c r="N153" i="106"/>
  <c r="N25" i="27"/>
  <c r="N82" i="106"/>
  <c r="N82" i="49"/>
  <c r="N200" i="98"/>
  <c r="N200" i="72"/>
  <c r="N200" i="79"/>
  <c r="N156" i="45"/>
  <c r="N156" i="16"/>
  <c r="N156" i="165"/>
  <c r="N196" i="111"/>
  <c r="N196" i="89"/>
  <c r="N196" i="90"/>
  <c r="N196" i="24"/>
  <c r="N196" i="106"/>
  <c r="N196" i="38"/>
  <c r="N196" i="1"/>
  <c r="N196" i="149"/>
  <c r="N196" i="45"/>
  <c r="N196" i="174"/>
  <c r="N196" i="79"/>
  <c r="N41" i="94"/>
  <c r="N41" i="15"/>
  <c r="N41" i="16"/>
  <c r="N41" i="31"/>
  <c r="N153" i="135"/>
  <c r="N153" i="149"/>
  <c r="N153" i="165"/>
  <c r="N153" i="136"/>
  <c r="N153" i="120"/>
  <c r="N153" i="104"/>
  <c r="N153" i="95"/>
  <c r="N153" i="57"/>
  <c r="N153" i="49"/>
  <c r="N153" i="38"/>
  <c r="N153" i="33"/>
  <c r="N82" i="14"/>
  <c r="N82" i="87"/>
  <c r="N82" i="102"/>
  <c r="N82" i="57"/>
  <c r="N82" i="150"/>
  <c r="N82" i="178"/>
  <c r="N82" i="118"/>
  <c r="N82" i="10"/>
  <c r="N82" i="136"/>
  <c r="N82" i="32"/>
  <c r="N82" i="20"/>
  <c r="N150" i="32"/>
  <c r="N87" i="149"/>
  <c r="N200" i="32"/>
  <c r="N200" i="89"/>
  <c r="N200" i="14"/>
  <c r="N200" i="84"/>
  <c r="N200" i="19"/>
  <c r="N200" i="27"/>
  <c r="N200" i="102"/>
  <c r="N200" i="136"/>
  <c r="N200" i="10"/>
  <c r="N200" i="94"/>
  <c r="N181" i="164"/>
  <c r="N156" i="19"/>
  <c r="N156" i="94"/>
  <c r="N156" i="21"/>
  <c r="N156" i="159"/>
  <c r="N156" i="143"/>
  <c r="N156" i="58"/>
  <c r="N156" i="158"/>
  <c r="N156" i="27"/>
  <c r="N156" i="39"/>
  <c r="N156" i="38"/>
  <c r="N156" i="49"/>
  <c r="N196" i="16"/>
  <c r="N153" i="174"/>
  <c r="N82" i="27"/>
  <c r="N82" i="43"/>
  <c r="N200" i="133"/>
  <c r="N200" i="83"/>
  <c r="N200" i="47"/>
  <c r="N156" i="65"/>
  <c r="N196" i="83"/>
  <c r="N196" i="62"/>
  <c r="N196" i="135"/>
  <c r="N196" i="177"/>
  <c r="N196" i="32"/>
  <c r="N196" i="84"/>
  <c r="N196" i="14"/>
  <c r="N196" i="158"/>
  <c r="N196" i="71"/>
  <c r="N196" i="65"/>
  <c r="N188" i="133"/>
  <c r="N41" i="37"/>
  <c r="N41" i="38"/>
  <c r="N41" i="95"/>
  <c r="N41" i="50"/>
  <c r="N153" i="119"/>
  <c r="N153" i="86"/>
  <c r="N153" i="20"/>
  <c r="N153" i="66"/>
  <c r="N153" i="145"/>
  <c r="N153" i="27"/>
  <c r="N153" i="46"/>
  <c r="N153" i="158"/>
  <c r="N153" i="25"/>
  <c r="N153" i="118"/>
  <c r="N25" i="43"/>
  <c r="N82" i="113"/>
  <c r="N82" i="145"/>
  <c r="N82" i="62"/>
  <c r="N82" i="103"/>
  <c r="N82" i="1"/>
  <c r="N82" i="33"/>
  <c r="N82" i="90"/>
  <c r="N82" i="24"/>
  <c r="N82" i="16"/>
  <c r="N82" i="165"/>
  <c r="N150" i="55"/>
  <c r="N87" i="157"/>
  <c r="N200" i="167"/>
  <c r="N200" i="54"/>
  <c r="N200" i="178"/>
  <c r="N200" i="21"/>
  <c r="N200" i="87"/>
  <c r="N200" i="63"/>
  <c r="N200" i="106"/>
  <c r="N200" i="55"/>
  <c r="N200" i="24"/>
  <c r="N200" i="53"/>
  <c r="N200" i="141"/>
  <c r="N156" i="69"/>
  <c r="N156" i="87"/>
  <c r="N156" i="15"/>
  <c r="N156" i="174"/>
  <c r="N156" i="84"/>
  <c r="N156" i="64"/>
  <c r="N156" i="20"/>
  <c r="N156" i="111"/>
  <c r="N156" i="31"/>
  <c r="N156" i="145"/>
  <c r="N54" i="71"/>
  <c r="N183" i="10"/>
  <c r="N196" i="94"/>
  <c r="N196" i="87"/>
  <c r="N196" i="47"/>
  <c r="N153" i="177"/>
  <c r="N153" i="16"/>
  <c r="N153" i="79"/>
  <c r="N82" i="155"/>
  <c r="N82" i="68"/>
  <c r="N150" i="149"/>
  <c r="N200" i="86"/>
  <c r="N156" i="172"/>
  <c r="N196" i="46"/>
  <c r="N196" i="113"/>
  <c r="N196" i="15"/>
  <c r="N196" i="27"/>
  <c r="N196" i="43"/>
  <c r="N196" i="92"/>
  <c r="N196" i="120"/>
  <c r="N196" i="178"/>
  <c r="N196" i="142"/>
  <c r="N196" i="64"/>
  <c r="N188" i="136"/>
  <c r="N41" i="83"/>
  <c r="N41" i="178"/>
  <c r="N41" i="71"/>
  <c r="N41" i="65"/>
  <c r="N153" i="92"/>
  <c r="N153" i="63"/>
  <c r="N153" i="62"/>
  <c r="N153" i="94"/>
  <c r="N153" i="19"/>
  <c r="N153" i="113"/>
  <c r="N153" i="21"/>
  <c r="N153" i="87"/>
  <c r="N153" i="65"/>
  <c r="N153" i="172"/>
  <c r="N25" i="47"/>
  <c r="N82" i="19"/>
  <c r="N82" i="21"/>
  <c r="N82" i="71"/>
  <c r="N82" i="176"/>
  <c r="N82" i="142"/>
  <c r="N82" i="174"/>
  <c r="N82" i="42"/>
  <c r="N82" i="152"/>
  <c r="N82" i="98"/>
  <c r="N82" i="63"/>
  <c r="N150" i="79"/>
  <c r="N87" i="119"/>
  <c r="N200" i="50"/>
  <c r="N200" i="62"/>
  <c r="N200" i="90"/>
  <c r="N200" i="150"/>
  <c r="N200" i="68"/>
  <c r="N200" i="1"/>
  <c r="N200" i="42"/>
  <c r="N200" i="37"/>
  <c r="N200" i="66"/>
  <c r="N200" i="103"/>
  <c r="N200" i="158"/>
  <c r="N156" i="120"/>
  <c r="N156" i="85"/>
  <c r="N156" i="10"/>
  <c r="N156" i="118"/>
  <c r="N156" i="24"/>
  <c r="N156" i="28"/>
  <c r="N156" i="157"/>
  <c r="N156" i="14"/>
  <c r="N156" i="176"/>
  <c r="N156" i="175"/>
  <c r="N54" i="31"/>
  <c r="N196" i="85"/>
  <c r="N196" i="53"/>
  <c r="N196" i="143"/>
  <c r="N153" i="53"/>
  <c r="N153" i="32"/>
  <c r="N153" i="37"/>
  <c r="N82" i="39"/>
  <c r="N82" i="149"/>
  <c r="N87" i="113"/>
  <c r="N200" i="39"/>
  <c r="N200" i="142"/>
  <c r="N156" i="104"/>
  <c r="N156" i="25"/>
  <c r="N156" i="79"/>
  <c r="N196" i="20"/>
  <c r="N196" i="58"/>
  <c r="N196" i="119"/>
  <c r="N196" i="103"/>
  <c r="N196" i="55"/>
  <c r="N196" i="159"/>
  <c r="N196" i="50"/>
  <c r="N196" i="86"/>
  <c r="N196" i="49"/>
  <c r="N196" i="31"/>
  <c r="N196" i="69"/>
  <c r="N41" i="102"/>
  <c r="N41" i="113"/>
  <c r="N41" i="136"/>
  <c r="N41" i="32"/>
  <c r="N153" i="72"/>
  <c r="N153" i="89"/>
  <c r="N153" i="152"/>
  <c r="N153" i="175"/>
  <c r="N153" i="176"/>
  <c r="N153" i="90"/>
  <c r="N153" i="55"/>
  <c r="N153" i="69"/>
  <c r="N153" i="142"/>
  <c r="N153" i="84"/>
  <c r="N153" i="28"/>
  <c r="N82" i="45"/>
  <c r="N82" i="84"/>
  <c r="N82" i="66"/>
  <c r="N82" i="65"/>
  <c r="N82" i="38"/>
  <c r="N82" i="79"/>
  <c r="N82" i="69"/>
  <c r="N82" i="143"/>
  <c r="N82" i="95"/>
  <c r="N82" i="141"/>
  <c r="N82" i="86"/>
  <c r="N150" i="66"/>
  <c r="N87" i="136"/>
  <c r="N200" i="156"/>
  <c r="N200" i="165"/>
  <c r="N200" i="164"/>
  <c r="N200" i="92"/>
  <c r="N200" i="177"/>
  <c r="N200" i="46"/>
  <c r="N200" i="71"/>
  <c r="N200" i="85"/>
  <c r="N200" i="172"/>
  <c r="N200" i="38"/>
  <c r="N200" i="49"/>
  <c r="N156" i="95"/>
  <c r="N156" i="53"/>
  <c r="N156" i="113"/>
  <c r="N156" i="1"/>
  <c r="N156" i="50"/>
  <c r="N156" i="133"/>
  <c r="N156" i="92"/>
  <c r="N156" i="155"/>
  <c r="N156" i="60"/>
  <c r="N156" i="164"/>
  <c r="N156" i="106"/>
  <c r="N54" i="24"/>
  <c r="N196" i="167"/>
  <c r="N153" i="178"/>
  <c r="N153" i="156"/>
  <c r="N82" i="164"/>
  <c r="N82" i="55"/>
  <c r="N200" i="155"/>
  <c r="N200" i="15"/>
  <c r="N156" i="62"/>
  <c r="N156" i="55"/>
  <c r="N196" i="66"/>
  <c r="N196" i="175"/>
  <c r="N196" i="95"/>
  <c r="N196" i="42"/>
  <c r="N196" i="98"/>
  <c r="N196" i="176"/>
  <c r="N196" i="25"/>
  <c r="N196" i="21"/>
  <c r="N196" i="54"/>
  <c r="N196" i="157"/>
  <c r="N41" i="24"/>
  <c r="N41" i="155"/>
  <c r="N41" i="62"/>
  <c r="N41" i="60"/>
  <c r="N153" i="54"/>
  <c r="N153" i="43"/>
  <c r="N153" i="159"/>
  <c r="N153" i="42"/>
  <c r="N153" i="64"/>
  <c r="N153" i="143"/>
  <c r="N153" i="24"/>
  <c r="N153" i="58"/>
  <c r="N153" i="85"/>
  <c r="N153" i="111"/>
  <c r="N82" i="167"/>
  <c r="N82" i="175"/>
  <c r="N82" i="135"/>
  <c r="N82" i="119"/>
  <c r="N82" i="158"/>
  <c r="N82" i="72"/>
  <c r="N82" i="120"/>
  <c r="N82" i="15"/>
  <c r="N82" i="89"/>
  <c r="N82" i="133"/>
  <c r="N150" i="89"/>
  <c r="N87" i="111"/>
  <c r="N200" i="159"/>
  <c r="N200" i="135"/>
  <c r="N200" i="60"/>
  <c r="N200" i="104"/>
  <c r="N200" i="16"/>
  <c r="N200" i="120"/>
  <c r="N200" i="28"/>
  <c r="N200" i="25"/>
  <c r="N200" i="118"/>
  <c r="N181" i="94"/>
  <c r="N156" i="42"/>
  <c r="N156" i="57"/>
  <c r="N156" i="90"/>
  <c r="N156" i="142"/>
  <c r="N156" i="102"/>
  <c r="N156" i="103"/>
  <c r="N156" i="89"/>
  <c r="N156" i="71"/>
  <c r="N156" i="98"/>
  <c r="N156" i="47"/>
  <c r="N147" i="167"/>
  <c r="N36" i="165"/>
  <c r="N36" i="177"/>
  <c r="N36" i="45"/>
  <c r="N36" i="33"/>
  <c r="N52" i="90"/>
  <c r="N188" i="60"/>
  <c r="N41" i="57"/>
  <c r="N41" i="142"/>
  <c r="N41" i="119"/>
  <c r="N41" i="33"/>
  <c r="N41" i="156"/>
  <c r="N41" i="89"/>
  <c r="N41" i="174"/>
  <c r="N41" i="98"/>
  <c r="N41" i="72"/>
  <c r="N41" i="157"/>
  <c r="N41" i="111"/>
  <c r="N25" i="19"/>
  <c r="N150" i="98"/>
  <c r="N150" i="176"/>
  <c r="N150" i="94"/>
  <c r="N87" i="68"/>
  <c r="N87" i="58"/>
  <c r="N181" i="157"/>
  <c r="N36" i="21"/>
  <c r="N36" i="16"/>
  <c r="N54" i="142"/>
  <c r="N54" i="65"/>
  <c r="N183" i="159"/>
  <c r="N183" i="63"/>
  <c r="N147" i="38"/>
  <c r="N188" i="84"/>
  <c r="N188" i="53"/>
  <c r="N41" i="49"/>
  <c r="N41" i="10"/>
  <c r="N41" i="177"/>
  <c r="N41" i="145"/>
  <c r="N41" i="42"/>
  <c r="N41" i="21"/>
  <c r="N41" i="84"/>
  <c r="N41" i="176"/>
  <c r="N41" i="175"/>
  <c r="N41" i="55"/>
  <c r="N150" i="111"/>
  <c r="N150" i="103"/>
  <c r="N150" i="141"/>
  <c r="N87" i="177"/>
  <c r="N87" i="98"/>
  <c r="N181" i="141"/>
  <c r="N36" i="42"/>
  <c r="N147" i="63"/>
  <c r="N54" i="143"/>
  <c r="N52" i="1"/>
  <c r="N183" i="178"/>
  <c r="N183" i="119"/>
  <c r="N188" i="16"/>
  <c r="N188" i="83"/>
  <c r="N41" i="172"/>
  <c r="N41" i="106"/>
  <c r="N41" i="165"/>
  <c r="N41" i="118"/>
  <c r="N41" i="150"/>
  <c r="N41" i="92"/>
  <c r="N41" i="66"/>
  <c r="N41" i="58"/>
  <c r="N41" i="133"/>
  <c r="N41" i="43"/>
  <c r="N150" i="92"/>
  <c r="N150" i="31"/>
  <c r="N87" i="47"/>
  <c r="N87" i="60"/>
  <c r="N87" i="83"/>
  <c r="N181" i="58"/>
  <c r="N36" i="69"/>
  <c r="N147" i="103"/>
  <c r="N54" i="177"/>
  <c r="N52" i="111"/>
  <c r="N183" i="85"/>
  <c r="N188" i="113"/>
  <c r="N41" i="20"/>
  <c r="N41" i="25"/>
  <c r="N41" i="19"/>
  <c r="N41" i="104"/>
  <c r="N41" i="152"/>
  <c r="N41" i="45"/>
  <c r="N41" i="86"/>
  <c r="N41" i="85"/>
  <c r="N41" i="14"/>
  <c r="N41" i="120"/>
  <c r="N41" i="149"/>
  <c r="N150" i="143"/>
  <c r="N150" i="119"/>
  <c r="N87" i="37"/>
  <c r="N87" i="54"/>
  <c r="N87" i="164"/>
  <c r="N181" i="14"/>
  <c r="N181" i="33"/>
  <c r="N36" i="79"/>
  <c r="N147" i="135"/>
  <c r="N54" i="111"/>
  <c r="N52" i="177"/>
  <c r="N183" i="42"/>
  <c r="N188" i="68"/>
  <c r="N41" i="28"/>
  <c r="N41" i="68"/>
  <c r="N41" i="143"/>
  <c r="N41" i="79"/>
  <c r="N41" i="103"/>
  <c r="N41" i="47"/>
  <c r="N41" i="53"/>
  <c r="N41" i="1"/>
  <c r="N41" i="164"/>
  <c r="N41" i="87"/>
  <c r="N150" i="177"/>
  <c r="N150" i="83"/>
  <c r="N87" i="133"/>
  <c r="N87" i="150"/>
  <c r="N87" i="33"/>
  <c r="N181" i="120"/>
  <c r="N181" i="95"/>
  <c r="N36" i="155"/>
  <c r="N147" i="19"/>
  <c r="N54" i="14"/>
  <c r="N52" i="47"/>
  <c r="N183" i="16"/>
  <c r="N147" i="152"/>
  <c r="N147" i="64"/>
  <c r="N52" i="31"/>
  <c r="N52" i="79"/>
  <c r="N147" i="42"/>
  <c r="N147" i="16"/>
  <c r="N52" i="98"/>
  <c r="N25" i="165"/>
  <c r="N150" i="178"/>
  <c r="N150" i="104"/>
  <c r="N150" i="156"/>
  <c r="N150" i="49"/>
  <c r="N87" i="167"/>
  <c r="N87" i="64"/>
  <c r="N87" i="158"/>
  <c r="N87" i="174"/>
  <c r="N39" i="167"/>
  <c r="N147" i="50"/>
  <c r="N147" i="113"/>
  <c r="N29" i="53"/>
  <c r="N52" i="102"/>
  <c r="N52" i="60"/>
  <c r="N159" i="103"/>
  <c r="N39" i="152"/>
  <c r="N25" i="49"/>
  <c r="N150" i="37"/>
  <c r="N150" i="145"/>
  <c r="N150" i="27"/>
  <c r="N150" i="10"/>
  <c r="N87" i="25"/>
  <c r="N87" i="95"/>
  <c r="N87" i="21"/>
  <c r="N87" i="45"/>
  <c r="N147" i="136"/>
  <c r="N147" i="27"/>
  <c r="N29" i="149"/>
  <c r="N52" i="42"/>
  <c r="N52" i="63"/>
  <c r="N142" i="158"/>
  <c r="N159" i="85"/>
  <c r="N39" i="165"/>
  <c r="N52" i="58"/>
  <c r="N25" i="98"/>
  <c r="N150" i="65"/>
  <c r="N150" i="133"/>
  <c r="N150" i="58"/>
  <c r="N150" i="15"/>
  <c r="N87" i="46"/>
  <c r="N87" i="43"/>
  <c r="N87" i="102"/>
  <c r="N87" i="155"/>
  <c r="N147" i="90"/>
  <c r="N147" i="33"/>
  <c r="N29" i="164"/>
  <c r="N52" i="24"/>
  <c r="N52" i="69"/>
  <c r="N142" i="165"/>
  <c r="N39" i="71"/>
  <c r="N142" i="111"/>
  <c r="N159" i="37"/>
  <c r="N159" i="90"/>
  <c r="N25" i="150"/>
  <c r="N25" i="159"/>
  <c r="N25" i="143"/>
  <c r="N150" i="45"/>
  <c r="N150" i="25"/>
  <c r="N150" i="90"/>
  <c r="N150" i="53"/>
  <c r="N150" i="19"/>
  <c r="N150" i="60"/>
  <c r="N150" i="152"/>
  <c r="N150" i="42"/>
  <c r="N150" i="33"/>
  <c r="N150" i="72"/>
  <c r="N87" i="94"/>
  <c r="N87" i="55"/>
  <c r="N87" i="85"/>
  <c r="N87" i="63"/>
  <c r="N87" i="14"/>
  <c r="N87" i="103"/>
  <c r="N87" i="156"/>
  <c r="N87" i="19"/>
  <c r="N87" i="42"/>
  <c r="N87" i="24"/>
  <c r="N87" i="86"/>
  <c r="N39" i="69"/>
  <c r="N39" i="60"/>
  <c r="N142" i="155"/>
  <c r="N142" i="167"/>
  <c r="N142" i="43"/>
  <c r="N159" i="172"/>
  <c r="N159" i="164"/>
  <c r="N39" i="94"/>
  <c r="N142" i="50"/>
  <c r="N142" i="68"/>
  <c r="N25" i="83"/>
  <c r="N25" i="145"/>
  <c r="N25" i="79"/>
  <c r="N150" i="39"/>
  <c r="N150" i="28"/>
  <c r="N150" i="87"/>
  <c r="N150" i="136"/>
  <c r="N150" i="68"/>
  <c r="N150" i="16"/>
  <c r="N150" i="172"/>
  <c r="N150" i="165"/>
  <c r="N150" i="95"/>
  <c r="N150" i="24"/>
  <c r="N87" i="66"/>
  <c r="N87" i="27"/>
  <c r="N87" i="120"/>
  <c r="N87" i="20"/>
  <c r="N87" i="69"/>
  <c r="N87" i="53"/>
  <c r="N87" i="57"/>
  <c r="N87" i="176"/>
  <c r="N87" i="38"/>
  <c r="N87" i="106"/>
  <c r="N87" i="152"/>
  <c r="N39" i="89"/>
  <c r="N39" i="57"/>
  <c r="N39" i="63"/>
  <c r="N142" i="38"/>
  <c r="N142" i="49"/>
  <c r="N142" i="149"/>
  <c r="N159" i="65"/>
  <c r="N159" i="54"/>
  <c r="N159" i="113"/>
  <c r="N39" i="113"/>
  <c r="N159" i="133"/>
  <c r="N25" i="14"/>
  <c r="N25" i="72"/>
  <c r="N150" i="50"/>
  <c r="N150" i="71"/>
  <c r="N150" i="113"/>
  <c r="N150" i="63"/>
  <c r="N150" i="142"/>
  <c r="N150" i="47"/>
  <c r="N150" i="20"/>
  <c r="N150" i="54"/>
  <c r="N150" i="135"/>
  <c r="N150" i="155"/>
  <c r="N150" i="38"/>
  <c r="N87" i="50"/>
  <c r="N87" i="71"/>
  <c r="N87" i="175"/>
  <c r="N87" i="159"/>
  <c r="N87" i="1"/>
  <c r="N87" i="65"/>
  <c r="N87" i="118"/>
  <c r="N87" i="62"/>
  <c r="N87" i="172"/>
  <c r="N87" i="39"/>
  <c r="N87" i="90"/>
  <c r="N39" i="118"/>
  <c r="N39" i="47"/>
  <c r="N39" i="62"/>
  <c r="N142" i="71"/>
  <c r="N142" i="69"/>
  <c r="N142" i="136"/>
  <c r="N159" i="53"/>
  <c r="N159" i="79"/>
  <c r="N159" i="57"/>
  <c r="N39" i="49"/>
  <c r="N142" i="174"/>
  <c r="N25" i="25"/>
  <c r="N25" i="158"/>
  <c r="N25" i="90"/>
  <c r="N150" i="43"/>
  <c r="N150" i="21"/>
  <c r="N150" i="57"/>
  <c r="N150" i="167"/>
  <c r="N150" i="159"/>
  <c r="N150" i="158"/>
  <c r="N150" i="175"/>
  <c r="N150" i="14"/>
  <c r="N150" i="150"/>
  <c r="N150" i="46"/>
  <c r="N150" i="120"/>
  <c r="N87" i="49"/>
  <c r="N87" i="89"/>
  <c r="N87" i="178"/>
  <c r="N87" i="10"/>
  <c r="N87" i="32"/>
  <c r="N87" i="15"/>
  <c r="N87" i="104"/>
  <c r="N87" i="165"/>
  <c r="N87" i="87"/>
  <c r="N87" i="143"/>
  <c r="N39" i="111"/>
  <c r="N39" i="1"/>
  <c r="N39" i="92"/>
  <c r="N142" i="164"/>
  <c r="N142" i="159"/>
  <c r="N159" i="118"/>
  <c r="N159" i="92"/>
  <c r="N159" i="15"/>
  <c r="N39" i="86"/>
  <c r="N142" i="175"/>
  <c r="N142" i="86"/>
  <c r="N159" i="95"/>
  <c r="N159" i="83"/>
  <c r="N25" i="133"/>
  <c r="N25" i="155"/>
  <c r="N25" i="54"/>
  <c r="N150" i="106"/>
  <c r="N150" i="174"/>
  <c r="N150" i="164"/>
  <c r="N150" i="118"/>
  <c r="N150" i="157"/>
  <c r="N150" i="64"/>
  <c r="N150" i="86"/>
  <c r="N150" i="84"/>
  <c r="N150" i="102"/>
  <c r="N150" i="69"/>
  <c r="N87" i="16"/>
  <c r="N87" i="135"/>
  <c r="N87" i="84"/>
  <c r="N87" i="145"/>
  <c r="N87" i="72"/>
  <c r="N87" i="142"/>
  <c r="N87" i="92"/>
  <c r="N87" i="79"/>
  <c r="N87" i="28"/>
  <c r="N39" i="150"/>
  <c r="N39" i="143"/>
  <c r="N39" i="155"/>
  <c r="N142" i="31"/>
  <c r="N142" i="178"/>
  <c r="N159" i="71"/>
  <c r="N159" i="176"/>
  <c r="N25" i="167"/>
  <c r="N25" i="156"/>
  <c r="N25" i="58"/>
  <c r="N25" i="42"/>
  <c r="N25" i="64"/>
  <c r="N25" i="66"/>
  <c r="N25" i="53"/>
  <c r="N25" i="178"/>
  <c r="N25" i="136"/>
  <c r="N25" i="10"/>
  <c r="N25" i="86"/>
  <c r="N25" i="50"/>
  <c r="N25" i="24"/>
  <c r="N25" i="172"/>
  <c r="N25" i="38"/>
  <c r="N25" i="119"/>
  <c r="N25" i="1"/>
  <c r="N25" i="106"/>
  <c r="N25" i="102"/>
  <c r="N25" i="89"/>
  <c r="N25" i="28"/>
  <c r="N25" i="87"/>
  <c r="N25" i="69"/>
  <c r="N25" i="65"/>
  <c r="N25" i="60"/>
  <c r="N25" i="85"/>
  <c r="N25" i="157"/>
  <c r="N25" i="152"/>
  <c r="N25" i="32"/>
  <c r="N25" i="113"/>
  <c r="N25" i="31"/>
  <c r="N25" i="175"/>
  <c r="N25" i="15"/>
  <c r="N25" i="92"/>
  <c r="N25" i="103"/>
  <c r="N25" i="164"/>
  <c r="N25" i="95"/>
  <c r="N25" i="141"/>
  <c r="N25" i="118"/>
  <c r="N25" i="16"/>
  <c r="N25" i="63"/>
  <c r="N25" i="176"/>
  <c r="N25" i="84"/>
  <c r="N25" i="177"/>
  <c r="N25" i="37"/>
  <c r="N25" i="39"/>
  <c r="N25" i="45"/>
  <c r="N25" i="111"/>
  <c r="N25" i="46"/>
  <c r="N25" i="20"/>
  <c r="N25" i="135"/>
  <c r="N25" i="104"/>
  <c r="N25" i="21"/>
  <c r="N25" i="94"/>
  <c r="N25" i="33"/>
  <c r="N25" i="68"/>
  <c r="N25" i="149"/>
  <c r="N25" i="62"/>
  <c r="N25" i="142"/>
  <c r="N25" i="120"/>
  <c r="N25" i="174"/>
  <c r="N25" i="57"/>
  <c r="N25" i="71"/>
  <c r="N29" i="85"/>
  <c r="N29" i="94"/>
  <c r="N29" i="102"/>
  <c r="N29" i="142"/>
  <c r="N177" i="64"/>
  <c r="N29" i="47"/>
  <c r="N29" i="39"/>
  <c r="N161" i="72"/>
  <c r="O161" i="72"/>
  <c r="N161" i="90"/>
  <c r="O161" i="90"/>
  <c r="N161" i="16"/>
  <c r="O161" i="16"/>
  <c r="N197" i="16"/>
  <c r="N161" i="159"/>
  <c r="O161" i="159"/>
  <c r="N161" i="43"/>
  <c r="O161" i="43"/>
  <c r="N161" i="37"/>
  <c r="O161" i="37"/>
  <c r="N161" i="174"/>
  <c r="O161" i="174"/>
  <c r="N161" i="57"/>
  <c r="O161" i="57"/>
  <c r="N161" i="135"/>
  <c r="O161" i="135"/>
  <c r="N161" i="64"/>
  <c r="O161" i="64"/>
  <c r="N161" i="39"/>
  <c r="O161" i="39"/>
  <c r="N197" i="119"/>
  <c r="N197" i="64"/>
  <c r="N197" i="66"/>
  <c r="N197" i="37"/>
  <c r="N197" i="50"/>
  <c r="N197" i="71"/>
  <c r="N197" i="55"/>
  <c r="N161" i="49"/>
  <c r="O161" i="49"/>
  <c r="N161" i="27"/>
  <c r="O161" i="27"/>
  <c r="N161" i="10"/>
  <c r="O161" i="10"/>
  <c r="N161" i="136"/>
  <c r="O161" i="136"/>
  <c r="N161" i="33"/>
  <c r="O161" i="33"/>
  <c r="N161" i="53"/>
  <c r="O161" i="53"/>
  <c r="N197" i="157"/>
  <c r="N188" i="37"/>
  <c r="N188" i="32"/>
  <c r="N188" i="49"/>
  <c r="N188" i="54"/>
  <c r="N181" i="53"/>
  <c r="N181" i="10"/>
  <c r="N181" i="85"/>
  <c r="N181" i="21"/>
  <c r="N181" i="98"/>
  <c r="N36" i="27"/>
  <c r="N36" i="103"/>
  <c r="N36" i="98"/>
  <c r="N36" i="102"/>
  <c r="N36" i="159"/>
  <c r="N54" i="10"/>
  <c r="N54" i="120"/>
  <c r="N54" i="55"/>
  <c r="N54" i="164"/>
  <c r="N54" i="46"/>
  <c r="N183" i="66"/>
  <c r="N183" i="65"/>
  <c r="N183" i="149"/>
  <c r="N183" i="92"/>
  <c r="N183" i="57"/>
  <c r="N183" i="158"/>
  <c r="N71" i="33"/>
  <c r="N71" i="135"/>
  <c r="N71" i="79"/>
  <c r="N71" i="25"/>
  <c r="N71" i="66"/>
  <c r="N71" i="158"/>
  <c r="N161" i="24"/>
  <c r="O161" i="24"/>
  <c r="N161" i="31"/>
  <c r="O161" i="31"/>
  <c r="N146" i="85"/>
  <c r="N188" i="20"/>
  <c r="N188" i="145"/>
  <c r="N188" i="102"/>
  <c r="N188" i="118"/>
  <c r="N188" i="10"/>
  <c r="N161" i="28"/>
  <c r="O161" i="28"/>
  <c r="N181" i="24"/>
  <c r="N181" i="84"/>
  <c r="N181" i="55"/>
  <c r="N181" i="19"/>
  <c r="N181" i="106"/>
  <c r="N36" i="119"/>
  <c r="N36" i="71"/>
  <c r="N36" i="46"/>
  <c r="N36" i="72"/>
  <c r="N36" i="104"/>
  <c r="N71" i="21"/>
  <c r="N54" i="167"/>
  <c r="N54" i="178"/>
  <c r="N54" i="159"/>
  <c r="N54" i="133"/>
  <c r="N54" i="89"/>
  <c r="N54" i="58"/>
  <c r="N183" i="102"/>
  <c r="N183" i="19"/>
  <c r="N183" i="45"/>
  <c r="N183" i="50"/>
  <c r="N177" i="14"/>
  <c r="N161" i="14"/>
  <c r="O161" i="14"/>
  <c r="N161" i="149"/>
  <c r="O161" i="149"/>
  <c r="N161" i="98"/>
  <c r="O161" i="98"/>
  <c r="N161" i="177"/>
  <c r="O161" i="177"/>
  <c r="N197" i="145"/>
  <c r="N197" i="175"/>
  <c r="N197" i="53"/>
  <c r="N197" i="39"/>
  <c r="N197" i="14"/>
  <c r="N197" i="155"/>
  <c r="N197" i="111"/>
  <c r="N197" i="87"/>
  <c r="N197" i="10"/>
  <c r="N197" i="72"/>
  <c r="N197" i="21"/>
  <c r="N197" i="15"/>
  <c r="N197" i="43"/>
  <c r="N197" i="84"/>
  <c r="N197" i="65"/>
  <c r="N197" i="24"/>
  <c r="N183" i="27"/>
  <c r="N183" i="95"/>
  <c r="N183" i="62"/>
  <c r="N183" i="64"/>
  <c r="N183" i="177"/>
  <c r="N183" i="60"/>
  <c r="N183" i="32"/>
  <c r="N183" i="39"/>
  <c r="N183" i="175"/>
  <c r="N183" i="79"/>
  <c r="N183" i="47"/>
  <c r="N183" i="104"/>
  <c r="N183" i="94"/>
  <c r="N183" i="68"/>
  <c r="N183" i="58"/>
  <c r="N183" i="142"/>
  <c r="N183" i="111"/>
  <c r="N183" i="72"/>
  <c r="N183" i="53"/>
  <c r="N183" i="31"/>
  <c r="N183" i="165"/>
  <c r="N183" i="25"/>
  <c r="N183" i="49"/>
  <c r="N183" i="20"/>
  <c r="N183" i="90"/>
  <c r="N183" i="54"/>
  <c r="N183" i="141"/>
  <c r="N183" i="120"/>
  <c r="N183" i="157"/>
  <c r="N183" i="136"/>
  <c r="N183" i="1"/>
  <c r="N183" i="71"/>
  <c r="N183" i="152"/>
  <c r="N183" i="87"/>
  <c r="N183" i="38"/>
  <c r="N183" i="43"/>
  <c r="N183" i="86"/>
  <c r="N183" i="174"/>
  <c r="N183" i="118"/>
  <c r="N183" i="106"/>
  <c r="N183" i="155"/>
  <c r="N183" i="84"/>
  <c r="N183" i="83"/>
  <c r="N188" i="98"/>
  <c r="N188" i="19"/>
  <c r="N188" i="38"/>
  <c r="N188" i="39"/>
  <c r="N188" i="28"/>
  <c r="N188" i="158"/>
  <c r="N188" i="71"/>
  <c r="N188" i="21"/>
  <c r="N188" i="66"/>
  <c r="N188" i="27"/>
  <c r="N188" i="103"/>
  <c r="N188" i="111"/>
  <c r="N188" i="31"/>
  <c r="N188" i="164"/>
  <c r="N188" i="94"/>
  <c r="N188" i="69"/>
  <c r="N188" i="135"/>
  <c r="N188" i="172"/>
  <c r="N188" i="79"/>
  <c r="N188" i="72"/>
  <c r="N188" i="142"/>
  <c r="N188" i="95"/>
  <c r="N188" i="55"/>
  <c r="N188" i="175"/>
  <c r="N188" i="85"/>
  <c r="N188" i="50"/>
  <c r="N188" i="64"/>
  <c r="N188" i="167"/>
  <c r="N188" i="65"/>
  <c r="N188" i="156"/>
  <c r="N188" i="120"/>
  <c r="N188" i="157"/>
  <c r="N188" i="45"/>
  <c r="N188" i="119"/>
  <c r="N188" i="149"/>
  <c r="N188" i="159"/>
  <c r="N188" i="92"/>
  <c r="N188" i="141"/>
  <c r="N188" i="15"/>
  <c r="N188" i="1"/>
  <c r="N188" i="104"/>
  <c r="N188" i="89"/>
  <c r="N188" i="87"/>
  <c r="N188" i="86"/>
  <c r="N181" i="156"/>
  <c r="N36" i="53"/>
  <c r="N54" i="62"/>
  <c r="N54" i="45"/>
  <c r="N183" i="176"/>
  <c r="N183" i="14"/>
  <c r="N46" i="83"/>
  <c r="N46" i="24"/>
  <c r="N46" i="10"/>
  <c r="N46" i="90"/>
  <c r="N137" i="133"/>
  <c r="N137" i="68"/>
  <c r="N137" i="27"/>
  <c r="N137" i="103"/>
  <c r="N188" i="42"/>
  <c r="N181" i="66"/>
  <c r="N181" i="158"/>
  <c r="N181" i="83"/>
  <c r="N181" i="133"/>
  <c r="N181" i="172"/>
  <c r="N36" i="63"/>
  <c r="N36" i="24"/>
  <c r="N36" i="54"/>
  <c r="N36" i="85"/>
  <c r="N36" i="38"/>
  <c r="N71" i="71"/>
  <c r="N54" i="50"/>
  <c r="N54" i="145"/>
  <c r="N54" i="102"/>
  <c r="N54" i="63"/>
  <c r="N54" i="69"/>
  <c r="N54" i="149"/>
  <c r="N183" i="55"/>
  <c r="N183" i="89"/>
  <c r="N183" i="69"/>
  <c r="N183" i="135"/>
  <c r="N183" i="167"/>
  <c r="N161" i="32"/>
  <c r="O161" i="32"/>
  <c r="N29" i="90"/>
  <c r="N29" i="49"/>
  <c r="N29" i="111"/>
  <c r="N29" i="79"/>
  <c r="N29" i="45"/>
  <c r="N29" i="158"/>
  <c r="N29" i="46"/>
  <c r="N29" i="156"/>
  <c r="N29" i="72"/>
  <c r="N29" i="172"/>
  <c r="N29" i="24"/>
  <c r="N29" i="84"/>
  <c r="N161" i="94"/>
  <c r="O161" i="94"/>
  <c r="N197" i="27"/>
  <c r="N197" i="92"/>
  <c r="N181" i="64"/>
  <c r="N181" i="16"/>
  <c r="N181" i="49"/>
  <c r="N181" i="176"/>
  <c r="N181" i="135"/>
  <c r="N181" i="175"/>
  <c r="N181" i="87"/>
  <c r="N181" i="20"/>
  <c r="N181" i="89"/>
  <c r="N181" i="65"/>
  <c r="N181" i="46"/>
  <c r="N181" i="136"/>
  <c r="N181" i="42"/>
  <c r="N181" i="174"/>
  <c r="N181" i="86"/>
  <c r="N181" i="119"/>
  <c r="N181" i="145"/>
  <c r="N181" i="178"/>
  <c r="N181" i="50"/>
  <c r="N181" i="142"/>
  <c r="N181" i="25"/>
  <c r="N181" i="79"/>
  <c r="N181" i="39"/>
  <c r="N181" i="118"/>
  <c r="N181" i="32"/>
  <c r="N181" i="155"/>
  <c r="N181" i="60"/>
  <c r="N181" i="143"/>
  <c r="N181" i="38"/>
  <c r="N181" i="159"/>
  <c r="N181" i="31"/>
  <c r="N181" i="104"/>
  <c r="N181" i="71"/>
  <c r="N181" i="27"/>
  <c r="N181" i="72"/>
  <c r="N181" i="165"/>
  <c r="N181" i="62"/>
  <c r="N181" i="57"/>
  <c r="N181" i="68"/>
  <c r="N181" i="177"/>
  <c r="N181" i="113"/>
  <c r="N181" i="167"/>
  <c r="N188" i="63"/>
  <c r="N188" i="90"/>
  <c r="N181" i="47"/>
  <c r="N181" i="54"/>
  <c r="N36" i="14"/>
  <c r="N36" i="111"/>
  <c r="N54" i="32"/>
  <c r="N54" i="135"/>
  <c r="N183" i="164"/>
  <c r="N183" i="156"/>
  <c r="N177" i="102"/>
  <c r="N177" i="20"/>
  <c r="N177" i="156"/>
  <c r="N161" i="157"/>
  <c r="O161" i="157"/>
  <c r="N161" i="178"/>
  <c r="O161" i="178"/>
  <c r="N161" i="60"/>
  <c r="O161" i="60"/>
  <c r="N161" i="79"/>
  <c r="O161" i="79"/>
  <c r="N161" i="150"/>
  <c r="O161" i="150"/>
  <c r="N161" i="1"/>
  <c r="O161" i="1"/>
  <c r="N161" i="165"/>
  <c r="O161" i="165"/>
  <c r="N161" i="142"/>
  <c r="O161" i="142"/>
  <c r="N161" i="145"/>
  <c r="O161" i="145"/>
  <c r="N161" i="50"/>
  <c r="O161" i="50"/>
  <c r="N161" i="133"/>
  <c r="O161" i="133"/>
  <c r="N161" i="62"/>
  <c r="O161" i="62"/>
  <c r="N161" i="95"/>
  <c r="O161" i="95"/>
  <c r="N161" i="104"/>
  <c r="O161" i="104"/>
  <c r="N161" i="71"/>
  <c r="O161" i="71"/>
  <c r="N161" i="155"/>
  <c r="O161" i="155"/>
  <c r="N161" i="103"/>
  <c r="O161" i="103"/>
  <c r="N161" i="69"/>
  <c r="O161" i="69"/>
  <c r="N161" i="87"/>
  <c r="O161" i="87"/>
  <c r="N161" i="113"/>
  <c r="O161" i="113"/>
  <c r="N161" i="63"/>
  <c r="O161" i="63"/>
  <c r="N161" i="120"/>
  <c r="O161" i="120"/>
  <c r="N161" i="20"/>
  <c r="O161" i="20"/>
  <c r="N161" i="86"/>
  <c r="O161" i="86"/>
  <c r="N161" i="156"/>
  <c r="O161" i="156"/>
  <c r="N161" i="25"/>
  <c r="O161" i="25"/>
  <c r="N161" i="167"/>
  <c r="O161" i="167"/>
  <c r="N161" i="175"/>
  <c r="O161" i="175"/>
  <c r="N161" i="65"/>
  <c r="O161" i="65"/>
  <c r="N161" i="172"/>
  <c r="O161" i="172"/>
  <c r="N161" i="102"/>
  <c r="O161" i="102"/>
  <c r="N161" i="89"/>
  <c r="O161" i="89"/>
  <c r="N161" i="66"/>
  <c r="O161" i="66"/>
  <c r="N161" i="84"/>
  <c r="O161" i="84"/>
  <c r="N161" i="92"/>
  <c r="O161" i="92"/>
  <c r="N161" i="42"/>
  <c r="O161" i="42"/>
  <c r="N161" i="21"/>
  <c r="O161" i="21"/>
  <c r="N161" i="119"/>
  <c r="O161" i="119"/>
  <c r="N161" i="111"/>
  <c r="O161" i="111"/>
  <c r="N161" i="143"/>
  <c r="O161" i="143"/>
  <c r="N188" i="174"/>
  <c r="N188" i="155"/>
  <c r="N188" i="165"/>
  <c r="N161" i="47"/>
  <c r="O161" i="47"/>
  <c r="N137" i="64"/>
  <c r="N146" i="103"/>
  <c r="N188" i="33"/>
  <c r="N188" i="57"/>
  <c r="N188" i="47"/>
  <c r="N188" i="177"/>
  <c r="N188" i="43"/>
  <c r="N161" i="118"/>
  <c r="O161" i="118"/>
  <c r="N181" i="43"/>
  <c r="N181" i="103"/>
  <c r="N181" i="69"/>
  <c r="N181" i="149"/>
  <c r="N181" i="150"/>
  <c r="N181" i="111"/>
  <c r="N36" i="15"/>
  <c r="N36" i="92"/>
  <c r="N36" i="10"/>
  <c r="N36" i="156"/>
  <c r="N71" i="87"/>
  <c r="N54" i="165"/>
  <c r="N54" i="118"/>
  <c r="N54" i="39"/>
  <c r="N54" i="86"/>
  <c r="N183" i="145"/>
  <c r="N183" i="150"/>
  <c r="N183" i="103"/>
  <c r="N183" i="33"/>
  <c r="N183" i="37"/>
  <c r="N46" i="15"/>
  <c r="N161" i="164"/>
  <c r="O161" i="164"/>
  <c r="N161" i="19"/>
  <c r="O161" i="19"/>
  <c r="N161" i="38"/>
  <c r="O161" i="38"/>
  <c r="N197" i="95"/>
  <c r="N197" i="89"/>
  <c r="N54" i="60"/>
  <c r="N54" i="25"/>
  <c r="N54" i="156"/>
  <c r="N54" i="85"/>
  <c r="N54" i="83"/>
  <c r="N54" i="66"/>
  <c r="N54" i="94"/>
  <c r="N54" i="158"/>
  <c r="N54" i="47"/>
  <c r="N54" i="16"/>
  <c r="N54" i="53"/>
  <c r="N54" i="38"/>
  <c r="N54" i="87"/>
  <c r="N54" i="21"/>
  <c r="N54" i="113"/>
  <c r="N54" i="72"/>
  <c r="N54" i="150"/>
  <c r="N54" i="141"/>
  <c r="N54" i="175"/>
  <c r="N54" i="37"/>
  <c r="N54" i="174"/>
  <c r="N54" i="84"/>
  <c r="N54" i="98"/>
  <c r="N54" i="19"/>
  <c r="N54" i="155"/>
  <c r="N54" i="136"/>
  <c r="N54" i="33"/>
  <c r="N54" i="57"/>
  <c r="N54" i="43"/>
  <c r="N54" i="54"/>
  <c r="N54" i="172"/>
  <c r="N54" i="20"/>
  <c r="N54" i="176"/>
  <c r="N54" i="1"/>
  <c r="N54" i="68"/>
  <c r="N54" i="15"/>
  <c r="N54" i="157"/>
  <c r="N54" i="119"/>
  <c r="N54" i="42"/>
  <c r="N54" i="90"/>
  <c r="N54" i="28"/>
  <c r="N54" i="79"/>
  <c r="N36" i="68"/>
  <c r="N36" i="175"/>
  <c r="N36" i="19"/>
  <c r="N36" i="64"/>
  <c r="N36" i="106"/>
  <c r="N36" i="172"/>
  <c r="N36" i="135"/>
  <c r="N36" i="152"/>
  <c r="N36" i="49"/>
  <c r="N36" i="158"/>
  <c r="N36" i="141"/>
  <c r="N36" i="66"/>
  <c r="N36" i="157"/>
  <c r="N36" i="58"/>
  <c r="N36" i="37"/>
  <c r="N36" i="86"/>
  <c r="N36" i="28"/>
  <c r="N36" i="55"/>
  <c r="N36" i="89"/>
  <c r="N36" i="94"/>
  <c r="N36" i="95"/>
  <c r="N36" i="149"/>
  <c r="N36" i="43"/>
  <c r="N36" i="83"/>
  <c r="N36" i="118"/>
  <c r="N36" i="20"/>
  <c r="N36" i="113"/>
  <c r="N36" i="62"/>
  <c r="N36" i="174"/>
  <c r="N36" i="84"/>
  <c r="N36" i="176"/>
  <c r="N36" i="145"/>
  <c r="N36" i="178"/>
  <c r="N36" i="32"/>
  <c r="N36" i="1"/>
  <c r="N36" i="143"/>
  <c r="N36" i="120"/>
  <c r="N36" i="142"/>
  <c r="N36" i="167"/>
  <c r="N36" i="136"/>
  <c r="N36" i="150"/>
  <c r="N36" i="39"/>
  <c r="N36" i="57"/>
  <c r="N188" i="62"/>
  <c r="N188" i="25"/>
  <c r="N188" i="143"/>
  <c r="N181" i="92"/>
  <c r="N181" i="28"/>
  <c r="N36" i="31"/>
  <c r="N36" i="133"/>
  <c r="N54" i="103"/>
  <c r="N54" i="64"/>
  <c r="N183" i="113"/>
  <c r="N146" i="104"/>
  <c r="N188" i="152"/>
  <c r="N188" i="24"/>
  <c r="N146" i="19"/>
  <c r="N146" i="1"/>
  <c r="N188" i="106"/>
  <c r="N188" i="58"/>
  <c r="N188" i="150"/>
  <c r="N188" i="46"/>
  <c r="N188" i="176"/>
  <c r="N161" i="68"/>
  <c r="O161" i="68"/>
  <c r="N181" i="1"/>
  <c r="N181" i="152"/>
  <c r="N181" i="102"/>
  <c r="N181" i="37"/>
  <c r="N181" i="63"/>
  <c r="N181" i="15"/>
  <c r="N36" i="87"/>
  <c r="N36" i="47"/>
  <c r="N36" i="90"/>
  <c r="N36" i="164"/>
  <c r="N36" i="65"/>
  <c r="N71" i="14"/>
  <c r="N54" i="92"/>
  <c r="N54" i="49"/>
  <c r="N54" i="27"/>
  <c r="N54" i="104"/>
  <c r="N54" i="152"/>
  <c r="N183" i="133"/>
  <c r="N183" i="172"/>
  <c r="N183" i="21"/>
  <c r="N183" i="46"/>
  <c r="N183" i="28"/>
  <c r="N46" i="20"/>
  <c r="N161" i="54"/>
  <c r="O161" i="54"/>
  <c r="N161" i="15"/>
  <c r="O161" i="15"/>
  <c r="N161" i="141"/>
  <c r="O161" i="141"/>
  <c r="N197" i="49"/>
  <c r="N197" i="118"/>
  <c r="N146" i="57"/>
  <c r="N146" i="167"/>
  <c r="N146" i="176"/>
  <c r="N71" i="32"/>
  <c r="N71" i="111"/>
  <c r="N71" i="94"/>
  <c r="N71" i="39"/>
  <c r="N146" i="62"/>
  <c r="N146" i="165"/>
  <c r="N146" i="178"/>
  <c r="N71" i="175"/>
  <c r="N71" i="50"/>
  <c r="N71" i="31"/>
  <c r="N39" i="119"/>
  <c r="N39" i="15"/>
  <c r="N142" i="87"/>
  <c r="N142" i="94"/>
  <c r="N159" i="39"/>
  <c r="N159" i="167"/>
  <c r="N146" i="25"/>
  <c r="N146" i="143"/>
  <c r="N146" i="83"/>
  <c r="N146" i="21"/>
  <c r="N146" i="149"/>
  <c r="N146" i="10"/>
  <c r="N146" i="133"/>
  <c r="N146" i="119"/>
  <c r="N146" i="20"/>
  <c r="N146" i="69"/>
  <c r="N137" i="136"/>
  <c r="N71" i="37"/>
  <c r="N71" i="63"/>
  <c r="N71" i="47"/>
  <c r="N71" i="167"/>
  <c r="N71" i="65"/>
  <c r="N71" i="83"/>
  <c r="N71" i="104"/>
  <c r="N71" i="57"/>
  <c r="N71" i="90"/>
  <c r="N71" i="102"/>
  <c r="N71" i="43"/>
  <c r="N39" i="172"/>
  <c r="N39" i="135"/>
  <c r="N39" i="28"/>
  <c r="N39" i="145"/>
  <c r="N39" i="85"/>
  <c r="N39" i="104"/>
  <c r="N39" i="136"/>
  <c r="N39" i="158"/>
  <c r="N39" i="66"/>
  <c r="N39" i="25"/>
  <c r="N147" i="155"/>
  <c r="N147" i="111"/>
  <c r="N147" i="62"/>
  <c r="N147" i="164"/>
  <c r="N52" i="136"/>
  <c r="N52" i="150"/>
  <c r="N52" i="25"/>
  <c r="N52" i="10"/>
  <c r="N177" i="95"/>
  <c r="N142" i="102"/>
  <c r="N142" i="66"/>
  <c r="N142" i="104"/>
  <c r="N142" i="62"/>
  <c r="N142" i="98"/>
  <c r="N142" i="46"/>
  <c r="N142" i="64"/>
  <c r="N142" i="118"/>
  <c r="N142" i="119"/>
  <c r="N142" i="33"/>
  <c r="N142" i="57"/>
  <c r="N159" i="16"/>
  <c r="N159" i="145"/>
  <c r="N159" i="46"/>
  <c r="N159" i="135"/>
  <c r="N159" i="72"/>
  <c r="N159" i="62"/>
  <c r="N159" i="21"/>
  <c r="N159" i="45"/>
  <c r="N159" i="104"/>
  <c r="N159" i="152"/>
  <c r="N159" i="32"/>
  <c r="N46" i="135"/>
  <c r="N161" i="176"/>
  <c r="O161" i="176"/>
  <c r="N161" i="158"/>
  <c r="O161" i="158"/>
  <c r="N161" i="106"/>
  <c r="O161" i="106"/>
  <c r="N161" i="83"/>
  <c r="O161" i="83"/>
  <c r="N161" i="45"/>
  <c r="O161" i="45"/>
  <c r="N197" i="113"/>
  <c r="N197" i="164"/>
  <c r="N197" i="150"/>
  <c r="N197" i="178"/>
  <c r="N197" i="174"/>
  <c r="N197" i="20"/>
  <c r="N146" i="152"/>
  <c r="N146" i="55"/>
  <c r="N146" i="39"/>
  <c r="N71" i="120"/>
  <c r="N71" i="49"/>
  <c r="N146" i="94"/>
  <c r="N146" i="79"/>
  <c r="N71" i="10"/>
  <c r="N71" i="55"/>
  <c r="N71" i="133"/>
  <c r="N39" i="178"/>
  <c r="N39" i="68"/>
  <c r="N39" i="20"/>
  <c r="N142" i="58"/>
  <c r="N142" i="84"/>
  <c r="N142" i="89"/>
  <c r="N159" i="66"/>
  <c r="N146" i="92"/>
  <c r="N146" i="118"/>
  <c r="N146" i="49"/>
  <c r="N146" i="142"/>
  <c r="N71" i="119"/>
  <c r="N71" i="1"/>
  <c r="N71" i="68"/>
  <c r="N39" i="90"/>
  <c r="N39" i="159"/>
  <c r="N39" i="175"/>
  <c r="N142" i="47"/>
  <c r="N142" i="103"/>
  <c r="N142" i="10"/>
  <c r="N159" i="50"/>
  <c r="N159" i="58"/>
  <c r="N159" i="150"/>
  <c r="N46" i="28"/>
  <c r="N146" i="42"/>
  <c r="N146" i="158"/>
  <c r="N146" i="71"/>
  <c r="N146" i="24"/>
  <c r="N146" i="53"/>
  <c r="N146" i="164"/>
  <c r="N146" i="175"/>
  <c r="N146" i="14"/>
  <c r="N146" i="106"/>
  <c r="N146" i="65"/>
  <c r="N137" i="38"/>
  <c r="N137" i="135"/>
  <c r="N71" i="174"/>
  <c r="N71" i="157"/>
  <c r="N71" i="118"/>
  <c r="N71" i="155"/>
  <c r="N71" i="64"/>
  <c r="N71" i="142"/>
  <c r="N71" i="27"/>
  <c r="N71" i="89"/>
  <c r="N71" i="54"/>
  <c r="N71" i="85"/>
  <c r="N39" i="64"/>
  <c r="N39" i="98"/>
  <c r="N39" i="45"/>
  <c r="N39" i="16"/>
  <c r="N39" i="174"/>
  <c r="N39" i="46"/>
  <c r="N39" i="53"/>
  <c r="N39" i="50"/>
  <c r="N39" i="37"/>
  <c r="N39" i="157"/>
  <c r="N39" i="95"/>
  <c r="N147" i="178"/>
  <c r="N147" i="66"/>
  <c r="N147" i="159"/>
  <c r="N52" i="84"/>
  <c r="N52" i="33"/>
  <c r="N52" i="176"/>
  <c r="N52" i="83"/>
  <c r="N177" i="45"/>
  <c r="N177" i="31"/>
  <c r="N142" i="24"/>
  <c r="N142" i="79"/>
  <c r="N142" i="21"/>
  <c r="N142" i="135"/>
  <c r="N142" i="45"/>
  <c r="N142" i="85"/>
  <c r="N142" i="27"/>
  <c r="N142" i="20"/>
  <c r="N142" i="113"/>
  <c r="N142" i="15"/>
  <c r="N142" i="172"/>
  <c r="N159" i="120"/>
  <c r="N159" i="55"/>
  <c r="N159" i="43"/>
  <c r="N159" i="33"/>
  <c r="N159" i="142"/>
  <c r="N159" i="178"/>
  <c r="N159" i="42"/>
  <c r="N159" i="141"/>
  <c r="N159" i="31"/>
  <c r="N159" i="111"/>
  <c r="N159" i="119"/>
  <c r="N46" i="159"/>
  <c r="N146" i="84"/>
  <c r="N146" i="87"/>
  <c r="N71" i="141"/>
  <c r="N71" i="172"/>
  <c r="N71" i="106"/>
  <c r="N146" i="27"/>
  <c r="N146" i="54"/>
  <c r="N146" i="150"/>
  <c r="N71" i="84"/>
  <c r="N71" i="28"/>
  <c r="N39" i="79"/>
  <c r="N39" i="38"/>
  <c r="N142" i="90"/>
  <c r="N142" i="141"/>
  <c r="N159" i="165"/>
  <c r="N159" i="136"/>
  <c r="N159" i="25"/>
  <c r="N146" i="145"/>
  <c r="N146" i="37"/>
  <c r="N146" i="172"/>
  <c r="N71" i="92"/>
  <c r="N71" i="86"/>
  <c r="N71" i="113"/>
  <c r="N71" i="60"/>
  <c r="N39" i="55"/>
  <c r="N39" i="21"/>
  <c r="N39" i="58"/>
  <c r="N142" i="133"/>
  <c r="N142" i="106"/>
  <c r="N142" i="1"/>
  <c r="N159" i="149"/>
  <c r="N159" i="28"/>
  <c r="N159" i="63"/>
  <c r="N146" i="63"/>
  <c r="N146" i="157"/>
  <c r="N146" i="45"/>
  <c r="N146" i="28"/>
  <c r="N146" i="60"/>
  <c r="N146" i="136"/>
  <c r="N146" i="38"/>
  <c r="N146" i="58"/>
  <c r="N146" i="50"/>
  <c r="N146" i="68"/>
  <c r="N146" i="141"/>
  <c r="N137" i="157"/>
  <c r="N137" i="33"/>
  <c r="N71" i="136"/>
  <c r="N71" i="103"/>
  <c r="N71" i="19"/>
  <c r="N71" i="53"/>
  <c r="N71" i="152"/>
  <c r="N71" i="45"/>
  <c r="N71" i="176"/>
  <c r="N71" i="164"/>
  <c r="N71" i="24"/>
  <c r="N71" i="38"/>
  <c r="N39" i="10"/>
  <c r="N39" i="156"/>
  <c r="N39" i="27"/>
  <c r="N39" i="31"/>
  <c r="N39" i="120"/>
  <c r="N39" i="149"/>
  <c r="N39" i="24"/>
  <c r="N39" i="19"/>
  <c r="N39" i="43"/>
  <c r="N39" i="164"/>
  <c r="N39" i="14"/>
  <c r="N147" i="98"/>
  <c r="N147" i="58"/>
  <c r="N147" i="175"/>
  <c r="N52" i="19"/>
  <c r="N52" i="55"/>
  <c r="N52" i="66"/>
  <c r="N52" i="143"/>
  <c r="N177" i="63"/>
  <c r="N177" i="178"/>
  <c r="N142" i="55"/>
  <c r="N142" i="95"/>
  <c r="N142" i="28"/>
  <c r="N142" i="65"/>
  <c r="N142" i="120"/>
  <c r="N142" i="32"/>
  <c r="N142" i="60"/>
  <c r="N142" i="83"/>
  <c r="N142" i="42"/>
  <c r="N142" i="37"/>
  <c r="N159" i="174"/>
  <c r="N159" i="20"/>
  <c r="N159" i="157"/>
  <c r="N159" i="84"/>
  <c r="N159" i="68"/>
  <c r="N159" i="38"/>
  <c r="N159" i="47"/>
  <c r="N159" i="87"/>
  <c r="N159" i="89"/>
  <c r="N159" i="106"/>
  <c r="N159" i="159"/>
  <c r="N46" i="58"/>
  <c r="N146" i="120"/>
  <c r="N146" i="156"/>
  <c r="N146" i="64"/>
  <c r="N71" i="150"/>
  <c r="N71" i="62"/>
  <c r="N146" i="89"/>
  <c r="N146" i="86"/>
  <c r="N146" i="32"/>
  <c r="N71" i="16"/>
  <c r="N71" i="145"/>
  <c r="N71" i="156"/>
  <c r="N39" i="65"/>
  <c r="N39" i="54"/>
  <c r="N39" i="83"/>
  <c r="N142" i="16"/>
  <c r="N142" i="142"/>
  <c r="N142" i="25"/>
  <c r="N142" i="152"/>
  <c r="N159" i="14"/>
  <c r="N159" i="10"/>
  <c r="N159" i="102"/>
  <c r="N159" i="60"/>
  <c r="N146" i="98"/>
  <c r="N146" i="95"/>
  <c r="N146" i="113"/>
  <c r="N71" i="165"/>
  <c r="N71" i="15"/>
  <c r="N71" i="177"/>
  <c r="N71" i="159"/>
  <c r="N39" i="39"/>
  <c r="N39" i="42"/>
  <c r="N39" i="106"/>
  <c r="N39" i="32"/>
  <c r="N142" i="53"/>
  <c r="N142" i="19"/>
  <c r="N142" i="14"/>
  <c r="N142" i="54"/>
  <c r="N142" i="157"/>
  <c r="N159" i="24"/>
  <c r="N159" i="98"/>
  <c r="N159" i="143"/>
  <c r="N159" i="19"/>
  <c r="N159" i="69"/>
  <c r="N146" i="15"/>
  <c r="N146" i="66"/>
  <c r="N146" i="102"/>
  <c r="N146" i="16"/>
  <c r="N146" i="33"/>
  <c r="N146" i="159"/>
  <c r="N146" i="111"/>
  <c r="N146" i="43"/>
  <c r="N146" i="177"/>
  <c r="N146" i="46"/>
  <c r="N137" i="175"/>
  <c r="N71" i="46"/>
  <c r="N71" i="69"/>
  <c r="N71" i="143"/>
  <c r="N71" i="72"/>
  <c r="N71" i="42"/>
  <c r="N71" i="20"/>
  <c r="N71" i="95"/>
  <c r="N71" i="178"/>
  <c r="N71" i="58"/>
  <c r="N39" i="103"/>
  <c r="N39" i="177"/>
  <c r="N39" i="141"/>
  <c r="N39" i="33"/>
  <c r="N39" i="142"/>
  <c r="N39" i="176"/>
  <c r="N39" i="84"/>
  <c r="N39" i="87"/>
  <c r="N39" i="72"/>
  <c r="N39" i="102"/>
  <c r="N147" i="86"/>
  <c r="N147" i="1"/>
  <c r="N147" i="45"/>
  <c r="N147" i="89"/>
  <c r="N52" i="45"/>
  <c r="N52" i="62"/>
  <c r="N52" i="178"/>
  <c r="N177" i="57"/>
  <c r="N142" i="177"/>
  <c r="N142" i="72"/>
  <c r="N142" i="150"/>
  <c r="N142" i="176"/>
  <c r="N142" i="156"/>
  <c r="N142" i="145"/>
  <c r="N142" i="63"/>
  <c r="N142" i="39"/>
  <c r="N142" i="92"/>
  <c r="N159" i="86"/>
  <c r="N159" i="1"/>
  <c r="N159" i="158"/>
  <c r="N159" i="27"/>
  <c r="N159" i="94"/>
  <c r="N159" i="64"/>
  <c r="N159" i="175"/>
  <c r="N159" i="177"/>
  <c r="N159" i="155"/>
  <c r="N159" i="49"/>
  <c r="N46" i="85"/>
  <c r="N161" i="152"/>
  <c r="O161" i="152"/>
  <c r="N161" i="85"/>
  <c r="O161" i="85"/>
  <c r="N161" i="46"/>
  <c r="O161" i="46"/>
  <c r="N197" i="54"/>
  <c r="N197" i="152"/>
  <c r="N197" i="25"/>
  <c r="N197" i="68"/>
  <c r="N197" i="172"/>
  <c r="N161" i="58"/>
  <c r="O161" i="58"/>
  <c r="N197" i="32"/>
  <c r="N197" i="120"/>
  <c r="N197" i="57"/>
  <c r="N197" i="149"/>
  <c r="N197" i="103"/>
  <c r="N197" i="85"/>
  <c r="N197" i="1"/>
  <c r="N197" i="45"/>
  <c r="N197" i="47"/>
  <c r="N197" i="102"/>
  <c r="N197" i="158"/>
  <c r="N197" i="69"/>
  <c r="N197" i="28"/>
  <c r="N197" i="142"/>
  <c r="N197" i="58"/>
  <c r="N197" i="133"/>
  <c r="N197" i="176"/>
  <c r="N197" i="86"/>
  <c r="N197" i="143"/>
  <c r="N197" i="19"/>
  <c r="N197" i="104"/>
  <c r="N197" i="90"/>
  <c r="N197" i="156"/>
  <c r="N197" i="63"/>
  <c r="N197" i="62"/>
  <c r="N197" i="46"/>
  <c r="N197" i="159"/>
  <c r="N197" i="42"/>
  <c r="N197" i="177"/>
  <c r="N197" i="141"/>
  <c r="N197" i="106"/>
  <c r="N197" i="98"/>
  <c r="N197" i="94"/>
  <c r="N197" i="79"/>
  <c r="N197" i="31"/>
  <c r="N197" i="165"/>
  <c r="N197" i="83"/>
  <c r="N197" i="33"/>
  <c r="N197" i="38"/>
  <c r="N197" i="136"/>
  <c r="N197" i="135"/>
  <c r="N197" i="60"/>
  <c r="N137" i="98"/>
  <c r="N137" i="177"/>
  <c r="N137" i="65"/>
  <c r="N137" i="150"/>
  <c r="N177" i="164"/>
  <c r="N177" i="167"/>
  <c r="N46" i="1"/>
  <c r="N46" i="142"/>
  <c r="N46" i="57"/>
  <c r="N137" i="37"/>
  <c r="N137" i="53"/>
  <c r="N29" i="143"/>
  <c r="N29" i="68"/>
  <c r="N29" i="25"/>
  <c r="N177" i="90"/>
  <c r="N177" i="152"/>
  <c r="N46" i="157"/>
  <c r="N46" i="95"/>
  <c r="N46" i="155"/>
  <c r="H76" i="97"/>
  <c r="H118" i="97"/>
  <c r="H153" i="97"/>
  <c r="H52" i="97"/>
  <c r="H102" i="97"/>
  <c r="H140" i="97"/>
  <c r="H141" i="97"/>
  <c r="H40" i="97"/>
  <c r="H94" i="97"/>
  <c r="H62" i="97"/>
  <c r="H95" i="97"/>
  <c r="H30" i="97"/>
  <c r="H101" i="97"/>
  <c r="H173" i="97"/>
  <c r="H73" i="97"/>
  <c r="H134" i="97"/>
  <c r="M15" i="97"/>
  <c r="H100" i="97"/>
  <c r="H185" i="97"/>
  <c r="H50" i="97"/>
  <c r="H155" i="97"/>
  <c r="H59" i="97"/>
  <c r="H152" i="97"/>
  <c r="H67" i="97"/>
  <c r="H183" i="97"/>
  <c r="H68" i="97"/>
  <c r="H133" i="97"/>
  <c r="H172" i="97"/>
  <c r="H127" i="97"/>
  <c r="H77" i="97"/>
  <c r="H85" i="97"/>
  <c r="H48" i="97"/>
  <c r="H175" i="97"/>
  <c r="H44" i="97"/>
  <c r="H204" i="97"/>
  <c r="H154" i="97"/>
  <c r="H63" i="97"/>
  <c r="J211" i="97"/>
  <c r="H206" i="97"/>
  <c r="H211" i="97"/>
  <c r="H160" i="97"/>
  <c r="H196" i="97"/>
  <c r="H182" i="97"/>
  <c r="H200" i="97"/>
  <c r="H120" i="97"/>
  <c r="H170" i="97"/>
  <c r="H171" i="97"/>
  <c r="H198" i="97"/>
  <c r="H36" i="97"/>
  <c r="H80" i="97"/>
  <c r="H108" i="97"/>
  <c r="H159" i="97"/>
  <c r="H184" i="97"/>
  <c r="H178" i="97"/>
  <c r="H203" i="97"/>
  <c r="H181" i="97"/>
  <c r="H81" i="97"/>
  <c r="H138" i="97"/>
  <c r="H187" i="97"/>
  <c r="H57" i="97"/>
  <c r="H174" i="97"/>
  <c r="H122" i="97"/>
  <c r="H126" i="97"/>
  <c r="H136" i="97"/>
  <c r="H53" i="97"/>
  <c r="H169" i="97"/>
  <c r="H149" i="97"/>
  <c r="H51" i="97"/>
  <c r="H49" i="97"/>
  <c r="H177" i="97"/>
  <c r="H144" i="97"/>
  <c r="H71" i="97"/>
  <c r="H64" i="97"/>
  <c r="H70" i="97"/>
  <c r="H192" i="97"/>
  <c r="H31" i="97"/>
  <c r="H129" i="97"/>
  <c r="H179" i="97"/>
  <c r="H61" i="97"/>
  <c r="H167" i="97"/>
  <c r="H158" i="97"/>
  <c r="H54" i="97"/>
  <c r="H207" i="97"/>
  <c r="H110" i="97"/>
  <c r="H189" i="97"/>
  <c r="H45" i="97"/>
  <c r="H46" i="97"/>
  <c r="H103" i="97"/>
  <c r="H78" i="97"/>
  <c r="H99" i="97"/>
  <c r="H33" i="97"/>
  <c r="H60" i="97"/>
  <c r="H111" i="97"/>
  <c r="H88" i="97"/>
  <c r="H105" i="97"/>
  <c r="H180" i="97"/>
  <c r="H128" i="97"/>
  <c r="H205" i="97"/>
  <c r="H188" i="97"/>
  <c r="H75" i="97"/>
  <c r="H38" i="97"/>
  <c r="H197" i="97"/>
  <c r="H29" i="97"/>
  <c r="H96" i="97"/>
  <c r="H195" i="97"/>
  <c r="H145" i="97"/>
  <c r="H55" i="97"/>
  <c r="H146" i="97"/>
  <c r="H139" i="97"/>
  <c r="H74" i="97"/>
  <c r="H164" i="97"/>
  <c r="H132" i="97"/>
  <c r="H209" i="97"/>
  <c r="H163" i="97"/>
  <c r="H130" i="97"/>
  <c r="H90" i="97"/>
  <c r="H79" i="97"/>
  <c r="H156" i="97"/>
  <c r="H191" i="97"/>
  <c r="H135" i="97"/>
  <c r="H37" i="97"/>
  <c r="H143" i="97"/>
  <c r="H92" i="97"/>
  <c r="H93" i="97"/>
  <c r="H176" i="97"/>
  <c r="H35" i="97"/>
  <c r="H150" i="97"/>
  <c r="H104" i="97"/>
  <c r="H34" i="97"/>
  <c r="H151" i="97"/>
  <c r="H208" i="97"/>
  <c r="O211" i="97"/>
  <c r="H114" i="97"/>
  <c r="H193" i="97"/>
  <c r="H190" i="97"/>
  <c r="H58" i="97"/>
  <c r="H47" i="97"/>
  <c r="H28" i="97"/>
  <c r="H117" i="97"/>
  <c r="H161" i="97"/>
  <c r="H39" i="97"/>
  <c r="H43" i="97"/>
  <c r="H56" i="97"/>
  <c r="H86" i="97"/>
  <c r="H87" i="97"/>
  <c r="H91" i="97"/>
  <c r="H42" i="97"/>
  <c r="H121" i="97"/>
  <c r="H72" i="97"/>
  <c r="H199" i="97"/>
  <c r="H69" i="97"/>
  <c r="H168" i="97"/>
  <c r="H109" i="97"/>
  <c r="H32" i="97"/>
  <c r="H113" i="97"/>
  <c r="H89" i="97"/>
  <c r="H112" i="97"/>
  <c r="H162" i="97"/>
  <c r="H186" i="97"/>
  <c r="H119" i="97"/>
  <c r="H41" i="97"/>
  <c r="H194" i="97"/>
  <c r="H148" i="97"/>
  <c r="N137" i="106"/>
  <c r="N137" i="118"/>
  <c r="N137" i="69"/>
  <c r="N137" i="167"/>
  <c r="N137" i="159"/>
  <c r="N137" i="21"/>
  <c r="N137" i="142"/>
  <c r="N137" i="143"/>
  <c r="N137" i="94"/>
  <c r="N137" i="102"/>
  <c r="N147" i="95"/>
  <c r="N147" i="141"/>
  <c r="N147" i="65"/>
  <c r="N147" i="46"/>
  <c r="N147" i="49"/>
  <c r="N147" i="32"/>
  <c r="N147" i="31"/>
  <c r="N147" i="165"/>
  <c r="N147" i="24"/>
  <c r="N147" i="14"/>
  <c r="N147" i="72"/>
  <c r="N29" i="19"/>
  <c r="N29" i="16"/>
  <c r="N29" i="71"/>
  <c r="N29" i="119"/>
  <c r="N29" i="27"/>
  <c r="N29" i="65"/>
  <c r="N29" i="62"/>
  <c r="N29" i="14"/>
  <c r="N29" i="157"/>
  <c r="N29" i="104"/>
  <c r="N52" i="39"/>
  <c r="N52" i="157"/>
  <c r="N52" i="159"/>
  <c r="N52" i="20"/>
  <c r="N52" i="104"/>
  <c r="N52" i="86"/>
  <c r="N52" i="16"/>
  <c r="N52" i="156"/>
  <c r="N52" i="106"/>
  <c r="N52" i="158"/>
  <c r="N52" i="53"/>
  <c r="N177" i="143"/>
  <c r="N177" i="54"/>
  <c r="N177" i="177"/>
  <c r="N177" i="58"/>
  <c r="N177" i="79"/>
  <c r="N177" i="83"/>
  <c r="N177" i="141"/>
  <c r="N177" i="28"/>
  <c r="N177" i="149"/>
  <c r="N177" i="94"/>
  <c r="N46" i="68"/>
  <c r="N46" i="71"/>
  <c r="N46" i="164"/>
  <c r="N46" i="177"/>
  <c r="N46" i="118"/>
  <c r="N46" i="176"/>
  <c r="N46" i="27"/>
  <c r="N46" i="158"/>
  <c r="N46" i="106"/>
  <c r="N46" i="14"/>
  <c r="N46" i="103"/>
  <c r="N137" i="79"/>
  <c r="N177" i="71"/>
  <c r="N177" i="86"/>
  <c r="N46" i="21"/>
  <c r="N137" i="172"/>
  <c r="N137" i="47"/>
  <c r="N137" i="86"/>
  <c r="N137" i="45"/>
  <c r="N137" i="83"/>
  <c r="N137" i="141"/>
  <c r="N137" i="16"/>
  <c r="N137" i="32"/>
  <c r="N137" i="72"/>
  <c r="N137" i="89"/>
  <c r="N137" i="46"/>
  <c r="N137" i="174"/>
  <c r="N147" i="94"/>
  <c r="N147" i="145"/>
  <c r="N147" i="92"/>
  <c r="N147" i="87"/>
  <c r="N147" i="143"/>
  <c r="N147" i="157"/>
  <c r="N147" i="102"/>
  <c r="N147" i="174"/>
  <c r="N147" i="25"/>
  <c r="N147" i="83"/>
  <c r="N147" i="53"/>
  <c r="N29" i="167"/>
  <c r="N29" i="92"/>
  <c r="N29" i="63"/>
  <c r="N29" i="50"/>
  <c r="N29" i="113"/>
  <c r="N29" i="177"/>
  <c r="N29" i="37"/>
  <c r="N29" i="178"/>
  <c r="N29" i="64"/>
  <c r="N29" i="95"/>
  <c r="N52" i="27"/>
  <c r="N52" i="89"/>
  <c r="N52" i="15"/>
  <c r="N52" i="145"/>
  <c r="N52" i="133"/>
  <c r="N52" i="14"/>
  <c r="N52" i="142"/>
  <c r="N52" i="164"/>
  <c r="N52" i="37"/>
  <c r="N52" i="32"/>
  <c r="N52" i="135"/>
  <c r="N177" i="39"/>
  <c r="N177" i="49"/>
  <c r="N177" i="145"/>
  <c r="N177" i="89"/>
  <c r="N177" i="47"/>
  <c r="N177" i="175"/>
  <c r="N177" i="10"/>
  <c r="N177" i="120"/>
  <c r="N177" i="16"/>
  <c r="N177" i="55"/>
  <c r="N177" i="38"/>
  <c r="N46" i="19"/>
  <c r="N46" i="136"/>
  <c r="N46" i="47"/>
  <c r="N46" i="72"/>
  <c r="N46" i="165"/>
  <c r="N46" i="178"/>
  <c r="N46" i="50"/>
  <c r="N46" i="149"/>
  <c r="N46" i="141"/>
  <c r="N46" i="174"/>
  <c r="N46" i="16"/>
  <c r="N137" i="113"/>
  <c r="N177" i="133"/>
  <c r="N177" i="42"/>
  <c r="N177" i="37"/>
  <c r="N46" i="54"/>
  <c r="N46" i="156"/>
  <c r="N46" i="66"/>
  <c r="N46" i="37"/>
  <c r="N137" i="87"/>
  <c r="N137" i="90"/>
  <c r="N29" i="155"/>
  <c r="N29" i="15"/>
  <c r="N29" i="33"/>
  <c r="N177" i="135"/>
  <c r="N177" i="32"/>
  <c r="N177" i="155"/>
  <c r="N46" i="172"/>
  <c r="N46" i="86"/>
  <c r="N46" i="31"/>
  <c r="N137" i="145"/>
  <c r="N137" i="1"/>
  <c r="N137" i="119"/>
  <c r="N137" i="165"/>
  <c r="N137" i="15"/>
  <c r="N137" i="176"/>
  <c r="N137" i="55"/>
  <c r="N137" i="120"/>
  <c r="N137" i="104"/>
  <c r="N137" i="149"/>
  <c r="N147" i="43"/>
  <c r="N147" i="68"/>
  <c r="N147" i="120"/>
  <c r="N147" i="104"/>
  <c r="N147" i="60"/>
  <c r="N147" i="177"/>
  <c r="N147" i="85"/>
  <c r="N147" i="47"/>
  <c r="N147" i="133"/>
  <c r="N147" i="39"/>
  <c r="N147" i="106"/>
  <c r="N29" i="31"/>
  <c r="N29" i="42"/>
  <c r="N29" i="58"/>
  <c r="N29" i="159"/>
  <c r="N29" i="10"/>
  <c r="N29" i="86"/>
  <c r="N29" i="135"/>
  <c r="N29" i="20"/>
  <c r="N29" i="103"/>
  <c r="N29" i="60"/>
  <c r="N29" i="150"/>
  <c r="N52" i="103"/>
  <c r="N52" i="118"/>
  <c r="N52" i="167"/>
  <c r="N52" i="174"/>
  <c r="N52" i="28"/>
  <c r="N52" i="172"/>
  <c r="N52" i="46"/>
  <c r="N52" i="155"/>
  <c r="N52" i="119"/>
  <c r="N52" i="165"/>
  <c r="N52" i="152"/>
  <c r="N177" i="87"/>
  <c r="N177" i="69"/>
  <c r="N177" i="84"/>
  <c r="N177" i="33"/>
  <c r="N177" i="104"/>
  <c r="N177" i="118"/>
  <c r="N177" i="68"/>
  <c r="N177" i="21"/>
  <c r="N177" i="66"/>
  <c r="N177" i="1"/>
  <c r="N177" i="103"/>
  <c r="N46" i="113"/>
  <c r="N46" i="145"/>
  <c r="N46" i="38"/>
  <c r="N46" i="46"/>
  <c r="N46" i="98"/>
  <c r="N46" i="43"/>
  <c r="N46" i="167"/>
  <c r="N46" i="49"/>
  <c r="N46" i="89"/>
  <c r="N46" i="133"/>
  <c r="N46" i="152"/>
  <c r="N137" i="20"/>
  <c r="N137" i="156"/>
  <c r="N177" i="27"/>
  <c r="N177" i="46"/>
  <c r="N46" i="92"/>
  <c r="N46" i="143"/>
  <c r="G241" i="97"/>
  <c r="N137" i="39"/>
  <c r="N137" i="49"/>
  <c r="N29" i="176"/>
  <c r="N177" i="72"/>
  <c r="N177" i="136"/>
  <c r="N177" i="165"/>
  <c r="N46" i="42"/>
  <c r="N137" i="28"/>
  <c r="N137" i="111"/>
  <c r="N137" i="58"/>
  <c r="N137" i="42"/>
  <c r="N137" i="152"/>
  <c r="N137" i="31"/>
  <c r="N137" i="19"/>
  <c r="N137" i="60"/>
  <c r="N137" i="10"/>
  <c r="N137" i="25"/>
  <c r="N137" i="84"/>
  <c r="N147" i="149"/>
  <c r="N147" i="28"/>
  <c r="N147" i="84"/>
  <c r="N147" i="150"/>
  <c r="N147" i="79"/>
  <c r="N147" i="21"/>
  <c r="N147" i="69"/>
  <c r="N147" i="10"/>
  <c r="N147" i="15"/>
  <c r="N147" i="71"/>
  <c r="N147" i="156"/>
  <c r="N29" i="43"/>
  <c r="N29" i="83"/>
  <c r="N29" i="66"/>
  <c r="N29" i="38"/>
  <c r="N29" i="106"/>
  <c r="N29" i="32"/>
  <c r="N29" i="57"/>
  <c r="N29" i="136"/>
  <c r="N29" i="28"/>
  <c r="N29" i="89"/>
  <c r="N29" i="141"/>
  <c r="N52" i="71"/>
  <c r="N52" i="54"/>
  <c r="N52" i="64"/>
  <c r="N52" i="141"/>
  <c r="N52" i="85"/>
  <c r="N52" i="72"/>
  <c r="N52" i="68"/>
  <c r="N52" i="175"/>
  <c r="N52" i="113"/>
  <c r="N52" i="149"/>
  <c r="N52" i="57"/>
  <c r="N177" i="25"/>
  <c r="N177" i="62"/>
  <c r="N177" i="158"/>
  <c r="N177" i="157"/>
  <c r="N177" i="60"/>
  <c r="N177" i="142"/>
  <c r="N177" i="92"/>
  <c r="N177" i="43"/>
  <c r="N177" i="65"/>
  <c r="N177" i="98"/>
  <c r="N177" i="106"/>
  <c r="N46" i="53"/>
  <c r="N46" i="25"/>
  <c r="N46" i="63"/>
  <c r="N46" i="65"/>
  <c r="N46" i="102"/>
  <c r="N46" i="32"/>
  <c r="N46" i="64"/>
  <c r="N46" i="119"/>
  <c r="N46" i="84"/>
  <c r="N46" i="39"/>
  <c r="N46" i="94"/>
  <c r="N79" i="175"/>
  <c r="N79" i="31"/>
  <c r="N79" i="118"/>
  <c r="N79" i="95"/>
  <c r="N79" i="33"/>
  <c r="N79" i="89"/>
  <c r="N79" i="71"/>
  <c r="N79" i="54"/>
  <c r="N79" i="102"/>
  <c r="N79" i="24"/>
  <c r="N79" i="177"/>
  <c r="N79" i="66"/>
  <c r="N79" i="155"/>
  <c r="N79" i="42"/>
  <c r="N79" i="64"/>
  <c r="N79" i="149"/>
  <c r="N79" i="15"/>
  <c r="N79" i="55"/>
  <c r="N79" i="68"/>
  <c r="N79" i="174"/>
  <c r="N79" i="57"/>
  <c r="N79" i="164"/>
  <c r="N79" i="69"/>
  <c r="N79" i="58"/>
  <c r="N79" i="113"/>
  <c r="N79" i="145"/>
  <c r="N79" i="176"/>
  <c r="N79" i="10"/>
  <c r="N79" i="84"/>
  <c r="N79" i="135"/>
  <c r="N79" i="86"/>
  <c r="N79" i="16"/>
  <c r="N79" i="39"/>
  <c r="N79" i="94"/>
  <c r="N79" i="20"/>
  <c r="N79" i="32"/>
  <c r="N79" i="37"/>
  <c r="N79" i="98"/>
  <c r="N79" i="133"/>
  <c r="N79" i="1"/>
  <c r="N79" i="104"/>
  <c r="N79" i="87"/>
  <c r="N79" i="157"/>
  <c r="N79" i="106"/>
  <c r="N79" i="150"/>
  <c r="N79" i="159"/>
  <c r="N79" i="142"/>
  <c r="N79" i="65"/>
  <c r="N79" i="43"/>
  <c r="N79" i="165"/>
  <c r="N79" i="158"/>
  <c r="N79" i="53"/>
  <c r="N79" i="25"/>
  <c r="N79" i="92"/>
  <c r="N79" i="38"/>
  <c r="N79" i="111"/>
  <c r="N79" i="141"/>
  <c r="N79" i="60"/>
  <c r="N79" i="103"/>
  <c r="N79" i="50"/>
  <c r="N79" i="27"/>
  <c r="N79" i="72"/>
  <c r="N79" i="45"/>
  <c r="N79" i="47"/>
  <c r="N79" i="62"/>
  <c r="N79" i="119"/>
  <c r="N79" i="120"/>
  <c r="N79" i="156"/>
  <c r="N79" i="83"/>
  <c r="N79" i="79"/>
  <c r="N79" i="46"/>
  <c r="N79" i="90"/>
  <c r="N79" i="85"/>
  <c r="N79" i="152"/>
  <c r="N79" i="167"/>
  <c r="N79" i="19"/>
  <c r="N79" i="14"/>
  <c r="N79" i="28"/>
  <c r="N79" i="63"/>
  <c r="N79" i="136"/>
  <c r="N79" i="49"/>
  <c r="N79" i="21"/>
  <c r="N79" i="143"/>
  <c r="N79" i="172"/>
  <c r="N79" i="178"/>
  <c r="N137" i="24"/>
  <c r="N137" i="63"/>
  <c r="N137" i="57"/>
  <c r="N177" i="176"/>
  <c r="N137" i="14"/>
  <c r="N137" i="178"/>
  <c r="N137" i="66"/>
  <c r="N29" i="98"/>
  <c r="N29" i="175"/>
  <c r="N29" i="54"/>
  <c r="N177" i="50"/>
  <c r="N177" i="24"/>
  <c r="N46" i="60"/>
  <c r="N46" i="62"/>
  <c r="N46" i="55"/>
  <c r="N46" i="150"/>
  <c r="N137" i="164"/>
  <c r="N137" i="92"/>
  <c r="N137" i="158"/>
  <c r="N137" i="85"/>
  <c r="N137" i="95"/>
  <c r="N137" i="155"/>
  <c r="N137" i="62"/>
  <c r="N137" i="43"/>
  <c r="N137" i="71"/>
  <c r="N137" i="50"/>
  <c r="N147" i="57"/>
  <c r="N147" i="118"/>
  <c r="N147" i="172"/>
  <c r="N147" i="54"/>
  <c r="N147" i="176"/>
  <c r="N147" i="20"/>
  <c r="N147" i="37"/>
  <c r="N147" i="119"/>
  <c r="N147" i="142"/>
  <c r="N147" i="55"/>
  <c r="N29" i="1"/>
  <c r="N29" i="152"/>
  <c r="N29" i="145"/>
  <c r="N29" i="133"/>
  <c r="N29" i="87"/>
  <c r="N29" i="69"/>
  <c r="N29" i="55"/>
  <c r="N29" i="118"/>
  <c r="N29" i="174"/>
  <c r="N29" i="165"/>
  <c r="N52" i="43"/>
  <c r="N52" i="65"/>
  <c r="N52" i="38"/>
  <c r="N52" i="21"/>
  <c r="N52" i="95"/>
  <c r="N52" i="87"/>
  <c r="N52" i="50"/>
  <c r="N52" i="120"/>
  <c r="N52" i="49"/>
  <c r="N177" i="172"/>
  <c r="N177" i="85"/>
  <c r="N177" i="113"/>
  <c r="N177" i="19"/>
  <c r="N177" i="174"/>
  <c r="N177" i="119"/>
  <c r="N177" i="53"/>
  <c r="N177" i="15"/>
  <c r="N177" i="111"/>
  <c r="N177" i="150"/>
  <c r="N46" i="69"/>
  <c r="N46" i="87"/>
  <c r="N46" i="45"/>
  <c r="N46" i="120"/>
  <c r="N46" i="104"/>
  <c r="N46" i="175"/>
  <c r="N46" i="33"/>
  <c r="N46" i="79"/>
  <c r="N46" i="111"/>
  <c r="G218" i="97"/>
  <c r="N111" i="79"/>
  <c r="O111" i="79"/>
  <c r="N111" i="167"/>
  <c r="O111" i="167"/>
  <c r="N111" i="86"/>
  <c r="O111" i="86"/>
  <c r="N111" i="63"/>
  <c r="O111" i="63"/>
  <c r="N111" i="103"/>
  <c r="O111" i="103"/>
  <c r="N111" i="10"/>
  <c r="O111" i="10"/>
  <c r="N111" i="165"/>
  <c r="O111" i="165"/>
  <c r="N111" i="50"/>
  <c r="O111" i="50"/>
  <c r="N111" i="15"/>
  <c r="O111" i="15"/>
  <c r="N111" i="47"/>
  <c r="O111" i="47"/>
  <c r="N111" i="45"/>
  <c r="O111" i="45"/>
  <c r="N111" i="46"/>
  <c r="O111" i="46"/>
  <c r="N111" i="83"/>
  <c r="O111" i="83"/>
  <c r="N111" i="27"/>
  <c r="O111" i="27"/>
  <c r="N111" i="150"/>
  <c r="O111" i="150"/>
  <c r="N111" i="152"/>
  <c r="O111" i="152"/>
  <c r="N111" i="178"/>
  <c r="O111" i="178"/>
  <c r="N111" i="118"/>
  <c r="O111" i="118"/>
  <c r="N111" i="38"/>
  <c r="O111" i="38"/>
  <c r="N111" i="53"/>
  <c r="O111" i="53"/>
  <c r="N111" i="64"/>
  <c r="O111" i="64"/>
  <c r="N111" i="141"/>
  <c r="O111" i="141"/>
  <c r="N111" i="172"/>
  <c r="O111" i="172"/>
  <c r="N111" i="120"/>
  <c r="O111" i="120"/>
  <c r="N111" i="54"/>
  <c r="O111" i="54"/>
  <c r="N111" i="37"/>
  <c r="O111" i="37"/>
  <c r="N111" i="21"/>
  <c r="O111" i="21"/>
  <c r="N111" i="20"/>
  <c r="O111" i="20"/>
  <c r="N111" i="156"/>
  <c r="O111" i="156"/>
  <c r="N111" i="62"/>
  <c r="O111" i="62"/>
  <c r="N111" i="66"/>
  <c r="O111" i="66"/>
  <c r="N111" i="98"/>
  <c r="O111" i="98"/>
  <c r="N111" i="72"/>
  <c r="O111" i="72"/>
  <c r="N111" i="106"/>
  <c r="O111" i="106"/>
  <c r="N111" i="68"/>
  <c r="O111" i="68"/>
  <c r="N111" i="175"/>
  <c r="O111" i="175"/>
  <c r="N111" i="28"/>
  <c r="O111" i="28"/>
  <c r="N111" i="14"/>
  <c r="O111" i="14"/>
  <c r="N111" i="135"/>
  <c r="O111" i="135"/>
  <c r="N111" i="90"/>
  <c r="O111" i="90"/>
  <c r="N111" i="143"/>
  <c r="O111" i="143"/>
  <c r="N111" i="142"/>
  <c r="O111" i="142"/>
  <c r="N111" i="57"/>
  <c r="O111" i="57"/>
  <c r="N111" i="111"/>
  <c r="O111" i="111"/>
  <c r="N111" i="92"/>
  <c r="O111" i="92"/>
  <c r="N111" i="145"/>
  <c r="O111" i="145"/>
  <c r="N111" i="158"/>
  <c r="O111" i="158"/>
  <c r="N111" i="133"/>
  <c r="O111" i="133"/>
  <c r="N111" i="65"/>
  <c r="O111" i="65"/>
  <c r="N111" i="136"/>
  <c r="O111" i="136"/>
  <c r="N111" i="49"/>
  <c r="O111" i="49"/>
  <c r="N111" i="89"/>
  <c r="O111" i="89"/>
  <c r="N111" i="155"/>
  <c r="O111" i="155"/>
  <c r="N111" i="33"/>
  <c r="O111" i="33"/>
  <c r="N111" i="84"/>
  <c r="O111" i="84"/>
  <c r="N111" i="102"/>
  <c r="O111" i="102"/>
  <c r="N111" i="177"/>
  <c r="O111" i="177"/>
  <c r="N111" i="95"/>
  <c r="O111" i="95"/>
  <c r="N111" i="60"/>
  <c r="O111" i="60"/>
  <c r="N111" i="58"/>
  <c r="O111" i="58"/>
  <c r="N111" i="157"/>
  <c r="O111" i="157"/>
  <c r="N111" i="55"/>
  <c r="O111" i="55"/>
  <c r="N111" i="71"/>
  <c r="O111" i="71"/>
  <c r="N111" i="42"/>
  <c r="O111" i="42"/>
  <c r="N111" i="104"/>
  <c r="O111" i="104"/>
  <c r="N111" i="69"/>
  <c r="O111" i="69"/>
  <c r="N111" i="32"/>
  <c r="O111" i="32"/>
  <c r="N111" i="149"/>
  <c r="O111" i="149"/>
  <c r="N111" i="113"/>
  <c r="O111" i="113"/>
  <c r="N111" i="43"/>
  <c r="O111" i="43"/>
  <c r="N111" i="164"/>
  <c r="O111" i="164"/>
  <c r="N111" i="1"/>
  <c r="O111" i="1"/>
  <c r="N111" i="94"/>
  <c r="O111" i="94"/>
  <c r="N111" i="16"/>
  <c r="O111" i="16"/>
  <c r="N111" i="176"/>
  <c r="O111" i="176"/>
  <c r="N111" i="159"/>
  <c r="O111" i="159"/>
  <c r="N111" i="119"/>
  <c r="O111" i="119"/>
  <c r="N111" i="24"/>
  <c r="O111" i="24"/>
  <c r="N111" i="85"/>
  <c r="O111" i="85"/>
  <c r="N111" i="39"/>
  <c r="O111" i="39"/>
  <c r="N111" i="19"/>
  <c r="O111" i="19"/>
  <c r="N111" i="31"/>
  <c r="O111" i="31"/>
  <c r="N111" i="174"/>
  <c r="O111" i="174"/>
  <c r="N111" i="87"/>
  <c r="O111" i="87"/>
  <c r="N111" i="25"/>
  <c r="O111" i="25"/>
  <c r="N65" i="50"/>
  <c r="N65" i="133"/>
  <c r="N65" i="167"/>
  <c r="N65" i="94"/>
  <c r="N65" i="57"/>
  <c r="N65" i="19"/>
  <c r="N65" i="42"/>
  <c r="N65" i="15"/>
  <c r="N65" i="156"/>
  <c r="N65" i="90"/>
  <c r="N65" i="95"/>
  <c r="N65" i="53"/>
  <c r="N65" i="98"/>
  <c r="N65" i="175"/>
  <c r="N65" i="143"/>
  <c r="N65" i="71"/>
  <c r="N65" i="25"/>
  <c r="N65" i="32"/>
  <c r="N65" i="1"/>
  <c r="N65" i="69"/>
  <c r="N65" i="172"/>
  <c r="N65" i="66"/>
  <c r="N65" i="72"/>
  <c r="N65" i="27"/>
  <c r="N65" i="164"/>
  <c r="N65" i="54"/>
  <c r="N65" i="159"/>
  <c r="N65" i="120"/>
  <c r="N65" i="136"/>
  <c r="N65" i="149"/>
  <c r="N65" i="174"/>
  <c r="N65" i="43"/>
  <c r="N65" i="155"/>
  <c r="N65" i="68"/>
  <c r="N65" i="158"/>
  <c r="N65" i="33"/>
  <c r="N65" i="46"/>
  <c r="N65" i="119"/>
  <c r="N65" i="106"/>
  <c r="N65" i="14"/>
  <c r="N65" i="89"/>
  <c r="N65" i="142"/>
  <c r="N65" i="177"/>
  <c r="N65" i="31"/>
  <c r="N65" i="37"/>
  <c r="N65" i="152"/>
  <c r="N65" i="118"/>
  <c r="N65" i="86"/>
  <c r="N65" i="16"/>
  <c r="N65" i="135"/>
  <c r="N65" i="24"/>
  <c r="N65" i="141"/>
  <c r="N65" i="21"/>
  <c r="N65" i="45"/>
  <c r="N65" i="55"/>
  <c r="N65" i="83"/>
  <c r="N65" i="84"/>
  <c r="N65" i="60"/>
  <c r="N65" i="65"/>
  <c r="N65" i="113"/>
  <c r="N65" i="49"/>
  <c r="N65" i="157"/>
  <c r="N65" i="150"/>
  <c r="N65" i="102"/>
  <c r="N65" i="104"/>
  <c r="N65" i="85"/>
  <c r="N65" i="58"/>
  <c r="N65" i="39"/>
  <c r="N65" i="92"/>
  <c r="N65" i="111"/>
  <c r="N65" i="63"/>
  <c r="N65" i="79"/>
  <c r="N65" i="87"/>
  <c r="N65" i="38"/>
  <c r="N65" i="178"/>
  <c r="N65" i="10"/>
  <c r="N65" i="47"/>
  <c r="N65" i="64"/>
  <c r="N65" i="165"/>
  <c r="N65" i="145"/>
  <c r="N65" i="28"/>
  <c r="N65" i="20"/>
  <c r="N65" i="176"/>
  <c r="N65" i="103"/>
  <c r="N65" i="62"/>
  <c r="N131" i="178"/>
  <c r="N131" i="49"/>
  <c r="N131" i="85"/>
  <c r="N131" i="165"/>
  <c r="N131" i="104"/>
  <c r="N131" i="32"/>
  <c r="N131" i="176"/>
  <c r="N131" i="142"/>
  <c r="N131" i="19"/>
  <c r="N131" i="71"/>
  <c r="N131" i="10"/>
  <c r="N131" i="14"/>
  <c r="N131" i="60"/>
  <c r="N131" i="149"/>
  <c r="N131" i="103"/>
  <c r="N131" i="69"/>
  <c r="N131" i="174"/>
  <c r="N131" i="66"/>
  <c r="N131" i="175"/>
  <c r="N131" i="28"/>
  <c r="N131" i="15"/>
  <c r="N131" i="143"/>
  <c r="N131" i="141"/>
  <c r="N131" i="47"/>
  <c r="N131" i="21"/>
  <c r="N131" i="98"/>
  <c r="N131" i="157"/>
  <c r="N131" i="46"/>
  <c r="N131" i="63"/>
  <c r="N131" i="89"/>
  <c r="N131" i="111"/>
  <c r="N131" i="53"/>
  <c r="N131" i="177"/>
  <c r="N131" i="37"/>
  <c r="N131" i="55"/>
  <c r="N131" i="54"/>
  <c r="N131" i="50"/>
  <c r="N131" i="133"/>
  <c r="N131" i="164"/>
  <c r="N131" i="92"/>
  <c r="N131" i="72"/>
  <c r="N131" i="31"/>
  <c r="N131" i="1"/>
  <c r="N131" i="64"/>
  <c r="N131" i="113"/>
  <c r="N131" i="156"/>
  <c r="N131" i="119"/>
  <c r="N131" i="27"/>
  <c r="N131" i="102"/>
  <c r="N131" i="65"/>
  <c r="N131" i="152"/>
  <c r="N131" i="20"/>
  <c r="N131" i="16"/>
  <c r="N131" i="145"/>
  <c r="N131" i="135"/>
  <c r="N131" i="38"/>
  <c r="N131" i="106"/>
  <c r="N131" i="150"/>
  <c r="N131" i="58"/>
  <c r="N131" i="84"/>
  <c r="N131" i="86"/>
  <c r="N131" i="42"/>
  <c r="N131" i="167"/>
  <c r="N131" i="79"/>
  <c r="N131" i="159"/>
  <c r="N131" i="172"/>
  <c r="N131" i="57"/>
  <c r="N131" i="43"/>
  <c r="N131" i="45"/>
  <c r="N131" i="155"/>
  <c r="N131" i="68"/>
  <c r="N131" i="94"/>
  <c r="N131" i="158"/>
  <c r="N131" i="25"/>
  <c r="N131" i="95"/>
  <c r="N131" i="62"/>
  <c r="N131" i="39"/>
  <c r="N131" i="136"/>
  <c r="N131" i="24"/>
  <c r="N131" i="118"/>
  <c r="N131" i="87"/>
  <c r="N131" i="83"/>
  <c r="N131" i="90"/>
  <c r="N131" i="120"/>
  <c r="N131" i="33"/>
  <c r="N51" i="155"/>
  <c r="N51" i="175"/>
  <c r="N51" i="87"/>
  <c r="N51" i="50"/>
  <c r="N51" i="15"/>
  <c r="N51" i="19"/>
  <c r="N51" i="45"/>
  <c r="N51" i="92"/>
  <c r="N51" i="47"/>
  <c r="N51" i="94"/>
  <c r="N51" i="177"/>
  <c r="N51" i="24"/>
  <c r="N51" i="37"/>
  <c r="N51" i="150"/>
  <c r="N51" i="133"/>
  <c r="N51" i="103"/>
  <c r="N51" i="38"/>
  <c r="N51" i="58"/>
  <c r="N51" i="157"/>
  <c r="N51" i="63"/>
  <c r="N51" i="102"/>
  <c r="N51" i="31"/>
  <c r="N51" i="141"/>
  <c r="N51" i="135"/>
  <c r="N51" i="106"/>
  <c r="N51" i="60"/>
  <c r="N51" i="164"/>
  <c r="N51" i="85"/>
  <c r="N51" i="142"/>
  <c r="N51" i="25"/>
  <c r="N51" i="14"/>
  <c r="N51" i="32"/>
  <c r="N51" i="143"/>
  <c r="N51" i="65"/>
  <c r="N51" i="83"/>
  <c r="N51" i="174"/>
  <c r="N51" i="152"/>
  <c r="N51" i="68"/>
  <c r="N51" i="62"/>
  <c r="N51" i="178"/>
  <c r="N51" i="86"/>
  <c r="N51" i="176"/>
  <c r="N51" i="16"/>
  <c r="N51" i="55"/>
  <c r="N51" i="172"/>
  <c r="N51" i="49"/>
  <c r="N51" i="145"/>
  <c r="N51" i="95"/>
  <c r="N51" i="119"/>
  <c r="N51" i="104"/>
  <c r="N51" i="149"/>
  <c r="N51" i="118"/>
  <c r="N51" i="71"/>
  <c r="N51" i="64"/>
  <c r="N51" i="39"/>
  <c r="N51" i="1"/>
  <c r="N51" i="27"/>
  <c r="N51" i="54"/>
  <c r="N51" i="10"/>
  <c r="N51" i="66"/>
  <c r="N51" i="165"/>
  <c r="N51" i="53"/>
  <c r="N51" i="84"/>
  <c r="N51" i="21"/>
  <c r="N51" i="46"/>
  <c r="N51" i="111"/>
  <c r="N51" i="167"/>
  <c r="N51" i="159"/>
  <c r="N51" i="69"/>
  <c r="N51" i="158"/>
  <c r="N51" i="20"/>
  <c r="N51" i="79"/>
  <c r="N51" i="42"/>
  <c r="N51" i="98"/>
  <c r="N51" i="90"/>
  <c r="N51" i="33"/>
  <c r="N51" i="72"/>
  <c r="N51" i="120"/>
  <c r="N51" i="28"/>
  <c r="N51" i="89"/>
  <c r="N51" i="156"/>
  <c r="N51" i="113"/>
  <c r="N51" i="136"/>
  <c r="N51" i="43"/>
  <c r="N51" i="57"/>
  <c r="N190" i="167"/>
  <c r="N190" i="156"/>
  <c r="N190" i="45"/>
  <c r="N190" i="83"/>
  <c r="N190" i="49"/>
  <c r="N190" i="94"/>
  <c r="N190" i="15"/>
  <c r="N190" i="72"/>
  <c r="N190" i="68"/>
  <c r="N190" i="58"/>
  <c r="N190" i="95"/>
  <c r="N190" i="164"/>
  <c r="N190" i="177"/>
  <c r="N190" i="25"/>
  <c r="N190" i="87"/>
  <c r="N190" i="79"/>
  <c r="N190" i="32"/>
  <c r="N190" i="111"/>
  <c r="N190" i="27"/>
  <c r="N190" i="62"/>
  <c r="N190" i="31"/>
  <c r="N190" i="165"/>
  <c r="N190" i="145"/>
  <c r="N190" i="33"/>
  <c r="N190" i="119"/>
  <c r="N190" i="38"/>
  <c r="N190" i="71"/>
  <c r="N190" i="28"/>
  <c r="N190" i="43"/>
  <c r="N190" i="149"/>
  <c r="N190" i="136"/>
  <c r="N190" i="106"/>
  <c r="N190" i="150"/>
  <c r="N190" i="157"/>
  <c r="N190" i="118"/>
  <c r="N190" i="10"/>
  <c r="N190" i="92"/>
  <c r="N190" i="89"/>
  <c r="N190" i="55"/>
  <c r="N190" i="172"/>
  <c r="N190" i="57"/>
  <c r="N190" i="47"/>
  <c r="N190" i="155"/>
  <c r="N190" i="176"/>
  <c r="N190" i="86"/>
  <c r="N190" i="113"/>
  <c r="N190" i="16"/>
  <c r="N190" i="65"/>
  <c r="N190" i="90"/>
  <c r="N190" i="69"/>
  <c r="N190" i="84"/>
  <c r="N190" i="152"/>
  <c r="N190" i="174"/>
  <c r="N190" i="143"/>
  <c r="N190" i="53"/>
  <c r="N190" i="42"/>
  <c r="N190" i="63"/>
  <c r="N190" i="21"/>
  <c r="N190" i="98"/>
  <c r="N190" i="46"/>
  <c r="N190" i="14"/>
  <c r="N190" i="120"/>
  <c r="N190" i="103"/>
  <c r="N190" i="178"/>
  <c r="N190" i="158"/>
  <c r="N190" i="85"/>
  <c r="N190" i="66"/>
  <c r="N190" i="19"/>
  <c r="N190" i="133"/>
  <c r="N190" i="50"/>
  <c r="N190" i="60"/>
  <c r="N190" i="54"/>
  <c r="N190" i="142"/>
  <c r="N190" i="24"/>
  <c r="N190" i="175"/>
  <c r="N190" i="159"/>
  <c r="N190" i="39"/>
  <c r="N190" i="141"/>
  <c r="N190" i="104"/>
  <c r="N190" i="102"/>
  <c r="N190" i="37"/>
  <c r="N190" i="20"/>
  <c r="N190" i="135"/>
  <c r="N190" i="1"/>
  <c r="N190" i="64"/>
  <c r="N126" i="85"/>
  <c r="N126" i="156"/>
  <c r="N126" i="95"/>
  <c r="N126" i="149"/>
  <c r="N126" i="33"/>
  <c r="N126" i="89"/>
  <c r="N126" i="142"/>
  <c r="N126" i="39"/>
  <c r="N126" i="60"/>
  <c r="N126" i="120"/>
  <c r="N126" i="177"/>
  <c r="N126" i="66"/>
  <c r="N126" i="145"/>
  <c r="N126" i="68"/>
  <c r="N126" i="50"/>
  <c r="N126" i="71"/>
  <c r="N126" i="159"/>
  <c r="N126" i="58"/>
  <c r="N126" i="38"/>
  <c r="N126" i="176"/>
  <c r="N126" i="69"/>
  <c r="N126" i="54"/>
  <c r="N126" i="72"/>
  <c r="N126" i="42"/>
  <c r="N126" i="1"/>
  <c r="N126" i="28"/>
  <c r="N126" i="172"/>
  <c r="N126" i="55"/>
  <c r="N126" i="106"/>
  <c r="N126" i="113"/>
  <c r="N126" i="143"/>
  <c r="N126" i="32"/>
  <c r="N126" i="158"/>
  <c r="N126" i="111"/>
  <c r="N126" i="175"/>
  <c r="N126" i="118"/>
  <c r="N126" i="63"/>
  <c r="N126" i="83"/>
  <c r="N126" i="167"/>
  <c r="N126" i="157"/>
  <c r="N126" i="65"/>
  <c r="N126" i="104"/>
  <c r="N126" i="90"/>
  <c r="N126" i="133"/>
  <c r="N126" i="155"/>
  <c r="N126" i="87"/>
  <c r="N126" i="165"/>
  <c r="N126" i="45"/>
  <c r="N126" i="164"/>
  <c r="N126" i="46"/>
  <c r="N126" i="31"/>
  <c r="N126" i="86"/>
  <c r="N126" i="47"/>
  <c r="N126" i="19"/>
  <c r="N126" i="15"/>
  <c r="N126" i="24"/>
  <c r="N126" i="141"/>
  <c r="N126" i="103"/>
  <c r="N126" i="10"/>
  <c r="N126" i="53"/>
  <c r="N126" i="174"/>
  <c r="N126" i="43"/>
  <c r="N126" i="119"/>
  <c r="N126" i="79"/>
  <c r="N126" i="27"/>
  <c r="N126" i="14"/>
  <c r="N126" i="150"/>
  <c r="N126" i="64"/>
  <c r="N126" i="102"/>
  <c r="N126" i="21"/>
  <c r="N126" i="178"/>
  <c r="N126" i="49"/>
  <c r="N126" i="16"/>
  <c r="N126" i="152"/>
  <c r="N126" i="84"/>
  <c r="N126" i="57"/>
  <c r="N126" i="135"/>
  <c r="N126" i="98"/>
  <c r="N126" i="62"/>
  <c r="N126" i="25"/>
  <c r="N126" i="136"/>
  <c r="N126" i="92"/>
  <c r="N126" i="94"/>
  <c r="N126" i="37"/>
  <c r="N126" i="20"/>
  <c r="N61" i="156"/>
  <c r="O61" i="156"/>
  <c r="N61" i="15"/>
  <c r="O61" i="15"/>
  <c r="N61" i="164"/>
  <c r="O61" i="164"/>
  <c r="N61" i="133"/>
  <c r="O61" i="133"/>
  <c r="N61" i="68"/>
  <c r="O61" i="68"/>
  <c r="N61" i="176"/>
  <c r="O61" i="176"/>
  <c r="N61" i="120"/>
  <c r="O61" i="120"/>
  <c r="N61" i="42"/>
  <c r="O61" i="42"/>
  <c r="N61" i="65"/>
  <c r="O61" i="65"/>
  <c r="N61" i="55"/>
  <c r="O61" i="55"/>
  <c r="N61" i="24"/>
  <c r="O61" i="24"/>
  <c r="N61" i="118"/>
  <c r="O61" i="118"/>
  <c r="N61" i="90"/>
  <c r="O61" i="90"/>
  <c r="N61" i="79"/>
  <c r="O61" i="79"/>
  <c r="N61" i="21"/>
  <c r="O61" i="21"/>
  <c r="N61" i="45"/>
  <c r="O61" i="45"/>
  <c r="N61" i="47"/>
  <c r="O61" i="47"/>
  <c r="N61" i="152"/>
  <c r="O61" i="152"/>
  <c r="N61" i="95"/>
  <c r="O61" i="95"/>
  <c r="N61" i="172"/>
  <c r="O61" i="172"/>
  <c r="N61" i="31"/>
  <c r="O61" i="31"/>
  <c r="N61" i="113"/>
  <c r="O61" i="113"/>
  <c r="N61" i="33"/>
  <c r="O61" i="33"/>
  <c r="N61" i="19"/>
  <c r="O61" i="19"/>
  <c r="N61" i="149"/>
  <c r="O61" i="149"/>
  <c r="N61" i="72"/>
  <c r="O61" i="72"/>
  <c r="N61" i="46"/>
  <c r="O61" i="46"/>
  <c r="N61" i="50"/>
  <c r="O61" i="50"/>
  <c r="N61" i="94"/>
  <c r="O61" i="94"/>
  <c r="N61" i="177"/>
  <c r="O61" i="177"/>
  <c r="N61" i="66"/>
  <c r="O61" i="66"/>
  <c r="N61" i="174"/>
  <c r="O61" i="174"/>
  <c r="N61" i="136"/>
  <c r="O61" i="136"/>
  <c r="N61" i="57"/>
  <c r="O61" i="57"/>
  <c r="N61" i="87"/>
  <c r="O61" i="87"/>
  <c r="N61" i="27"/>
  <c r="O61" i="27"/>
  <c r="N61" i="25"/>
  <c r="O61" i="25"/>
  <c r="N61" i="53"/>
  <c r="O61" i="53"/>
  <c r="N61" i="54"/>
  <c r="O61" i="54"/>
  <c r="N61" i="62"/>
  <c r="O61" i="62"/>
  <c r="N61" i="143"/>
  <c r="O61" i="143"/>
  <c r="N61" i="104"/>
  <c r="O61" i="104"/>
  <c r="N61" i="159"/>
  <c r="O61" i="159"/>
  <c r="N61" i="135"/>
  <c r="O61" i="135"/>
  <c r="N61" i="20"/>
  <c r="O61" i="20"/>
  <c r="N61" i="98"/>
  <c r="O61" i="98"/>
  <c r="N61" i="103"/>
  <c r="O61" i="103"/>
  <c r="N61" i="10"/>
  <c r="O61" i="10"/>
  <c r="N61" i="1"/>
  <c r="O61" i="1"/>
  <c r="N61" i="60"/>
  <c r="O61" i="60"/>
  <c r="N61" i="63"/>
  <c r="O61" i="63"/>
  <c r="N61" i="58"/>
  <c r="O61" i="58"/>
  <c r="N61" i="111"/>
  <c r="O61" i="111"/>
  <c r="N61" i="157"/>
  <c r="O61" i="157"/>
  <c r="N61" i="145"/>
  <c r="O61" i="145"/>
  <c r="N61" i="37"/>
  <c r="O61" i="37"/>
  <c r="N61" i="83"/>
  <c r="O61" i="83"/>
  <c r="N61" i="106"/>
  <c r="O61" i="106"/>
  <c r="N61" i="32"/>
  <c r="O61" i="32"/>
  <c r="N61" i="119"/>
  <c r="O61" i="119"/>
  <c r="N61" i="175"/>
  <c r="O61" i="175"/>
  <c r="N61" i="86"/>
  <c r="O61" i="86"/>
  <c r="N61" i="49"/>
  <c r="O61" i="49"/>
  <c r="N61" i="92"/>
  <c r="O61" i="92"/>
  <c r="N61" i="39"/>
  <c r="O61" i="39"/>
  <c r="N61" i="28"/>
  <c r="O61" i="28"/>
  <c r="N61" i="158"/>
  <c r="O61" i="158"/>
  <c r="N61" i="71"/>
  <c r="O61" i="71"/>
  <c r="N61" i="14"/>
  <c r="O61" i="14"/>
  <c r="N61" i="178"/>
  <c r="O61" i="178"/>
  <c r="N61" i="167"/>
  <c r="O61" i="167"/>
  <c r="N61" i="64"/>
  <c r="O61" i="64"/>
  <c r="N61" i="165"/>
  <c r="O61" i="165"/>
  <c r="N61" i="155"/>
  <c r="O61" i="155"/>
  <c r="N61" i="85"/>
  <c r="O61" i="85"/>
  <c r="N61" i="16"/>
  <c r="O61" i="16"/>
  <c r="N61" i="102"/>
  <c r="O61" i="102"/>
  <c r="N61" i="150"/>
  <c r="O61" i="150"/>
  <c r="N61" i="38"/>
  <c r="O61" i="38"/>
  <c r="N61" i="84"/>
  <c r="O61" i="84"/>
  <c r="N61" i="69"/>
  <c r="O61" i="69"/>
  <c r="N61" i="43"/>
  <c r="O61" i="43"/>
  <c r="N61" i="141"/>
  <c r="O61" i="141"/>
  <c r="N61" i="89"/>
  <c r="O61" i="89"/>
  <c r="N61" i="142"/>
  <c r="O61" i="142"/>
  <c r="N136" i="152"/>
  <c r="N136" i="155"/>
  <c r="N136" i="43"/>
  <c r="N136" i="62"/>
  <c r="N136" i="54"/>
  <c r="N136" i="28"/>
  <c r="N136" i="85"/>
  <c r="N136" i="25"/>
  <c r="N136" i="175"/>
  <c r="N136" i="177"/>
  <c r="N136" i="16"/>
  <c r="N136" i="167"/>
  <c r="N136" i="106"/>
  <c r="N136" i="50"/>
  <c r="N136" i="47"/>
  <c r="N136" i="90"/>
  <c r="N136" i="92"/>
  <c r="N136" i="66"/>
  <c r="N136" i="98"/>
  <c r="N136" i="172"/>
  <c r="N136" i="120"/>
  <c r="N136" i="46"/>
  <c r="N136" i="27"/>
  <c r="N136" i="69"/>
  <c r="N136" i="55"/>
  <c r="N136" i="68"/>
  <c r="N136" i="58"/>
  <c r="N136" i="94"/>
  <c r="N136" i="141"/>
  <c r="N136" i="135"/>
  <c r="N136" i="102"/>
  <c r="N136" i="156"/>
  <c r="N136" i="19"/>
  <c r="N136" i="32"/>
  <c r="N136" i="83"/>
  <c r="N136" i="64"/>
  <c r="N136" i="111"/>
  <c r="N136" i="45"/>
  <c r="N136" i="150"/>
  <c r="N136" i="72"/>
  <c r="N136" i="149"/>
  <c r="N136" i="60"/>
  <c r="N136" i="71"/>
  <c r="N136" i="1"/>
  <c r="N136" i="86"/>
  <c r="N136" i="37"/>
  <c r="N136" i="39"/>
  <c r="N136" i="174"/>
  <c r="N136" i="103"/>
  <c r="N136" i="104"/>
  <c r="N136" i="157"/>
  <c r="N136" i="79"/>
  <c r="N136" i="113"/>
  <c r="N136" i="10"/>
  <c r="N136" i="136"/>
  <c r="N136" i="20"/>
  <c r="N136" i="42"/>
  <c r="N136" i="178"/>
  <c r="N136" i="53"/>
  <c r="N136" i="165"/>
  <c r="N136" i="118"/>
  <c r="N136" i="14"/>
  <c r="N136" i="65"/>
  <c r="N136" i="145"/>
  <c r="N136" i="95"/>
  <c r="N136" i="15"/>
  <c r="N136" i="119"/>
  <c r="N136" i="24"/>
  <c r="N136" i="133"/>
  <c r="N136" i="21"/>
  <c r="N136" i="89"/>
  <c r="N136" i="158"/>
  <c r="N136" i="164"/>
  <c r="N136" i="84"/>
  <c r="N136" i="143"/>
  <c r="N136" i="176"/>
  <c r="N136" i="33"/>
  <c r="N136" i="49"/>
  <c r="N136" i="38"/>
  <c r="N136" i="87"/>
  <c r="N136" i="159"/>
  <c r="N136" i="63"/>
  <c r="N136" i="57"/>
  <c r="N136" i="31"/>
  <c r="N136" i="142"/>
  <c r="N33" i="145"/>
  <c r="N33" i="19"/>
  <c r="N33" i="60"/>
  <c r="N33" i="33"/>
  <c r="N33" i="119"/>
  <c r="N33" i="65"/>
  <c r="N33" i="104"/>
  <c r="N33" i="165"/>
  <c r="N33" i="152"/>
  <c r="N33" i="64"/>
  <c r="N33" i="176"/>
  <c r="N33" i="71"/>
  <c r="N33" i="66"/>
  <c r="N33" i="46"/>
  <c r="N33" i="143"/>
  <c r="N33" i="106"/>
  <c r="N33" i="27"/>
  <c r="N33" i="136"/>
  <c r="N33" i="16"/>
  <c r="N33" i="158"/>
  <c r="N33" i="172"/>
  <c r="N33" i="31"/>
  <c r="N33" i="164"/>
  <c r="N33" i="90"/>
  <c r="N33" i="38"/>
  <c r="N33" i="15"/>
  <c r="N33" i="14"/>
  <c r="N33" i="142"/>
  <c r="N33" i="167"/>
  <c r="N33" i="55"/>
  <c r="N33" i="174"/>
  <c r="N33" i="86"/>
  <c r="N33" i="98"/>
  <c r="N33" i="79"/>
  <c r="N33" i="57"/>
  <c r="N33" i="54"/>
  <c r="N33" i="149"/>
  <c r="N33" i="135"/>
  <c r="N33" i="68"/>
  <c r="N33" i="37"/>
  <c r="N33" i="45"/>
  <c r="N33" i="63"/>
  <c r="N33" i="89"/>
  <c r="N33" i="133"/>
  <c r="N33" i="24"/>
  <c r="N33" i="118"/>
  <c r="N33" i="87"/>
  <c r="N33" i="10"/>
  <c r="N33" i="53"/>
  <c r="N33" i="62"/>
  <c r="N33" i="102"/>
  <c r="N33" i="94"/>
  <c r="N33" i="47"/>
  <c r="N33" i="177"/>
  <c r="N33" i="95"/>
  <c r="N33" i="42"/>
  <c r="N33" i="85"/>
  <c r="N33" i="92"/>
  <c r="N33" i="150"/>
  <c r="N33" i="21"/>
  <c r="N33" i="103"/>
  <c r="N33" i="1"/>
  <c r="N33" i="58"/>
  <c r="N33" i="178"/>
  <c r="N33" i="50"/>
  <c r="N33" i="111"/>
  <c r="N33" i="157"/>
  <c r="N33" i="83"/>
  <c r="N33" i="39"/>
  <c r="N33" i="156"/>
  <c r="N33" i="20"/>
  <c r="N33" i="32"/>
  <c r="N33" i="43"/>
  <c r="N33" i="120"/>
  <c r="N33" i="141"/>
  <c r="N33" i="72"/>
  <c r="N33" i="155"/>
  <c r="N33" i="25"/>
  <c r="N33" i="49"/>
  <c r="N33" i="84"/>
  <c r="N33" i="28"/>
  <c r="N33" i="159"/>
  <c r="N33" i="69"/>
  <c r="N33" i="175"/>
  <c r="N33" i="113"/>
  <c r="N109" i="49"/>
  <c r="N109" i="71"/>
  <c r="N109" i="176"/>
  <c r="N109" i="1"/>
  <c r="N109" i="89"/>
  <c r="N109" i="31"/>
  <c r="N109" i="155"/>
  <c r="N109" i="141"/>
  <c r="N109" i="94"/>
  <c r="N109" i="69"/>
  <c r="N109" i="145"/>
  <c r="N109" i="15"/>
  <c r="N109" i="157"/>
  <c r="N109" i="172"/>
  <c r="N109" i="65"/>
  <c r="N109" i="27"/>
  <c r="N109" i="103"/>
  <c r="N109" i="47"/>
  <c r="N109" i="39"/>
  <c r="N109" i="156"/>
  <c r="N109" i="55"/>
  <c r="N109" i="178"/>
  <c r="N109" i="46"/>
  <c r="N109" i="104"/>
  <c r="N109" i="98"/>
  <c r="N109" i="16"/>
  <c r="N109" i="90"/>
  <c r="N109" i="57"/>
  <c r="N109" i="54"/>
  <c r="N109" i="165"/>
  <c r="N109" i="106"/>
  <c r="N109" i="177"/>
  <c r="N109" i="133"/>
  <c r="N109" i="62"/>
  <c r="N109" i="38"/>
  <c r="N109" i="43"/>
  <c r="N109" i="28"/>
  <c r="N109" i="21"/>
  <c r="N109" i="175"/>
  <c r="N109" i="25"/>
  <c r="N109" i="87"/>
  <c r="N109" i="68"/>
  <c r="N109" i="58"/>
  <c r="N109" i="152"/>
  <c r="N109" i="92"/>
  <c r="N109" i="84"/>
  <c r="N109" i="95"/>
  <c r="N109" i="159"/>
  <c r="N109" i="118"/>
  <c r="N109" i="60"/>
  <c r="N109" i="79"/>
  <c r="N109" i="142"/>
  <c r="N109" i="83"/>
  <c r="N109" i="85"/>
  <c r="N109" i="120"/>
  <c r="N109" i="50"/>
  <c r="N109" i="72"/>
  <c r="N109" i="14"/>
  <c r="N109" i="135"/>
  <c r="N109" i="24"/>
  <c r="N109" i="119"/>
  <c r="N109" i="149"/>
  <c r="N109" i="164"/>
  <c r="N109" i="63"/>
  <c r="N109" i="150"/>
  <c r="N109" i="158"/>
  <c r="N109" i="53"/>
  <c r="N109" i="42"/>
  <c r="N109" i="66"/>
  <c r="N109" i="102"/>
  <c r="N109" i="19"/>
  <c r="N109" i="64"/>
  <c r="N109" i="10"/>
  <c r="N109" i="136"/>
  <c r="N109" i="86"/>
  <c r="N109" i="32"/>
  <c r="N109" i="20"/>
  <c r="N109" i="111"/>
  <c r="N109" i="37"/>
  <c r="N109" i="33"/>
  <c r="N109" i="167"/>
  <c r="N109" i="113"/>
  <c r="N109" i="174"/>
  <c r="N109" i="45"/>
  <c r="N109" i="143"/>
  <c r="N49" i="178"/>
  <c r="N49" i="157"/>
  <c r="N49" i="159"/>
  <c r="N49" i="79"/>
  <c r="N49" i="63"/>
  <c r="N49" i="95"/>
  <c r="N49" i="62"/>
  <c r="N49" i="120"/>
  <c r="N49" i="57"/>
  <c r="N49" i="27"/>
  <c r="N49" i="20"/>
  <c r="N49" i="175"/>
  <c r="N49" i="167"/>
  <c r="N49" i="156"/>
  <c r="N49" i="53"/>
  <c r="N49" i="87"/>
  <c r="N49" i="106"/>
  <c r="N49" i="60"/>
  <c r="N49" i="89"/>
  <c r="N49" i="136"/>
  <c r="N49" i="54"/>
  <c r="N49" i="83"/>
  <c r="N49" i="165"/>
  <c r="N49" i="143"/>
  <c r="N49" i="1"/>
  <c r="N49" i="69"/>
  <c r="N49" i="141"/>
  <c r="N49" i="33"/>
  <c r="N49" i="25"/>
  <c r="N49" i="72"/>
  <c r="N49" i="103"/>
  <c r="N49" i="15"/>
  <c r="N49" i="49"/>
  <c r="N49" i="172"/>
  <c r="N49" i="150"/>
  <c r="N49" i="43"/>
  <c r="N49" i="119"/>
  <c r="N49" i="158"/>
  <c r="N49" i="90"/>
  <c r="N49" i="47"/>
  <c r="N49" i="104"/>
  <c r="N49" i="39"/>
  <c r="N49" i="42"/>
  <c r="N49" i="176"/>
  <c r="N49" i="152"/>
  <c r="N49" i="58"/>
  <c r="N49" i="71"/>
  <c r="N49" i="92"/>
  <c r="N49" i="68"/>
  <c r="N49" i="46"/>
  <c r="N49" i="28"/>
  <c r="N49" i="66"/>
  <c r="N49" i="64"/>
  <c r="N49" i="24"/>
  <c r="N49" i="177"/>
  <c r="N49" i="155"/>
  <c r="N49" i="142"/>
  <c r="N49" i="38"/>
  <c r="N49" i="111"/>
  <c r="N49" i="84"/>
  <c r="N49" i="55"/>
  <c r="N49" i="16"/>
  <c r="N49" i="37"/>
  <c r="N49" i="50"/>
  <c r="N49" i="164"/>
  <c r="N49" i="145"/>
  <c r="N49" i="31"/>
  <c r="N49" i="113"/>
  <c r="N49" i="94"/>
  <c r="N49" i="65"/>
  <c r="N49" i="86"/>
  <c r="N49" i="85"/>
  <c r="N49" i="14"/>
  <c r="N49" i="21"/>
  <c r="N49" i="174"/>
  <c r="N49" i="149"/>
  <c r="N49" i="133"/>
  <c r="N49" i="19"/>
  <c r="N49" i="45"/>
  <c r="N49" i="10"/>
  <c r="N49" i="102"/>
  <c r="N49" i="98"/>
  <c r="N49" i="32"/>
  <c r="N49" i="118"/>
  <c r="N49" i="135"/>
  <c r="N138" i="158"/>
  <c r="N138" i="84"/>
  <c r="N138" i="86"/>
  <c r="N138" i="33"/>
  <c r="N138" i="119"/>
  <c r="N138" i="53"/>
  <c r="N138" i="149"/>
  <c r="N138" i="55"/>
  <c r="N138" i="155"/>
  <c r="N138" i="66"/>
  <c r="N138" i="32"/>
  <c r="N138" i="143"/>
  <c r="N138" i="111"/>
  <c r="N138" i="103"/>
  <c r="N138" i="159"/>
  <c r="N138" i="92"/>
  <c r="N138" i="24"/>
  <c r="N138" i="165"/>
  <c r="N138" i="58"/>
  <c r="N138" i="65"/>
  <c r="N138" i="157"/>
  <c r="N138" i="25"/>
  <c r="N138" i="68"/>
  <c r="N138" i="104"/>
  <c r="N138" i="39"/>
  <c r="N138" i="43"/>
  <c r="N138" i="89"/>
  <c r="N138" i="176"/>
  <c r="N138" i="45"/>
  <c r="N138" i="85"/>
  <c r="N138" i="79"/>
  <c r="N138" i="175"/>
  <c r="N138" i="94"/>
  <c r="N138" i="135"/>
  <c r="N138" i="31"/>
  <c r="N138" i="141"/>
  <c r="N138" i="14"/>
  <c r="N138" i="19"/>
  <c r="N138" i="83"/>
  <c r="N138" i="174"/>
  <c r="N138" i="167"/>
  <c r="N138" i="37"/>
  <c r="N138" i="50"/>
  <c r="N138" i="90"/>
  <c r="N138" i="38"/>
  <c r="N138" i="164"/>
  <c r="N138" i="133"/>
  <c r="N138" i="98"/>
  <c r="N138" i="54"/>
  <c r="N138" i="118"/>
  <c r="N138" i="57"/>
  <c r="N138" i="63"/>
  <c r="N138" i="69"/>
  <c r="N138" i="102"/>
  <c r="N138" i="21"/>
  <c r="N138" i="64"/>
  <c r="N138" i="156"/>
  <c r="N138" i="120"/>
  <c r="N138" i="152"/>
  <c r="N138" i="72"/>
  <c r="N138" i="142"/>
  <c r="N138" i="1"/>
  <c r="N138" i="113"/>
  <c r="N138" i="177"/>
  <c r="N138" i="10"/>
  <c r="N138" i="71"/>
  <c r="N138" i="172"/>
  <c r="N138" i="145"/>
  <c r="N138" i="62"/>
  <c r="N138" i="60"/>
  <c r="N138" i="16"/>
  <c r="N138" i="87"/>
  <c r="N138" i="95"/>
  <c r="N138" i="150"/>
  <c r="N138" i="178"/>
  <c r="N138" i="42"/>
  <c r="N138" i="46"/>
  <c r="N138" i="47"/>
  <c r="N138" i="106"/>
  <c r="N138" i="49"/>
  <c r="N138" i="15"/>
  <c r="N138" i="20"/>
  <c r="N138" i="28"/>
  <c r="N138" i="27"/>
  <c r="N138" i="136"/>
  <c r="N42" i="178"/>
  <c r="N42" i="68"/>
  <c r="N42" i="172"/>
  <c r="N42" i="98"/>
  <c r="N42" i="60"/>
  <c r="N42" i="69"/>
  <c r="N42" i="94"/>
  <c r="N42" i="10"/>
  <c r="N42" i="174"/>
  <c r="N42" i="1"/>
  <c r="N42" i="84"/>
  <c r="N42" i="120"/>
  <c r="N42" i="43"/>
  <c r="N42" i="16"/>
  <c r="N42" i="71"/>
  <c r="N42" i="142"/>
  <c r="N42" i="83"/>
  <c r="N42" i="58"/>
  <c r="N42" i="62"/>
  <c r="N42" i="111"/>
  <c r="N42" i="15"/>
  <c r="N42" i="24"/>
  <c r="N42" i="85"/>
  <c r="N42" i="33"/>
  <c r="N42" i="155"/>
  <c r="N42" i="89"/>
  <c r="N42" i="133"/>
  <c r="N42" i="176"/>
  <c r="N42" i="54"/>
  <c r="N42" i="164"/>
  <c r="N42" i="31"/>
  <c r="N42" i="141"/>
  <c r="N42" i="42"/>
  <c r="N42" i="165"/>
  <c r="N42" i="37"/>
  <c r="N42" i="152"/>
  <c r="N42" i="118"/>
  <c r="N42" i="158"/>
  <c r="N42" i="106"/>
  <c r="N42" i="113"/>
  <c r="N42" i="92"/>
  <c r="N42" i="175"/>
  <c r="N42" i="28"/>
  <c r="N42" i="27"/>
  <c r="N42" i="53"/>
  <c r="N42" i="64"/>
  <c r="N42" i="119"/>
  <c r="N42" i="50"/>
  <c r="N42" i="87"/>
  <c r="N42" i="90"/>
  <c r="N42" i="135"/>
  <c r="N42" i="102"/>
  <c r="N42" i="149"/>
  <c r="N42" i="95"/>
  <c r="N42" i="25"/>
  <c r="N42" i="39"/>
  <c r="N42" i="150"/>
  <c r="N42" i="136"/>
  <c r="N42" i="159"/>
  <c r="N42" i="65"/>
  <c r="N42" i="167"/>
  <c r="N42" i="55"/>
  <c r="N42" i="66"/>
  <c r="N42" i="103"/>
  <c r="N42" i="46"/>
  <c r="N42" i="38"/>
  <c r="N42" i="156"/>
  <c r="N42" i="14"/>
  <c r="N42" i="72"/>
  <c r="N42" i="104"/>
  <c r="N42" i="49"/>
  <c r="N42" i="177"/>
  <c r="N42" i="143"/>
  <c r="N42" i="19"/>
  <c r="N42" i="32"/>
  <c r="N42" i="20"/>
  <c r="N42" i="45"/>
  <c r="N42" i="79"/>
  <c r="N42" i="63"/>
  <c r="N42" i="21"/>
  <c r="N42" i="86"/>
  <c r="N42" i="47"/>
  <c r="N42" i="157"/>
  <c r="N42" i="145"/>
  <c r="N42" i="57"/>
  <c r="N31" i="133"/>
  <c r="N31" i="141"/>
  <c r="N31" i="157"/>
  <c r="N31" i="174"/>
  <c r="N31" i="165"/>
  <c r="N31" i="87"/>
  <c r="N31" i="43"/>
  <c r="N31" i="31"/>
  <c r="N31" i="19"/>
  <c r="N31" i="149"/>
  <c r="N31" i="14"/>
  <c r="N31" i="47"/>
  <c r="N31" i="156"/>
  <c r="N31" i="167"/>
  <c r="N31" i="111"/>
  <c r="N31" i="64"/>
  <c r="N31" i="119"/>
  <c r="N31" i="20"/>
  <c r="N31" i="72"/>
  <c r="N31" i="1"/>
  <c r="N31" i="68"/>
  <c r="N31" i="65"/>
  <c r="N31" i="90"/>
  <c r="N31" i="83"/>
  <c r="N31" i="98"/>
  <c r="N31" i="92"/>
  <c r="N31" i="158"/>
  <c r="N31" i="55"/>
  <c r="N31" i="113"/>
  <c r="N31" i="54"/>
  <c r="N31" i="79"/>
  <c r="N31" i="120"/>
  <c r="N31" i="28"/>
  <c r="N31" i="46"/>
  <c r="N31" i="66"/>
  <c r="N31" i="104"/>
  <c r="N31" i="89"/>
  <c r="N31" i="42"/>
  <c r="N31" i="71"/>
  <c r="N31" i="10"/>
  <c r="N31" i="27"/>
  <c r="N31" i="33"/>
  <c r="N31" i="176"/>
  <c r="N31" i="84"/>
  <c r="N31" i="49"/>
  <c r="N31" i="24"/>
  <c r="N31" i="95"/>
  <c r="N31" i="172"/>
  <c r="N31" i="150"/>
  <c r="N31" i="155"/>
  <c r="N31" i="53"/>
  <c r="N31" i="86"/>
  <c r="N31" i="50"/>
  <c r="N31" i="60"/>
  <c r="N31" i="143"/>
  <c r="N31" i="175"/>
  <c r="N31" i="106"/>
  <c r="N31" i="136"/>
  <c r="N31" i="45"/>
  <c r="N31" i="16"/>
  <c r="N31" i="63"/>
  <c r="N31" i="62"/>
  <c r="N31" i="135"/>
  <c r="N31" i="178"/>
  <c r="N31" i="103"/>
  <c r="N31" i="58"/>
  <c r="N31" i="177"/>
  <c r="N31" i="145"/>
  <c r="N31" i="39"/>
  <c r="N31" i="15"/>
  <c r="N31" i="37"/>
  <c r="N31" i="94"/>
  <c r="N31" i="85"/>
  <c r="N31" i="69"/>
  <c r="N31" i="164"/>
  <c r="N31" i="32"/>
  <c r="N31" i="118"/>
  <c r="N31" i="142"/>
  <c r="N31" i="102"/>
  <c r="N31" i="25"/>
  <c r="N31" i="21"/>
  <c r="N31" i="38"/>
  <c r="N31" i="57"/>
  <c r="N31" i="159"/>
  <c r="N31" i="152"/>
  <c r="N96" i="38"/>
  <c r="N96" i="1"/>
  <c r="N96" i="64"/>
  <c r="N96" i="152"/>
  <c r="N96" i="102"/>
  <c r="N96" i="92"/>
  <c r="N96" i="111"/>
  <c r="N96" i="58"/>
  <c r="N96" i="72"/>
  <c r="N96" i="39"/>
  <c r="N96" i="20"/>
  <c r="N96" i="68"/>
  <c r="N96" i="159"/>
  <c r="N96" i="133"/>
  <c r="N96" i="164"/>
  <c r="N96" i="150"/>
  <c r="N96" i="25"/>
  <c r="N96" i="43"/>
  <c r="N96" i="32"/>
  <c r="N96" i="15"/>
  <c r="N96" i="86"/>
  <c r="N96" i="60"/>
  <c r="N96" i="65"/>
  <c r="N96" i="155"/>
  <c r="N96" i="14"/>
  <c r="N96" i="71"/>
  <c r="N96" i="49"/>
  <c r="N96" i="95"/>
  <c r="N96" i="79"/>
  <c r="N96" i="42"/>
  <c r="N96" i="83"/>
  <c r="N96" i="27"/>
  <c r="N96" i="45"/>
  <c r="N96" i="33"/>
  <c r="N96" i="142"/>
  <c r="N96" i="103"/>
  <c r="N96" i="177"/>
  <c r="N96" i="118"/>
  <c r="N96" i="31"/>
  <c r="N96" i="94"/>
  <c r="N96" i="158"/>
  <c r="N96" i="46"/>
  <c r="N96" i="113"/>
  <c r="N96" i="57"/>
  <c r="N96" i="149"/>
  <c r="N96" i="176"/>
  <c r="N96" i="165"/>
  <c r="N96" i="104"/>
  <c r="N96" i="156"/>
  <c r="N96" i="145"/>
  <c r="N96" i="53"/>
  <c r="N96" i="16"/>
  <c r="N96" i="175"/>
  <c r="N96" i="47"/>
  <c r="N96" i="19"/>
  <c r="N96" i="87"/>
  <c r="N96" i="135"/>
  <c r="N96" i="174"/>
  <c r="N96" i="98"/>
  <c r="N96" i="21"/>
  <c r="N96" i="69"/>
  <c r="N96" i="37"/>
  <c r="N96" i="63"/>
  <c r="N96" i="28"/>
  <c r="N96" i="66"/>
  <c r="N96" i="90"/>
  <c r="N96" i="85"/>
  <c r="N96" i="84"/>
  <c r="N96" i="172"/>
  <c r="N96" i="106"/>
  <c r="N96" i="167"/>
  <c r="N96" i="136"/>
  <c r="N96" i="50"/>
  <c r="N96" i="141"/>
  <c r="N96" i="55"/>
  <c r="N96" i="120"/>
  <c r="N96" i="62"/>
  <c r="N96" i="24"/>
  <c r="N96" i="143"/>
  <c r="N96" i="89"/>
  <c r="N96" i="54"/>
  <c r="N96" i="178"/>
  <c r="N96" i="119"/>
  <c r="N96" i="10"/>
  <c r="N96" i="157"/>
  <c r="N106" i="172"/>
  <c r="N106" i="165"/>
  <c r="N106" i="33"/>
  <c r="N106" i="16"/>
  <c r="N106" i="42"/>
  <c r="N106" i="24"/>
  <c r="N106" i="87"/>
  <c r="N106" i="50"/>
  <c r="N106" i="55"/>
  <c r="N106" i="133"/>
  <c r="N106" i="57"/>
  <c r="N106" i="176"/>
  <c r="N106" i="159"/>
  <c r="N106" i="104"/>
  <c r="N106" i="37"/>
  <c r="N106" i="62"/>
  <c r="N106" i="143"/>
  <c r="N106" i="43"/>
  <c r="N106" i="72"/>
  <c r="N106" i="39"/>
  <c r="N106" i="53"/>
  <c r="N106" i="149"/>
  <c r="N106" i="158"/>
  <c r="N106" i="85"/>
  <c r="N106" i="47"/>
  <c r="N106" i="1"/>
  <c r="N106" i="94"/>
  <c r="N106" i="58"/>
  <c r="N106" i="14"/>
  <c r="N106" i="95"/>
  <c r="N106" i="15"/>
  <c r="N106" i="174"/>
  <c r="N106" i="167"/>
  <c r="N106" i="145"/>
  <c r="N106" i="89"/>
  <c r="N106" i="103"/>
  <c r="N106" i="65"/>
  <c r="N106" i="63"/>
  <c r="N106" i="142"/>
  <c r="N106" i="54"/>
  <c r="N106" i="98"/>
  <c r="N106" i="49"/>
  <c r="N106" i="178"/>
  <c r="N106" i="150"/>
  <c r="N106" i="175"/>
  <c r="N106" i="28"/>
  <c r="N106" i="111"/>
  <c r="N106" i="84"/>
  <c r="N106" i="83"/>
  <c r="N106" i="31"/>
  <c r="N106" i="25"/>
  <c r="N106" i="79"/>
  <c r="N106" i="120"/>
  <c r="N106" i="177"/>
  <c r="N106" i="155"/>
  <c r="N106" i="106"/>
  <c r="N106" i="38"/>
  <c r="N106" i="21"/>
  <c r="N106" i="136"/>
  <c r="N106" i="141"/>
  <c r="N106" i="46"/>
  <c r="N106" i="71"/>
  <c r="N106" i="119"/>
  <c r="N106" i="113"/>
  <c r="N106" i="66"/>
  <c r="N106" i="60"/>
  <c r="N106" i="152"/>
  <c r="N106" i="64"/>
  <c r="N106" i="135"/>
  <c r="N106" i="164"/>
  <c r="N106" i="19"/>
  <c r="N106" i="92"/>
  <c r="N106" i="157"/>
  <c r="N106" i="86"/>
  <c r="N106" i="20"/>
  <c r="N106" i="156"/>
  <c r="N106" i="90"/>
  <c r="N106" i="10"/>
  <c r="N106" i="69"/>
  <c r="N106" i="102"/>
  <c r="N106" i="118"/>
  <c r="N106" i="68"/>
  <c r="N106" i="32"/>
  <c r="N106" i="27"/>
  <c r="N106" i="45"/>
  <c r="N83" i="175"/>
  <c r="N83" i="172"/>
  <c r="N83" i="65"/>
  <c r="N83" i="66"/>
  <c r="N83" i="60"/>
  <c r="N83" i="85"/>
  <c r="N83" i="54"/>
  <c r="N83" i="149"/>
  <c r="N83" i="1"/>
  <c r="N83" i="102"/>
  <c r="N83" i="57"/>
  <c r="N83" i="167"/>
  <c r="N83" i="156"/>
  <c r="N83" i="47"/>
  <c r="N83" i="103"/>
  <c r="N83" i="31"/>
  <c r="N83" i="24"/>
  <c r="N83" i="119"/>
  <c r="N83" i="106"/>
  <c r="N83" i="83"/>
  <c r="N83" i="104"/>
  <c r="N83" i="176"/>
  <c r="N83" i="145"/>
  <c r="N83" i="87"/>
  <c r="N83" i="16"/>
  <c r="N83" i="62"/>
  <c r="N83" i="136"/>
  <c r="N83" i="95"/>
  <c r="N83" i="37"/>
  <c r="N83" i="72"/>
  <c r="N83" i="42"/>
  <c r="N83" i="84"/>
  <c r="N83" i="158"/>
  <c r="N83" i="15"/>
  <c r="N83" i="98"/>
  <c r="N83" i="63"/>
  <c r="N83" i="33"/>
  <c r="N83" i="142"/>
  <c r="N83" i="45"/>
  <c r="N83" i="50"/>
  <c r="N83" i="43"/>
  <c r="N83" i="19"/>
  <c r="N83" i="164"/>
  <c r="N83" i="152"/>
  <c r="N83" i="25"/>
  <c r="N83" i="141"/>
  <c r="N83" i="58"/>
  <c r="N83" i="86"/>
  <c r="N83" i="53"/>
  <c r="N83" i="69"/>
  <c r="N83" i="135"/>
  <c r="N83" i="28"/>
  <c r="N83" i="174"/>
  <c r="N83" i="177"/>
  <c r="N83" i="68"/>
  <c r="N83" i="46"/>
  <c r="N83" i="120"/>
  <c r="N83" i="20"/>
  <c r="N83" i="94"/>
  <c r="N83" i="113"/>
  <c r="N83" i="92"/>
  <c r="N83" i="118"/>
  <c r="N83" i="79"/>
  <c r="N83" i="178"/>
  <c r="N83" i="143"/>
  <c r="N83" i="64"/>
  <c r="N83" i="89"/>
  <c r="N83" i="157"/>
  <c r="N83" i="21"/>
  <c r="N83" i="71"/>
  <c r="N83" i="90"/>
  <c r="N83" i="150"/>
  <c r="N83" i="155"/>
  <c r="N83" i="55"/>
  <c r="N83" i="165"/>
  <c r="N83" i="159"/>
  <c r="N83" i="49"/>
  <c r="N83" i="38"/>
  <c r="N83" i="32"/>
  <c r="N83" i="133"/>
  <c r="N83" i="27"/>
  <c r="N83" i="10"/>
  <c r="N83" i="14"/>
  <c r="N83" i="111"/>
  <c r="N83" i="39"/>
  <c r="N40" i="150"/>
  <c r="N40" i="79"/>
  <c r="N40" i="98"/>
  <c r="N40" i="152"/>
  <c r="N40" i="20"/>
  <c r="N40" i="10"/>
  <c r="N40" i="85"/>
  <c r="N40" i="95"/>
  <c r="N40" i="106"/>
  <c r="N40" i="104"/>
  <c r="N40" i="149"/>
  <c r="N40" i="141"/>
  <c r="N40" i="1"/>
  <c r="N40" i="64"/>
  <c r="N40" i="54"/>
  <c r="N40" i="164"/>
  <c r="N40" i="94"/>
  <c r="N40" i="57"/>
  <c r="N40" i="71"/>
  <c r="N40" i="37"/>
  <c r="N40" i="60"/>
  <c r="N40" i="89"/>
  <c r="N40" i="87"/>
  <c r="N40" i="145"/>
  <c r="N40" i="92"/>
  <c r="N40" i="42"/>
  <c r="N40" i="55"/>
  <c r="N40" i="63"/>
  <c r="N40" i="172"/>
  <c r="N40" i="28"/>
  <c r="N40" i="68"/>
  <c r="N40" i="33"/>
  <c r="N40" i="167"/>
  <c r="N40" i="14"/>
  <c r="N40" i="24"/>
  <c r="N40" i="174"/>
  <c r="N40" i="53"/>
  <c r="N40" i="119"/>
  <c r="N40" i="27"/>
  <c r="N40" i="135"/>
  <c r="N40" i="83"/>
  <c r="N40" i="90"/>
  <c r="N40" i="65"/>
  <c r="N40" i="32"/>
  <c r="N40" i="176"/>
  <c r="N40" i="165"/>
  <c r="N40" i="25"/>
  <c r="N40" i="159"/>
  <c r="N40" i="143"/>
  <c r="N40" i="21"/>
  <c r="N40" i="175"/>
  <c r="N40" i="84"/>
  <c r="N40" i="38"/>
  <c r="N40" i="113"/>
  <c r="N40" i="120"/>
  <c r="N40" i="31"/>
  <c r="N40" i="133"/>
  <c r="N40" i="49"/>
  <c r="N40" i="157"/>
  <c r="N40" i="66"/>
  <c r="N40" i="136"/>
  <c r="N40" i="102"/>
  <c r="N40" i="62"/>
  <c r="N40" i="178"/>
  <c r="N40" i="16"/>
  <c r="N40" i="46"/>
  <c r="N40" i="58"/>
  <c r="N40" i="47"/>
  <c r="N40" i="142"/>
  <c r="N40" i="158"/>
  <c r="N40" i="15"/>
  <c r="N40" i="72"/>
  <c r="N40" i="45"/>
  <c r="N40" i="103"/>
  <c r="N40" i="43"/>
  <c r="N40" i="50"/>
  <c r="N40" i="155"/>
  <c r="N40" i="156"/>
  <c r="N40" i="69"/>
  <c r="N40" i="19"/>
  <c r="N40" i="39"/>
  <c r="N40" i="177"/>
  <c r="N40" i="111"/>
  <c r="N40" i="118"/>
  <c r="N40" i="86"/>
  <c r="N90" i="178"/>
  <c r="N90" i="85"/>
  <c r="N90" i="177"/>
  <c r="N90" i="92"/>
  <c r="N90" i="63"/>
  <c r="N90" i="83"/>
  <c r="N90" i="157"/>
  <c r="N90" i="106"/>
  <c r="N90" i="69"/>
  <c r="N90" i="176"/>
  <c r="N90" i="158"/>
  <c r="N90" i="53"/>
  <c r="N90" i="14"/>
  <c r="N90" i="43"/>
  <c r="N90" i="98"/>
  <c r="N90" i="90"/>
  <c r="N90" i="66"/>
  <c r="N90" i="143"/>
  <c r="N90" i="141"/>
  <c r="N90" i="120"/>
  <c r="N90" i="79"/>
  <c r="N90" i="156"/>
  <c r="N90" i="165"/>
  <c r="N90" i="145"/>
  <c r="N90" i="42"/>
  <c r="N90" i="15"/>
  <c r="N90" i="142"/>
  <c r="N90" i="10"/>
  <c r="N90" i="31"/>
  <c r="N90" i="84"/>
  <c r="N90" i="1"/>
  <c r="N90" i="62"/>
  <c r="N90" i="57"/>
  <c r="N90" i="175"/>
  <c r="N90" i="167"/>
  <c r="N90" i="32"/>
  <c r="N90" i="172"/>
  <c r="N90" i="49"/>
  <c r="N90" i="72"/>
  <c r="N90" i="16"/>
  <c r="N90" i="68"/>
  <c r="N90" i="102"/>
  <c r="N90" i="164"/>
  <c r="N90" i="152"/>
  <c r="N90" i="28"/>
  <c r="N90" i="54"/>
  <c r="N90" i="155"/>
  <c r="N90" i="64"/>
  <c r="N90" i="37"/>
  <c r="N90" i="119"/>
  <c r="N90" i="65"/>
  <c r="N90" i="46"/>
  <c r="N90" i="47"/>
  <c r="N90" i="103"/>
  <c r="N90" i="58"/>
  <c r="N90" i="71"/>
  <c r="N90" i="60"/>
  <c r="N90" i="113"/>
  <c r="N90" i="94"/>
  <c r="N90" i="111"/>
  <c r="N90" i="39"/>
  <c r="N90" i="33"/>
  <c r="N90" i="24"/>
  <c r="N90" i="135"/>
  <c r="N90" i="159"/>
  <c r="N90" i="19"/>
  <c r="N90" i="50"/>
  <c r="N90" i="45"/>
  <c r="N90" i="149"/>
  <c r="N90" i="136"/>
  <c r="N90" i="27"/>
  <c r="N90" i="38"/>
  <c r="N90" i="104"/>
  <c r="N90" i="25"/>
  <c r="N90" i="89"/>
  <c r="N90" i="20"/>
  <c r="N90" i="118"/>
  <c r="N90" i="150"/>
  <c r="N90" i="87"/>
  <c r="N90" i="86"/>
  <c r="N90" i="21"/>
  <c r="N90" i="133"/>
  <c r="N90" i="174"/>
  <c r="N90" i="55"/>
  <c r="N90" i="95"/>
  <c r="N149" i="83"/>
  <c r="N149" i="92"/>
  <c r="N149" i="104"/>
  <c r="N149" i="1"/>
  <c r="N149" i="156"/>
  <c r="N149" i="176"/>
  <c r="N149" i="119"/>
  <c r="N149" i="65"/>
  <c r="N149" i="136"/>
  <c r="N149" i="25"/>
  <c r="N149" i="142"/>
  <c r="N149" i="155"/>
  <c r="N149" i="149"/>
  <c r="N149" i="158"/>
  <c r="N149" i="46"/>
  <c r="N149" i="71"/>
  <c r="N149" i="98"/>
  <c r="N149" i="152"/>
  <c r="N149" i="39"/>
  <c r="N149" i="120"/>
  <c r="N149" i="113"/>
  <c r="N149" i="178"/>
  <c r="N149" i="53"/>
  <c r="N149" i="31"/>
  <c r="N149" i="58"/>
  <c r="N149" i="38"/>
  <c r="N149" i="50"/>
  <c r="N149" i="118"/>
  <c r="N149" i="72"/>
  <c r="N149" i="164"/>
  <c r="N149" i="49"/>
  <c r="N149" i="33"/>
  <c r="N149" i="66"/>
  <c r="N149" i="55"/>
  <c r="N149" i="14"/>
  <c r="N149" i="20"/>
  <c r="N149" i="45"/>
  <c r="N149" i="157"/>
  <c r="N149" i="175"/>
  <c r="N149" i="10"/>
  <c r="N149" i="27"/>
  <c r="N149" i="106"/>
  <c r="N149" i="16"/>
  <c r="N149" i="60"/>
  <c r="N149" i="19"/>
  <c r="N149" i="177"/>
  <c r="N149" i="143"/>
  <c r="N149" i="95"/>
  <c r="N149" i="28"/>
  <c r="N149" i="87"/>
  <c r="N149" i="103"/>
  <c r="N149" i="133"/>
  <c r="N149" i="62"/>
  <c r="N149" i="32"/>
  <c r="N149" i="150"/>
  <c r="N149" i="54"/>
  <c r="N149" i="111"/>
  <c r="N149" i="57"/>
  <c r="N149" i="145"/>
  <c r="N149" i="68"/>
  <c r="N149" i="89"/>
  <c r="N149" i="15"/>
  <c r="N149" i="85"/>
  <c r="N149" i="42"/>
  <c r="N149" i="69"/>
  <c r="N149" i="37"/>
  <c r="N149" i="63"/>
  <c r="N149" i="64"/>
  <c r="N149" i="94"/>
  <c r="N149" i="43"/>
  <c r="N149" i="84"/>
  <c r="N149" i="172"/>
  <c r="N149" i="79"/>
  <c r="N149" i="159"/>
  <c r="N149" i="47"/>
  <c r="N149" i="102"/>
  <c r="N149" i="86"/>
  <c r="N149" i="21"/>
  <c r="N149" i="141"/>
  <c r="N149" i="135"/>
  <c r="N149" i="165"/>
  <c r="N149" i="167"/>
  <c r="N149" i="90"/>
  <c r="N149" i="174"/>
  <c r="N149" i="24"/>
  <c r="N160" i="118"/>
  <c r="N160" i="46"/>
  <c r="N160" i="60"/>
  <c r="N160" i="92"/>
  <c r="N160" i="27"/>
  <c r="N160" i="177"/>
  <c r="N160" i="136"/>
  <c r="N160" i="111"/>
  <c r="N160" i="157"/>
  <c r="N160" i="14"/>
  <c r="N160" i="172"/>
  <c r="N160" i="95"/>
  <c r="N160" i="155"/>
  <c r="N160" i="83"/>
  <c r="N160" i="19"/>
  <c r="N160" i="15"/>
  <c r="N160" i="149"/>
  <c r="N160" i="71"/>
  <c r="N160" i="150"/>
  <c r="N160" i="133"/>
  <c r="N160" i="33"/>
  <c r="N160" i="178"/>
  <c r="N160" i="102"/>
  <c r="N160" i="25"/>
  <c r="N160" i="174"/>
  <c r="N160" i="72"/>
  <c r="N160" i="20"/>
  <c r="N160" i="54"/>
  <c r="N160" i="158"/>
  <c r="N160" i="89"/>
  <c r="N160" i="142"/>
  <c r="N160" i="28"/>
  <c r="N160" i="165"/>
  <c r="N160" i="85"/>
  <c r="N160" i="37"/>
  <c r="N160" i="103"/>
  <c r="N160" i="113"/>
  <c r="N160" i="94"/>
  <c r="N160" i="45"/>
  <c r="N160" i="38"/>
  <c r="N160" i="10"/>
  <c r="N160" i="66"/>
  <c r="N160" i="69"/>
  <c r="N160" i="152"/>
  <c r="N160" i="104"/>
  <c r="N160" i="58"/>
  <c r="N160" i="175"/>
  <c r="N160" i="156"/>
  <c r="N160" i="90"/>
  <c r="N160" i="16"/>
  <c r="N160" i="106"/>
  <c r="N160" i="49"/>
  <c r="N160" i="50"/>
  <c r="N160" i="1"/>
  <c r="N160" i="120"/>
  <c r="N160" i="31"/>
  <c r="N160" i="98"/>
  <c r="N160" i="84"/>
  <c r="N160" i="21"/>
  <c r="N160" i="164"/>
  <c r="N160" i="135"/>
  <c r="N160" i="64"/>
  <c r="N160" i="68"/>
  <c r="N160" i="119"/>
  <c r="N160" i="63"/>
  <c r="N160" i="86"/>
  <c r="N160" i="39"/>
  <c r="N160" i="32"/>
  <c r="N160" i="65"/>
  <c r="N160" i="87"/>
  <c r="N160" i="47"/>
  <c r="N160" i="53"/>
  <c r="N160" i="43"/>
  <c r="N160" i="62"/>
  <c r="N160" i="57"/>
  <c r="N160" i="24"/>
  <c r="N160" i="79"/>
  <c r="N160" i="167"/>
  <c r="N160" i="145"/>
  <c r="N160" i="159"/>
  <c r="N160" i="176"/>
  <c r="N160" i="42"/>
  <c r="N160" i="141"/>
  <c r="N160" i="55"/>
  <c r="N160" i="143"/>
  <c r="N148" i="21"/>
  <c r="N148" i="43"/>
  <c r="N148" i="19"/>
  <c r="N148" i="55"/>
  <c r="N148" i="156"/>
  <c r="N148" i="177"/>
  <c r="N148" i="71"/>
  <c r="N148" i="145"/>
  <c r="N148" i="10"/>
  <c r="N148" i="143"/>
  <c r="N148" i="54"/>
  <c r="N148" i="84"/>
  <c r="N148" i="165"/>
  <c r="N148" i="16"/>
  <c r="N148" i="69"/>
  <c r="N148" i="95"/>
  <c r="N148" i="136"/>
  <c r="N148" i="157"/>
  <c r="N148" i="42"/>
  <c r="N148" i="174"/>
  <c r="N148" i="15"/>
  <c r="N148" i="63"/>
  <c r="N148" i="86"/>
  <c r="N148" i="111"/>
  <c r="N148" i="27"/>
  <c r="N148" i="103"/>
  <c r="N148" i="150"/>
  <c r="N148" i="176"/>
  <c r="N148" i="113"/>
  <c r="N148" i="72"/>
  <c r="N148" i="24"/>
  <c r="N148" i="83"/>
  <c r="N148" i="47"/>
  <c r="N148" i="142"/>
  <c r="N148" i="135"/>
  <c r="N148" i="104"/>
  <c r="N148" i="65"/>
  <c r="N148" i="66"/>
  <c r="N148" i="60"/>
  <c r="N148" i="31"/>
  <c r="N148" i="46"/>
  <c r="N148" i="164"/>
  <c r="N148" i="175"/>
  <c r="N148" i="79"/>
  <c r="N148" i="49"/>
  <c r="N148" i="118"/>
  <c r="N148" i="119"/>
  <c r="N148" i="14"/>
  <c r="N148" i="37"/>
  <c r="N148" i="45"/>
  <c r="N148" i="120"/>
  <c r="N148" i="38"/>
  <c r="N148" i="87"/>
  <c r="N148" i="53"/>
  <c r="N148" i="141"/>
  <c r="N148" i="106"/>
  <c r="N148" i="62"/>
  <c r="N148" i="57"/>
  <c r="N148" i="167"/>
  <c r="N148" i="32"/>
  <c r="N148" i="64"/>
  <c r="N148" i="85"/>
  <c r="N148" i="20"/>
  <c r="N148" i="149"/>
  <c r="N148" i="58"/>
  <c r="N148" i="92"/>
  <c r="N148" i="133"/>
  <c r="N148" i="102"/>
  <c r="N148" i="25"/>
  <c r="N148" i="1"/>
  <c r="N148" i="152"/>
  <c r="N148" i="178"/>
  <c r="N148" i="89"/>
  <c r="N148" i="68"/>
  <c r="N148" i="158"/>
  <c r="N148" i="172"/>
  <c r="N148" i="98"/>
  <c r="N148" i="90"/>
  <c r="N148" i="28"/>
  <c r="N148" i="50"/>
  <c r="N148" i="33"/>
  <c r="N148" i="159"/>
  <c r="N148" i="39"/>
  <c r="N148" i="155"/>
  <c r="N148" i="94"/>
  <c r="N69" i="176"/>
  <c r="N69" i="155"/>
  <c r="N69" i="31"/>
  <c r="N69" i="19"/>
  <c r="N69" i="58"/>
  <c r="N69" i="90"/>
  <c r="N69" i="133"/>
  <c r="N69" i="95"/>
  <c r="N69" i="158"/>
  <c r="N69" i="159"/>
  <c r="N69" i="42"/>
  <c r="N69" i="172"/>
  <c r="N69" i="68"/>
  <c r="N69" i="87"/>
  <c r="N69" i="46"/>
  <c r="N69" i="33"/>
  <c r="N69" i="94"/>
  <c r="N69" i="106"/>
  <c r="N69" i="14"/>
  <c r="N69" i="21"/>
  <c r="N69" i="92"/>
  <c r="N69" i="174"/>
  <c r="N69" i="165"/>
  <c r="N69" i="16"/>
  <c r="N69" i="98"/>
  <c r="N69" i="37"/>
  <c r="N69" i="118"/>
  <c r="N69" i="47"/>
  <c r="N69" i="28"/>
  <c r="N69" i="65"/>
  <c r="N69" i="24"/>
  <c r="N69" i="55"/>
  <c r="N69" i="152"/>
  <c r="N69" i="84"/>
  <c r="N69" i="1"/>
  <c r="N69" i="156"/>
  <c r="N69" i="25"/>
  <c r="N69" i="102"/>
  <c r="N69" i="83"/>
  <c r="N69" i="135"/>
  <c r="N69" i="120"/>
  <c r="N69" i="136"/>
  <c r="N69" i="157"/>
  <c r="N69" i="62"/>
  <c r="N69" i="142"/>
  <c r="N69" i="104"/>
  <c r="N69" i="64"/>
  <c r="N69" i="49"/>
  <c r="N69" i="85"/>
  <c r="N69" i="57"/>
  <c r="N69" i="45"/>
  <c r="N69" i="72"/>
  <c r="N69" i="177"/>
  <c r="N69" i="175"/>
  <c r="N69" i="141"/>
  <c r="N69" i="149"/>
  <c r="N69" i="66"/>
  <c r="N69" i="69"/>
  <c r="N69" i="167"/>
  <c r="N69" i="79"/>
  <c r="N69" i="103"/>
  <c r="N69" i="86"/>
  <c r="N69" i="20"/>
  <c r="N69" i="178"/>
  <c r="N69" i="143"/>
  <c r="N69" i="38"/>
  <c r="N69" i="10"/>
  <c r="N69" i="150"/>
  <c r="N69" i="111"/>
  <c r="N69" i="15"/>
  <c r="N69" i="39"/>
  <c r="N69" i="89"/>
  <c r="N69" i="27"/>
  <c r="N69" i="32"/>
  <c r="N69" i="164"/>
  <c r="N69" i="145"/>
  <c r="N69" i="119"/>
  <c r="N69" i="54"/>
  <c r="N69" i="71"/>
  <c r="N69" i="50"/>
  <c r="N69" i="53"/>
  <c r="N69" i="63"/>
  <c r="N69" i="60"/>
  <c r="N69" i="43"/>
  <c r="N69" i="113"/>
  <c r="N132" i="178"/>
  <c r="N132" i="176"/>
  <c r="N132" i="165"/>
  <c r="N132" i="15"/>
  <c r="N132" i="94"/>
  <c r="N132" i="47"/>
  <c r="N132" i="72"/>
  <c r="N132" i="103"/>
  <c r="N132" i="118"/>
  <c r="N132" i="45"/>
  <c r="N132" i="66"/>
  <c r="N132" i="31"/>
  <c r="N132" i="1"/>
  <c r="N132" i="92"/>
  <c r="N132" i="177"/>
  <c r="N132" i="167"/>
  <c r="N132" i="156"/>
  <c r="N132" i="58"/>
  <c r="N132" i="39"/>
  <c r="N132" i="113"/>
  <c r="N132" i="150"/>
  <c r="N132" i="63"/>
  <c r="N132" i="38"/>
  <c r="N132" i="155"/>
  <c r="N132" i="62"/>
  <c r="N132" i="90"/>
  <c r="N132" i="98"/>
  <c r="N132" i="104"/>
  <c r="N132" i="43"/>
  <c r="N132" i="10"/>
  <c r="N132" i="65"/>
  <c r="N132" i="157"/>
  <c r="N132" i="20"/>
  <c r="N132" i="37"/>
  <c r="N132" i="33"/>
  <c r="N132" i="21"/>
  <c r="N132" i="24"/>
  <c r="N132" i="95"/>
  <c r="N132" i="49"/>
  <c r="N132" i="164"/>
  <c r="N132" i="133"/>
  <c r="N132" i="46"/>
  <c r="N132" i="84"/>
  <c r="N132" i="16"/>
  <c r="N132" i="71"/>
  <c r="N132" i="86"/>
  <c r="N132" i="175"/>
  <c r="N132" i="68"/>
  <c r="N132" i="79"/>
  <c r="N132" i="87"/>
  <c r="N132" i="25"/>
  <c r="N132" i="32"/>
  <c r="N132" i="145"/>
  <c r="N132" i="89"/>
  <c r="N132" i="60"/>
  <c r="N132" i="42"/>
  <c r="N132" i="120"/>
  <c r="N132" i="55"/>
  <c r="N132" i="28"/>
  <c r="N132" i="149"/>
  <c r="N132" i="152"/>
  <c r="N132" i="83"/>
  <c r="N132" i="135"/>
  <c r="N132" i="111"/>
  <c r="N132" i="106"/>
  <c r="N132" i="159"/>
  <c r="N132" i="143"/>
  <c r="N132" i="19"/>
  <c r="N132" i="141"/>
  <c r="N132" i="136"/>
  <c r="N132" i="50"/>
  <c r="N132" i="57"/>
  <c r="N132" i="64"/>
  <c r="N132" i="69"/>
  <c r="N132" i="172"/>
  <c r="N132" i="54"/>
  <c r="N132" i="27"/>
  <c r="N132" i="53"/>
  <c r="N132" i="14"/>
  <c r="N132" i="102"/>
  <c r="N132" i="174"/>
  <c r="N132" i="85"/>
  <c r="N132" i="158"/>
  <c r="N132" i="119"/>
  <c r="N132" i="142"/>
  <c r="N84" i="178"/>
  <c r="N84" i="156"/>
  <c r="N84" i="38"/>
  <c r="N84" i="60"/>
  <c r="N84" i="37"/>
  <c r="N84" i="28"/>
  <c r="N84" i="83"/>
  <c r="N84" i="62"/>
  <c r="N84" i="106"/>
  <c r="N84" i="49"/>
  <c r="N84" i="142"/>
  <c r="N84" i="165"/>
  <c r="N84" i="119"/>
  <c r="N84" i="14"/>
  <c r="N84" i="157"/>
  <c r="N84" i="86"/>
  <c r="N84" i="120"/>
  <c r="N84" i="19"/>
  <c r="N84" i="159"/>
  <c r="N84" i="42"/>
  <c r="N84" i="27"/>
  <c r="N84" i="33"/>
  <c r="N84" i="174"/>
  <c r="N84" i="150"/>
  <c r="N84" i="133"/>
  <c r="N84" i="39"/>
  <c r="N84" i="103"/>
  <c r="N84" i="145"/>
  <c r="N84" i="45"/>
  <c r="N84" i="65"/>
  <c r="N84" i="31"/>
  <c r="N84" i="54"/>
  <c r="N84" i="158"/>
  <c r="N84" i="176"/>
  <c r="N84" i="66"/>
  <c r="N84" i="143"/>
  <c r="N84" i="47"/>
  <c r="N84" i="104"/>
  <c r="N84" i="94"/>
  <c r="N84" i="92"/>
  <c r="N84" i="95"/>
  <c r="N84" i="15"/>
  <c r="N84" i="149"/>
  <c r="N84" i="167"/>
  <c r="N84" i="71"/>
  <c r="N84" i="32"/>
  <c r="N84" i="10"/>
  <c r="N84" i="24"/>
  <c r="N84" i="98"/>
  <c r="N84" i="87"/>
  <c r="N84" i="177"/>
  <c r="N84" i="20"/>
  <c r="N84" i="64"/>
  <c r="N84" i="50"/>
  <c r="N84" i="152"/>
  <c r="N84" i="16"/>
  <c r="N84" i="57"/>
  <c r="N84" i="111"/>
  <c r="N84" i="89"/>
  <c r="N84" i="63"/>
  <c r="N84" i="84"/>
  <c r="N84" i="1"/>
  <c r="N84" i="69"/>
  <c r="N84" i="135"/>
  <c r="N84" i="164"/>
  <c r="N84" i="113"/>
  <c r="N84" i="118"/>
  <c r="N84" i="155"/>
  <c r="N84" i="85"/>
  <c r="N84" i="55"/>
  <c r="N84" i="79"/>
  <c r="N84" i="21"/>
  <c r="N84" i="58"/>
  <c r="N84" i="43"/>
  <c r="N84" i="175"/>
  <c r="N84" i="53"/>
  <c r="N84" i="46"/>
  <c r="N84" i="25"/>
  <c r="N84" i="136"/>
  <c r="N84" i="72"/>
  <c r="N84" i="141"/>
  <c r="N84" i="90"/>
  <c r="N84" i="102"/>
  <c r="N84" i="172"/>
  <c r="N84" i="68"/>
  <c r="N72" i="177"/>
  <c r="N72" i="113"/>
  <c r="N72" i="27"/>
  <c r="N72" i="45"/>
  <c r="N72" i="156"/>
  <c r="N72" i="62"/>
  <c r="N72" i="145"/>
  <c r="N72" i="92"/>
  <c r="N72" i="120"/>
  <c r="N72" i="20"/>
  <c r="N72" i="79"/>
  <c r="N72" i="72"/>
  <c r="N72" i="39"/>
  <c r="N72" i="15"/>
  <c r="N72" i="157"/>
  <c r="N72" i="111"/>
  <c r="N72" i="135"/>
  <c r="N72" i="1"/>
  <c r="N72" i="38"/>
  <c r="N72" i="55"/>
  <c r="N72" i="95"/>
  <c r="N72" i="106"/>
  <c r="N72" i="42"/>
  <c r="N72" i="167"/>
  <c r="N72" i="63"/>
  <c r="N72" i="57"/>
  <c r="N72" i="172"/>
  <c r="N72" i="142"/>
  <c r="N72" i="86"/>
  <c r="N72" i="65"/>
  <c r="N72" i="98"/>
  <c r="N72" i="104"/>
  <c r="N72" i="176"/>
  <c r="N72" i="43"/>
  <c r="N72" i="103"/>
  <c r="N72" i="53"/>
  <c r="N72" i="37"/>
  <c r="N72" i="19"/>
  <c r="N72" i="155"/>
  <c r="N72" i="66"/>
  <c r="N72" i="60"/>
  <c r="N72" i="90"/>
  <c r="N72" i="152"/>
  <c r="N72" i="164"/>
  <c r="N72" i="68"/>
  <c r="N72" i="159"/>
  <c r="N72" i="149"/>
  <c r="N72" i="16"/>
  <c r="N72" i="25"/>
  <c r="N72" i="141"/>
  <c r="N72" i="71"/>
  <c r="N72" i="136"/>
  <c r="N72" i="174"/>
  <c r="N72" i="33"/>
  <c r="N72" i="49"/>
  <c r="N72" i="119"/>
  <c r="N72" i="118"/>
  <c r="N72" i="84"/>
  <c r="N72" i="54"/>
  <c r="N72" i="69"/>
  <c r="N72" i="32"/>
  <c r="N72" i="133"/>
  <c r="N72" i="83"/>
  <c r="N72" i="175"/>
  <c r="N72" i="46"/>
  <c r="N72" i="150"/>
  <c r="N72" i="178"/>
  <c r="N72" i="31"/>
  <c r="N72" i="102"/>
  <c r="N72" i="58"/>
  <c r="N72" i="14"/>
  <c r="N72" i="165"/>
  <c r="N72" i="64"/>
  <c r="N72" i="143"/>
  <c r="N72" i="158"/>
  <c r="N72" i="47"/>
  <c r="N72" i="94"/>
  <c r="N72" i="87"/>
  <c r="N72" i="28"/>
  <c r="N72" i="89"/>
  <c r="N72" i="85"/>
  <c r="N72" i="24"/>
  <c r="N72" i="10"/>
  <c r="N72" i="50"/>
  <c r="N72" i="21"/>
  <c r="N107" i="178"/>
  <c r="N107" i="55"/>
  <c r="N107" i="158"/>
  <c r="N107" i="14"/>
  <c r="N107" i="145"/>
  <c r="N107" i="118"/>
  <c r="N107" i="38"/>
  <c r="N107" i="42"/>
  <c r="N107" i="102"/>
  <c r="N107" i="60"/>
  <c r="N107" i="172"/>
  <c r="N107" i="156"/>
  <c r="N107" i="111"/>
  <c r="N107" i="33"/>
  <c r="N107" i="98"/>
  <c r="N107" i="71"/>
  <c r="N107" i="85"/>
  <c r="N107" i="104"/>
  <c r="N107" i="27"/>
  <c r="N107" i="39"/>
  <c r="N107" i="94"/>
  <c r="N107" i="86"/>
  <c r="N107" i="28"/>
  <c r="N107" i="103"/>
  <c r="N107" i="31"/>
  <c r="N107" i="47"/>
  <c r="N107" i="133"/>
  <c r="N107" i="64"/>
  <c r="N107" i="43"/>
  <c r="N107" i="10"/>
  <c r="N107" i="90"/>
  <c r="N107" i="15"/>
  <c r="N107" i="92"/>
  <c r="N107" i="159"/>
  <c r="N107" i="46"/>
  <c r="N107" i="142"/>
  <c r="N107" i="19"/>
  <c r="N107" i="155"/>
  <c r="N107" i="68"/>
  <c r="N107" i="136"/>
  <c r="N107" i="72"/>
  <c r="N107" i="119"/>
  <c r="N107" i="20"/>
  <c r="N107" i="174"/>
  <c r="N107" i="84"/>
  <c r="N107" i="16"/>
  <c r="N107" i="62"/>
  <c r="N107" i="63"/>
  <c r="N107" i="57"/>
  <c r="N107" i="164"/>
  <c r="N107" i="66"/>
  <c r="N107" i="21"/>
  <c r="N107" i="89"/>
  <c r="N107" i="45"/>
  <c r="N107" i="150"/>
  <c r="N107" i="167"/>
  <c r="N107" i="54"/>
  <c r="N107" i="83"/>
  <c r="N107" i="37"/>
  <c r="N107" i="149"/>
  <c r="N107" i="32"/>
  <c r="N107" i="58"/>
  <c r="N107" i="113"/>
  <c r="N107" i="152"/>
  <c r="N107" i="53"/>
  <c r="N107" i="157"/>
  <c r="N107" i="79"/>
  <c r="N107" i="177"/>
  <c r="N107" i="141"/>
  <c r="N107" i="175"/>
  <c r="N107" i="106"/>
  <c r="N107" i="50"/>
  <c r="N107" i="65"/>
  <c r="N107" i="49"/>
  <c r="N107" i="25"/>
  <c r="N107" i="1"/>
  <c r="N107" i="143"/>
  <c r="N107" i="95"/>
  <c r="N107" i="24"/>
  <c r="N107" i="120"/>
  <c r="N107" i="87"/>
  <c r="N107" i="176"/>
  <c r="N107" i="69"/>
  <c r="N107" i="135"/>
  <c r="N107" i="165"/>
  <c r="N135" i="178"/>
  <c r="N135" i="31"/>
  <c r="N135" i="159"/>
  <c r="N135" i="83"/>
  <c r="N135" i="95"/>
  <c r="N135" i="71"/>
  <c r="N135" i="19"/>
  <c r="N135" i="14"/>
  <c r="N135" i="79"/>
  <c r="N135" i="15"/>
  <c r="N135" i="86"/>
  <c r="N135" i="98"/>
  <c r="N135" i="50"/>
  <c r="N135" i="54"/>
  <c r="N135" i="46"/>
  <c r="N135" i="37"/>
  <c r="N135" i="158"/>
  <c r="N135" i="104"/>
  <c r="N135" i="164"/>
  <c r="N135" i="165"/>
  <c r="N135" i="150"/>
  <c r="N135" i="142"/>
  <c r="N135" i="155"/>
  <c r="N135" i="64"/>
  <c r="N135" i="119"/>
  <c r="N135" i="145"/>
  <c r="N135" i="94"/>
  <c r="N135" i="28"/>
  <c r="N135" i="10"/>
  <c r="N135" i="68"/>
  <c r="N135" i="141"/>
  <c r="N135" i="136"/>
  <c r="N135" i="24"/>
  <c r="N135" i="47"/>
  <c r="N135" i="38"/>
  <c r="N135" i="172"/>
  <c r="N135" i="106"/>
  <c r="N135" i="33"/>
  <c r="N135" i="176"/>
  <c r="N135" i="143"/>
  <c r="N135" i="133"/>
  <c r="N135" i="21"/>
  <c r="N135" i="60"/>
  <c r="N135" i="87"/>
  <c r="N135" i="89"/>
  <c r="N135" i="25"/>
  <c r="N135" i="16"/>
  <c r="N135" i="157"/>
  <c r="N135" i="49"/>
  <c r="N135" i="72"/>
  <c r="N135" i="135"/>
  <c r="N135" i="27"/>
  <c r="N135" i="20"/>
  <c r="N135" i="167"/>
  <c r="N135" i="156"/>
  <c r="N135" i="174"/>
  <c r="N135" i="120"/>
  <c r="N135" i="177"/>
  <c r="N135" i="90"/>
  <c r="N135" i="118"/>
  <c r="N135" i="42"/>
  <c r="N135" i="55"/>
  <c r="N135" i="39"/>
  <c r="N135" i="69"/>
  <c r="N135" i="92"/>
  <c r="N135" i="85"/>
  <c r="N135" i="32"/>
  <c r="N135" i="103"/>
  <c r="N135" i="53"/>
  <c r="N135" i="111"/>
  <c r="N135" i="62"/>
  <c r="N135" i="45"/>
  <c r="N135" i="66"/>
  <c r="N135" i="1"/>
  <c r="N135" i="152"/>
  <c r="N135" i="84"/>
  <c r="N135" i="58"/>
  <c r="N135" i="149"/>
  <c r="N135" i="43"/>
  <c r="N135" i="102"/>
  <c r="N135" i="57"/>
  <c r="N135" i="113"/>
  <c r="N135" i="65"/>
  <c r="N135" i="63"/>
  <c r="N135" i="175"/>
  <c r="N27" i="178"/>
  <c r="N27" i="135"/>
  <c r="N27" i="37"/>
  <c r="N27" i="46"/>
  <c r="N27" i="20"/>
  <c r="N27" i="85"/>
  <c r="N27" i="102"/>
  <c r="N27" i="177"/>
  <c r="N27" i="98"/>
  <c r="N27" i="15"/>
  <c r="N27" i="106"/>
  <c r="N27" i="149"/>
  <c r="N27" i="60"/>
  <c r="N27" i="33"/>
  <c r="N27" i="38"/>
  <c r="N27" i="150"/>
  <c r="N27" i="175"/>
  <c r="N27" i="10"/>
  <c r="N27" i="119"/>
  <c r="N27" i="92"/>
  <c r="N27" i="54"/>
  <c r="N27" i="104"/>
  <c r="N27" i="176"/>
  <c r="N27" i="47"/>
  <c r="N27" i="68"/>
  <c r="N27" i="156"/>
  <c r="N27" i="136"/>
  <c r="N27" i="167"/>
  <c r="N27" i="64"/>
  <c r="N27" i="84"/>
  <c r="N27" i="19"/>
  <c r="N27" i="28"/>
  <c r="N27" i="50"/>
  <c r="N27" i="71"/>
  <c r="N27" i="143"/>
  <c r="N27" i="103"/>
  <c r="N27" i="133"/>
  <c r="N27" i="1"/>
  <c r="N27" i="65"/>
  <c r="N27" i="157"/>
  <c r="N27" i="63"/>
  <c r="N27" i="158"/>
  <c r="N27" i="45"/>
  <c r="N27" i="79"/>
  <c r="N27" i="141"/>
  <c r="N27" i="57"/>
  <c r="N27" i="58"/>
  <c r="N27" i="53"/>
  <c r="N27" i="83"/>
  <c r="N27" i="24"/>
  <c r="N27" i="95"/>
  <c r="N27" i="172"/>
  <c r="N27" i="72"/>
  <c r="N27" i="111"/>
  <c r="N27" i="120"/>
  <c r="N27" i="66"/>
  <c r="N27" i="62"/>
  <c r="N27" i="55"/>
  <c r="N27" i="86"/>
  <c r="N27" i="49"/>
  <c r="N27" i="174"/>
  <c r="N27" i="87"/>
  <c r="N27" i="113"/>
  <c r="N27" i="152"/>
  <c r="N27" i="39"/>
  <c r="N27" i="159"/>
  <c r="N27" i="165"/>
  <c r="N27" i="27"/>
  <c r="N27" i="31"/>
  <c r="N27" i="69"/>
  <c r="N27" i="14"/>
  <c r="N27" i="89"/>
  <c r="N27" i="155"/>
  <c r="N27" i="43"/>
  <c r="N27" i="42"/>
  <c r="N27" i="16"/>
  <c r="N27" i="142"/>
  <c r="N27" i="94"/>
  <c r="N27" i="25"/>
  <c r="N27" i="164"/>
  <c r="N27" i="118"/>
  <c r="N27" i="90"/>
  <c r="N27" i="21"/>
  <c r="N27" i="32"/>
  <c r="N27" i="145"/>
  <c r="N93" i="64"/>
  <c r="O93" i="64"/>
  <c r="N93" i="69"/>
  <c r="O93" i="69"/>
  <c r="N93" i="159"/>
  <c r="O93" i="159"/>
  <c r="N93" i="86"/>
  <c r="O93" i="86"/>
  <c r="N93" i="158"/>
  <c r="O93" i="158"/>
  <c r="N93" i="102"/>
  <c r="O93" i="102"/>
  <c r="N93" i="84"/>
  <c r="O93" i="84"/>
  <c r="N93" i="25"/>
  <c r="O93" i="25"/>
  <c r="N93" i="119"/>
  <c r="O93" i="119"/>
  <c r="N93" i="39"/>
  <c r="O93" i="39"/>
  <c r="N93" i="31"/>
  <c r="O93" i="31"/>
  <c r="N93" i="155"/>
  <c r="O93" i="155"/>
  <c r="N93" i="21"/>
  <c r="O93" i="21"/>
  <c r="N93" i="143"/>
  <c r="O93" i="143"/>
  <c r="N93" i="164"/>
  <c r="O93" i="164"/>
  <c r="N93" i="145"/>
  <c r="O93" i="145"/>
  <c r="N93" i="165"/>
  <c r="O93" i="165"/>
  <c r="N93" i="92"/>
  <c r="O93" i="92"/>
  <c r="N93" i="98"/>
  <c r="O93" i="98"/>
  <c r="N93" i="27"/>
  <c r="O93" i="27"/>
  <c r="N93" i="14"/>
  <c r="O93" i="14"/>
  <c r="N93" i="106"/>
  <c r="O93" i="106"/>
  <c r="N93" i="113"/>
  <c r="O93" i="113"/>
  <c r="N93" i="71"/>
  <c r="O93" i="71"/>
  <c r="N93" i="111"/>
  <c r="O93" i="111"/>
  <c r="N93" i="176"/>
  <c r="O93" i="176"/>
  <c r="N93" i="79"/>
  <c r="O93" i="79"/>
  <c r="N93" i="50"/>
  <c r="O93" i="50"/>
  <c r="N93" i="58"/>
  <c r="O93" i="58"/>
  <c r="N93" i="133"/>
  <c r="O93" i="133"/>
  <c r="N93" i="142"/>
  <c r="O93" i="142"/>
  <c r="N93" i="103"/>
  <c r="O93" i="103"/>
  <c r="N93" i="178"/>
  <c r="O93" i="178"/>
  <c r="N93" i="94"/>
  <c r="O93" i="94"/>
  <c r="N93" i="141"/>
  <c r="O93" i="141"/>
  <c r="N93" i="136"/>
  <c r="O93" i="136"/>
  <c r="N93" i="15"/>
  <c r="O93" i="15"/>
  <c r="N93" i="63"/>
  <c r="O93" i="63"/>
  <c r="N93" i="49"/>
  <c r="O93" i="49"/>
  <c r="N93" i="32"/>
  <c r="O93" i="32"/>
  <c r="N93" i="87"/>
  <c r="O93" i="87"/>
  <c r="N93" i="43"/>
  <c r="O93" i="43"/>
  <c r="N93" i="174"/>
  <c r="O93" i="174"/>
  <c r="N93" i="53"/>
  <c r="O93" i="53"/>
  <c r="N93" i="157"/>
  <c r="O93" i="157"/>
  <c r="N93" i="152"/>
  <c r="O93" i="152"/>
  <c r="N93" i="10"/>
  <c r="O93" i="10"/>
  <c r="N93" i="120"/>
  <c r="O93" i="120"/>
  <c r="N93" i="68"/>
  <c r="O93" i="68"/>
  <c r="N93" i="149"/>
  <c r="O93" i="149"/>
  <c r="N93" i="95"/>
  <c r="O93" i="95"/>
  <c r="N93" i="177"/>
  <c r="O93" i="177"/>
  <c r="N93" i="62"/>
  <c r="O93" i="62"/>
  <c r="N93" i="42"/>
  <c r="O93" i="42"/>
  <c r="N93" i="65"/>
  <c r="O93" i="65"/>
  <c r="N93" i="90"/>
  <c r="O93" i="90"/>
  <c r="N93" i="104"/>
  <c r="O93" i="104"/>
  <c r="N93" i="54"/>
  <c r="O93" i="54"/>
  <c r="N93" i="20"/>
  <c r="O93" i="20"/>
  <c r="N93" i="45"/>
  <c r="O93" i="45"/>
  <c r="N93" i="167"/>
  <c r="O93" i="167"/>
  <c r="N93" i="150"/>
  <c r="O93" i="150"/>
  <c r="N93" i="38"/>
  <c r="O93" i="38"/>
  <c r="N93" i="24"/>
  <c r="O93" i="24"/>
  <c r="N93" i="33"/>
  <c r="O93" i="33"/>
  <c r="N93" i="47"/>
  <c r="O93" i="47"/>
  <c r="N93" i="19"/>
  <c r="O93" i="19"/>
  <c r="N93" i="46"/>
  <c r="O93" i="46"/>
  <c r="N93" i="156"/>
  <c r="O93" i="156"/>
  <c r="N93" i="66"/>
  <c r="O93" i="66"/>
  <c r="N93" i="1"/>
  <c r="O93" i="1"/>
  <c r="N93" i="85"/>
  <c r="O93" i="85"/>
  <c r="N93" i="118"/>
  <c r="O93" i="118"/>
  <c r="N93" i="57"/>
  <c r="O93" i="57"/>
  <c r="N93" i="83"/>
  <c r="O93" i="83"/>
  <c r="N93" i="60"/>
  <c r="O93" i="60"/>
  <c r="N93" i="37"/>
  <c r="O93" i="37"/>
  <c r="N93" i="135"/>
  <c r="O93" i="135"/>
  <c r="N93" i="16"/>
  <c r="O93" i="16"/>
  <c r="N93" i="172"/>
  <c r="O93" i="172"/>
  <c r="N93" i="55"/>
  <c r="O93" i="55"/>
  <c r="N93" i="175"/>
  <c r="O93" i="175"/>
  <c r="N93" i="89"/>
  <c r="O93" i="89"/>
  <c r="N93" i="28"/>
  <c r="O93" i="28"/>
  <c r="N93" i="72"/>
  <c r="O93" i="72"/>
  <c r="N99" i="176"/>
  <c r="N99" i="150"/>
  <c r="N99" i="118"/>
  <c r="N99" i="142"/>
  <c r="N99" i="1"/>
  <c r="N99" i="119"/>
  <c r="N99" i="45"/>
  <c r="N99" i="63"/>
  <c r="N99" i="104"/>
  <c r="N99" i="86"/>
  <c r="N99" i="174"/>
  <c r="N99" i="155"/>
  <c r="N99" i="57"/>
  <c r="N99" i="47"/>
  <c r="N99" i="68"/>
  <c r="N99" i="15"/>
  <c r="N99" i="10"/>
  <c r="N99" i="65"/>
  <c r="N99" i="143"/>
  <c r="N99" i="42"/>
  <c r="N99" i="24"/>
  <c r="N99" i="178"/>
  <c r="N99" i="156"/>
  <c r="N99" i="72"/>
  <c r="N99" i="62"/>
  <c r="N99" i="149"/>
  <c r="N99" i="98"/>
  <c r="N99" i="90"/>
  <c r="N99" i="32"/>
  <c r="N99" i="49"/>
  <c r="N99" i="54"/>
  <c r="N99" i="21"/>
  <c r="N99" i="165"/>
  <c r="N99" i="157"/>
  <c r="N99" i="79"/>
  <c r="N99" i="37"/>
  <c r="N99" i="120"/>
  <c r="N99" i="46"/>
  <c r="N99" i="83"/>
  <c r="N99" i="113"/>
  <c r="N99" i="102"/>
  <c r="N99" i="69"/>
  <c r="N99" i="19"/>
  <c r="N99" i="177"/>
  <c r="N99" i="164"/>
  <c r="N99" i="38"/>
  <c r="N99" i="43"/>
  <c r="N99" i="136"/>
  <c r="N99" i="58"/>
  <c r="N99" i="175"/>
  <c r="N99" i="87"/>
  <c r="N99" i="60"/>
  <c r="N99" i="20"/>
  <c r="N99" i="89"/>
  <c r="N99" i="152"/>
  <c r="N99" i="159"/>
  <c r="N99" i="92"/>
  <c r="N99" i="111"/>
  <c r="N99" i="55"/>
  <c r="N99" i="141"/>
  <c r="N99" i="53"/>
  <c r="N99" i="50"/>
  <c r="N99" i="94"/>
  <c r="N99" i="66"/>
  <c r="N99" i="172"/>
  <c r="N99" i="158"/>
  <c r="N99" i="16"/>
  <c r="N99" i="28"/>
  <c r="N99" i="64"/>
  <c r="N99" i="84"/>
  <c r="N99" i="85"/>
  <c r="N99" i="27"/>
  <c r="N99" i="25"/>
  <c r="N99" i="95"/>
  <c r="N99" i="31"/>
  <c r="N99" i="167"/>
  <c r="N99" i="145"/>
  <c r="N99" i="106"/>
  <c r="N99" i="103"/>
  <c r="N99" i="133"/>
  <c r="N99" i="14"/>
  <c r="N99" i="71"/>
  <c r="N99" i="33"/>
  <c r="N99" i="39"/>
  <c r="N99" i="135"/>
  <c r="N145" i="178"/>
  <c r="N145" i="176"/>
  <c r="N145" i="149"/>
  <c r="N145" i="133"/>
  <c r="N145" i="118"/>
  <c r="N145" i="86"/>
  <c r="N145" i="152"/>
  <c r="N145" i="175"/>
  <c r="N145" i="38"/>
  <c r="N145" i="39"/>
  <c r="N145" i="136"/>
  <c r="N145" i="98"/>
  <c r="N145" i="177"/>
  <c r="N145" i="60"/>
  <c r="N145" i="89"/>
  <c r="N145" i="19"/>
  <c r="N145" i="92"/>
  <c r="N145" i="62"/>
  <c r="N145" i="50"/>
  <c r="N145" i="158"/>
  <c r="N145" i="167"/>
  <c r="N145" i="53"/>
  <c r="N145" i="46"/>
  <c r="N145" i="157"/>
  <c r="N145" i="85"/>
  <c r="N145" i="143"/>
  <c r="N145" i="31"/>
  <c r="N145" i="141"/>
  <c r="N145" i="87"/>
  <c r="N145" i="84"/>
  <c r="N145" i="174"/>
  <c r="N145" i="71"/>
  <c r="N145" i="47"/>
  <c r="N145" i="55"/>
  <c r="N145" i="68"/>
  <c r="N145" i="69"/>
  <c r="N145" i="58"/>
  <c r="N145" i="27"/>
  <c r="N145" i="164"/>
  <c r="N145" i="156"/>
  <c r="N145" i="119"/>
  <c r="N145" i="14"/>
  <c r="N145" i="37"/>
  <c r="N145" i="28"/>
  <c r="N145" i="83"/>
  <c r="N145" i="79"/>
  <c r="N145" i="65"/>
  <c r="N145" i="49"/>
  <c r="N145" i="10"/>
  <c r="N145" i="172"/>
  <c r="N145" i="113"/>
  <c r="N145" i="111"/>
  <c r="N145" i="94"/>
  <c r="N145" i="106"/>
  <c r="N145" i="95"/>
  <c r="N145" i="15"/>
  <c r="N145" i="64"/>
  <c r="N145" i="165"/>
  <c r="N145" i="145"/>
  <c r="N145" i="66"/>
  <c r="N145" i="57"/>
  <c r="N145" i="103"/>
  <c r="N145" i="72"/>
  <c r="N145" i="43"/>
  <c r="N145" i="54"/>
  <c r="N145" i="63"/>
  <c r="N145" i="142"/>
  <c r="N145" i="155"/>
  <c r="N145" i="32"/>
  <c r="N145" i="104"/>
  <c r="N145" i="102"/>
  <c r="N145" i="33"/>
  <c r="N145" i="1"/>
  <c r="N145" i="90"/>
  <c r="N145" i="20"/>
  <c r="N145" i="150"/>
  <c r="N145" i="159"/>
  <c r="N145" i="16"/>
  <c r="N145" i="25"/>
  <c r="N145" i="24"/>
  <c r="N145" i="120"/>
  <c r="N145" i="135"/>
  <c r="N145" i="21"/>
  <c r="N145" i="42"/>
  <c r="N145" i="45"/>
  <c r="N155" i="175"/>
  <c r="N155" i="159"/>
  <c r="N155" i="83"/>
  <c r="N155" i="19"/>
  <c r="N155" i="102"/>
  <c r="N155" i="113"/>
  <c r="N155" i="172"/>
  <c r="N155" i="103"/>
  <c r="N155" i="49"/>
  <c r="N155" i="104"/>
  <c r="N155" i="66"/>
  <c r="N155" i="164"/>
  <c r="N155" i="167"/>
  <c r="N155" i="84"/>
  <c r="N155" i="64"/>
  <c r="N155" i="45"/>
  <c r="N155" i="39"/>
  <c r="N155" i="43"/>
  <c r="N155" i="33"/>
  <c r="N155" i="10"/>
  <c r="N155" i="16"/>
  <c r="N155" i="79"/>
  <c r="N155" i="136"/>
  <c r="N155" i="149"/>
  <c r="N155" i="94"/>
  <c r="N155" i="142"/>
  <c r="N155" i="135"/>
  <c r="N155" i="176"/>
  <c r="N155" i="145"/>
  <c r="N155" i="46"/>
  <c r="N155" i="42"/>
  <c r="N155" i="53"/>
  <c r="N155" i="57"/>
  <c r="N155" i="47"/>
  <c r="N155" i="106"/>
  <c r="N155" i="15"/>
  <c r="N155" i="20"/>
  <c r="N155" i="1"/>
  <c r="N155" i="143"/>
  <c r="N155" i="152"/>
  <c r="N155" i="119"/>
  <c r="N155" i="25"/>
  <c r="N155" i="32"/>
  <c r="N155" i="27"/>
  <c r="N155" i="28"/>
  <c r="N155" i="24"/>
  <c r="N155" i="38"/>
  <c r="N155" i="63"/>
  <c r="N155" i="141"/>
  <c r="N155" i="54"/>
  <c r="N155" i="31"/>
  <c r="N155" i="133"/>
  <c r="N155" i="87"/>
  <c r="N155" i="69"/>
  <c r="N155" i="156"/>
  <c r="N155" i="174"/>
  <c r="N155" i="118"/>
  <c r="N155" i="178"/>
  <c r="N155" i="177"/>
  <c r="N155" i="155"/>
  <c r="N155" i="14"/>
  <c r="N155" i="92"/>
  <c r="N155" i="65"/>
  <c r="N155" i="55"/>
  <c r="N155" i="111"/>
  <c r="N155" i="86"/>
  <c r="N155" i="50"/>
  <c r="N155" i="72"/>
  <c r="N155" i="165"/>
  <c r="N155" i="150"/>
  <c r="N155" i="58"/>
  <c r="N155" i="21"/>
  <c r="N155" i="85"/>
  <c r="N155" i="60"/>
  <c r="N155" i="62"/>
  <c r="N155" i="68"/>
  <c r="N155" i="98"/>
  <c r="N155" i="120"/>
  <c r="N155" i="89"/>
  <c r="N155" i="158"/>
  <c r="N155" i="71"/>
  <c r="N155" i="37"/>
  <c r="N155" i="157"/>
  <c r="N155" i="90"/>
  <c r="N155" i="95"/>
  <c r="N192" i="167"/>
  <c r="N192" i="156"/>
  <c r="N192" i="102"/>
  <c r="N192" i="103"/>
  <c r="N192" i="175"/>
  <c r="N192" i="20"/>
  <c r="N192" i="1"/>
  <c r="N192" i="54"/>
  <c r="N192" i="118"/>
  <c r="N192" i="42"/>
  <c r="N192" i="113"/>
  <c r="N192" i="158"/>
  <c r="N192" i="157"/>
  <c r="N192" i="32"/>
  <c r="N192" i="16"/>
  <c r="N192" i="104"/>
  <c r="N192" i="120"/>
  <c r="N192" i="119"/>
  <c r="N192" i="86"/>
  <c r="N192" i="15"/>
  <c r="N192" i="37"/>
  <c r="N192" i="174"/>
  <c r="N192" i="149"/>
  <c r="N192" i="53"/>
  <c r="N192" i="57"/>
  <c r="N192" i="106"/>
  <c r="N192" i="14"/>
  <c r="N192" i="46"/>
  <c r="N192" i="39"/>
  <c r="N192" i="83"/>
  <c r="N192" i="69"/>
  <c r="N192" i="176"/>
  <c r="N192" i="159"/>
  <c r="N192" i="94"/>
  <c r="N192" i="142"/>
  <c r="N192" i="10"/>
  <c r="N192" i="31"/>
  <c r="N192" i="55"/>
  <c r="N192" i="50"/>
  <c r="N192" i="47"/>
  <c r="N192" i="43"/>
  <c r="N192" i="95"/>
  <c r="N192" i="178"/>
  <c r="N192" i="152"/>
  <c r="N192" i="172"/>
  <c r="N192" i="71"/>
  <c r="N192" i="79"/>
  <c r="N192" i="49"/>
  <c r="N192" i="136"/>
  <c r="N192" i="141"/>
  <c r="N192" i="25"/>
  <c r="N192" i="60"/>
  <c r="N192" i="66"/>
  <c r="N192" i="164"/>
  <c r="N192" i="155"/>
  <c r="N192" i="85"/>
  <c r="N192" i="72"/>
  <c r="N192" i="19"/>
  <c r="N192" i="90"/>
  <c r="N192" i="58"/>
  <c r="N192" i="21"/>
  <c r="N192" i="111"/>
  <c r="N192" i="98"/>
  <c r="N192" i="177"/>
  <c r="N192" i="143"/>
  <c r="N192" i="150"/>
  <c r="N192" i="65"/>
  <c r="N192" i="92"/>
  <c r="N192" i="135"/>
  <c r="N192" i="64"/>
  <c r="N192" i="89"/>
  <c r="N192" i="87"/>
  <c r="N192" i="133"/>
  <c r="N192" i="24"/>
  <c r="N192" i="165"/>
  <c r="N192" i="145"/>
  <c r="N192" i="45"/>
  <c r="N192" i="38"/>
  <c r="N192" i="63"/>
  <c r="N192" i="68"/>
  <c r="N192" i="84"/>
  <c r="N192" i="33"/>
  <c r="N192" i="27"/>
  <c r="N192" i="62"/>
  <c r="N192" i="28"/>
  <c r="N114" i="68"/>
  <c r="N114" i="149"/>
  <c r="N114" i="87"/>
  <c r="N114" i="37"/>
  <c r="N114" i="141"/>
  <c r="N114" i="155"/>
  <c r="N114" i="95"/>
  <c r="N114" i="175"/>
  <c r="N114" i="136"/>
  <c r="N114" i="167"/>
  <c r="N114" i="111"/>
  <c r="N114" i="158"/>
  <c r="N114" i="85"/>
  <c r="N114" i="50"/>
  <c r="N114" i="159"/>
  <c r="N114" i="57"/>
  <c r="N114" i="106"/>
  <c r="N114" i="86"/>
  <c r="N114" i="150"/>
  <c r="N114" i="31"/>
  <c r="N114" i="42"/>
  <c r="N114" i="71"/>
  <c r="N114" i="152"/>
  <c r="N114" i="135"/>
  <c r="N114" i="43"/>
  <c r="N114" i="45"/>
  <c r="N114" i="33"/>
  <c r="N114" i="62"/>
  <c r="N114" i="54"/>
  <c r="N114" i="27"/>
  <c r="N114" i="65"/>
  <c r="N114" i="142"/>
  <c r="N114" i="14"/>
  <c r="N114" i="55"/>
  <c r="N114" i="143"/>
  <c r="N114" i="178"/>
  <c r="N114" i="10"/>
  <c r="N114" i="176"/>
  <c r="N114" i="98"/>
  <c r="N114" i="28"/>
  <c r="N114" i="49"/>
  <c r="N114" i="164"/>
  <c r="N114" i="90"/>
  <c r="N114" i="83"/>
  <c r="N114" i="165"/>
  <c r="N114" i="119"/>
  <c r="N114" i="84"/>
  <c r="N114" i="20"/>
  <c r="N114" i="69"/>
  <c r="N114" i="38"/>
  <c r="N114" i="32"/>
  <c r="N114" i="63"/>
  <c r="N114" i="58"/>
  <c r="N114" i="60"/>
  <c r="N114" i="94"/>
  <c r="N114" i="102"/>
  <c r="N114" i="24"/>
  <c r="N114" i="1"/>
  <c r="N114" i="19"/>
  <c r="N114" i="79"/>
  <c r="N114" i="64"/>
  <c r="N114" i="118"/>
  <c r="N114" i="145"/>
  <c r="N114" i="103"/>
  <c r="N114" i="66"/>
  <c r="N114" i="21"/>
  <c r="N114" i="177"/>
  <c r="N114" i="25"/>
  <c r="N114" i="174"/>
  <c r="N114" i="92"/>
  <c r="N114" i="104"/>
  <c r="N114" i="72"/>
  <c r="N114" i="120"/>
  <c r="N114" i="133"/>
  <c r="N114" i="113"/>
  <c r="N114" i="39"/>
  <c r="N114" i="172"/>
  <c r="N114" i="53"/>
  <c r="N114" i="16"/>
  <c r="N114" i="89"/>
  <c r="N114" i="156"/>
  <c r="N114" i="46"/>
  <c r="N114" i="15"/>
  <c r="N114" i="157"/>
  <c r="N114" i="47"/>
  <c r="N85" i="165"/>
  <c r="N85" i="157"/>
  <c r="N85" i="92"/>
  <c r="N85" i="55"/>
  <c r="N85" i="27"/>
  <c r="N85" i="68"/>
  <c r="N85" i="104"/>
  <c r="N85" i="83"/>
  <c r="N85" i="1"/>
  <c r="N85" i="142"/>
  <c r="N85" i="167"/>
  <c r="N85" i="149"/>
  <c r="N85" i="111"/>
  <c r="N85" i="72"/>
  <c r="N85" i="141"/>
  <c r="N85" i="135"/>
  <c r="N85" i="158"/>
  <c r="N85" i="39"/>
  <c r="N85" i="71"/>
  <c r="N85" i="38"/>
  <c r="N85" i="113"/>
  <c r="N85" i="174"/>
  <c r="N85" i="178"/>
  <c r="N85" i="155"/>
  <c r="N85" i="159"/>
  <c r="N85" i="84"/>
  <c r="N85" i="102"/>
  <c r="N85" i="172"/>
  <c r="N85" i="33"/>
  <c r="N85" i="89"/>
  <c r="N85" i="66"/>
  <c r="N85" i="136"/>
  <c r="N85" i="19"/>
  <c r="N85" i="164"/>
  <c r="N85" i="177"/>
  <c r="N85" i="79"/>
  <c r="N85" i="120"/>
  <c r="N85" i="54"/>
  <c r="N85" i="50"/>
  <c r="N85" i="85"/>
  <c r="N85" i="118"/>
  <c r="N85" i="133"/>
  <c r="N85" i="46"/>
  <c r="N85" i="43"/>
  <c r="N85" i="37"/>
  <c r="N85" i="90"/>
  <c r="N85" i="45"/>
  <c r="N85" i="49"/>
  <c r="N85" i="15"/>
  <c r="N85" i="57"/>
  <c r="N85" i="21"/>
  <c r="N85" i="14"/>
  <c r="N85" i="16"/>
  <c r="N85" i="176"/>
  <c r="N85" i="150"/>
  <c r="N85" i="62"/>
  <c r="N85" i="94"/>
  <c r="N85" i="95"/>
  <c r="N85" i="106"/>
  <c r="N85" i="28"/>
  <c r="N85" i="32"/>
  <c r="N85" i="31"/>
  <c r="N85" i="24"/>
  <c r="N85" i="175"/>
  <c r="N85" i="145"/>
  <c r="N85" i="103"/>
  <c r="N85" i="98"/>
  <c r="N85" i="87"/>
  <c r="N85" i="20"/>
  <c r="N85" i="152"/>
  <c r="N85" i="25"/>
  <c r="N85" i="58"/>
  <c r="N85" i="42"/>
  <c r="N85" i="64"/>
  <c r="N85" i="143"/>
  <c r="N85" i="47"/>
  <c r="N85" i="65"/>
  <c r="N85" i="63"/>
  <c r="N85" i="10"/>
  <c r="N85" i="69"/>
  <c r="N85" i="60"/>
  <c r="N85" i="86"/>
  <c r="N85" i="119"/>
  <c r="N85" i="53"/>
  <c r="N85" i="156"/>
  <c r="N100" i="149"/>
  <c r="N100" i="145"/>
  <c r="N100" i="155"/>
  <c r="N100" i="32"/>
  <c r="N100" i="62"/>
  <c r="N100" i="79"/>
  <c r="N100" i="47"/>
  <c r="N100" i="90"/>
  <c r="N100" i="57"/>
  <c r="N100" i="94"/>
  <c r="N100" i="174"/>
  <c r="N100" i="177"/>
  <c r="N100" i="85"/>
  <c r="N100" i="46"/>
  <c r="N100" i="92"/>
  <c r="N100" i="45"/>
  <c r="N100" i="113"/>
  <c r="N100" i="25"/>
  <c r="N100" i="63"/>
  <c r="N100" i="102"/>
  <c r="N100" i="38"/>
  <c r="N100" i="167"/>
  <c r="N100" i="98"/>
  <c r="N100" i="142"/>
  <c r="N100" i="42"/>
  <c r="N100" i="27"/>
  <c r="N100" i="178"/>
  <c r="N100" i="150"/>
  <c r="N100" i="152"/>
  <c r="N100" i="103"/>
  <c r="N100" i="65"/>
  <c r="N100" i="10"/>
  <c r="N100" i="20"/>
  <c r="N100" i="37"/>
  <c r="N100" i="157"/>
  <c r="N100" i="58"/>
  <c r="N100" i="72"/>
  <c r="N100" i="172"/>
  <c r="N100" i="159"/>
  <c r="N100" i="136"/>
  <c r="N100" i="120"/>
  <c r="N100" i="68"/>
  <c r="N100" i="24"/>
  <c r="N100" i="60"/>
  <c r="N100" i="69"/>
  <c r="N100" i="1"/>
  <c r="N100" i="106"/>
  <c r="N100" i="141"/>
  <c r="N100" i="165"/>
  <c r="N100" i="53"/>
  <c r="N100" i="86"/>
  <c r="N100" i="135"/>
  <c r="N100" i="156"/>
  <c r="N100" i="39"/>
  <c r="N100" i="118"/>
  <c r="N100" i="64"/>
  <c r="N100" i="95"/>
  <c r="N100" i="164"/>
  <c r="N100" i="175"/>
  <c r="N100" i="21"/>
  <c r="N100" i="84"/>
  <c r="N100" i="83"/>
  <c r="N100" i="71"/>
  <c r="N100" i="50"/>
  <c r="N100" i="111"/>
  <c r="N100" i="104"/>
  <c r="N100" i="87"/>
  <c r="N100" i="66"/>
  <c r="N100" i="143"/>
  <c r="N100" i="19"/>
  <c r="N100" i="133"/>
  <c r="N100" i="55"/>
  <c r="N100" i="54"/>
  <c r="N100" i="14"/>
  <c r="N100" i="33"/>
  <c r="N100" i="16"/>
  <c r="N100" i="31"/>
  <c r="N100" i="49"/>
  <c r="N100" i="15"/>
  <c r="N100" i="89"/>
  <c r="N100" i="176"/>
  <c r="N100" i="158"/>
  <c r="N100" i="28"/>
  <c r="N100" i="43"/>
  <c r="N100" i="119"/>
  <c r="N35" i="43"/>
  <c r="N35" i="135"/>
  <c r="N35" i="63"/>
  <c r="N35" i="27"/>
  <c r="N35" i="58"/>
  <c r="N35" i="28"/>
  <c r="N35" i="106"/>
  <c r="N35" i="24"/>
  <c r="N35" i="79"/>
  <c r="N35" i="118"/>
  <c r="N35" i="38"/>
  <c r="N35" i="156"/>
  <c r="N35" i="157"/>
  <c r="N35" i="32"/>
  <c r="N35" i="45"/>
  <c r="N35" i="14"/>
  <c r="N35" i="120"/>
  <c r="N35" i="89"/>
  <c r="N35" i="87"/>
  <c r="N35" i="39"/>
  <c r="N35" i="25"/>
  <c r="N35" i="94"/>
  <c r="N35" i="133"/>
  <c r="N35" i="20"/>
  <c r="N35" i="47"/>
  <c r="N35" i="83"/>
  <c r="N35" i="57"/>
  <c r="N35" i="158"/>
  <c r="N35" i="172"/>
  <c r="N35" i="136"/>
  <c r="N35" i="71"/>
  <c r="N35" i="176"/>
  <c r="N35" i="68"/>
  <c r="N35" i="90"/>
  <c r="N35" i="175"/>
  <c r="N35" i="65"/>
  <c r="N35" i="31"/>
  <c r="N35" i="174"/>
  <c r="N35" i="98"/>
  <c r="N35" i="54"/>
  <c r="N35" i="142"/>
  <c r="N35" i="164"/>
  <c r="N35" i="15"/>
  <c r="N35" i="19"/>
  <c r="N35" i="60"/>
  <c r="N35" i="178"/>
  <c r="N35" i="64"/>
  <c r="N35" i="143"/>
  <c r="N35" i="72"/>
  <c r="N35" i="119"/>
  <c r="N35" i="141"/>
  <c r="N35" i="66"/>
  <c r="N35" i="95"/>
  <c r="N35" i="102"/>
  <c r="N35" i="145"/>
  <c r="N35" i="155"/>
  <c r="N35" i="104"/>
  <c r="N35" i="85"/>
  <c r="N35" i="167"/>
  <c r="N35" i="46"/>
  <c r="N35" i="50"/>
  <c r="N35" i="165"/>
  <c r="N35" i="37"/>
  <c r="N35" i="92"/>
  <c r="N35" i="42"/>
  <c r="N35" i="69"/>
  <c r="N35" i="55"/>
  <c r="N35" i="53"/>
  <c r="N35" i="16"/>
  <c r="N35" i="62"/>
  <c r="N35" i="33"/>
  <c r="N35" i="21"/>
  <c r="N35" i="159"/>
  <c r="N35" i="84"/>
  <c r="N35" i="149"/>
  <c r="N35" i="152"/>
  <c r="N35" i="1"/>
  <c r="N35" i="103"/>
  <c r="N35" i="150"/>
  <c r="N35" i="10"/>
  <c r="N35" i="111"/>
  <c r="N35" i="86"/>
  <c r="N35" i="113"/>
  <c r="N35" i="49"/>
  <c r="N35" i="177"/>
  <c r="N195" i="178"/>
  <c r="N195" i="176"/>
  <c r="N195" i="152"/>
  <c r="N195" i="103"/>
  <c r="N195" i="106"/>
  <c r="N195" i="19"/>
  <c r="N195" i="98"/>
  <c r="N195" i="10"/>
  <c r="N195" i="50"/>
  <c r="N195" i="42"/>
  <c r="N195" i="39"/>
  <c r="N195" i="158"/>
  <c r="N195" i="149"/>
  <c r="N195" i="43"/>
  <c r="N195" i="38"/>
  <c r="N195" i="84"/>
  <c r="N195" i="120"/>
  <c r="N195" i="102"/>
  <c r="N195" i="33"/>
  <c r="N195" i="175"/>
  <c r="N195" i="54"/>
  <c r="N195" i="24"/>
  <c r="N195" i="167"/>
  <c r="N195" i="156"/>
  <c r="N195" i="47"/>
  <c r="N195" i="57"/>
  <c r="N195" i="46"/>
  <c r="N195" i="136"/>
  <c r="N195" i="118"/>
  <c r="N195" i="31"/>
  <c r="N195" i="27"/>
  <c r="N195" i="87"/>
  <c r="N195" i="86"/>
  <c r="N195" i="164"/>
  <c r="N195" i="150"/>
  <c r="N195" i="28"/>
  <c r="N195" i="16"/>
  <c r="N195" i="119"/>
  <c r="N195" i="55"/>
  <c r="N195" i="113"/>
  <c r="N195" i="20"/>
  <c r="N195" i="104"/>
  <c r="N195" i="53"/>
  <c r="N195" i="159"/>
  <c r="N195" i="79"/>
  <c r="N195" i="64"/>
  <c r="N195" i="155"/>
  <c r="N195" i="69"/>
  <c r="N195" i="165"/>
  <c r="N195" i="142"/>
  <c r="N195" i="90"/>
  <c r="N195" i="95"/>
  <c r="N195" i="71"/>
  <c r="N195" i="172"/>
  <c r="N195" i="145"/>
  <c r="N195" i="92"/>
  <c r="N195" i="1"/>
  <c r="N195" i="25"/>
  <c r="N195" i="135"/>
  <c r="N195" i="143"/>
  <c r="N195" i="72"/>
  <c r="N195" i="68"/>
  <c r="N195" i="45"/>
  <c r="N195" i="63"/>
  <c r="N195" i="174"/>
  <c r="N195" i="37"/>
  <c r="N195" i="141"/>
  <c r="N195" i="49"/>
  <c r="N195" i="85"/>
  <c r="N195" i="32"/>
  <c r="N195" i="157"/>
  <c r="N195" i="133"/>
  <c r="N195" i="94"/>
  <c r="N195" i="65"/>
  <c r="N195" i="66"/>
  <c r="N195" i="111"/>
  <c r="N195" i="14"/>
  <c r="N195" i="21"/>
  <c r="N195" i="60"/>
  <c r="N195" i="177"/>
  <c r="N195" i="62"/>
  <c r="N195" i="58"/>
  <c r="N195" i="15"/>
  <c r="N195" i="83"/>
  <c r="N195" i="89"/>
  <c r="N70" i="16"/>
  <c r="N70" i="50"/>
  <c r="N70" i="21"/>
  <c r="N70" i="165"/>
  <c r="N70" i="85"/>
  <c r="N70" i="57"/>
  <c r="N70" i="25"/>
  <c r="N70" i="156"/>
  <c r="N70" i="71"/>
  <c r="N70" i="143"/>
  <c r="N70" i="60"/>
  <c r="N70" i="39"/>
  <c r="N70" i="155"/>
  <c r="N70" i="14"/>
  <c r="N70" i="24"/>
  <c r="N70" i="102"/>
  <c r="N70" i="79"/>
  <c r="N70" i="95"/>
  <c r="N70" i="83"/>
  <c r="N70" i="46"/>
  <c r="N70" i="84"/>
  <c r="N70" i="86"/>
  <c r="N70" i="149"/>
  <c r="N70" i="10"/>
  <c r="N70" i="104"/>
  <c r="N70" i="119"/>
  <c r="N70" i="152"/>
  <c r="N70" i="38"/>
  <c r="N70" i="54"/>
  <c r="N70" i="94"/>
  <c r="N70" i="176"/>
  <c r="N70" i="68"/>
  <c r="N70" i="72"/>
  <c r="N70" i="135"/>
  <c r="N70" i="174"/>
  <c r="N70" i="141"/>
  <c r="N70" i="133"/>
  <c r="N70" i="142"/>
  <c r="N70" i="167"/>
  <c r="N70" i="175"/>
  <c r="N70" i="28"/>
  <c r="N70" i="1"/>
  <c r="N70" i="178"/>
  <c r="N70" i="158"/>
  <c r="N70" i="55"/>
  <c r="N70" i="64"/>
  <c r="N70" i="47"/>
  <c r="N70" i="145"/>
  <c r="N70" i="53"/>
  <c r="N70" i="19"/>
  <c r="N70" i="103"/>
  <c r="N70" i="20"/>
  <c r="N70" i="49"/>
  <c r="N70" i="113"/>
  <c r="N70" i="45"/>
  <c r="N70" i="43"/>
  <c r="N70" i="31"/>
  <c r="N70" i="164"/>
  <c r="N70" i="65"/>
  <c r="N70" i="58"/>
  <c r="N70" i="89"/>
  <c r="N70" i="69"/>
  <c r="N70" i="32"/>
  <c r="N70" i="172"/>
  <c r="N70" i="92"/>
  <c r="N70" i="15"/>
  <c r="N70" i="150"/>
  <c r="N70" i="87"/>
  <c r="N70" i="66"/>
  <c r="N70" i="33"/>
  <c r="N70" i="177"/>
  <c r="N70" i="90"/>
  <c r="N70" i="98"/>
  <c r="N70" i="27"/>
  <c r="N70" i="62"/>
  <c r="N70" i="159"/>
  <c r="N70" i="120"/>
  <c r="N70" i="42"/>
  <c r="N70" i="37"/>
  <c r="N70" i="63"/>
  <c r="N70" i="136"/>
  <c r="N70" i="118"/>
  <c r="N70" i="106"/>
  <c r="N70" i="157"/>
  <c r="N70" i="111"/>
  <c r="N110" i="141"/>
  <c r="N110" i="43"/>
  <c r="N110" i="79"/>
  <c r="N110" i="177"/>
  <c r="N110" i="32"/>
  <c r="N110" i="16"/>
  <c r="N110" i="63"/>
  <c r="N110" i="104"/>
  <c r="N110" i="21"/>
  <c r="N110" i="66"/>
  <c r="N110" i="152"/>
  <c r="N110" i="64"/>
  <c r="N110" i="84"/>
  <c r="N110" i="71"/>
  <c r="N110" i="24"/>
  <c r="N110" i="15"/>
  <c r="N110" i="149"/>
  <c r="N110" i="92"/>
  <c r="N110" i="53"/>
  <c r="N110" i="65"/>
  <c r="N110" i="39"/>
  <c r="N110" i="158"/>
  <c r="N110" i="150"/>
  <c r="N110" i="119"/>
  <c r="N110" i="54"/>
  <c r="N110" i="94"/>
  <c r="N110" i="83"/>
  <c r="N110" i="86"/>
  <c r="N110" i="19"/>
  <c r="N110" i="156"/>
  <c r="N110" i="25"/>
  <c r="N110" i="136"/>
  <c r="N110" i="142"/>
  <c r="N110" i="42"/>
  <c r="N110" i="167"/>
  <c r="N110" i="47"/>
  <c r="N110" i="90"/>
  <c r="N110" i="175"/>
  <c r="N110" i="111"/>
  <c r="N110" i="50"/>
  <c r="N110" i="120"/>
  <c r="N110" i="159"/>
  <c r="N110" i="57"/>
  <c r="N110" i="60"/>
  <c r="N110" i="176"/>
  <c r="N110" i="33"/>
  <c r="N110" i="95"/>
  <c r="N110" i="164"/>
  <c r="N110" i="14"/>
  <c r="N110" i="133"/>
  <c r="N110" i="45"/>
  <c r="N110" i="174"/>
  <c r="N110" i="46"/>
  <c r="N110" i="31"/>
  <c r="N110" i="135"/>
  <c r="N110" i="68"/>
  <c r="N110" i="1"/>
  <c r="N110" i="157"/>
  <c r="N110" i="102"/>
  <c r="N110" i="85"/>
  <c r="N110" i="145"/>
  <c r="N110" i="103"/>
  <c r="N110" i="72"/>
  <c r="N110" i="27"/>
  <c r="N110" i="113"/>
  <c r="N110" i="155"/>
  <c r="N110" i="20"/>
  <c r="N110" i="165"/>
  <c r="N110" i="49"/>
  <c r="N110" i="106"/>
  <c r="N110" i="172"/>
  <c r="N110" i="69"/>
  <c r="N110" i="28"/>
  <c r="N110" i="38"/>
  <c r="N110" i="89"/>
  <c r="N110" i="58"/>
  <c r="N110" i="10"/>
  <c r="N110" i="62"/>
  <c r="N110" i="143"/>
  <c r="N110" i="178"/>
  <c r="N110" i="87"/>
  <c r="N110" i="118"/>
  <c r="N110" i="98"/>
  <c r="N110" i="37"/>
  <c r="N110" i="55"/>
  <c r="N141" i="164"/>
  <c r="N141" i="149"/>
  <c r="N141" i="47"/>
  <c r="N141" i="19"/>
  <c r="N141" i="159"/>
  <c r="N141" i="14"/>
  <c r="N141" i="95"/>
  <c r="N141" i="10"/>
  <c r="N141" i="87"/>
  <c r="N141" i="31"/>
  <c r="N141" i="20"/>
  <c r="N141" i="157"/>
  <c r="N141" i="145"/>
  <c r="N141" i="142"/>
  <c r="N141" i="55"/>
  <c r="N141" i="84"/>
  <c r="N141" i="24"/>
  <c r="N141" i="33"/>
  <c r="N141" i="104"/>
  <c r="N141" i="49"/>
  <c r="N141" i="50"/>
  <c r="N141" i="172"/>
  <c r="N141" i="150"/>
  <c r="N141" i="37"/>
  <c r="N141" i="136"/>
  <c r="N141" i="15"/>
  <c r="N141" i="60"/>
  <c r="N141" i="54"/>
  <c r="N141" i="63"/>
  <c r="N141" i="38"/>
  <c r="N141" i="83"/>
  <c r="N141" i="174"/>
  <c r="N141" i="152"/>
  <c r="N141" i="62"/>
  <c r="N141" i="158"/>
  <c r="N141" i="133"/>
  <c r="N141" i="119"/>
  <c r="N141" i="69"/>
  <c r="N141" i="86"/>
  <c r="N141" i="135"/>
  <c r="N141" i="57"/>
  <c r="N141" i="85"/>
  <c r="N141" i="178"/>
  <c r="N141" i="176"/>
  <c r="N141" i="143"/>
  <c r="N141" i="111"/>
  <c r="N141" i="64"/>
  <c r="N141" i="46"/>
  <c r="N141" i="42"/>
  <c r="N141" i="39"/>
  <c r="N141" i="102"/>
  <c r="N141" i="89"/>
  <c r="N141" i="45"/>
  <c r="N141" i="177"/>
  <c r="N141" i="155"/>
  <c r="N141" i="43"/>
  <c r="N141" i="68"/>
  <c r="N141" i="98"/>
  <c r="N141" i="90"/>
  <c r="N141" i="94"/>
  <c r="N141" i="16"/>
  <c r="N141" i="92"/>
  <c r="N141" i="113"/>
  <c r="N141" i="32"/>
  <c r="N141" i="175"/>
  <c r="N141" i="1"/>
  <c r="N141" i="72"/>
  <c r="N141" i="156"/>
  <c r="N141" i="66"/>
  <c r="N141" i="79"/>
  <c r="N141" i="167"/>
  <c r="N141" i="141"/>
  <c r="N141" i="118"/>
  <c r="N141" i="28"/>
  <c r="N141" i="21"/>
  <c r="N141" i="106"/>
  <c r="N141" i="27"/>
  <c r="N141" i="65"/>
  <c r="N141" i="120"/>
  <c r="N141" i="71"/>
  <c r="N141" i="103"/>
  <c r="N141" i="53"/>
  <c r="N141" i="25"/>
  <c r="N141" i="58"/>
  <c r="N141" i="165"/>
  <c r="N180" i="164"/>
  <c r="N180" i="86"/>
  <c r="N180" i="65"/>
  <c r="N180" i="159"/>
  <c r="N180" i="102"/>
  <c r="N180" i="16"/>
  <c r="N180" i="25"/>
  <c r="N180" i="57"/>
  <c r="N180" i="69"/>
  <c r="N180" i="42"/>
  <c r="N180" i="119"/>
  <c r="N180" i="98"/>
  <c r="N180" i="21"/>
  <c r="N180" i="150"/>
  <c r="N180" i="53"/>
  <c r="N180" i="90"/>
  <c r="N180" i="172"/>
  <c r="N180" i="85"/>
  <c r="N180" i="1"/>
  <c r="N180" i="176"/>
  <c r="N180" i="62"/>
  <c r="N180" i="20"/>
  <c r="N180" i="104"/>
  <c r="N180" i="145"/>
  <c r="N180" i="142"/>
  <c r="N180" i="45"/>
  <c r="N180" i="174"/>
  <c r="N180" i="89"/>
  <c r="N180" i="31"/>
  <c r="N180" i="24"/>
  <c r="N180" i="64"/>
  <c r="N180" i="111"/>
  <c r="N180" i="156"/>
  <c r="N180" i="63"/>
  <c r="N180" i="143"/>
  <c r="N180" i="84"/>
  <c r="N180" i="38"/>
  <c r="N180" i="92"/>
  <c r="N180" i="46"/>
  <c r="N180" i="55"/>
  <c r="N180" i="28"/>
  <c r="N180" i="10"/>
  <c r="N180" i="113"/>
  <c r="N180" i="158"/>
  <c r="N180" i="133"/>
  <c r="N180" i="79"/>
  <c r="N180" i="155"/>
  <c r="N180" i="175"/>
  <c r="N180" i="72"/>
  <c r="N180" i="50"/>
  <c r="N180" i="177"/>
  <c r="N180" i="43"/>
  <c r="N180" i="27"/>
  <c r="N180" i="149"/>
  <c r="N180" i="14"/>
  <c r="N180" i="71"/>
  <c r="N180" i="178"/>
  <c r="N180" i="103"/>
  <c r="N180" i="39"/>
  <c r="N180" i="49"/>
  <c r="N180" i="87"/>
  <c r="N180" i="32"/>
  <c r="N180" i="95"/>
  <c r="N180" i="118"/>
  <c r="N180" i="68"/>
  <c r="N180" i="106"/>
  <c r="N180" i="37"/>
  <c r="N180" i="94"/>
  <c r="N180" i="167"/>
  <c r="N180" i="141"/>
  <c r="N180" i="19"/>
  <c r="N180" i="47"/>
  <c r="N180" i="33"/>
  <c r="N180" i="60"/>
  <c r="N180" i="165"/>
  <c r="N180" i="135"/>
  <c r="N180" i="66"/>
  <c r="N180" i="15"/>
  <c r="N180" i="152"/>
  <c r="N180" i="157"/>
  <c r="N180" i="54"/>
  <c r="N180" i="136"/>
  <c r="N180" i="83"/>
  <c r="N180" i="120"/>
  <c r="N180" i="58"/>
  <c r="N74" i="133"/>
  <c r="N74" i="113"/>
  <c r="N74" i="79"/>
  <c r="N74" i="118"/>
  <c r="N74" i="178"/>
  <c r="N74" i="157"/>
  <c r="N74" i="21"/>
  <c r="N74" i="28"/>
  <c r="N74" i="119"/>
  <c r="N74" i="19"/>
  <c r="N74" i="37"/>
  <c r="N74" i="164"/>
  <c r="N74" i="135"/>
  <c r="N74" i="159"/>
  <c r="N74" i="177"/>
  <c r="N74" i="53"/>
  <c r="N74" i="152"/>
  <c r="N74" i="24"/>
  <c r="N74" i="54"/>
  <c r="N74" i="90"/>
  <c r="N74" i="71"/>
  <c r="N74" i="174"/>
  <c r="N74" i="20"/>
  <c r="N74" i="150"/>
  <c r="N74" i="89"/>
  <c r="N74" i="16"/>
  <c r="N74" i="68"/>
  <c r="N74" i="69"/>
  <c r="N74" i="103"/>
  <c r="N74" i="156"/>
  <c r="N74" i="43"/>
  <c r="N74" i="45"/>
  <c r="N74" i="62"/>
  <c r="N74" i="106"/>
  <c r="N74" i="142"/>
  <c r="N74" i="165"/>
  <c r="N74" i="32"/>
  <c r="N74" i="87"/>
  <c r="N74" i="141"/>
  <c r="N74" i="85"/>
  <c r="N74" i="64"/>
  <c r="N74" i="155"/>
  <c r="N74" i="49"/>
  <c r="N74" i="25"/>
  <c r="N74" i="39"/>
  <c r="N74" i="31"/>
  <c r="N74" i="66"/>
  <c r="N74" i="72"/>
  <c r="N74" i="149"/>
  <c r="N74" i="175"/>
  <c r="N74" i="98"/>
  <c r="N74" i="33"/>
  <c r="N74" i="102"/>
  <c r="N74" i="86"/>
  <c r="N74" i="84"/>
  <c r="N74" i="1"/>
  <c r="N74" i="14"/>
  <c r="N74" i="83"/>
  <c r="N74" i="57"/>
  <c r="N74" i="60"/>
  <c r="N74" i="104"/>
  <c r="N74" i="94"/>
  <c r="N74" i="38"/>
  <c r="N74" i="136"/>
  <c r="N74" i="65"/>
  <c r="N74" i="63"/>
  <c r="N74" i="143"/>
  <c r="N74" i="176"/>
  <c r="N74" i="95"/>
  <c r="N74" i="47"/>
  <c r="N74" i="92"/>
  <c r="N74" i="145"/>
  <c r="N74" i="55"/>
  <c r="N74" i="15"/>
  <c r="N74" i="167"/>
  <c r="N74" i="50"/>
  <c r="N74" i="46"/>
  <c r="N74" i="42"/>
  <c r="N74" i="158"/>
  <c r="N74" i="58"/>
  <c r="N74" i="111"/>
  <c r="N74" i="27"/>
  <c r="N74" i="120"/>
  <c r="N74" i="10"/>
  <c r="N74" i="172"/>
  <c r="N56" i="42"/>
  <c r="N56" i="83"/>
  <c r="N56" i="64"/>
  <c r="N56" i="119"/>
  <c r="N56" i="118"/>
  <c r="N56" i="167"/>
  <c r="N56" i="79"/>
  <c r="N56" i="84"/>
  <c r="N56" i="31"/>
  <c r="N56" i="71"/>
  <c r="N56" i="113"/>
  <c r="N56" i="174"/>
  <c r="N56" i="54"/>
  <c r="N56" i="57"/>
  <c r="N56" i="38"/>
  <c r="N56" i="14"/>
  <c r="N56" i="37"/>
  <c r="N56" i="165"/>
  <c r="N56" i="28"/>
  <c r="N56" i="89"/>
  <c r="N56" i="39"/>
  <c r="N56" i="62"/>
  <c r="N56" i="111"/>
  <c r="N56" i="158"/>
  <c r="N56" i="142"/>
  <c r="N56" i="133"/>
  <c r="N56" i="47"/>
  <c r="N56" i="69"/>
  <c r="N56" i="92"/>
  <c r="N56" i="49"/>
  <c r="N56" i="10"/>
  <c r="N56" i="175"/>
  <c r="N56" i="106"/>
  <c r="N56" i="50"/>
  <c r="N56" i="15"/>
  <c r="N56" i="20"/>
  <c r="N56" i="27"/>
  <c r="N56" i="68"/>
  <c r="N56" i="21"/>
  <c r="N56" i="55"/>
  <c r="N56" i="159"/>
  <c r="N56" i="45"/>
  <c r="N56" i="19"/>
  <c r="N56" i="90"/>
  <c r="N56" i="177"/>
  <c r="N56" i="46"/>
  <c r="N56" i="141"/>
  <c r="N56" i="120"/>
  <c r="N56" i="136"/>
  <c r="N56" i="152"/>
  <c r="N56" i="16"/>
  <c r="N56" i="98"/>
  <c r="N56" i="87"/>
  <c r="N56" i="95"/>
  <c r="N56" i="149"/>
  <c r="N56" i="65"/>
  <c r="N56" i="102"/>
  <c r="N56" i="58"/>
  <c r="N56" i="43"/>
  <c r="N56" i="178"/>
  <c r="N56" i="145"/>
  <c r="N56" i="155"/>
  <c r="N56" i="24"/>
  <c r="N56" i="143"/>
  <c r="N56" i="164"/>
  <c r="N56" i="72"/>
  <c r="N56" i="85"/>
  <c r="N56" i="33"/>
  <c r="N56" i="104"/>
  <c r="N56" i="66"/>
  <c r="N56" i="176"/>
  <c r="N56" i="103"/>
  <c r="N56" i="157"/>
  <c r="N56" i="135"/>
  <c r="N56" i="63"/>
  <c r="N56" i="53"/>
  <c r="N56" i="156"/>
  <c r="N56" i="172"/>
  <c r="N56" i="25"/>
  <c r="N56" i="32"/>
  <c r="N56" i="86"/>
  <c r="N56" i="60"/>
  <c r="N56" i="1"/>
  <c r="N56" i="94"/>
  <c r="N56" i="150"/>
  <c r="N108" i="178"/>
  <c r="N108" i="152"/>
  <c r="N108" i="167"/>
  <c r="N108" i="89"/>
  <c r="N108" i="60"/>
  <c r="N108" i="65"/>
  <c r="N108" i="68"/>
  <c r="N108" i="113"/>
  <c r="N108" i="54"/>
  <c r="N108" i="135"/>
  <c r="N108" i="20"/>
  <c r="N108" i="164"/>
  <c r="N108" i="156"/>
  <c r="N108" i="85"/>
  <c r="N108" i="45"/>
  <c r="N108" i="92"/>
  <c r="N108" i="43"/>
  <c r="N108" i="53"/>
  <c r="N108" i="46"/>
  <c r="N108" i="19"/>
  <c r="N108" i="95"/>
  <c r="N108" i="32"/>
  <c r="N108" i="174"/>
  <c r="N108" i="159"/>
  <c r="N108" i="136"/>
  <c r="N108" i="94"/>
  <c r="N108" i="64"/>
  <c r="N108" i="21"/>
  <c r="N108" i="25"/>
  <c r="N108" i="120"/>
  <c r="N108" i="133"/>
  <c r="N108" i="98"/>
  <c r="N108" i="38"/>
  <c r="N108" i="165"/>
  <c r="N108" i="143"/>
  <c r="N108" i="28"/>
  <c r="N108" i="87"/>
  <c r="N108" i="84"/>
  <c r="N108" i="142"/>
  <c r="N108" i="119"/>
  <c r="N108" i="47"/>
  <c r="N108" i="16"/>
  <c r="N108" i="106"/>
  <c r="N108" i="175"/>
  <c r="N108" i="155"/>
  <c r="N108" i="86"/>
  <c r="N108" i="63"/>
  <c r="N108" i="79"/>
  <c r="N108" i="58"/>
  <c r="N108" i="15"/>
  <c r="N108" i="157"/>
  <c r="N108" i="27"/>
  <c r="N108" i="66"/>
  <c r="N108" i="33"/>
  <c r="N108" i="149"/>
  <c r="N108" i="158"/>
  <c r="N108" i="72"/>
  <c r="N108" i="42"/>
  <c r="N108" i="90"/>
  <c r="N108" i="39"/>
  <c r="N108" i="57"/>
  <c r="N108" i="37"/>
  <c r="N108" i="69"/>
  <c r="N108" i="145"/>
  <c r="N108" i="176"/>
  <c r="N108" i="172"/>
  <c r="N108" i="104"/>
  <c r="N108" i="141"/>
  <c r="N108" i="62"/>
  <c r="N108" i="31"/>
  <c r="N108" i="71"/>
  <c r="N108" i="50"/>
  <c r="N108" i="103"/>
  <c r="N108" i="118"/>
  <c r="N108" i="177"/>
  <c r="N108" i="150"/>
  <c r="N108" i="24"/>
  <c r="N108" i="83"/>
  <c r="N108" i="1"/>
  <c r="N108" i="102"/>
  <c r="N108" i="10"/>
  <c r="N108" i="55"/>
  <c r="N108" i="14"/>
  <c r="N108" i="111"/>
  <c r="N108" i="49"/>
  <c r="N117" i="178"/>
  <c r="N117" i="79"/>
  <c r="N117" i="120"/>
  <c r="N117" i="94"/>
  <c r="N117" i="69"/>
  <c r="N117" i="136"/>
  <c r="N117" i="49"/>
  <c r="N117" i="39"/>
  <c r="N117" i="24"/>
  <c r="N117" i="63"/>
  <c r="N117" i="141"/>
  <c r="N117" i="27"/>
  <c r="N117" i="142"/>
  <c r="N117" i="167"/>
  <c r="N117" i="21"/>
  <c r="N117" i="111"/>
  <c r="N117" i="135"/>
  <c r="N117" i="16"/>
  <c r="N117" i="25"/>
  <c r="N117" i="172"/>
  <c r="N117" i="85"/>
  <c r="N117" i="89"/>
  <c r="N117" i="152"/>
  <c r="N117" i="20"/>
  <c r="N117" i="46"/>
  <c r="N117" i="86"/>
  <c r="N117" i="54"/>
  <c r="N117" i="28"/>
  <c r="N117" i="95"/>
  <c r="N117" i="72"/>
  <c r="N117" i="119"/>
  <c r="N117" i="60"/>
  <c r="N117" i="1"/>
  <c r="N117" i="14"/>
  <c r="N117" i="37"/>
  <c r="N117" i="92"/>
  <c r="N117" i="87"/>
  <c r="N117" i="58"/>
  <c r="N117" i="47"/>
  <c r="N117" i="19"/>
  <c r="N117" i="55"/>
  <c r="N117" i="159"/>
  <c r="N117" i="84"/>
  <c r="N117" i="33"/>
  <c r="N117" i="38"/>
  <c r="N117" i="43"/>
  <c r="N117" i="106"/>
  <c r="N117" i="65"/>
  <c r="N117" i="150"/>
  <c r="N117" i="174"/>
  <c r="N117" i="118"/>
  <c r="N117" i="66"/>
  <c r="N117" i="68"/>
  <c r="N117" i="71"/>
  <c r="N117" i="45"/>
  <c r="N117" i="155"/>
  <c r="N117" i="158"/>
  <c r="N117" i="175"/>
  <c r="N117" i="133"/>
  <c r="N117" i="104"/>
  <c r="N117" i="50"/>
  <c r="N117" i="103"/>
  <c r="N117" i="10"/>
  <c r="N117" i="143"/>
  <c r="N117" i="62"/>
  <c r="N117" i="165"/>
  <c r="N117" i="113"/>
  <c r="N117" i="177"/>
  <c r="N117" i="102"/>
  <c r="N117" i="98"/>
  <c r="N117" i="145"/>
  <c r="N117" i="53"/>
  <c r="N117" i="83"/>
  <c r="N117" i="176"/>
  <c r="N117" i="42"/>
  <c r="N117" i="90"/>
  <c r="N117" i="64"/>
  <c r="N117" i="156"/>
  <c r="N117" i="149"/>
  <c r="N117" i="31"/>
  <c r="N117" i="32"/>
  <c r="N117" i="164"/>
  <c r="N117" i="157"/>
  <c r="N117" i="57"/>
  <c r="N117" i="15"/>
  <c r="N169" i="178"/>
  <c r="N169" i="149"/>
  <c r="N169" i="118"/>
  <c r="N169" i="31"/>
  <c r="N169" i="25"/>
  <c r="N169" i="37"/>
  <c r="N169" i="79"/>
  <c r="N169" i="14"/>
  <c r="N169" i="1"/>
  <c r="N169" i="95"/>
  <c r="N169" i="133"/>
  <c r="N169" i="164"/>
  <c r="N169" i="152"/>
  <c r="N169" i="159"/>
  <c r="N169" i="50"/>
  <c r="N169" i="102"/>
  <c r="N169" i="142"/>
  <c r="N169" i="58"/>
  <c r="N169" i="68"/>
  <c r="N169" i="15"/>
  <c r="N169" i="53"/>
  <c r="N169" i="106"/>
  <c r="N169" i="175"/>
  <c r="N169" i="165"/>
  <c r="N169" i="167"/>
  <c r="N169" i="89"/>
  <c r="N169" i="10"/>
  <c r="N169" i="111"/>
  <c r="N169" i="92"/>
  <c r="N169" i="19"/>
  <c r="N169" i="60"/>
  <c r="N169" i="69"/>
  <c r="N169" i="65"/>
  <c r="N169" i="174"/>
  <c r="N169" i="172"/>
  <c r="N169" i="49"/>
  <c r="N169" i="21"/>
  <c r="N169" i="62"/>
  <c r="N169" i="72"/>
  <c r="N169" i="84"/>
  <c r="N169" i="120"/>
  <c r="N169" i="113"/>
  <c r="N169" i="45"/>
  <c r="N169" i="156"/>
  <c r="N169" i="150"/>
  <c r="N169" i="63"/>
  <c r="N169" i="54"/>
  <c r="N169" i="155"/>
  <c r="N169" i="103"/>
  <c r="N169" i="46"/>
  <c r="N169" i="136"/>
  <c r="N169" i="66"/>
  <c r="N169" i="98"/>
  <c r="N169" i="27"/>
  <c r="N169" i="158"/>
  <c r="N169" i="143"/>
  <c r="N169" i="135"/>
  <c r="N169" i="33"/>
  <c r="N169" i="43"/>
  <c r="N169" i="38"/>
  <c r="N169" i="119"/>
  <c r="N169" i="55"/>
  <c r="N169" i="42"/>
  <c r="N169" i="24"/>
  <c r="N169" i="157"/>
  <c r="N169" i="145"/>
  <c r="N169" i="104"/>
  <c r="N169" i="39"/>
  <c r="N169" i="47"/>
  <c r="N169" i="57"/>
  <c r="N169" i="141"/>
  <c r="N169" i="64"/>
  <c r="N169" i="71"/>
  <c r="N169" i="32"/>
  <c r="N169" i="177"/>
  <c r="N169" i="176"/>
  <c r="N169" i="83"/>
  <c r="N169" i="20"/>
  <c r="N169" i="86"/>
  <c r="N169" i="28"/>
  <c r="N169" i="16"/>
  <c r="N169" i="90"/>
  <c r="N169" i="85"/>
  <c r="N169" i="87"/>
  <c r="N169" i="94"/>
  <c r="N124" i="178"/>
  <c r="N124" i="165"/>
  <c r="N124" i="145"/>
  <c r="N124" i="43"/>
  <c r="N124" i="32"/>
  <c r="N124" i="53"/>
  <c r="N124" i="104"/>
  <c r="N124" i="79"/>
  <c r="N124" i="63"/>
  <c r="N124" i="27"/>
  <c r="N124" i="95"/>
  <c r="N124" i="177"/>
  <c r="N124" i="143"/>
  <c r="N124" i="69"/>
  <c r="N124" i="16"/>
  <c r="N124" i="42"/>
  <c r="N124" i="24"/>
  <c r="N124" i="37"/>
  <c r="N124" i="90"/>
  <c r="N124" i="87"/>
  <c r="N124" i="54"/>
  <c r="N124" i="135"/>
  <c r="N124" i="176"/>
  <c r="N124" i="157"/>
  <c r="N124" i="68"/>
  <c r="N124" i="142"/>
  <c r="N124" i="60"/>
  <c r="N124" i="119"/>
  <c r="N124" i="89"/>
  <c r="N124" i="62"/>
  <c r="N124" i="72"/>
  <c r="N124" i="98"/>
  <c r="N124" i="20"/>
  <c r="N124" i="164"/>
  <c r="N124" i="150"/>
  <c r="N124" i="58"/>
  <c r="N124" i="46"/>
  <c r="N124" i="1"/>
  <c r="N124" i="85"/>
  <c r="N124" i="103"/>
  <c r="N124" i="39"/>
  <c r="N124" i="19"/>
  <c r="N124" i="83"/>
  <c r="N124" i="158"/>
  <c r="N124" i="152"/>
  <c r="N124" i="33"/>
  <c r="N124" i="38"/>
  <c r="N124" i="21"/>
  <c r="N124" i="136"/>
  <c r="N124" i="47"/>
  <c r="N124" i="65"/>
  <c r="N124" i="120"/>
  <c r="N124" i="55"/>
  <c r="N124" i="45"/>
  <c r="N124" i="172"/>
  <c r="N124" i="159"/>
  <c r="N124" i="31"/>
  <c r="N124" i="14"/>
  <c r="N124" i="71"/>
  <c r="N124" i="28"/>
  <c r="N124" i="92"/>
  <c r="N124" i="49"/>
  <c r="N124" i="25"/>
  <c r="N124" i="141"/>
  <c r="N124" i="174"/>
  <c r="N124" i="149"/>
  <c r="N124" i="15"/>
  <c r="N124" i="133"/>
  <c r="N124" i="64"/>
  <c r="N124" i="86"/>
  <c r="N124" i="111"/>
  <c r="N124" i="155"/>
  <c r="N124" i="50"/>
  <c r="N124" i="57"/>
  <c r="N124" i="167"/>
  <c r="N124" i="175"/>
  <c r="N124" i="106"/>
  <c r="N124" i="66"/>
  <c r="N124" i="156"/>
  <c r="N124" i="113"/>
  <c r="N124" i="118"/>
  <c r="N124" i="84"/>
  <c r="N124" i="10"/>
  <c r="N124" i="102"/>
  <c r="N124" i="94"/>
  <c r="N88" i="175"/>
  <c r="N88" i="152"/>
  <c r="N88" i="39"/>
  <c r="N88" i="27"/>
  <c r="N88" i="98"/>
  <c r="N88" i="142"/>
  <c r="N88" i="19"/>
  <c r="N88" i="62"/>
  <c r="N88" i="71"/>
  <c r="N88" i="83"/>
  <c r="N88" i="104"/>
  <c r="N88" i="164"/>
  <c r="N88" i="145"/>
  <c r="N88" i="141"/>
  <c r="N88" i="50"/>
  <c r="N88" i="63"/>
  <c r="N88" i="46"/>
  <c r="N88" i="103"/>
  <c r="N88" i="86"/>
  <c r="N88" i="136"/>
  <c r="N88" i="177"/>
  <c r="N88" i="167"/>
  <c r="N88" i="143"/>
  <c r="N88" i="10"/>
  <c r="N88" i="49"/>
  <c r="N88" i="55"/>
  <c r="N88" i="38"/>
  <c r="N88" i="47"/>
  <c r="N88" i="65"/>
  <c r="N88" i="106"/>
  <c r="N88" i="119"/>
  <c r="N88" i="113"/>
  <c r="N88" i="156"/>
  <c r="N88" i="57"/>
  <c r="N88" i="54"/>
  <c r="N88" i="72"/>
  <c r="N88" i="31"/>
  <c r="N88" i="14"/>
  <c r="N88" i="92"/>
  <c r="N88" i="64"/>
  <c r="N88" i="21"/>
  <c r="N88" i="53"/>
  <c r="N88" i="172"/>
  <c r="N88" i="155"/>
  <c r="N88" i="45"/>
  <c r="N88" i="20"/>
  <c r="N88" i="15"/>
  <c r="N88" i="133"/>
  <c r="N88" i="111"/>
  <c r="N88" i="58"/>
  <c r="N88" i="69"/>
  <c r="N88" i="24"/>
  <c r="N88" i="174"/>
  <c r="N88" i="150"/>
  <c r="N88" i="25"/>
  <c r="N88" i="95"/>
  <c r="N88" i="120"/>
  <c r="N88" i="66"/>
  <c r="N88" i="149"/>
  <c r="N88" i="84"/>
  <c r="N88" i="28"/>
  <c r="N88" i="85"/>
  <c r="N88" i="33"/>
  <c r="N88" i="87"/>
  <c r="N88" i="79"/>
  <c r="N88" i="165"/>
  <c r="N88" i="94"/>
  <c r="N88" i="159"/>
  <c r="N88" i="60"/>
  <c r="N88" i="42"/>
  <c r="N88" i="90"/>
  <c r="N88" i="178"/>
  <c r="N88" i="158"/>
  <c r="N88" i="68"/>
  <c r="N88" i="157"/>
  <c r="N88" i="16"/>
  <c r="N88" i="89"/>
  <c r="N88" i="102"/>
  <c r="N88" i="32"/>
  <c r="N88" i="135"/>
  <c r="N88" i="176"/>
  <c r="N88" i="43"/>
  <c r="N88" i="1"/>
  <c r="N88" i="37"/>
  <c r="N88" i="118"/>
  <c r="N129" i="135"/>
  <c r="N129" i="106"/>
  <c r="N129" i="83"/>
  <c r="N129" i="143"/>
  <c r="N129" i="165"/>
  <c r="N129" i="66"/>
  <c r="N129" i="62"/>
  <c r="N129" i="104"/>
  <c r="N129" i="47"/>
  <c r="N129" i="64"/>
  <c r="N129" i="46"/>
  <c r="N129" i="90"/>
  <c r="N129" i="28"/>
  <c r="N129" i="10"/>
  <c r="N129" i="172"/>
  <c r="N129" i="119"/>
  <c r="N129" i="24"/>
  <c r="N129" i="87"/>
  <c r="N129" i="21"/>
  <c r="N129" i="14"/>
  <c r="N129" i="133"/>
  <c r="N129" i="141"/>
  <c r="N129" i="69"/>
  <c r="N129" i="38"/>
  <c r="N129" i="84"/>
  <c r="N129" i="111"/>
  <c r="N129" i="157"/>
  <c r="N129" i="71"/>
  <c r="N129" i="58"/>
  <c r="N129" i="94"/>
  <c r="N129" i="92"/>
  <c r="N129" i="149"/>
  <c r="N129" i="53"/>
  <c r="N129" i="15"/>
  <c r="N129" i="89"/>
  <c r="N129" i="16"/>
  <c r="N129" i="164"/>
  <c r="N129" i="54"/>
  <c r="N129" i="32"/>
  <c r="N129" i="55"/>
  <c r="N129" i="43"/>
  <c r="N129" i="95"/>
  <c r="N129" i="178"/>
  <c r="N129" i="156"/>
  <c r="N129" i="65"/>
  <c r="N129" i="175"/>
  <c r="N129" i="113"/>
  <c r="N129" i="86"/>
  <c r="N129" i="103"/>
  <c r="N129" i="150"/>
  <c r="N129" i="20"/>
  <c r="N129" i="145"/>
  <c r="N129" i="155"/>
  <c r="N129" i="37"/>
  <c r="N129" i="177"/>
  <c r="N129" i="79"/>
  <c r="N129" i="63"/>
  <c r="N129" i="72"/>
  <c r="N129" i="57"/>
  <c r="N129" i="1"/>
  <c r="N129" i="50"/>
  <c r="N129" i="158"/>
  <c r="N129" i="60"/>
  <c r="N129" i="98"/>
  <c r="N129" i="174"/>
  <c r="N129" i="49"/>
  <c r="N129" i="159"/>
  <c r="N129" i="25"/>
  <c r="N129" i="152"/>
  <c r="N129" i="31"/>
  <c r="N129" i="167"/>
  <c r="N129" i="33"/>
  <c r="N129" i="118"/>
  <c r="N129" i="176"/>
  <c r="N129" i="68"/>
  <c r="N129" i="42"/>
  <c r="N129" i="85"/>
  <c r="N129" i="142"/>
  <c r="N129" i="27"/>
  <c r="N129" i="120"/>
  <c r="N129" i="45"/>
  <c r="N129" i="39"/>
  <c r="N129" i="19"/>
  <c r="N129" i="102"/>
  <c r="N129" i="136"/>
  <c r="N187" i="165"/>
  <c r="N187" i="172"/>
  <c r="N187" i="174"/>
  <c r="N187" i="152"/>
  <c r="N187" i="149"/>
  <c r="N187" i="106"/>
  <c r="N187" i="84"/>
  <c r="N187" i="98"/>
  <c r="N187" i="49"/>
  <c r="N187" i="95"/>
  <c r="N187" i="32"/>
  <c r="N187" i="118"/>
  <c r="N187" i="16"/>
  <c r="N187" i="37"/>
  <c r="N187" i="150"/>
  <c r="N187" i="155"/>
  <c r="N187" i="60"/>
  <c r="N187" i="64"/>
  <c r="N187" i="142"/>
  <c r="N187" i="24"/>
  <c r="N187" i="68"/>
  <c r="N187" i="25"/>
  <c r="N187" i="28"/>
  <c r="N187" i="38"/>
  <c r="N187" i="156"/>
  <c r="N187" i="45"/>
  <c r="N187" i="90"/>
  <c r="N187" i="58"/>
  <c r="N187" i="20"/>
  <c r="N187" i="71"/>
  <c r="N187" i="54"/>
  <c r="N187" i="83"/>
  <c r="N187" i="47"/>
  <c r="N187" i="158"/>
  <c r="N187" i="159"/>
  <c r="N187" i="94"/>
  <c r="N187" i="62"/>
  <c r="N187" i="1"/>
  <c r="N187" i="10"/>
  <c r="N187" i="69"/>
  <c r="N187" i="46"/>
  <c r="N187" i="175"/>
  <c r="N187" i="111"/>
  <c r="N187" i="19"/>
  <c r="N187" i="178"/>
  <c r="N187" i="167"/>
  <c r="N187" i="87"/>
  <c r="N187" i="120"/>
  <c r="N187" i="31"/>
  <c r="N187" i="42"/>
  <c r="N187" i="113"/>
  <c r="N187" i="33"/>
  <c r="N187" i="85"/>
  <c r="N187" i="103"/>
  <c r="N187" i="177"/>
  <c r="N187" i="157"/>
  <c r="N187" i="63"/>
  <c r="N187" i="65"/>
  <c r="N187" i="15"/>
  <c r="N187" i="135"/>
  <c r="N187" i="53"/>
  <c r="N187" i="14"/>
  <c r="N187" i="21"/>
  <c r="N187" i="92"/>
  <c r="N187" i="66"/>
  <c r="N187" i="55"/>
  <c r="N187" i="86"/>
  <c r="N187" i="143"/>
  <c r="N187" i="50"/>
  <c r="N187" i="89"/>
  <c r="N187" i="133"/>
  <c r="N187" i="43"/>
  <c r="N187" i="176"/>
  <c r="N187" i="72"/>
  <c r="N187" i="102"/>
  <c r="N187" i="141"/>
  <c r="N187" i="119"/>
  <c r="N187" i="57"/>
  <c r="N187" i="164"/>
  <c r="N187" i="79"/>
  <c r="N187" i="145"/>
  <c r="N187" i="27"/>
  <c r="N187" i="104"/>
  <c r="N187" i="136"/>
  <c r="N187" i="39"/>
  <c r="N58" i="178"/>
  <c r="N58" i="19"/>
  <c r="N58" i="72"/>
  <c r="N58" i="46"/>
  <c r="N58" i="38"/>
  <c r="N58" i="53"/>
  <c r="N58" i="150"/>
  <c r="N58" i="33"/>
  <c r="N58" i="83"/>
  <c r="N58" i="20"/>
  <c r="N58" i="118"/>
  <c r="N58" i="174"/>
  <c r="N58" i="27"/>
  <c r="N58" i="69"/>
  <c r="N58" i="68"/>
  <c r="N58" i="156"/>
  <c r="N58" i="120"/>
  <c r="N58" i="135"/>
  <c r="N58" i="24"/>
  <c r="N58" i="136"/>
  <c r="N58" i="21"/>
  <c r="N58" i="86"/>
  <c r="N58" i="25"/>
  <c r="N58" i="143"/>
  <c r="N58" i="89"/>
  <c r="N58" i="65"/>
  <c r="N58" i="95"/>
  <c r="N58" i="15"/>
  <c r="N58" i="79"/>
  <c r="N58" i="119"/>
  <c r="N58" i="55"/>
  <c r="N58" i="14"/>
  <c r="N58" i="177"/>
  <c r="N58" i="164"/>
  <c r="N58" i="31"/>
  <c r="N58" i="57"/>
  <c r="N58" i="142"/>
  <c r="N58" i="172"/>
  <c r="N58" i="45"/>
  <c r="N58" i="152"/>
  <c r="N58" i="87"/>
  <c r="N58" i="10"/>
  <c r="N58" i="113"/>
  <c r="N58" i="102"/>
  <c r="N58" i="64"/>
  <c r="N58" i="157"/>
  <c r="N58" i="49"/>
  <c r="N58" i="39"/>
  <c r="N58" i="42"/>
  <c r="N58" i="103"/>
  <c r="N58" i="92"/>
  <c r="N58" i="104"/>
  <c r="N58" i="62"/>
  <c r="N58" i="85"/>
  <c r="N58" i="28"/>
  <c r="N58" i="158"/>
  <c r="N58" i="54"/>
  <c r="N58" i="84"/>
  <c r="N58" i="37"/>
  <c r="N58" i="106"/>
  <c r="N58" i="94"/>
  <c r="N58" i="145"/>
  <c r="N58" i="16"/>
  <c r="N58" i="167"/>
  <c r="N58" i="60"/>
  <c r="N58" i="155"/>
  <c r="N58" i="165"/>
  <c r="N58" i="98"/>
  <c r="N58" i="176"/>
  <c r="N58" i="71"/>
  <c r="N58" i="66"/>
  <c r="N58" i="159"/>
  <c r="N58" i="111"/>
  <c r="N58" i="149"/>
  <c r="N58" i="32"/>
  <c r="N58" i="50"/>
  <c r="N58" i="90"/>
  <c r="N58" i="47"/>
  <c r="N58" i="1"/>
  <c r="N58" i="141"/>
  <c r="N58" i="175"/>
  <c r="N58" i="43"/>
  <c r="N58" i="58"/>
  <c r="N58" i="133"/>
  <c r="N58" i="63"/>
  <c r="N167" i="174"/>
  <c r="N167" i="159"/>
  <c r="N167" i="10"/>
  <c r="N167" i="71"/>
  <c r="N167" i="50"/>
  <c r="N167" i="57"/>
  <c r="N167" i="89"/>
  <c r="N167" i="24"/>
  <c r="N167" i="157"/>
  <c r="N167" i="106"/>
  <c r="N167" i="84"/>
  <c r="N167" i="165"/>
  <c r="N167" i="158"/>
  <c r="N167" i="145"/>
  <c r="N167" i="111"/>
  <c r="N167" i="15"/>
  <c r="N167" i="28"/>
  <c r="N167" i="136"/>
  <c r="N167" i="86"/>
  <c r="N167" i="31"/>
  <c r="N167" i="47"/>
  <c r="N167" i="176"/>
  <c r="N167" i="149"/>
  <c r="N167" i="104"/>
  <c r="N167" i="25"/>
  <c r="N167" i="102"/>
  <c r="N167" i="32"/>
  <c r="N167" i="21"/>
  <c r="N167" i="14"/>
  <c r="N167" i="68"/>
  <c r="N167" i="141"/>
  <c r="N167" i="177"/>
  <c r="N167" i="172"/>
  <c r="N167" i="54"/>
  <c r="N167" i="37"/>
  <c r="N167" i="118"/>
  <c r="N167" i="43"/>
  <c r="N167" i="92"/>
  <c r="N167" i="79"/>
  <c r="N167" i="45"/>
  <c r="N167" i="119"/>
  <c r="N167" i="1"/>
  <c r="N167" i="152"/>
  <c r="N167" i="66"/>
  <c r="N167" i="72"/>
  <c r="N167" i="42"/>
  <c r="N167" i="60"/>
  <c r="N167" i="164"/>
  <c r="N167" i="46"/>
  <c r="N167" i="49"/>
  <c r="N167" i="85"/>
  <c r="N167" i="53"/>
  <c r="N167" i="87"/>
  <c r="N167" i="155"/>
  <c r="N167" i="33"/>
  <c r="N167" i="39"/>
  <c r="N167" i="27"/>
  <c r="N167" i="133"/>
  <c r="N167" i="167"/>
  <c r="N167" i="58"/>
  <c r="N167" i="63"/>
  <c r="N167" i="135"/>
  <c r="N167" i="62"/>
  <c r="N167" i="178"/>
  <c r="N167" i="175"/>
  <c r="N167" i="98"/>
  <c r="N167" i="94"/>
  <c r="N167" i="95"/>
  <c r="N167" i="38"/>
  <c r="N167" i="19"/>
  <c r="N167" i="143"/>
  <c r="N167" i="90"/>
  <c r="N167" i="55"/>
  <c r="N167" i="103"/>
  <c r="N167" i="83"/>
  <c r="N167" i="113"/>
  <c r="N167" i="120"/>
  <c r="N167" i="150"/>
  <c r="N167" i="16"/>
  <c r="N167" i="20"/>
  <c r="N167" i="69"/>
  <c r="N167" i="156"/>
  <c r="N167" i="142"/>
  <c r="N167" i="65"/>
  <c r="N167" i="64"/>
  <c r="N91" i="152"/>
  <c r="N91" i="159"/>
  <c r="N91" i="37"/>
  <c r="N91" i="79"/>
  <c r="N91" i="84"/>
  <c r="N91" i="120"/>
  <c r="N91" i="83"/>
  <c r="N91" i="53"/>
  <c r="N91" i="32"/>
  <c r="N91" i="45"/>
  <c r="N91" i="174"/>
  <c r="N91" i="176"/>
  <c r="N91" i="62"/>
  <c r="N91" i="72"/>
  <c r="N91" i="106"/>
  <c r="N91" i="19"/>
  <c r="N91" i="98"/>
  <c r="N91" i="31"/>
  <c r="N91" i="65"/>
  <c r="N91" i="85"/>
  <c r="N91" i="71"/>
  <c r="N91" i="167"/>
  <c r="N91" i="156"/>
  <c r="N91" i="143"/>
  <c r="N91" i="103"/>
  <c r="N91" i="133"/>
  <c r="N91" i="90"/>
  <c r="N91" i="94"/>
  <c r="N91" i="69"/>
  <c r="N91" i="113"/>
  <c r="N91" i="104"/>
  <c r="N91" i="63"/>
  <c r="N91" i="155"/>
  <c r="N91" i="149"/>
  <c r="N91" i="28"/>
  <c r="N91" i="16"/>
  <c r="N91" i="141"/>
  <c r="N91" i="64"/>
  <c r="N91" i="135"/>
  <c r="N91" i="89"/>
  <c r="N91" i="21"/>
  <c r="N91" i="50"/>
  <c r="N91" i="158"/>
  <c r="N91" i="57"/>
  <c r="N91" i="68"/>
  <c r="N91" i="95"/>
  <c r="N91" i="60"/>
  <c r="N91" i="165"/>
  <c r="N91" i="142"/>
  <c r="N91" i="14"/>
  <c r="N91" i="39"/>
  <c r="N91" i="33"/>
  <c r="N91" i="178"/>
  <c r="N91" i="150"/>
  <c r="N91" i="92"/>
  <c r="N91" i="55"/>
  <c r="N91" i="66"/>
  <c r="N91" i="118"/>
  <c r="N91" i="145"/>
  <c r="N91" i="38"/>
  <c r="N91" i="136"/>
  <c r="N91" i="20"/>
  <c r="N91" i="25"/>
  <c r="N91" i="164"/>
  <c r="N91" i="47"/>
  <c r="N91" i="58"/>
  <c r="N91" i="15"/>
  <c r="N91" i="27"/>
  <c r="N91" i="54"/>
  <c r="N91" i="177"/>
  <c r="N91" i="157"/>
  <c r="N91" i="1"/>
  <c r="N91" i="86"/>
  <c r="N91" i="102"/>
  <c r="N91" i="175"/>
  <c r="N91" i="111"/>
  <c r="N91" i="119"/>
  <c r="N91" i="87"/>
  <c r="N91" i="24"/>
  <c r="N91" i="172"/>
  <c r="N91" i="43"/>
  <c r="N91" i="46"/>
  <c r="N91" i="10"/>
  <c r="N91" i="49"/>
  <c r="N91" i="42"/>
  <c r="N116" i="120"/>
  <c r="N116" i="149"/>
  <c r="N116" i="95"/>
  <c r="N116" i="142"/>
  <c r="N116" i="133"/>
  <c r="N116" i="98"/>
  <c r="N116" i="20"/>
  <c r="N116" i="167"/>
  <c r="N116" i="15"/>
  <c r="N116" i="57"/>
  <c r="N116" i="32"/>
  <c r="N116" i="159"/>
  <c r="N116" i="24"/>
  <c r="N116" i="64"/>
  <c r="N116" i="47"/>
  <c r="N116" i="10"/>
  <c r="N116" i="55"/>
  <c r="N116" i="54"/>
  <c r="N116" i="14"/>
  <c r="N116" i="177"/>
  <c r="N116" i="45"/>
  <c r="N116" i="178"/>
  <c r="N116" i="39"/>
  <c r="N116" i="90"/>
  <c r="N116" i="102"/>
  <c r="N116" i="50"/>
  <c r="N116" i="62"/>
  <c r="N116" i="68"/>
  <c r="N116" i="66"/>
  <c r="N116" i="113"/>
  <c r="N116" i="46"/>
  <c r="N116" i="174"/>
  <c r="N116" i="16"/>
  <c r="N116" i="141"/>
  <c r="N116" i="86"/>
  <c r="N116" i="92"/>
  <c r="N116" i="103"/>
  <c r="N116" i="176"/>
  <c r="N116" i="72"/>
  <c r="N116" i="1"/>
  <c r="N116" i="156"/>
  <c r="N116" i="155"/>
  <c r="N116" i="104"/>
  <c r="N116" i="164"/>
  <c r="N116" i="58"/>
  <c r="N116" i="65"/>
  <c r="N116" i="118"/>
  <c r="N116" i="157"/>
  <c r="N116" i="19"/>
  <c r="N116" i="60"/>
  <c r="N116" i="63"/>
  <c r="N116" i="150"/>
  <c r="N116" i="106"/>
  <c r="N116" i="53"/>
  <c r="N116" i="152"/>
  <c r="N116" i="38"/>
  <c r="N116" i="143"/>
  <c r="N116" i="175"/>
  <c r="N116" i="135"/>
  <c r="N116" i="31"/>
  <c r="N116" i="27"/>
  <c r="N116" i="21"/>
  <c r="N116" i="69"/>
  <c r="N116" i="158"/>
  <c r="N116" i="79"/>
  <c r="N116" i="172"/>
  <c r="N116" i="111"/>
  <c r="N116" i="87"/>
  <c r="N116" i="84"/>
  <c r="N116" i="165"/>
  <c r="N116" i="83"/>
  <c r="N116" i="71"/>
  <c r="N116" i="37"/>
  <c r="N116" i="119"/>
  <c r="N116" i="145"/>
  <c r="N116" i="89"/>
  <c r="N116" i="49"/>
  <c r="N116" i="28"/>
  <c r="N116" i="42"/>
  <c r="N116" i="85"/>
  <c r="N116" i="33"/>
  <c r="N116" i="43"/>
  <c r="N116" i="94"/>
  <c r="N116" i="25"/>
  <c r="N116" i="136"/>
  <c r="N38" i="178"/>
  <c r="N38" i="158"/>
  <c r="N38" i="156"/>
  <c r="N38" i="94"/>
  <c r="N38" i="87"/>
  <c r="N38" i="86"/>
  <c r="N38" i="31"/>
  <c r="N38" i="84"/>
  <c r="N38" i="79"/>
  <c r="N38" i="16"/>
  <c r="N38" i="55"/>
  <c r="N38" i="174"/>
  <c r="N38" i="167"/>
  <c r="N38" i="42"/>
  <c r="N38" i="53"/>
  <c r="N38" i="54"/>
  <c r="N38" i="102"/>
  <c r="N38" i="50"/>
  <c r="N38" i="14"/>
  <c r="N38" i="106"/>
  <c r="N38" i="103"/>
  <c r="N38" i="92"/>
  <c r="N38" i="165"/>
  <c r="N38" i="152"/>
  <c r="N38" i="66"/>
  <c r="N38" i="85"/>
  <c r="N38" i="149"/>
  <c r="N38" i="150"/>
  <c r="N38" i="89"/>
  <c r="N38" i="119"/>
  <c r="N38" i="47"/>
  <c r="N38" i="64"/>
  <c r="N38" i="68"/>
  <c r="N38" i="177"/>
  <c r="N38" i="145"/>
  <c r="N38" i="27"/>
  <c r="N38" i="71"/>
  <c r="N38" i="39"/>
  <c r="N38" i="49"/>
  <c r="N38" i="15"/>
  <c r="N38" i="57"/>
  <c r="N38" i="136"/>
  <c r="N38" i="72"/>
  <c r="N38" i="164"/>
  <c r="N38" i="24"/>
  <c r="N38" i="21"/>
  <c r="N38" i="98"/>
  <c r="N38" i="133"/>
  <c r="N38" i="37"/>
  <c r="N38" i="155"/>
  <c r="N38" i="65"/>
  <c r="N38" i="135"/>
  <c r="N38" i="142"/>
  <c r="N38" i="38"/>
  <c r="N38" i="176"/>
  <c r="N38" i="69"/>
  <c r="N38" i="33"/>
  <c r="N38" i="58"/>
  <c r="N38" i="118"/>
  <c r="N38" i="175"/>
  <c r="N38" i="60"/>
  <c r="N38" i="113"/>
  <c r="N38" i="20"/>
  <c r="N38" i="1"/>
  <c r="N38" i="62"/>
  <c r="N38" i="159"/>
  <c r="N38" i="45"/>
  <c r="N38" i="63"/>
  <c r="N38" i="90"/>
  <c r="N38" i="19"/>
  <c r="N38" i="157"/>
  <c r="N38" i="95"/>
  <c r="N38" i="25"/>
  <c r="N38" i="46"/>
  <c r="N38" i="28"/>
  <c r="N38" i="172"/>
  <c r="N38" i="32"/>
  <c r="N38" i="104"/>
  <c r="N38" i="120"/>
  <c r="N38" i="111"/>
  <c r="N38" i="143"/>
  <c r="N38" i="83"/>
  <c r="N38" i="10"/>
  <c r="N38" i="141"/>
  <c r="N38" i="43"/>
  <c r="N102" i="33"/>
  <c r="O102" i="33"/>
  <c r="N102" i="133"/>
  <c r="O102" i="133"/>
  <c r="N102" i="65"/>
  <c r="O102" i="65"/>
  <c r="N102" i="90"/>
  <c r="O102" i="90"/>
  <c r="N102" i="135"/>
  <c r="O102" i="135"/>
  <c r="N102" i="136"/>
  <c r="O102" i="136"/>
  <c r="N102" i="20"/>
  <c r="O102" i="20"/>
  <c r="N102" i="15"/>
  <c r="O102" i="15"/>
  <c r="N102" i="95"/>
  <c r="O102" i="95"/>
  <c r="N102" i="145"/>
  <c r="O102" i="145"/>
  <c r="N102" i="57"/>
  <c r="O102" i="57"/>
  <c r="N102" i="104"/>
  <c r="O102" i="104"/>
  <c r="N102" i="142"/>
  <c r="O102" i="142"/>
  <c r="N102" i="152"/>
  <c r="O102" i="152"/>
  <c r="N102" i="69"/>
  <c r="O102" i="69"/>
  <c r="N102" i="50"/>
  <c r="O102" i="50"/>
  <c r="N102" i="178"/>
  <c r="O102" i="178"/>
  <c r="N102" i="66"/>
  <c r="O102" i="66"/>
  <c r="N102" i="25"/>
  <c r="O102" i="25"/>
  <c r="N102" i="158"/>
  <c r="O102" i="158"/>
  <c r="N102" i="68"/>
  <c r="O102" i="68"/>
  <c r="N102" i="46"/>
  <c r="O102" i="46"/>
  <c r="N102" i="141"/>
  <c r="O102" i="141"/>
  <c r="N102" i="118"/>
  <c r="O102" i="118"/>
  <c r="N102" i="45"/>
  <c r="O102" i="45"/>
  <c r="N102" i="58"/>
  <c r="O102" i="58"/>
  <c r="N102" i="47"/>
  <c r="O102" i="47"/>
  <c r="N102" i="79"/>
  <c r="O102" i="79"/>
  <c r="N102" i="37"/>
  <c r="O102" i="37"/>
  <c r="N102" i="49"/>
  <c r="O102" i="49"/>
  <c r="N102" i="174"/>
  <c r="O102" i="174"/>
  <c r="N102" i="92"/>
  <c r="O102" i="92"/>
  <c r="N102" i="156"/>
  <c r="O102" i="156"/>
  <c r="N102" i="53"/>
  <c r="O102" i="53"/>
  <c r="N102" i="1"/>
  <c r="O102" i="1"/>
  <c r="N102" i="39"/>
  <c r="O102" i="39"/>
  <c r="N102" i="176"/>
  <c r="O102" i="176"/>
  <c r="N102" i="24"/>
  <c r="O102" i="24"/>
  <c r="N102" i="172"/>
  <c r="O102" i="172"/>
  <c r="N102" i="164"/>
  <c r="O102" i="164"/>
  <c r="N102" i="27"/>
  <c r="O102" i="27"/>
  <c r="N102" i="85"/>
  <c r="O102" i="85"/>
  <c r="N102" i="103"/>
  <c r="O102" i="103"/>
  <c r="N102" i="16"/>
  <c r="O102" i="16"/>
  <c r="N102" i="175"/>
  <c r="O102" i="175"/>
  <c r="N102" i="14"/>
  <c r="O102" i="14"/>
  <c r="N102" i="72"/>
  <c r="O102" i="72"/>
  <c r="N102" i="150"/>
  <c r="O102" i="150"/>
  <c r="N102" i="62"/>
  <c r="O102" i="62"/>
  <c r="N102" i="113"/>
  <c r="O102" i="113"/>
  <c r="N102" i="38"/>
  <c r="O102" i="38"/>
  <c r="N102" i="87"/>
  <c r="O102" i="87"/>
  <c r="N102" i="31"/>
  <c r="O102" i="31"/>
  <c r="N102" i="64"/>
  <c r="O102" i="64"/>
  <c r="N102" i="19"/>
  <c r="O102" i="19"/>
  <c r="N102" i="71"/>
  <c r="O102" i="71"/>
  <c r="N102" i="83"/>
  <c r="O102" i="83"/>
  <c r="N102" i="21"/>
  <c r="O102" i="21"/>
  <c r="N102" i="94"/>
  <c r="O102" i="94"/>
  <c r="N102" i="32"/>
  <c r="O102" i="32"/>
  <c r="N102" i="89"/>
  <c r="O102" i="89"/>
  <c r="N102" i="42"/>
  <c r="O102" i="42"/>
  <c r="N102" i="106"/>
  <c r="O102" i="106"/>
  <c r="N102" i="111"/>
  <c r="O102" i="111"/>
  <c r="N102" i="143"/>
  <c r="O102" i="143"/>
  <c r="N102" i="167"/>
  <c r="O102" i="167"/>
  <c r="N102" i="119"/>
  <c r="O102" i="119"/>
  <c r="N102" i="28"/>
  <c r="O102" i="28"/>
  <c r="N102" i="86"/>
  <c r="O102" i="86"/>
  <c r="N102" i="54"/>
  <c r="O102" i="54"/>
  <c r="N102" i="157"/>
  <c r="O102" i="157"/>
  <c r="N102" i="10"/>
  <c r="O102" i="10"/>
  <c r="N102" i="155"/>
  <c r="O102" i="155"/>
  <c r="N102" i="102"/>
  <c r="O102" i="102"/>
  <c r="N102" i="98"/>
  <c r="O102" i="98"/>
  <c r="N102" i="84"/>
  <c r="O102" i="84"/>
  <c r="N102" i="120"/>
  <c r="O102" i="120"/>
  <c r="N102" i="63"/>
  <c r="O102" i="63"/>
  <c r="N102" i="149"/>
  <c r="O102" i="149"/>
  <c r="N102" i="159"/>
  <c r="O102" i="159"/>
  <c r="N102" i="55"/>
  <c r="O102" i="55"/>
  <c r="N102" i="60"/>
  <c r="O102" i="60"/>
  <c r="N102" i="43"/>
  <c r="O102" i="43"/>
  <c r="N102" i="177"/>
  <c r="O102" i="177"/>
  <c r="N102" i="165"/>
  <c r="O102" i="165"/>
  <c r="N166" i="177"/>
  <c r="N166" i="69"/>
  <c r="N166" i="119"/>
  <c r="N166" i="71"/>
  <c r="N166" i="62"/>
  <c r="N166" i="145"/>
  <c r="N166" i="66"/>
  <c r="N166" i="158"/>
  <c r="N166" i="102"/>
  <c r="N166" i="149"/>
  <c r="N166" i="120"/>
  <c r="N166" i="90"/>
  <c r="N166" i="63"/>
  <c r="N166" i="39"/>
  <c r="N166" i="57"/>
  <c r="N166" i="14"/>
  <c r="N166" i="25"/>
  <c r="N166" i="31"/>
  <c r="N166" i="174"/>
  <c r="N166" i="98"/>
  <c r="N166" i="55"/>
  <c r="N166" i="152"/>
  <c r="N166" i="86"/>
  <c r="N166" i="16"/>
  <c r="N166" i="10"/>
  <c r="N166" i="83"/>
  <c r="N166" i="21"/>
  <c r="N166" i="118"/>
  <c r="N166" i="142"/>
  <c r="N166" i="50"/>
  <c r="N166" i="79"/>
  <c r="N166" i="92"/>
  <c r="N166" i="24"/>
  <c r="N166" i="60"/>
  <c r="N166" i="103"/>
  <c r="N166" i="176"/>
  <c r="N166" i="106"/>
  <c r="N166" i="53"/>
  <c r="N166" i="15"/>
  <c r="N166" i="49"/>
  <c r="N166" i="87"/>
  <c r="N166" i="156"/>
  <c r="N166" i="136"/>
  <c r="N166" i="104"/>
  <c r="N166" i="143"/>
  <c r="N166" i="38"/>
  <c r="N166" i="94"/>
  <c r="N166" i="20"/>
  <c r="N166" i="175"/>
  <c r="N166" i="1"/>
  <c r="N166" i="64"/>
  <c r="N166" i="19"/>
  <c r="N166" i="111"/>
  <c r="N166" i="165"/>
  <c r="N166" i="84"/>
  <c r="N166" i="45"/>
  <c r="N166" i="43"/>
  <c r="N166" i="159"/>
  <c r="N166" i="58"/>
  <c r="N166" i="113"/>
  <c r="N166" i="33"/>
  <c r="N166" i="172"/>
  <c r="N166" i="155"/>
  <c r="N166" i="47"/>
  <c r="N166" i="32"/>
  <c r="N166" i="42"/>
  <c r="N166" i="27"/>
  <c r="N166" i="135"/>
  <c r="N166" i="178"/>
  <c r="N166" i="164"/>
  <c r="N166" i="150"/>
  <c r="N166" i="37"/>
  <c r="N166" i="141"/>
  <c r="N166" i="68"/>
  <c r="N166" i="54"/>
  <c r="N166" i="46"/>
  <c r="N166" i="133"/>
  <c r="N166" i="167"/>
  <c r="N166" i="28"/>
  <c r="N166" i="72"/>
  <c r="N166" i="85"/>
  <c r="N166" i="157"/>
  <c r="N166" i="89"/>
  <c r="N166" i="65"/>
  <c r="N166" i="95"/>
  <c r="N186" i="178"/>
  <c r="N186" i="39"/>
  <c r="N186" i="111"/>
  <c r="N186" i="45"/>
  <c r="N186" i="21"/>
  <c r="N186" i="145"/>
  <c r="N186" i="64"/>
  <c r="N186" i="142"/>
  <c r="N186" i="69"/>
  <c r="N186" i="149"/>
  <c r="N186" i="15"/>
  <c r="N186" i="164"/>
  <c r="N186" i="42"/>
  <c r="N186" i="143"/>
  <c r="N186" i="79"/>
  <c r="N186" i="86"/>
  <c r="N186" i="102"/>
  <c r="N186" i="32"/>
  <c r="N186" i="60"/>
  <c r="N186" i="98"/>
  <c r="N186" i="58"/>
  <c r="N186" i="62"/>
  <c r="N186" i="175"/>
  <c r="N186" i="25"/>
  <c r="N186" i="92"/>
  <c r="N186" i="157"/>
  <c r="N186" i="141"/>
  <c r="N186" i="63"/>
  <c r="N186" i="72"/>
  <c r="N186" i="150"/>
  <c r="N186" i="136"/>
  <c r="N186" i="68"/>
  <c r="N186" i="10"/>
  <c r="N186" i="152"/>
  <c r="N186" i="28"/>
  <c r="N186" i="53"/>
  <c r="N186" i="133"/>
  <c r="N186" i="103"/>
  <c r="N186" i="120"/>
  <c r="N186" i="87"/>
  <c r="N186" i="27"/>
  <c r="N186" i="177"/>
  <c r="N186" i="94"/>
  <c r="N186" i="167"/>
  <c r="N186" i="66"/>
  <c r="N186" i="174"/>
  <c r="N186" i="38"/>
  <c r="N186" i="14"/>
  <c r="N186" i="104"/>
  <c r="N186" i="71"/>
  <c r="N186" i="158"/>
  <c r="N186" i="54"/>
  <c r="N186" i="106"/>
  <c r="N186" i="90"/>
  <c r="N186" i="33"/>
  <c r="N186" i="89"/>
  <c r="N186" i="83"/>
  <c r="N186" i="84"/>
  <c r="N186" i="19"/>
  <c r="N186" i="55"/>
  <c r="N186" i="1"/>
  <c r="N186" i="43"/>
  <c r="N186" i="47"/>
  <c r="N186" i="24"/>
  <c r="N186" i="37"/>
  <c r="N186" i="176"/>
  <c r="N186" i="172"/>
  <c r="N186" i="155"/>
  <c r="N186" i="135"/>
  <c r="N186" i="85"/>
  <c r="N186" i="65"/>
  <c r="N186" i="165"/>
  <c r="N186" i="119"/>
  <c r="N186" i="159"/>
  <c r="N186" i="16"/>
  <c r="N186" i="46"/>
  <c r="N186" i="118"/>
  <c r="N186" i="49"/>
  <c r="N186" i="50"/>
  <c r="N186" i="113"/>
  <c r="N186" i="20"/>
  <c r="N186" i="31"/>
  <c r="N186" i="156"/>
  <c r="N186" i="57"/>
  <c r="N186" i="95"/>
  <c r="N86" i="32"/>
  <c r="N86" i="66"/>
  <c r="N86" i="152"/>
  <c r="N86" i="164"/>
  <c r="N86" i="174"/>
  <c r="N86" i="155"/>
  <c r="N86" i="28"/>
  <c r="N86" i="156"/>
  <c r="N86" i="118"/>
  <c r="N86" i="42"/>
  <c r="N86" i="27"/>
  <c r="N86" i="60"/>
  <c r="N86" i="175"/>
  <c r="N86" i="72"/>
  <c r="N86" i="90"/>
  <c r="N86" i="58"/>
  <c r="N86" i="25"/>
  <c r="N86" i="24"/>
  <c r="N86" i="57"/>
  <c r="N86" i="54"/>
  <c r="N86" i="79"/>
  <c r="N86" i="47"/>
  <c r="N86" i="69"/>
  <c r="N86" i="136"/>
  <c r="N86" i="63"/>
  <c r="N86" i="102"/>
  <c r="N86" i="176"/>
  <c r="N86" i="46"/>
  <c r="N86" i="84"/>
  <c r="N86" i="89"/>
  <c r="N86" i="113"/>
  <c r="N86" i="92"/>
  <c r="N86" i="83"/>
  <c r="N86" i="85"/>
  <c r="N86" i="87"/>
  <c r="N86" i="31"/>
  <c r="N86" i="50"/>
  <c r="N86" i="157"/>
  <c r="N86" i="14"/>
  <c r="N86" i="39"/>
  <c r="N86" i="167"/>
  <c r="N86" i="120"/>
  <c r="N86" i="98"/>
  <c r="N86" i="143"/>
  <c r="N86" i="53"/>
  <c r="N86" i="178"/>
  <c r="N86" i="68"/>
  <c r="N86" i="94"/>
  <c r="N86" i="21"/>
  <c r="N86" i="65"/>
  <c r="N86" i="133"/>
  <c r="N86" i="37"/>
  <c r="N86" i="55"/>
  <c r="N86" i="177"/>
  <c r="N86" i="16"/>
  <c r="N86" i="19"/>
  <c r="N86" i="10"/>
  <c r="N86" i="62"/>
  <c r="N86" i="71"/>
  <c r="N86" i="95"/>
  <c r="N86" i="15"/>
  <c r="N86" i="135"/>
  <c r="N86" i="64"/>
  <c r="N86" i="104"/>
  <c r="N86" i="38"/>
  <c r="N86" i="111"/>
  <c r="N86" i="49"/>
  <c r="N86" i="165"/>
  <c r="N86" i="158"/>
  <c r="N86" i="150"/>
  <c r="N86" i="43"/>
  <c r="N86" i="45"/>
  <c r="N86" i="1"/>
  <c r="N86" i="145"/>
  <c r="N86" i="142"/>
  <c r="N86" i="103"/>
  <c r="N86" i="159"/>
  <c r="N86" i="119"/>
  <c r="N86" i="106"/>
  <c r="N86" i="86"/>
  <c r="N86" i="33"/>
  <c r="N86" i="20"/>
  <c r="N86" i="172"/>
  <c r="N86" i="149"/>
  <c r="N86" i="141"/>
  <c r="N118" i="136"/>
  <c r="N118" i="10"/>
  <c r="N118" i="135"/>
  <c r="N118" i="157"/>
  <c r="N118" i="16"/>
  <c r="N118" i="21"/>
  <c r="N118" i="89"/>
  <c r="N118" i="143"/>
  <c r="N118" i="95"/>
  <c r="N118" i="72"/>
  <c r="N118" i="155"/>
  <c r="N118" i="92"/>
  <c r="N118" i="46"/>
  <c r="N118" i="104"/>
  <c r="N118" i="20"/>
  <c r="N118" i="165"/>
  <c r="N118" i="103"/>
  <c r="N118" i="141"/>
  <c r="N118" i="106"/>
  <c r="N118" i="150"/>
  <c r="N118" i="55"/>
  <c r="N118" i="178"/>
  <c r="N118" i="152"/>
  <c r="N118" i="172"/>
  <c r="N118" i="149"/>
  <c r="N118" i="94"/>
  <c r="N118" i="85"/>
  <c r="N118" i="64"/>
  <c r="N118" i="19"/>
  <c r="N118" i="177"/>
  <c r="N118" i="98"/>
  <c r="N118" i="31"/>
  <c r="N118" i="142"/>
  <c r="N118" i="50"/>
  <c r="N118" i="164"/>
  <c r="N118" i="28"/>
  <c r="N118" i="57"/>
  <c r="N118" i="86"/>
  <c r="N118" i="176"/>
  <c r="N118" i="111"/>
  <c r="N118" i="65"/>
  <c r="N118" i="84"/>
  <c r="N118" i="159"/>
  <c r="N118" i="175"/>
  <c r="N118" i="102"/>
  <c r="N118" i="33"/>
  <c r="N118" i="58"/>
  <c r="N118" i="54"/>
  <c r="N118" i="39"/>
  <c r="N118" i="87"/>
  <c r="N118" i="83"/>
  <c r="N118" i="47"/>
  <c r="N118" i="167"/>
  <c r="N118" i="27"/>
  <c r="N118" i="42"/>
  <c r="N118" i="43"/>
  <c r="N118" i="49"/>
  <c r="N118" i="37"/>
  <c r="N118" i="90"/>
  <c r="N118" i="32"/>
  <c r="N118" i="25"/>
  <c r="N118" i="158"/>
  <c r="N118" i="66"/>
  <c r="N118" i="38"/>
  <c r="N118" i="145"/>
  <c r="N118" i="119"/>
  <c r="N118" i="174"/>
  <c r="N118" i="53"/>
  <c r="N118" i="71"/>
  <c r="N118" i="133"/>
  <c r="N118" i="118"/>
  <c r="N118" i="1"/>
  <c r="N118" i="60"/>
  <c r="N118" i="62"/>
  <c r="N118" i="113"/>
  <c r="N118" i="15"/>
  <c r="N118" i="156"/>
  <c r="N118" i="68"/>
  <c r="N118" i="120"/>
  <c r="N118" i="63"/>
  <c r="N118" i="24"/>
  <c r="N118" i="14"/>
  <c r="N118" i="79"/>
  <c r="N118" i="69"/>
  <c r="N118" i="45"/>
  <c r="N21" i="54"/>
  <c r="N21" i="71"/>
  <c r="N21" i="135"/>
  <c r="N21" i="90"/>
  <c r="N21" i="46"/>
  <c r="N21" i="145"/>
  <c r="N21" i="50"/>
  <c r="N21" i="159"/>
  <c r="N21" i="119"/>
  <c r="N21" i="141"/>
  <c r="N21" i="176"/>
  <c r="N21" i="178"/>
  <c r="N21" i="150"/>
  <c r="N21" i="27"/>
  <c r="N21" i="24"/>
  <c r="N21" i="43"/>
  <c r="N21" i="158"/>
  <c r="N21" i="37"/>
  <c r="N21" i="25"/>
  <c r="N21" i="63"/>
  <c r="N21" i="113"/>
  <c r="N21" i="120"/>
  <c r="N21" i="42"/>
  <c r="N21" i="53"/>
  <c r="N21" i="10"/>
  <c r="N21" i="87"/>
  <c r="N21" i="45"/>
  <c r="N21" i="152"/>
  <c r="N21" i="157"/>
  <c r="N21" i="83"/>
  <c r="N21" i="177"/>
  <c r="N21" i="143"/>
  <c r="N21" i="32"/>
  <c r="N21" i="118"/>
  <c r="N21" i="31"/>
  <c r="N21" i="98"/>
  <c r="N21" i="60"/>
  <c r="N21" i="55"/>
  <c r="N21" i="103"/>
  <c r="N21" i="156"/>
  <c r="N21" i="106"/>
  <c r="N21" i="104"/>
  <c r="N21" i="92"/>
  <c r="N21" i="155"/>
  <c r="N21" i="174"/>
  <c r="N21" i="16"/>
  <c r="N21" i="94"/>
  <c r="N21" i="62"/>
  <c r="N21" i="64"/>
  <c r="N21" i="39"/>
  <c r="N21" i="47"/>
  <c r="N21" i="167"/>
  <c r="N21" i="1"/>
  <c r="N21" i="165"/>
  <c r="N21" i="79"/>
  <c r="N21" i="172"/>
  <c r="N21" i="102"/>
  <c r="N21" i="20"/>
  <c r="N21" i="89"/>
  <c r="N21" i="69"/>
  <c r="N21" i="57"/>
  <c r="N21" i="33"/>
  <c r="N21" i="58"/>
  <c r="N21" i="38"/>
  <c r="N21" i="28"/>
  <c r="N21" i="65"/>
  <c r="N21" i="133"/>
  <c r="N21" i="84"/>
  <c r="N21" i="142"/>
  <c r="N21" i="111"/>
  <c r="N21" i="164"/>
  <c r="N21" i="72"/>
  <c r="N21" i="19"/>
  <c r="N21" i="149"/>
  <c r="N21" i="14"/>
  <c r="N21" i="21"/>
  <c r="N21" i="85"/>
  <c r="N21" i="15"/>
  <c r="N21" i="95"/>
  <c r="N21" i="86"/>
  <c r="N21" i="49"/>
  <c r="N21" i="68"/>
  <c r="N21" i="66"/>
  <c r="N21" i="136"/>
  <c r="N21" i="175"/>
  <c r="N66" i="178"/>
  <c r="N66" i="10"/>
  <c r="N66" i="172"/>
  <c r="N66" i="150"/>
  <c r="N66" i="66"/>
  <c r="N66" i="174"/>
  <c r="N66" i="65"/>
  <c r="N66" i="157"/>
  <c r="N66" i="158"/>
  <c r="N66" i="58"/>
  <c r="N66" i="55"/>
  <c r="N66" i="145"/>
  <c r="N66" i="92"/>
  <c r="N66" i="152"/>
  <c r="N66" i="33"/>
  <c r="N66" i="90"/>
  <c r="N66" i="20"/>
  <c r="N66" i="63"/>
  <c r="N66" i="113"/>
  <c r="N66" i="60"/>
  <c r="N66" i="136"/>
  <c r="N66" i="118"/>
  <c r="N66" i="95"/>
  <c r="N66" i="149"/>
  <c r="N66" i="69"/>
  <c r="N66" i="83"/>
  <c r="N66" i="43"/>
  <c r="N66" i="50"/>
  <c r="N66" i="37"/>
  <c r="N66" i="111"/>
  <c r="N66" i="89"/>
  <c r="N66" i="64"/>
  <c r="N66" i="119"/>
  <c r="N66" i="177"/>
  <c r="N66" i="104"/>
  <c r="N66" i="165"/>
  <c r="N66" i="155"/>
  <c r="N66" i="15"/>
  <c r="N66" i="49"/>
  <c r="N66" i="28"/>
  <c r="N66" i="85"/>
  <c r="N66" i="42"/>
  <c r="N66" i="1"/>
  <c r="N66" i="102"/>
  <c r="N66" i="94"/>
  <c r="N66" i="120"/>
  <c r="N66" i="62"/>
  <c r="N66" i="46"/>
  <c r="N66" i="79"/>
  <c r="N66" i="133"/>
  <c r="N66" i="141"/>
  <c r="N66" i="24"/>
  <c r="N66" i="84"/>
  <c r="N66" i="176"/>
  <c r="N66" i="135"/>
  <c r="N66" i="14"/>
  <c r="N66" i="143"/>
  <c r="N66" i="175"/>
  <c r="N66" i="103"/>
  <c r="N66" i="21"/>
  <c r="N66" i="47"/>
  <c r="N66" i="27"/>
  <c r="N66" i="87"/>
  <c r="N66" i="32"/>
  <c r="N66" i="86"/>
  <c r="N66" i="16"/>
  <c r="N66" i="164"/>
  <c r="N66" i="156"/>
  <c r="N66" i="142"/>
  <c r="N66" i="19"/>
  <c r="N66" i="68"/>
  <c r="N66" i="25"/>
  <c r="N66" i="159"/>
  <c r="N66" i="71"/>
  <c r="N66" i="53"/>
  <c r="N66" i="54"/>
  <c r="N66" i="72"/>
  <c r="N66" i="57"/>
  <c r="N66" i="31"/>
  <c r="N66" i="98"/>
  <c r="N66" i="45"/>
  <c r="N66" i="38"/>
  <c r="N66" i="39"/>
  <c r="N66" i="106"/>
  <c r="N66" i="167"/>
  <c r="N47" i="164"/>
  <c r="N47" i="152"/>
  <c r="N47" i="92"/>
  <c r="N47" i="69"/>
  <c r="N47" i="27"/>
  <c r="N47" i="64"/>
  <c r="N47" i="111"/>
  <c r="N47" i="57"/>
  <c r="N47" i="71"/>
  <c r="N47" i="118"/>
  <c r="N47" i="38"/>
  <c r="N47" i="157"/>
  <c r="N47" i="45"/>
  <c r="N47" i="65"/>
  <c r="N47" i="58"/>
  <c r="N47" i="135"/>
  <c r="N47" i="15"/>
  <c r="N47" i="113"/>
  <c r="N47" i="16"/>
  <c r="N47" i="72"/>
  <c r="N47" i="14"/>
  <c r="N47" i="178"/>
  <c r="N47" i="90"/>
  <c r="N47" i="43"/>
  <c r="N47" i="24"/>
  <c r="N47" i="98"/>
  <c r="N47" i="79"/>
  <c r="N47" i="42"/>
  <c r="N47" i="55"/>
  <c r="N47" i="165"/>
  <c r="N47" i="63"/>
  <c r="N47" i="84"/>
  <c r="N47" i="155"/>
  <c r="N47" i="49"/>
  <c r="N47" i="159"/>
  <c r="N47" i="89"/>
  <c r="N47" i="47"/>
  <c r="N47" i="32"/>
  <c r="N47" i="136"/>
  <c r="N47" i="177"/>
  <c r="N47" i="175"/>
  <c r="N47" i="87"/>
  <c r="N47" i="68"/>
  <c r="N47" i="31"/>
  <c r="N47" i="50"/>
  <c r="N47" i="94"/>
  <c r="N47" i="60"/>
  <c r="N47" i="25"/>
  <c r="N47" i="133"/>
  <c r="N47" i="85"/>
  <c r="N47" i="20"/>
  <c r="N47" i="174"/>
  <c r="N47" i="33"/>
  <c r="N47" i="66"/>
  <c r="N47" i="150"/>
  <c r="N47" i="143"/>
  <c r="N47" i="104"/>
  <c r="N47" i="53"/>
  <c r="N47" i="158"/>
  <c r="N47" i="167"/>
  <c r="N47" i="19"/>
  <c r="N47" i="106"/>
  <c r="N47" i="142"/>
  <c r="N47" i="21"/>
  <c r="N47" i="83"/>
  <c r="N47" i="120"/>
  <c r="N47" i="86"/>
  <c r="N47" i="28"/>
  <c r="N47" i="39"/>
  <c r="N47" i="172"/>
  <c r="N47" i="149"/>
  <c r="N47" i="62"/>
  <c r="N47" i="102"/>
  <c r="N47" i="95"/>
  <c r="N47" i="1"/>
  <c r="N47" i="46"/>
  <c r="N47" i="176"/>
  <c r="N47" i="103"/>
  <c r="N47" i="119"/>
  <c r="N47" i="141"/>
  <c r="N47" i="156"/>
  <c r="N47" i="37"/>
  <c r="N47" i="145"/>
  <c r="N47" i="54"/>
  <c r="N47" i="10"/>
  <c r="N194" i="156"/>
  <c r="N194" i="167"/>
  <c r="N194" i="21"/>
  <c r="N194" i="104"/>
  <c r="N194" i="136"/>
  <c r="N194" i="143"/>
  <c r="N194" i="64"/>
  <c r="N194" i="85"/>
  <c r="N194" i="106"/>
  <c r="N194" i="63"/>
  <c r="N194" i="69"/>
  <c r="N194" i="84"/>
  <c r="N194" i="98"/>
  <c r="N194" i="62"/>
  <c r="N194" i="158"/>
  <c r="N194" i="164"/>
  <c r="N194" i="119"/>
  <c r="N194" i="65"/>
  <c r="N194" i="172"/>
  <c r="N194" i="141"/>
  <c r="N194" i="83"/>
  <c r="N194" i="175"/>
  <c r="N194" i="46"/>
  <c r="N194" i="155"/>
  <c r="N194" i="20"/>
  <c r="N194" i="111"/>
  <c r="N194" i="79"/>
  <c r="N194" i="25"/>
  <c r="N194" i="57"/>
  <c r="N194" i="176"/>
  <c r="N194" i="49"/>
  <c r="N194" i="32"/>
  <c r="N194" i="53"/>
  <c r="N194" i="45"/>
  <c r="N194" i="159"/>
  <c r="N194" i="89"/>
  <c r="N194" i="95"/>
  <c r="N194" i="10"/>
  <c r="N194" i="15"/>
  <c r="N194" i="149"/>
  <c r="N194" i="142"/>
  <c r="N194" i="58"/>
  <c r="N194" i="90"/>
  <c r="N194" i="54"/>
  <c r="N194" i="42"/>
  <c r="N194" i="177"/>
  <c r="N194" i="16"/>
  <c r="N194" i="28"/>
  <c r="N194" i="135"/>
  <c r="N194" i="71"/>
  <c r="N194" i="14"/>
  <c r="N194" i="102"/>
  <c r="N194" i="72"/>
  <c r="N194" i="60"/>
  <c r="N194" i="118"/>
  <c r="N194" i="19"/>
  <c r="N194" i="92"/>
  <c r="N194" i="103"/>
  <c r="N194" i="152"/>
  <c r="N194" i="31"/>
  <c r="N194" i="39"/>
  <c r="N194" i="157"/>
  <c r="N194" i="38"/>
  <c r="N194" i="178"/>
  <c r="N194" i="145"/>
  <c r="N194" i="68"/>
  <c r="N194" i="66"/>
  <c r="N194" i="165"/>
  <c r="N194" i="150"/>
  <c r="N194" i="43"/>
  <c r="N194" i="174"/>
  <c r="N194" i="37"/>
  <c r="N194" i="86"/>
  <c r="N194" i="47"/>
  <c r="N194" i="55"/>
  <c r="N194" i="27"/>
  <c r="N194" i="50"/>
  <c r="N194" i="113"/>
  <c r="N194" i="24"/>
  <c r="N194" i="33"/>
  <c r="N194" i="133"/>
  <c r="N194" i="1"/>
  <c r="N194" i="94"/>
  <c r="N194" i="120"/>
  <c r="N194" i="87"/>
  <c r="N115" i="178"/>
  <c r="N115" i="159"/>
  <c r="N115" i="92"/>
  <c r="N115" i="104"/>
  <c r="N115" i="157"/>
  <c r="N115" i="113"/>
  <c r="N115" i="111"/>
  <c r="N115" i="175"/>
  <c r="N115" i="38"/>
  <c r="N115" i="164"/>
  <c r="N115" i="55"/>
  <c r="N115" i="1"/>
  <c r="N115" i="149"/>
  <c r="N115" i="50"/>
  <c r="N115" i="158"/>
  <c r="N115" i="87"/>
  <c r="N115" i="155"/>
  <c r="N115" i="53"/>
  <c r="N115" i="10"/>
  <c r="N115" i="31"/>
  <c r="N115" i="150"/>
  <c r="N115" i="120"/>
  <c r="N115" i="42"/>
  <c r="N115" i="145"/>
  <c r="N115" i="103"/>
  <c r="N115" i="62"/>
  <c r="N115" i="64"/>
  <c r="N115" i="152"/>
  <c r="N115" i="174"/>
  <c r="N115" i="66"/>
  <c r="N115" i="142"/>
  <c r="N115" i="43"/>
  <c r="N115" i="106"/>
  <c r="N115" i="89"/>
  <c r="N115" i="69"/>
  <c r="N115" i="98"/>
  <c r="N115" i="25"/>
  <c r="N115" i="21"/>
  <c r="N115" i="119"/>
  <c r="N115" i="118"/>
  <c r="N115" i="20"/>
  <c r="N115" i="49"/>
  <c r="N115" i="63"/>
  <c r="N115" i="45"/>
  <c r="N115" i="60"/>
  <c r="N115" i="133"/>
  <c r="N115" i="83"/>
  <c r="N115" i="27"/>
  <c r="N115" i="71"/>
  <c r="N115" i="167"/>
  <c r="N115" i="176"/>
  <c r="N115" i="85"/>
  <c r="N115" i="68"/>
  <c r="N115" i="65"/>
  <c r="N115" i="19"/>
  <c r="N115" i="94"/>
  <c r="N115" i="141"/>
  <c r="N115" i="135"/>
  <c r="N115" i="86"/>
  <c r="N115" i="33"/>
  <c r="N115" i="84"/>
  <c r="N115" i="136"/>
  <c r="N115" i="37"/>
  <c r="N115" i="46"/>
  <c r="N115" i="15"/>
  <c r="N115" i="102"/>
  <c r="N115" i="95"/>
  <c r="N115" i="72"/>
  <c r="N115" i="28"/>
  <c r="N115" i="39"/>
  <c r="N115" i="172"/>
  <c r="N115" i="32"/>
  <c r="N115" i="177"/>
  <c r="N115" i="54"/>
  <c r="N115" i="143"/>
  <c r="N115" i="16"/>
  <c r="N115" i="58"/>
  <c r="N115" i="90"/>
  <c r="N115" i="24"/>
  <c r="N115" i="57"/>
  <c r="N115" i="165"/>
  <c r="N115" i="14"/>
  <c r="N115" i="79"/>
  <c r="N115" i="156"/>
  <c r="N115" i="47"/>
  <c r="N76" i="164"/>
  <c r="N76" i="145"/>
  <c r="N76" i="31"/>
  <c r="N76" i="98"/>
  <c r="N76" i="64"/>
  <c r="N76" i="94"/>
  <c r="N76" i="47"/>
  <c r="N76" i="20"/>
  <c r="N76" i="79"/>
  <c r="N76" i="156"/>
  <c r="N76" i="57"/>
  <c r="N76" i="157"/>
  <c r="N76" i="68"/>
  <c r="N76" i="87"/>
  <c r="N76" i="66"/>
  <c r="N76" i="69"/>
  <c r="N76" i="15"/>
  <c r="N76" i="24"/>
  <c r="N76" i="55"/>
  <c r="N76" i="28"/>
  <c r="N76" i="120"/>
  <c r="N76" i="142"/>
  <c r="N76" i="113"/>
  <c r="N76" i="174"/>
  <c r="N76" i="33"/>
  <c r="N76" i="32"/>
  <c r="N76" i="60"/>
  <c r="N76" i="165"/>
  <c r="N76" i="155"/>
  <c r="N76" i="16"/>
  <c r="N76" i="104"/>
  <c r="N76" i="111"/>
  <c r="N76" i="102"/>
  <c r="N76" i="43"/>
  <c r="N76" i="42"/>
  <c r="N76" i="63"/>
  <c r="N76" i="45"/>
  <c r="N76" i="177"/>
  <c r="N76" i="150"/>
  <c r="N76" i="84"/>
  <c r="N76" i="1"/>
  <c r="N76" i="71"/>
  <c r="N76" i="50"/>
  <c r="N76" i="19"/>
  <c r="N76" i="72"/>
  <c r="N76" i="85"/>
  <c r="N76" i="89"/>
  <c r="N76" i="65"/>
  <c r="N76" i="178"/>
  <c r="N76" i="62"/>
  <c r="N76" i="176"/>
  <c r="N76" i="135"/>
  <c r="N76" i="175"/>
  <c r="N76" i="118"/>
  <c r="N76" i="39"/>
  <c r="N76" i="90"/>
  <c r="N76" i="54"/>
  <c r="N76" i="158"/>
  <c r="N76" i="143"/>
  <c r="N76" i="38"/>
  <c r="N76" i="10"/>
  <c r="N76" i="37"/>
  <c r="N76" i="167"/>
  <c r="N76" i="133"/>
  <c r="N76" i="136"/>
  <c r="N76" i="83"/>
  <c r="N76" i="103"/>
  <c r="N76" i="86"/>
  <c r="N76" i="172"/>
  <c r="N76" i="152"/>
  <c r="N76" i="119"/>
  <c r="N76" i="46"/>
  <c r="N76" i="25"/>
  <c r="N76" i="49"/>
  <c r="N76" i="106"/>
  <c r="N76" i="14"/>
  <c r="N76" i="95"/>
  <c r="N76" i="21"/>
  <c r="N76" i="149"/>
  <c r="N76" i="58"/>
  <c r="N76" i="92"/>
  <c r="N76" i="27"/>
  <c r="N76" i="141"/>
  <c r="N76" i="53"/>
  <c r="N76" i="159"/>
  <c r="N123" i="95"/>
  <c r="N123" i="159"/>
  <c r="N123" i="53"/>
  <c r="N123" i="84"/>
  <c r="N123" i="174"/>
  <c r="N123" i="21"/>
  <c r="N123" i="155"/>
  <c r="N123" i="106"/>
  <c r="N123" i="32"/>
  <c r="N123" i="177"/>
  <c r="N123" i="136"/>
  <c r="N123" i="157"/>
  <c r="N123" i="60"/>
  <c r="N123" i="98"/>
  <c r="N123" i="142"/>
  <c r="N123" i="49"/>
  <c r="N123" i="46"/>
  <c r="N123" i="62"/>
  <c r="N123" i="85"/>
  <c r="N123" i="68"/>
  <c r="N123" i="119"/>
  <c r="N123" i="38"/>
  <c r="N123" i="25"/>
  <c r="N123" i="145"/>
  <c r="N123" i="90"/>
  <c r="N123" i="65"/>
  <c r="N123" i="57"/>
  <c r="N123" i="133"/>
  <c r="N123" i="24"/>
  <c r="N123" i="54"/>
  <c r="N123" i="14"/>
  <c r="N123" i="120"/>
  <c r="N123" i="31"/>
  <c r="N123" i="149"/>
  <c r="N123" i="15"/>
  <c r="N123" i="64"/>
  <c r="N123" i="47"/>
  <c r="N123" i="102"/>
  <c r="N123" i="58"/>
  <c r="N123" i="143"/>
  <c r="N123" i="37"/>
  <c r="N123" i="152"/>
  <c r="N123" i="71"/>
  <c r="N123" i="16"/>
  <c r="N123" i="86"/>
  <c r="N123" i="164"/>
  <c r="N123" i="66"/>
  <c r="N123" i="19"/>
  <c r="N123" i="1"/>
  <c r="N123" i="104"/>
  <c r="N123" i="45"/>
  <c r="N123" i="103"/>
  <c r="N123" i="69"/>
  <c r="N123" i="28"/>
  <c r="N123" i="20"/>
  <c r="N123" i="158"/>
  <c r="N123" i="55"/>
  <c r="N123" i="10"/>
  <c r="N123" i="27"/>
  <c r="N123" i="176"/>
  <c r="N123" i="72"/>
  <c r="N123" i="150"/>
  <c r="N123" i="172"/>
  <c r="N123" i="178"/>
  <c r="N123" i="39"/>
  <c r="N123" i="94"/>
  <c r="N123" i="92"/>
  <c r="N123" i="118"/>
  <c r="N123" i="167"/>
  <c r="N123" i="87"/>
  <c r="N123" i="63"/>
  <c r="N123" i="83"/>
  <c r="N123" i="33"/>
  <c r="N123" i="135"/>
  <c r="N123" i="79"/>
  <c r="N123" i="113"/>
  <c r="N123" i="111"/>
  <c r="N123" i="89"/>
  <c r="N123" i="165"/>
  <c r="N123" i="42"/>
  <c r="N123" i="175"/>
  <c r="N123" i="43"/>
  <c r="N123" i="141"/>
  <c r="N123" i="156"/>
  <c r="N123" i="50"/>
  <c r="N60" i="178"/>
  <c r="N60" i="28"/>
  <c r="N60" i="104"/>
  <c r="N60" i="103"/>
  <c r="N60" i="159"/>
  <c r="N60" i="45"/>
  <c r="N60" i="49"/>
  <c r="N60" i="90"/>
  <c r="N60" i="145"/>
  <c r="N60" i="33"/>
  <c r="N60" i="21"/>
  <c r="N60" i="1"/>
  <c r="N60" i="94"/>
  <c r="N60" i="142"/>
  <c r="N60" i="14"/>
  <c r="N60" i="176"/>
  <c r="N60" i="175"/>
  <c r="N60" i="68"/>
  <c r="N60" i="133"/>
  <c r="N60" i="79"/>
  <c r="N60" i="57"/>
  <c r="N60" i="32"/>
  <c r="N60" i="19"/>
  <c r="N60" i="111"/>
  <c r="N60" i="149"/>
  <c r="N60" i="174"/>
  <c r="N60" i="85"/>
  <c r="N60" i="53"/>
  <c r="N60" i="38"/>
  <c r="N60" i="20"/>
  <c r="N60" i="16"/>
  <c r="N60" i="102"/>
  <c r="N60" i="65"/>
  <c r="N60" i="69"/>
  <c r="N60" i="172"/>
  <c r="N60" i="92"/>
  <c r="N60" i="60"/>
  <c r="N60" i="42"/>
  <c r="N60" i="66"/>
  <c r="N60" i="31"/>
  <c r="N60" i="10"/>
  <c r="N60" i="39"/>
  <c r="N60" i="43"/>
  <c r="N60" i="47"/>
  <c r="N60" i="158"/>
  <c r="N60" i="113"/>
  <c r="N60" i="118"/>
  <c r="N60" i="24"/>
  <c r="N60" i="167"/>
  <c r="N60" i="63"/>
  <c r="N60" i="150"/>
  <c r="N60" i="25"/>
  <c r="N60" i="89"/>
  <c r="N60" i="95"/>
  <c r="N60" i="98"/>
  <c r="N60" i="50"/>
  <c r="N60" i="177"/>
  <c r="N60" i="55"/>
  <c r="N60" i="86"/>
  <c r="N60" i="84"/>
  <c r="N60" i="83"/>
  <c r="N60" i="152"/>
  <c r="N60" i="64"/>
  <c r="N60" i="143"/>
  <c r="N60" i="119"/>
  <c r="N60" i="155"/>
  <c r="N60" i="62"/>
  <c r="N60" i="58"/>
  <c r="N60" i="54"/>
  <c r="N60" i="164"/>
  <c r="N60" i="72"/>
  <c r="N60" i="87"/>
  <c r="N60" i="141"/>
  <c r="N60" i="27"/>
  <c r="N60" i="136"/>
  <c r="N60" i="37"/>
  <c r="N60" i="46"/>
  <c r="N60" i="106"/>
  <c r="N60" i="165"/>
  <c r="N60" i="71"/>
  <c r="N60" i="157"/>
  <c r="N60" i="156"/>
  <c r="N60" i="15"/>
  <c r="N60" i="135"/>
  <c r="N60" i="120"/>
  <c r="N97" i="178"/>
  <c r="N97" i="71"/>
  <c r="N97" i="39"/>
  <c r="N97" i="28"/>
  <c r="N97" i="69"/>
  <c r="N97" i="156"/>
  <c r="N97" i="37"/>
  <c r="N97" i="38"/>
  <c r="N97" i="10"/>
  <c r="N97" i="89"/>
  <c r="N97" i="42"/>
  <c r="N97" i="145"/>
  <c r="N97" i="141"/>
  <c r="N97" i="149"/>
  <c r="N97" i="58"/>
  <c r="N97" i="86"/>
  <c r="N97" i="27"/>
  <c r="N97" i="175"/>
  <c r="N97" i="172"/>
  <c r="N97" i="92"/>
  <c r="N97" i="152"/>
  <c r="N97" i="136"/>
  <c r="N97" i="167"/>
  <c r="N97" i="45"/>
  <c r="N97" i="21"/>
  <c r="N97" i="94"/>
  <c r="N97" i="25"/>
  <c r="N97" i="113"/>
  <c r="N97" i="155"/>
  <c r="N97" i="55"/>
  <c r="N97" i="120"/>
  <c r="N97" i="62"/>
  <c r="N97" i="57"/>
  <c r="N97" i="63"/>
  <c r="N97" i="83"/>
  <c r="N97" i="87"/>
  <c r="N97" i="174"/>
  <c r="N97" i="1"/>
  <c r="N97" i="33"/>
  <c r="N97" i="104"/>
  <c r="N97" i="66"/>
  <c r="N97" i="85"/>
  <c r="N97" i="68"/>
  <c r="N97" i="176"/>
  <c r="N97" i="19"/>
  <c r="N97" i="49"/>
  <c r="N97" i="150"/>
  <c r="N97" i="111"/>
  <c r="N97" i="20"/>
  <c r="N97" i="65"/>
  <c r="N97" i="164"/>
  <c r="N97" i="142"/>
  <c r="N97" i="24"/>
  <c r="N97" i="43"/>
  <c r="N97" i="106"/>
  <c r="N97" i="158"/>
  <c r="N97" i="31"/>
  <c r="N97" i="15"/>
  <c r="N97" i="64"/>
  <c r="N97" i="84"/>
  <c r="N97" i="103"/>
  <c r="N97" i="72"/>
  <c r="N97" i="50"/>
  <c r="N97" i="32"/>
  <c r="N97" i="133"/>
  <c r="N97" i="16"/>
  <c r="N97" i="165"/>
  <c r="N97" i="79"/>
  <c r="N97" i="53"/>
  <c r="N97" i="177"/>
  <c r="N97" i="135"/>
  <c r="N97" i="54"/>
  <c r="N97" i="95"/>
  <c r="N97" i="47"/>
  <c r="N97" i="98"/>
  <c r="N97" i="60"/>
  <c r="N97" i="119"/>
  <c r="N97" i="157"/>
  <c r="N97" i="14"/>
  <c r="N97" i="159"/>
  <c r="N97" i="46"/>
  <c r="N97" i="102"/>
  <c r="N97" i="118"/>
  <c r="N97" i="143"/>
  <c r="N97" i="90"/>
  <c r="N143" i="176"/>
  <c r="N143" i="150"/>
  <c r="N143" i="136"/>
  <c r="N143" i="133"/>
  <c r="N143" i="119"/>
  <c r="N143" i="83"/>
  <c r="N143" i="50"/>
  <c r="N143" i="69"/>
  <c r="N143" i="120"/>
  <c r="N143" i="143"/>
  <c r="N143" i="24"/>
  <c r="N143" i="47"/>
  <c r="N143" i="16"/>
  <c r="N143" i="1"/>
  <c r="N143" i="71"/>
  <c r="N143" i="63"/>
  <c r="N143" i="178"/>
  <c r="N143" i="172"/>
  <c r="N143" i="10"/>
  <c r="N143" i="106"/>
  <c r="N143" i="19"/>
  <c r="N143" i="43"/>
  <c r="N143" i="102"/>
  <c r="N143" i="149"/>
  <c r="N143" i="21"/>
  <c r="N143" i="92"/>
  <c r="N143" i="98"/>
  <c r="N143" i="95"/>
  <c r="N143" i="94"/>
  <c r="N143" i="152"/>
  <c r="N143" i="135"/>
  <c r="N143" i="68"/>
  <c r="N143" i="46"/>
  <c r="N143" i="32"/>
  <c r="N143" i="28"/>
  <c r="N143" i="158"/>
  <c r="N143" i="27"/>
  <c r="N143" i="38"/>
  <c r="N143" i="104"/>
  <c r="N143" i="118"/>
  <c r="N143" i="25"/>
  <c r="N143" i="155"/>
  <c r="N143" i="20"/>
  <c r="N143" i="84"/>
  <c r="N143" i="85"/>
  <c r="N143" i="39"/>
  <c r="N143" i="89"/>
  <c r="N143" i="145"/>
  <c r="N143" i="14"/>
  <c r="N143" i="31"/>
  <c r="N143" i="15"/>
  <c r="N143" i="66"/>
  <c r="N143" i="72"/>
  <c r="N143" i="174"/>
  <c r="N143" i="159"/>
  <c r="N143" i="142"/>
  <c r="N143" i="87"/>
  <c r="N143" i="33"/>
  <c r="N143" i="167"/>
  <c r="N143" i="165"/>
  <c r="N143" i="86"/>
  <c r="N143" i="157"/>
  <c r="N143" i="54"/>
  <c r="N143" i="65"/>
  <c r="N143" i="55"/>
  <c r="N143" i="60"/>
  <c r="N143" i="62"/>
  <c r="N143" i="164"/>
  <c r="N143" i="57"/>
  <c r="N143" i="79"/>
  <c r="N143" i="111"/>
  <c r="N143" i="103"/>
  <c r="N143" i="58"/>
  <c r="N143" i="175"/>
  <c r="N143" i="156"/>
  <c r="N143" i="113"/>
  <c r="N143" i="45"/>
  <c r="N143" i="42"/>
  <c r="N143" i="64"/>
  <c r="N143" i="141"/>
  <c r="N143" i="37"/>
  <c r="N143" i="90"/>
  <c r="N143" i="177"/>
  <c r="N143" i="49"/>
  <c r="N143" i="53"/>
  <c r="N89" i="55"/>
  <c r="N89" i="94"/>
  <c r="N89" i="19"/>
  <c r="N89" i="62"/>
  <c r="N89" i="54"/>
  <c r="N89" i="42"/>
  <c r="N89" i="84"/>
  <c r="N89" i="118"/>
  <c r="N89" i="104"/>
  <c r="N89" i="37"/>
  <c r="N89" i="95"/>
  <c r="N89" i="16"/>
  <c r="N89" i="102"/>
  <c r="N89" i="63"/>
  <c r="N89" i="66"/>
  <c r="N89" i="46"/>
  <c r="N89" i="145"/>
  <c r="N89" i="15"/>
  <c r="N89" i="113"/>
  <c r="N89" i="89"/>
  <c r="N89" i="65"/>
  <c r="N89" i="143"/>
  <c r="N89" i="25"/>
  <c r="N89" i="119"/>
  <c r="N89" i="60"/>
  <c r="N89" i="58"/>
  <c r="N89" i="152"/>
  <c r="N89" i="21"/>
  <c r="N89" i="71"/>
  <c r="N89" i="133"/>
  <c r="N89" i="111"/>
  <c r="N89" i="87"/>
  <c r="N89" i="79"/>
  <c r="N89" i="27"/>
  <c r="N89" i="106"/>
  <c r="N89" i="158"/>
  <c r="N89" i="49"/>
  <c r="N89" i="45"/>
  <c r="N89" i="38"/>
  <c r="N89" i="157"/>
  <c r="N89" i="167"/>
  <c r="N89" i="14"/>
  <c r="N89" i="155"/>
  <c r="N89" i="32"/>
  <c r="N89" i="31"/>
  <c r="N89" i="57"/>
  <c r="N89" i="20"/>
  <c r="N89" i="28"/>
  <c r="N89" i="174"/>
  <c r="N89" i="85"/>
  <c r="N89" i="176"/>
  <c r="N89" i="120"/>
  <c r="N89" i="178"/>
  <c r="N89" i="149"/>
  <c r="N89" i="164"/>
  <c r="N89" i="136"/>
  <c r="N89" i="177"/>
  <c r="N89" i="69"/>
  <c r="N89" i="86"/>
  <c r="N89" i="39"/>
  <c r="N89" i="47"/>
  <c r="N89" i="24"/>
  <c r="N89" i="64"/>
  <c r="N89" i="156"/>
  <c r="N89" i="150"/>
  <c r="N89" i="53"/>
  <c r="N89" i="165"/>
  <c r="N89" i="159"/>
  <c r="N89" i="50"/>
  <c r="N89" i="172"/>
  <c r="N89" i="72"/>
  <c r="N89" i="98"/>
  <c r="N89" i="142"/>
  <c r="N89" i="83"/>
  <c r="N89" i="1"/>
  <c r="N89" i="103"/>
  <c r="N89" i="10"/>
  <c r="N89" i="43"/>
  <c r="N89" i="68"/>
  <c r="N89" i="135"/>
  <c r="N89" i="33"/>
  <c r="N89" i="92"/>
  <c r="N89" i="90"/>
  <c r="N89" i="175"/>
  <c r="N89" i="141"/>
  <c r="N37" i="152"/>
  <c r="N37" i="79"/>
  <c r="N37" i="33"/>
  <c r="N37" i="145"/>
  <c r="N37" i="49"/>
  <c r="N37" i="156"/>
  <c r="N37" i="103"/>
  <c r="N37" i="14"/>
  <c r="N37" i="142"/>
  <c r="N37" i="46"/>
  <c r="N37" i="165"/>
  <c r="N37" i="118"/>
  <c r="N37" i="90"/>
  <c r="N37" i="177"/>
  <c r="N37" i="54"/>
  <c r="N37" i="42"/>
  <c r="N37" i="57"/>
  <c r="N37" i="94"/>
  <c r="N37" i="38"/>
  <c r="N37" i="71"/>
  <c r="N37" i="87"/>
  <c r="N37" i="178"/>
  <c r="N37" i="143"/>
  <c r="N37" i="62"/>
  <c r="N37" i="155"/>
  <c r="N37" i="111"/>
  <c r="N37" i="20"/>
  <c r="N37" i="15"/>
  <c r="N37" i="28"/>
  <c r="N37" i="176"/>
  <c r="N37" i="32"/>
  <c r="N37" i="43"/>
  <c r="N37" i="164"/>
  <c r="N37" i="19"/>
  <c r="N37" i="106"/>
  <c r="N37" i="150"/>
  <c r="N37" i="95"/>
  <c r="N37" i="1"/>
  <c r="N37" i="167"/>
  <c r="N37" i="136"/>
  <c r="N37" i="39"/>
  <c r="N37" i="120"/>
  <c r="N37" i="60"/>
  <c r="N37" i="174"/>
  <c r="N37" i="119"/>
  <c r="N37" i="65"/>
  <c r="N37" i="102"/>
  <c r="N37" i="31"/>
  <c r="N37" i="21"/>
  <c r="N37" i="86"/>
  <c r="N37" i="157"/>
  <c r="N37" i="63"/>
  <c r="N37" i="24"/>
  <c r="N37" i="104"/>
  <c r="N37" i="83"/>
  <c r="N37" i="92"/>
  <c r="N37" i="69"/>
  <c r="N37" i="45"/>
  <c r="N37" i="135"/>
  <c r="N37" i="10"/>
  <c r="N37" i="133"/>
  <c r="N37" i="98"/>
  <c r="N37" i="113"/>
  <c r="N37" i="25"/>
  <c r="N37" i="172"/>
  <c r="N37" i="37"/>
  <c r="N37" i="68"/>
  <c r="N37" i="175"/>
  <c r="N37" i="27"/>
  <c r="N37" i="64"/>
  <c r="N37" i="55"/>
  <c r="N37" i="47"/>
  <c r="N37" i="85"/>
  <c r="N37" i="16"/>
  <c r="N37" i="89"/>
  <c r="N37" i="53"/>
  <c r="N37" i="84"/>
  <c r="N37" i="149"/>
  <c r="N37" i="58"/>
  <c r="N37" i="50"/>
  <c r="N37" i="66"/>
  <c r="N37" i="158"/>
  <c r="N37" i="159"/>
  <c r="N37" i="72"/>
  <c r="N37" i="141"/>
  <c r="N53" i="158"/>
  <c r="N53" i="156"/>
  <c r="N53" i="176"/>
  <c r="N53" i="103"/>
  <c r="N53" i="106"/>
  <c r="N53" i="19"/>
  <c r="N53" i="49"/>
  <c r="N53" i="21"/>
  <c r="N53" i="94"/>
  <c r="N53" i="15"/>
  <c r="N53" i="113"/>
  <c r="N53" i="149"/>
  <c r="N53" i="159"/>
  <c r="N53" i="28"/>
  <c r="N53" i="16"/>
  <c r="N53" i="119"/>
  <c r="N53" i="55"/>
  <c r="N53" i="89"/>
  <c r="N53" i="155"/>
  <c r="N53" i="69"/>
  <c r="N53" i="32"/>
  <c r="N53" i="164"/>
  <c r="N53" i="145"/>
  <c r="N53" i="47"/>
  <c r="N53" i="57"/>
  <c r="N53" i="46"/>
  <c r="N53" i="136"/>
  <c r="N53" i="135"/>
  <c r="N53" i="33"/>
  <c r="N53" i="83"/>
  <c r="N53" i="42"/>
  <c r="N53" i="167"/>
  <c r="N53" i="143"/>
  <c r="N53" i="102"/>
  <c r="N53" i="142"/>
  <c r="N53" i="133"/>
  <c r="N53" i="90"/>
  <c r="N53" i="63"/>
  <c r="N53" i="54"/>
  <c r="N53" i="45"/>
  <c r="N53" i="60"/>
  <c r="N53" i="95"/>
  <c r="N53" i="178"/>
  <c r="N53" i="165"/>
  <c r="N53" i="152"/>
  <c r="N53" i="37"/>
  <c r="N53" i="79"/>
  <c r="N53" i="141"/>
  <c r="N53" i="64"/>
  <c r="N53" i="20"/>
  <c r="N53" i="86"/>
  <c r="N53" i="87"/>
  <c r="N53" i="66"/>
  <c r="N53" i="174"/>
  <c r="N53" i="175"/>
  <c r="N53" i="62"/>
  <c r="N53" i="72"/>
  <c r="N53" i="58"/>
  <c r="N53" i="68"/>
  <c r="N53" i="104"/>
  <c r="N53" i="39"/>
  <c r="N53" i="65"/>
  <c r="N53" i="71"/>
  <c r="N53" i="98"/>
  <c r="N53" i="111"/>
  <c r="N53" i="50"/>
  <c r="N53" i="172"/>
  <c r="N53" i="84"/>
  <c r="N53" i="27"/>
  <c r="N53" i="118"/>
  <c r="N53" i="24"/>
  <c r="N53" i="25"/>
  <c r="N53" i="177"/>
  <c r="N53" i="92"/>
  <c r="N53" i="10"/>
  <c r="N53" i="157"/>
  <c r="N53" i="120"/>
  <c r="N53" i="53"/>
  <c r="N53" i="1"/>
  <c r="N53" i="38"/>
  <c r="N53" i="150"/>
  <c r="N53" i="14"/>
  <c r="N53" i="85"/>
  <c r="N53" i="43"/>
  <c r="N53" i="31"/>
  <c r="N201" i="46"/>
  <c r="N201" i="174"/>
  <c r="N201" i="10"/>
  <c r="N201" i="21"/>
  <c r="N201" i="79"/>
  <c r="N201" i="177"/>
  <c r="N201" i="71"/>
  <c r="N201" i="175"/>
  <c r="N201" i="135"/>
  <c r="N201" i="65"/>
  <c r="N201" i="14"/>
  <c r="N201" i="172"/>
  <c r="N201" i="64"/>
  <c r="N201" i="62"/>
  <c r="N201" i="145"/>
  <c r="N201" i="68"/>
  <c r="N201" i="86"/>
  <c r="N201" i="27"/>
  <c r="N201" i="63"/>
  <c r="N201" i="39"/>
  <c r="N201" i="84"/>
  <c r="N201" i="24"/>
  <c r="N201" i="143"/>
  <c r="N201" i="58"/>
  <c r="N201" i="19"/>
  <c r="N201" i="32"/>
  <c r="N201" i="20"/>
  <c r="N201" i="45"/>
  <c r="N201" i="113"/>
  <c r="N201" i="55"/>
  <c r="N201" i="155"/>
  <c r="N201" i="92"/>
  <c r="N201" i="15"/>
  <c r="N201" i="141"/>
  <c r="N201" i="94"/>
  <c r="N201" i="150"/>
  <c r="N201" i="149"/>
  <c r="N201" i="47"/>
  <c r="N201" i="176"/>
  <c r="N201" i="38"/>
  <c r="N201" i="66"/>
  <c r="N201" i="69"/>
  <c r="N201" i="178"/>
  <c r="N201" i="83"/>
  <c r="N201" i="50"/>
  <c r="N201" i="53"/>
  <c r="N201" i="72"/>
  <c r="N201" i="31"/>
  <c r="N201" i="142"/>
  <c r="N201" i="60"/>
  <c r="N201" i="120"/>
  <c r="N201" i="49"/>
  <c r="N201" i="103"/>
  <c r="N201" i="98"/>
  <c r="N201" i="136"/>
  <c r="N201" i="156"/>
  <c r="N201" i="1"/>
  <c r="N201" i="158"/>
  <c r="N201" i="85"/>
  <c r="N201" i="102"/>
  <c r="N201" i="28"/>
  <c r="N201" i="95"/>
  <c r="N201" i="133"/>
  <c r="N201" i="159"/>
  <c r="N201" i="164"/>
  <c r="N201" i="57"/>
  <c r="N201" i="42"/>
  <c r="N201" i="37"/>
  <c r="N201" i="167"/>
  <c r="N201" i="54"/>
  <c r="N201" i="119"/>
  <c r="N201" i="104"/>
  <c r="N201" i="90"/>
  <c r="N201" i="16"/>
  <c r="N201" i="152"/>
  <c r="N201" i="33"/>
  <c r="N201" i="111"/>
  <c r="N201" i="157"/>
  <c r="N201" i="87"/>
  <c r="N201" i="89"/>
  <c r="N201" i="43"/>
  <c r="N201" i="118"/>
  <c r="N201" i="106"/>
  <c r="N201" i="165"/>
  <c r="N201" i="25"/>
  <c r="N26" i="178"/>
  <c r="N26" i="33"/>
  <c r="N26" i="14"/>
  <c r="N26" i="167"/>
  <c r="N26" i="104"/>
  <c r="N26" i="71"/>
  <c r="N26" i="50"/>
  <c r="N26" i="158"/>
  <c r="N26" i="133"/>
  <c r="N26" i="141"/>
  <c r="N26" i="79"/>
  <c r="N26" i="63"/>
  <c r="N26" i="156"/>
  <c r="N26" i="120"/>
  <c r="N26" i="49"/>
  <c r="N26" i="85"/>
  <c r="N26" i="172"/>
  <c r="N26" i="1"/>
  <c r="N26" i="24"/>
  <c r="N26" i="157"/>
  <c r="N26" i="164"/>
  <c r="N26" i="58"/>
  <c r="N26" i="118"/>
  <c r="N26" i="177"/>
  <c r="N26" i="165"/>
  <c r="N26" i="90"/>
  <c r="N26" i="68"/>
  <c r="N26" i="72"/>
  <c r="N26" i="53"/>
  <c r="N26" i="106"/>
  <c r="N26" i="142"/>
  <c r="N26" i="84"/>
  <c r="N26" i="83"/>
  <c r="N26" i="39"/>
  <c r="N26" i="145"/>
  <c r="N26" i="60"/>
  <c r="N26" i="92"/>
  <c r="N26" i="86"/>
  <c r="N26" i="159"/>
  <c r="N26" i="55"/>
  <c r="N26" i="38"/>
  <c r="N26" i="21"/>
  <c r="N26" i="37"/>
  <c r="N26" i="94"/>
  <c r="N26" i="174"/>
  <c r="N26" i="20"/>
  <c r="N26" i="98"/>
  <c r="N26" i="62"/>
  <c r="N26" i="47"/>
  <c r="N26" i="15"/>
  <c r="N26" i="31"/>
  <c r="N26" i="25"/>
  <c r="N26" i="143"/>
  <c r="N26" i="111"/>
  <c r="N26" i="42"/>
  <c r="N26" i="113"/>
  <c r="N26" i="19"/>
  <c r="N26" i="136"/>
  <c r="N26" i="119"/>
  <c r="N26" i="45"/>
  <c r="N26" i="87"/>
  <c r="N26" i="152"/>
  <c r="N26" i="46"/>
  <c r="N26" i="54"/>
  <c r="N26" i="32"/>
  <c r="N26" i="65"/>
  <c r="N26" i="95"/>
  <c r="N26" i="149"/>
  <c r="N26" i="135"/>
  <c r="N26" i="89"/>
  <c r="N26" i="43"/>
  <c r="N26" i="69"/>
  <c r="N26" i="16"/>
  <c r="N26" i="102"/>
  <c r="N26" i="176"/>
  <c r="N26" i="64"/>
  <c r="N26" i="66"/>
  <c r="N26" i="155"/>
  <c r="N26" i="150"/>
  <c r="N26" i="103"/>
  <c r="N26" i="27"/>
  <c r="N26" i="10"/>
  <c r="N26" i="175"/>
  <c r="N26" i="28"/>
  <c r="N26" i="57"/>
  <c r="N130" i="15"/>
  <c r="N130" i="42"/>
  <c r="N130" i="111"/>
  <c r="N130" i="155"/>
  <c r="N130" i="28"/>
  <c r="N130" i="68"/>
  <c r="N130" i="104"/>
  <c r="N130" i="120"/>
  <c r="N130" i="24"/>
  <c r="N130" i="64"/>
  <c r="N130" i="32"/>
  <c r="N130" i="145"/>
  <c r="N130" i="141"/>
  <c r="N130" i="47"/>
  <c r="N130" i="175"/>
  <c r="N130" i="85"/>
  <c r="N130" i="65"/>
  <c r="N130" i="54"/>
  <c r="N130" i="62"/>
  <c r="N130" i="136"/>
  <c r="N130" i="156"/>
  <c r="N130" i="178"/>
  <c r="N130" i="1"/>
  <c r="N130" i="71"/>
  <c r="N130" i="21"/>
  <c r="N130" i="16"/>
  <c r="N130" i="152"/>
  <c r="N130" i="94"/>
  <c r="N130" i="103"/>
  <c r="N130" i="119"/>
  <c r="N130" i="45"/>
  <c r="N130" i="84"/>
  <c r="N130" i="38"/>
  <c r="N130" i="53"/>
  <c r="N130" i="118"/>
  <c r="N130" i="33"/>
  <c r="N130" i="60"/>
  <c r="N130" i="167"/>
  <c r="N130" i="176"/>
  <c r="N130" i="149"/>
  <c r="N130" i="46"/>
  <c r="N130" i="165"/>
  <c r="N130" i="86"/>
  <c r="N130" i="142"/>
  <c r="N130" i="92"/>
  <c r="N130" i="102"/>
  <c r="N130" i="72"/>
  <c r="N130" i="31"/>
  <c r="N130" i="90"/>
  <c r="N130" i="164"/>
  <c r="N130" i="135"/>
  <c r="N130" i="106"/>
  <c r="N130" i="27"/>
  <c r="N130" i="79"/>
  <c r="N130" i="113"/>
  <c r="N130" i="69"/>
  <c r="N130" i="177"/>
  <c r="N130" i="49"/>
  <c r="N130" i="10"/>
  <c r="N130" i="89"/>
  <c r="N130" i="39"/>
  <c r="N130" i="43"/>
  <c r="N130" i="133"/>
  <c r="N130" i="55"/>
  <c r="N130" i="14"/>
  <c r="N130" i="159"/>
  <c r="N130" i="172"/>
  <c r="N130" i="58"/>
  <c r="N130" i="20"/>
  <c r="N130" i="95"/>
  <c r="N130" i="57"/>
  <c r="N130" i="37"/>
  <c r="N130" i="150"/>
  <c r="N130" i="157"/>
  <c r="N130" i="143"/>
  <c r="N130" i="87"/>
  <c r="N130" i="174"/>
  <c r="N130" i="19"/>
  <c r="N130" i="25"/>
  <c r="N130" i="50"/>
  <c r="N130" i="158"/>
  <c r="N130" i="83"/>
  <c r="N130" i="98"/>
  <c r="N130" i="66"/>
  <c r="N130" i="63"/>
  <c r="N125" i="1"/>
  <c r="N125" i="20"/>
  <c r="N125" i="53"/>
  <c r="N125" i="95"/>
  <c r="N125" i="68"/>
  <c r="N125" i="37"/>
  <c r="N125" i="136"/>
  <c r="N125" i="157"/>
  <c r="N125" i="16"/>
  <c r="N125" i="177"/>
  <c r="N125" i="27"/>
  <c r="N125" i="72"/>
  <c r="N125" i="21"/>
  <c r="N125" i="152"/>
  <c r="N125" i="15"/>
  <c r="N125" i="92"/>
  <c r="N125" i="94"/>
  <c r="N125" i="10"/>
  <c r="N125" i="46"/>
  <c r="N125" i="135"/>
  <c r="N125" i="63"/>
  <c r="N125" i="178"/>
  <c r="N125" i="175"/>
  <c r="N125" i="111"/>
  <c r="N125" i="103"/>
  <c r="N125" i="156"/>
  <c r="N125" i="60"/>
  <c r="N125" i="64"/>
  <c r="N125" i="159"/>
  <c r="N125" i="142"/>
  <c r="N125" i="71"/>
  <c r="N125" i="141"/>
  <c r="N125" i="172"/>
  <c r="N125" i="133"/>
  <c r="N125" i="89"/>
  <c r="N125" i="45"/>
  <c r="N125" i="155"/>
  <c r="N125" i="84"/>
  <c r="N125" i="25"/>
  <c r="N125" i="55"/>
  <c r="N125" i="79"/>
  <c r="N125" i="176"/>
  <c r="N125" i="47"/>
  <c r="N125" i="31"/>
  <c r="N125" i="149"/>
  <c r="N125" i="14"/>
  <c r="N125" i="57"/>
  <c r="N125" i="39"/>
  <c r="N125" i="158"/>
  <c r="N125" i="42"/>
  <c r="N125" i="62"/>
  <c r="N125" i="24"/>
  <c r="N125" i="87"/>
  <c r="N125" i="58"/>
  <c r="N125" i="85"/>
  <c r="N125" i="69"/>
  <c r="N125" i="19"/>
  <c r="N125" i="102"/>
  <c r="N125" i="65"/>
  <c r="N125" i="150"/>
  <c r="N125" i="120"/>
  <c r="N125" i="143"/>
  <c r="N125" i="118"/>
  <c r="N125" i="167"/>
  <c r="N125" i="164"/>
  <c r="N125" i="54"/>
  <c r="N125" i="165"/>
  <c r="N125" i="98"/>
  <c r="N125" i="50"/>
  <c r="N125" i="86"/>
  <c r="N125" i="33"/>
  <c r="N125" i="66"/>
  <c r="N125" i="32"/>
  <c r="N125" i="113"/>
  <c r="N125" i="119"/>
  <c r="N125" i="28"/>
  <c r="N125" i="145"/>
  <c r="N125" i="90"/>
  <c r="N125" i="38"/>
  <c r="N125" i="104"/>
  <c r="N125" i="106"/>
  <c r="N125" i="174"/>
  <c r="N125" i="49"/>
  <c r="N125" i="43"/>
  <c r="N125" i="83"/>
  <c r="N28" i="178"/>
  <c r="N28" i="149"/>
  <c r="N28" i="102"/>
  <c r="N28" i="95"/>
  <c r="N28" i="1"/>
  <c r="N28" i="38"/>
  <c r="N28" i="39"/>
  <c r="N28" i="84"/>
  <c r="N28" i="164"/>
  <c r="N28" i="172"/>
  <c r="N28" i="177"/>
  <c r="N28" i="21"/>
  <c r="N28" i="113"/>
  <c r="N28" i="14"/>
  <c r="N28" i="79"/>
  <c r="N28" i="33"/>
  <c r="N28" i="86"/>
  <c r="N28" i="85"/>
  <c r="N28" i="47"/>
  <c r="N28" i="55"/>
  <c r="N28" i="94"/>
  <c r="N28" i="87"/>
  <c r="N28" i="175"/>
  <c r="N28" i="157"/>
  <c r="N28" i="43"/>
  <c r="N28" i="135"/>
  <c r="N28" i="53"/>
  <c r="N28" i="133"/>
  <c r="N28" i="10"/>
  <c r="N28" i="90"/>
  <c r="N28" i="152"/>
  <c r="N28" i="176"/>
  <c r="N28" i="27"/>
  <c r="N28" i="64"/>
  <c r="N28" i="66"/>
  <c r="N28" i="57"/>
  <c r="N28" i="62"/>
  <c r="N28" i="69"/>
  <c r="N28" i="37"/>
  <c r="N28" i="111"/>
  <c r="N28" i="104"/>
  <c r="N28" i="19"/>
  <c r="N28" i="159"/>
  <c r="N28" i="167"/>
  <c r="N28" i="150"/>
  <c r="N28" i="142"/>
  <c r="N28" i="50"/>
  <c r="N28" i="119"/>
  <c r="N28" i="32"/>
  <c r="N28" i="118"/>
  <c r="N28" i="106"/>
  <c r="N28" i="143"/>
  <c r="N28" i="58"/>
  <c r="N28" i="49"/>
  <c r="N28" i="15"/>
  <c r="N28" i="16"/>
  <c r="N28" i="25"/>
  <c r="N28" i="65"/>
  <c r="N28" i="103"/>
  <c r="N28" i="136"/>
  <c r="N28" i="89"/>
  <c r="N28" i="72"/>
  <c r="N28" i="98"/>
  <c r="N28" i="63"/>
  <c r="N28" i="156"/>
  <c r="N28" i="145"/>
  <c r="N28" i="54"/>
  <c r="N28" i="42"/>
  <c r="N28" i="158"/>
  <c r="N28" i="60"/>
  <c r="N28" i="92"/>
  <c r="N28" i="165"/>
  <c r="N28" i="155"/>
  <c r="N28" i="31"/>
  <c r="N28" i="20"/>
  <c r="N28" i="71"/>
  <c r="N28" i="46"/>
  <c r="N28" i="174"/>
  <c r="N28" i="68"/>
  <c r="N28" i="45"/>
  <c r="N28" i="28"/>
  <c r="N28" i="24"/>
  <c r="N28" i="141"/>
  <c r="N28" i="83"/>
  <c r="N28" i="120"/>
  <c r="N127" i="174"/>
  <c r="N127" i="156"/>
  <c r="N127" i="45"/>
  <c r="N127" i="65"/>
  <c r="N127" i="43"/>
  <c r="N127" i="20"/>
  <c r="N127" i="119"/>
  <c r="N127" i="14"/>
  <c r="N127" i="103"/>
  <c r="N127" i="85"/>
  <c r="N127" i="176"/>
  <c r="N127" i="157"/>
  <c r="N127" i="155"/>
  <c r="N127" i="19"/>
  <c r="N127" i="106"/>
  <c r="N127" i="54"/>
  <c r="N127" i="42"/>
  <c r="N127" i="38"/>
  <c r="N127" i="39"/>
  <c r="N127" i="136"/>
  <c r="N127" i="47"/>
  <c r="N127" i="178"/>
  <c r="N127" i="172"/>
  <c r="N127" i="159"/>
  <c r="N127" i="87"/>
  <c r="N127" i="68"/>
  <c r="N127" i="142"/>
  <c r="N127" i="21"/>
  <c r="N127" i="66"/>
  <c r="N127" i="57"/>
  <c r="N127" i="118"/>
  <c r="N127" i="120"/>
  <c r="N127" i="158"/>
  <c r="N127" i="149"/>
  <c r="N127" i="94"/>
  <c r="N127" i="92"/>
  <c r="N127" i="69"/>
  <c r="N127" i="95"/>
  <c r="N127" i="1"/>
  <c r="N127" i="10"/>
  <c r="N127" i="133"/>
  <c r="N127" i="111"/>
  <c r="N127" i="86"/>
  <c r="N127" i="167"/>
  <c r="N127" i="175"/>
  <c r="N127" i="145"/>
  <c r="N127" i="79"/>
  <c r="N127" i="33"/>
  <c r="N127" i="27"/>
  <c r="N127" i="64"/>
  <c r="N127" i="16"/>
  <c r="N127" i="25"/>
  <c r="N127" i="98"/>
  <c r="N127" i="104"/>
  <c r="N127" i="177"/>
  <c r="N127" i="152"/>
  <c r="N127" i="63"/>
  <c r="N127" i="84"/>
  <c r="N127" i="58"/>
  <c r="N127" i="135"/>
  <c r="N127" i="71"/>
  <c r="N127" i="165"/>
  <c r="N127" i="150"/>
  <c r="N127" i="83"/>
  <c r="N127" i="62"/>
  <c r="N127" i="102"/>
  <c r="N127" i="49"/>
  <c r="N127" i="53"/>
  <c r="N127" i="46"/>
  <c r="N127" i="37"/>
  <c r="N127" i="89"/>
  <c r="N127" i="55"/>
  <c r="N127" i="164"/>
  <c r="N127" i="143"/>
  <c r="N127" i="141"/>
  <c r="N127" i="90"/>
  <c r="N127" i="31"/>
  <c r="N127" i="50"/>
  <c r="N127" i="113"/>
  <c r="N127" i="60"/>
  <c r="N127" i="72"/>
  <c r="N127" i="24"/>
  <c r="N127" i="32"/>
  <c r="N127" i="28"/>
  <c r="N127" i="15"/>
  <c r="N133" i="164"/>
  <c r="N133" i="159"/>
  <c r="N133" i="119"/>
  <c r="N133" i="69"/>
  <c r="N133" i="150"/>
  <c r="N133" i="21"/>
  <c r="N133" i="15"/>
  <c r="N133" i="14"/>
  <c r="N133" i="142"/>
  <c r="N133" i="20"/>
  <c r="N133" i="141"/>
  <c r="N133" i="177"/>
  <c r="N133" i="157"/>
  <c r="N133" i="83"/>
  <c r="N133" i="47"/>
  <c r="N133" i="49"/>
  <c r="N133" i="86"/>
  <c r="N133" i="102"/>
  <c r="N133" i="25"/>
  <c r="N133" i="24"/>
  <c r="N133" i="65"/>
  <c r="N133" i="174"/>
  <c r="N133" i="165"/>
  <c r="N133" i="90"/>
  <c r="N133" i="27"/>
  <c r="N133" i="111"/>
  <c r="N133" i="95"/>
  <c r="N133" i="106"/>
  <c r="N133" i="143"/>
  <c r="N133" i="55"/>
  <c r="N133" i="135"/>
  <c r="N133" i="133"/>
  <c r="N133" i="155"/>
  <c r="N133" i="152"/>
  <c r="N133" i="98"/>
  <c r="N133" i="104"/>
  <c r="N133" i="38"/>
  <c r="N133" i="113"/>
  <c r="N133" i="118"/>
  <c r="N133" i="31"/>
  <c r="N133" i="92"/>
  <c r="N133" i="58"/>
  <c r="N133" i="176"/>
  <c r="N133" i="149"/>
  <c r="N133" i="84"/>
  <c r="N133" i="87"/>
  <c r="N133" i="68"/>
  <c r="N133" i="43"/>
  <c r="N133" i="94"/>
  <c r="N133" i="1"/>
  <c r="N133" i="103"/>
  <c r="N133" i="89"/>
  <c r="N133" i="158"/>
  <c r="N133" i="167"/>
  <c r="N133" i="53"/>
  <c r="N133" i="50"/>
  <c r="N133" i="10"/>
  <c r="N133" i="39"/>
  <c r="N133" i="42"/>
  <c r="N133" i="19"/>
  <c r="N133" i="60"/>
  <c r="N133" i="62"/>
  <c r="N133" i="64"/>
  <c r="N133" i="136"/>
  <c r="N133" i="37"/>
  <c r="N133" i="175"/>
  <c r="N133" i="45"/>
  <c r="N133" i="54"/>
  <c r="N133" i="178"/>
  <c r="N133" i="57"/>
  <c r="N133" i="72"/>
  <c r="N133" i="172"/>
  <c r="N133" i="66"/>
  <c r="N133" i="63"/>
  <c r="N133" i="156"/>
  <c r="N133" i="28"/>
  <c r="N133" i="79"/>
  <c r="N133" i="85"/>
  <c r="N133" i="46"/>
  <c r="N133" i="120"/>
  <c r="N133" i="71"/>
  <c r="N133" i="16"/>
  <c r="N133" i="32"/>
  <c r="N133" i="145"/>
  <c r="N133" i="33"/>
  <c r="N168" i="53"/>
  <c r="N168" i="45"/>
  <c r="N168" i="113"/>
  <c r="N168" i="90"/>
  <c r="N168" i="66"/>
  <c r="N168" i="174"/>
  <c r="N168" i="159"/>
  <c r="N168" i="19"/>
  <c r="N168" i="69"/>
  <c r="N168" i="118"/>
  <c r="N168" i="106"/>
  <c r="N168" i="84"/>
  <c r="N168" i="150"/>
  <c r="N168" i="103"/>
  <c r="N168" i="119"/>
  <c r="N168" i="47"/>
  <c r="N168" i="83"/>
  <c r="N168" i="164"/>
  <c r="N168" i="60"/>
  <c r="N168" i="79"/>
  <c r="N168" i="20"/>
  <c r="N168" i="63"/>
  <c r="N168" i="32"/>
  <c r="N168" i="43"/>
  <c r="N168" i="135"/>
  <c r="N168" i="149"/>
  <c r="N168" i="33"/>
  <c r="N168" i="15"/>
  <c r="N168" i="58"/>
  <c r="N168" i="57"/>
  <c r="N168" i="65"/>
  <c r="N168" i="94"/>
  <c r="N168" i="145"/>
  <c r="N168" i="39"/>
  <c r="N168" i="50"/>
  <c r="N168" i="141"/>
  <c r="N168" i="85"/>
  <c r="N168" i="98"/>
  <c r="N168" i="142"/>
  <c r="N168" i="102"/>
  <c r="N168" i="21"/>
  <c r="N168" i="16"/>
  <c r="N168" i="165"/>
  <c r="N168" i="46"/>
  <c r="N168" i="38"/>
  <c r="N168" i="157"/>
  <c r="N168" i="25"/>
  <c r="N168" i="86"/>
  <c r="N168" i="71"/>
  <c r="N168" i="104"/>
  <c r="N168" i="14"/>
  <c r="N168" i="152"/>
  <c r="N168" i="156"/>
  <c r="N168" i="87"/>
  <c r="N168" i="27"/>
  <c r="N168" i="54"/>
  <c r="N168" i="24"/>
  <c r="N168" i="37"/>
  <c r="N168" i="95"/>
  <c r="N168" i="62"/>
  <c r="N168" i="143"/>
  <c r="N168" i="42"/>
  <c r="N168" i="158"/>
  <c r="N168" i="177"/>
  <c r="N168" i="172"/>
  <c r="N168" i="55"/>
  <c r="N168" i="1"/>
  <c r="N168" i="64"/>
  <c r="N168" i="120"/>
  <c r="N168" i="167"/>
  <c r="N168" i="136"/>
  <c r="N168" i="178"/>
  <c r="N168" i="92"/>
  <c r="N168" i="49"/>
  <c r="N168" i="72"/>
  <c r="N168" i="28"/>
  <c r="N168" i="68"/>
  <c r="N168" i="175"/>
  <c r="N168" i="89"/>
  <c r="N168" i="10"/>
  <c r="N168" i="111"/>
  <c r="N168" i="31"/>
  <c r="N168" i="176"/>
  <c r="N168" i="133"/>
  <c r="N168" i="155"/>
  <c r="N98" i="158"/>
  <c r="N98" i="167"/>
  <c r="N98" i="98"/>
  <c r="N98" i="90"/>
  <c r="N98" i="95"/>
  <c r="N98" i="65"/>
  <c r="N98" i="86"/>
  <c r="N98" i="133"/>
  <c r="N98" i="28"/>
  <c r="N98" i="50"/>
  <c r="N98" i="43"/>
  <c r="N98" i="152"/>
  <c r="N98" i="145"/>
  <c r="N98" i="141"/>
  <c r="N98" i="24"/>
  <c r="N98" i="45"/>
  <c r="N98" i="39"/>
  <c r="N98" i="64"/>
  <c r="N98" i="92"/>
  <c r="N98" i="104"/>
  <c r="N98" i="106"/>
  <c r="N98" i="164"/>
  <c r="N98" i="150"/>
  <c r="N98" i="58"/>
  <c r="N98" i="60"/>
  <c r="N98" i="83"/>
  <c r="N98" i="113"/>
  <c r="N98" i="68"/>
  <c r="N98" i="38"/>
  <c r="N98" i="31"/>
  <c r="N98" i="20"/>
  <c r="N98" i="111"/>
  <c r="N98" i="143"/>
  <c r="N98" i="157"/>
  <c r="N98" i="14"/>
  <c r="N98" i="69"/>
  <c r="N98" i="32"/>
  <c r="N98" i="25"/>
  <c r="N98" i="1"/>
  <c r="N98" i="37"/>
  <c r="N98" i="47"/>
  <c r="N98" i="63"/>
  <c r="N98" i="172"/>
  <c r="N98" i="175"/>
  <c r="N98" i="84"/>
  <c r="N98" i="42"/>
  <c r="N98" i="53"/>
  <c r="N98" i="21"/>
  <c r="N98" i="120"/>
  <c r="N98" i="89"/>
  <c r="N98" i="102"/>
  <c r="N98" i="159"/>
  <c r="N98" i="174"/>
  <c r="N98" i="155"/>
  <c r="N98" i="15"/>
  <c r="N98" i="10"/>
  <c r="N98" i="94"/>
  <c r="N98" i="87"/>
  <c r="N98" i="19"/>
  <c r="N98" i="176"/>
  <c r="N98" i="57"/>
  <c r="N98" i="118"/>
  <c r="N98" i="135"/>
  <c r="N98" i="178"/>
  <c r="N98" i="149"/>
  <c r="N98" i="156"/>
  <c r="N98" i="119"/>
  <c r="N98" i="27"/>
  <c r="N98" i="71"/>
  <c r="N98" i="33"/>
  <c r="N98" i="55"/>
  <c r="N98" i="49"/>
  <c r="N98" i="79"/>
  <c r="N98" i="16"/>
  <c r="N98" i="165"/>
  <c r="N98" i="177"/>
  <c r="N98" i="46"/>
  <c r="N98" i="66"/>
  <c r="N98" i="85"/>
  <c r="N98" i="54"/>
  <c r="N98" i="136"/>
  <c r="N98" i="62"/>
  <c r="N98" i="142"/>
  <c r="N98" i="103"/>
  <c r="N98" i="72"/>
  <c r="N171" i="178"/>
  <c r="N171" i="133"/>
  <c r="N171" i="32"/>
  <c r="N171" i="64"/>
  <c r="N171" i="118"/>
  <c r="N171" i="84"/>
  <c r="N171" i="92"/>
  <c r="N171" i="38"/>
  <c r="N171" i="135"/>
  <c r="N171" i="102"/>
  <c r="N171" i="136"/>
  <c r="N171" i="54"/>
  <c r="N171" i="119"/>
  <c r="N171" i="39"/>
  <c r="N171" i="152"/>
  <c r="N171" i="14"/>
  <c r="N171" i="16"/>
  <c r="N171" i="141"/>
  <c r="N171" i="63"/>
  <c r="N171" i="104"/>
  <c r="N171" i="31"/>
  <c r="N171" i="46"/>
  <c r="N171" i="47"/>
  <c r="N171" i="106"/>
  <c r="N171" i="33"/>
  <c r="N171" i="45"/>
  <c r="N171" i="69"/>
  <c r="N171" i="157"/>
  <c r="N171" i="176"/>
  <c r="N171" i="21"/>
  <c r="N171" i="142"/>
  <c r="N171" i="62"/>
  <c r="N171" i="53"/>
  <c r="N171" i="27"/>
  <c r="N171" i="89"/>
  <c r="N171" i="85"/>
  <c r="N171" i="159"/>
  <c r="N171" i="79"/>
  <c r="N171" i="156"/>
  <c r="N171" i="60"/>
  <c r="N171" i="25"/>
  <c r="N171" i="172"/>
  <c r="N171" i="165"/>
  <c r="N171" i="143"/>
  <c r="N171" i="49"/>
  <c r="N171" i="58"/>
  <c r="N171" i="42"/>
  <c r="N171" i="87"/>
  <c r="N171" i="10"/>
  <c r="N171" i="20"/>
  <c r="N171" i="15"/>
  <c r="N171" i="167"/>
  <c r="N171" i="50"/>
  <c r="N171" i="28"/>
  <c r="N171" i="90"/>
  <c r="N171" i="98"/>
  <c r="N171" i="150"/>
  <c r="N171" i="55"/>
  <c r="N171" i="111"/>
  <c r="N171" i="37"/>
  <c r="N171" i="164"/>
  <c r="N171" i="86"/>
  <c r="N171" i="68"/>
  <c r="N171" i="19"/>
  <c r="N171" i="158"/>
  <c r="N171" i="120"/>
  <c r="N171" i="149"/>
  <c r="N171" i="72"/>
  <c r="N171" i="83"/>
  <c r="N171" i="94"/>
  <c r="N171" i="113"/>
  <c r="N171" i="155"/>
  <c r="N171" i="177"/>
  <c r="N171" i="24"/>
  <c r="N171" i="1"/>
  <c r="N171" i="174"/>
  <c r="N171" i="65"/>
  <c r="N171" i="175"/>
  <c r="N171" i="66"/>
  <c r="N171" i="103"/>
  <c r="N171" i="145"/>
  <c r="N171" i="95"/>
  <c r="N171" i="43"/>
  <c r="N171" i="71"/>
  <c r="N171" i="57"/>
  <c r="N59" i="174"/>
  <c r="N59" i="65"/>
  <c r="N59" i="167"/>
  <c r="N59" i="37"/>
  <c r="N59" i="57"/>
  <c r="N59" i="104"/>
  <c r="N59" i="178"/>
  <c r="N59" i="159"/>
  <c r="N59" i="68"/>
  <c r="N59" i="69"/>
  <c r="N59" i="172"/>
  <c r="N59" i="27"/>
  <c r="N59" i="54"/>
  <c r="N59" i="83"/>
  <c r="N59" i="43"/>
  <c r="N59" i="111"/>
  <c r="N59" i="79"/>
  <c r="N59" i="156"/>
  <c r="N59" i="38"/>
  <c r="N59" i="21"/>
  <c r="N59" i="133"/>
  <c r="N59" i="63"/>
  <c r="N59" i="106"/>
  <c r="N59" i="62"/>
  <c r="N59" i="150"/>
  <c r="N59" i="31"/>
  <c r="N59" i="71"/>
  <c r="N59" i="157"/>
  <c r="N59" i="85"/>
  <c r="N59" i="33"/>
  <c r="N59" i="32"/>
  <c r="N59" i="60"/>
  <c r="N59" i="25"/>
  <c r="N59" i="89"/>
  <c r="N59" i="1"/>
  <c r="N59" i="20"/>
  <c r="N59" i="118"/>
  <c r="N59" i="142"/>
  <c r="N59" i="94"/>
  <c r="N59" i="164"/>
  <c r="N59" i="120"/>
  <c r="N59" i="145"/>
  <c r="N59" i="39"/>
  <c r="N59" i="141"/>
  <c r="N59" i="24"/>
  <c r="N59" i="64"/>
  <c r="N59" i="149"/>
  <c r="N59" i="55"/>
  <c r="N59" i="90"/>
  <c r="N59" i="95"/>
  <c r="N59" i="175"/>
  <c r="N59" i="119"/>
  <c r="N59" i="16"/>
  <c r="N59" i="92"/>
  <c r="N59" i="176"/>
  <c r="N59" i="87"/>
  <c r="N59" i="10"/>
  <c r="N59" i="47"/>
  <c r="N59" i="158"/>
  <c r="N59" i="53"/>
  <c r="N59" i="46"/>
  <c r="N59" i="165"/>
  <c r="N59" i="84"/>
  <c r="N59" i="103"/>
  <c r="N59" i="113"/>
  <c r="N59" i="155"/>
  <c r="N59" i="15"/>
  <c r="N59" i="45"/>
  <c r="N59" i="102"/>
  <c r="N59" i="49"/>
  <c r="N59" i="19"/>
  <c r="N59" i="135"/>
  <c r="N59" i="42"/>
  <c r="N59" i="152"/>
  <c r="N59" i="58"/>
  <c r="N59" i="50"/>
  <c r="N59" i="143"/>
  <c r="N59" i="66"/>
  <c r="N59" i="86"/>
  <c r="N59" i="98"/>
  <c r="N59" i="28"/>
  <c r="N59" i="72"/>
  <c r="N59" i="14"/>
  <c r="N59" i="136"/>
  <c r="N59" i="177"/>
  <c r="N140" i="164"/>
  <c r="N140" i="156"/>
  <c r="N140" i="33"/>
  <c r="N140" i="37"/>
  <c r="N140" i="79"/>
  <c r="N140" i="141"/>
  <c r="N140" i="15"/>
  <c r="N140" i="113"/>
  <c r="N140" i="95"/>
  <c r="N140" i="27"/>
  <c r="N140" i="175"/>
  <c r="N140" i="155"/>
  <c r="N140" i="39"/>
  <c r="N140" i="43"/>
  <c r="N140" i="38"/>
  <c r="N140" i="84"/>
  <c r="N140" i="98"/>
  <c r="N140" i="87"/>
  <c r="N140" i="89"/>
  <c r="N140" i="83"/>
  <c r="N140" i="136"/>
  <c r="N140" i="165"/>
  <c r="N140" i="157"/>
  <c r="N140" i="86"/>
  <c r="N140" i="111"/>
  <c r="N140" i="92"/>
  <c r="N140" i="14"/>
  <c r="N140" i="53"/>
  <c r="N140" i="69"/>
  <c r="N140" i="1"/>
  <c r="N140" i="104"/>
  <c r="N140" i="176"/>
  <c r="N140" i="149"/>
  <c r="N140" i="25"/>
  <c r="N140" i="28"/>
  <c r="N140" i="16"/>
  <c r="N140" i="119"/>
  <c r="N140" i="85"/>
  <c r="N140" i="68"/>
  <c r="N140" i="24"/>
  <c r="N140" i="94"/>
  <c r="N140" i="63"/>
  <c r="N140" i="178"/>
  <c r="N140" i="167"/>
  <c r="N140" i="158"/>
  <c r="N140" i="102"/>
  <c r="N140" i="103"/>
  <c r="N140" i="106"/>
  <c r="N140" i="10"/>
  <c r="N140" i="71"/>
  <c r="N140" i="20"/>
  <c r="N140" i="64"/>
  <c r="N140" i="42"/>
  <c r="N140" i="152"/>
  <c r="N140" i="143"/>
  <c r="N140" i="118"/>
  <c r="N140" i="142"/>
  <c r="N140" i="133"/>
  <c r="N140" i="90"/>
  <c r="N140" i="45"/>
  <c r="N140" i="135"/>
  <c r="N140" i="49"/>
  <c r="N140" i="60"/>
  <c r="N140" i="31"/>
  <c r="N140" i="177"/>
  <c r="N140" i="172"/>
  <c r="N140" i="21"/>
  <c r="N140" i="47"/>
  <c r="N140" i="57"/>
  <c r="N140" i="46"/>
  <c r="N140" i="145"/>
  <c r="N140" i="65"/>
  <c r="N140" i="120"/>
  <c r="N140" i="19"/>
  <c r="N140" i="174"/>
  <c r="N140" i="159"/>
  <c r="N140" i="54"/>
  <c r="N140" i="62"/>
  <c r="N140" i="72"/>
  <c r="N140" i="58"/>
  <c r="N140" i="150"/>
  <c r="N140" i="32"/>
  <c r="N140" i="66"/>
  <c r="N140" i="50"/>
  <c r="N140" i="55"/>
  <c r="N184" i="172"/>
  <c r="N184" i="165"/>
  <c r="N184" i="69"/>
  <c r="N184" i="79"/>
  <c r="N184" i="53"/>
  <c r="N184" i="136"/>
  <c r="N184" i="39"/>
  <c r="N184" i="43"/>
  <c r="N184" i="1"/>
  <c r="N184" i="47"/>
  <c r="N184" i="176"/>
  <c r="N184" i="155"/>
  <c r="N184" i="84"/>
  <c r="N184" i="72"/>
  <c r="N184" i="159"/>
  <c r="N184" i="86"/>
  <c r="N184" i="14"/>
  <c r="N184" i="133"/>
  <c r="N184" i="24"/>
  <c r="N184" i="157"/>
  <c r="N184" i="28"/>
  <c r="N184" i="178"/>
  <c r="N184" i="149"/>
  <c r="N184" i="102"/>
  <c r="N184" i="167"/>
  <c r="N184" i="142"/>
  <c r="N184" i="71"/>
  <c r="N184" i="64"/>
  <c r="N184" i="25"/>
  <c r="N184" i="135"/>
  <c r="N184" i="113"/>
  <c r="N184" i="15"/>
  <c r="N184" i="174"/>
  <c r="N184" i="145"/>
  <c r="N184" i="119"/>
  <c r="N184" i="38"/>
  <c r="N184" i="85"/>
  <c r="N184" i="68"/>
  <c r="N184" i="21"/>
  <c r="N184" i="63"/>
  <c r="N184" i="92"/>
  <c r="N184" i="27"/>
  <c r="N184" i="42"/>
  <c r="N184" i="177"/>
  <c r="N184" i="175"/>
  <c r="N184" i="46"/>
  <c r="N184" i="10"/>
  <c r="N184" i="94"/>
  <c r="N184" i="65"/>
  <c r="N184" i="90"/>
  <c r="N184" i="50"/>
  <c r="N184" i="31"/>
  <c r="N184" i="37"/>
  <c r="N184" i="104"/>
  <c r="N184" i="152"/>
  <c r="N184" i="156"/>
  <c r="N184" i="95"/>
  <c r="N184" i="16"/>
  <c r="N184" i="45"/>
  <c r="N184" i="120"/>
  <c r="N184" i="33"/>
  <c r="N184" i="66"/>
  <c r="N184" i="98"/>
  <c r="N184" i="60"/>
  <c r="N184" i="164"/>
  <c r="N184" i="150"/>
  <c r="N184" i="141"/>
  <c r="N184" i="57"/>
  <c r="N184" i="106"/>
  <c r="N184" i="19"/>
  <c r="N184" i="54"/>
  <c r="N184" i="87"/>
  <c r="N184" i="62"/>
  <c r="N184" i="83"/>
  <c r="N184" i="20"/>
  <c r="N184" i="143"/>
  <c r="N184" i="58"/>
  <c r="N184" i="158"/>
  <c r="N184" i="103"/>
  <c r="N184" i="32"/>
  <c r="N184" i="55"/>
  <c r="N184" i="89"/>
  <c r="N184" i="111"/>
  <c r="N184" i="49"/>
  <c r="N184" i="118"/>
  <c r="N170" i="175"/>
  <c r="N170" i="14"/>
  <c r="N170" i="57"/>
  <c r="N170" i="45"/>
  <c r="N170" i="19"/>
  <c r="N170" i="165"/>
  <c r="N170" i="68"/>
  <c r="N170" i="69"/>
  <c r="N170" i="120"/>
  <c r="N170" i="31"/>
  <c r="N170" i="159"/>
  <c r="N170" i="10"/>
  <c r="N170" i="149"/>
  <c r="N170" i="167"/>
  <c r="N170" i="113"/>
  <c r="N170" i="58"/>
  <c r="N170" i="16"/>
  <c r="N170" i="104"/>
  <c r="N170" i="87"/>
  <c r="N170" i="178"/>
  <c r="N170" i="150"/>
  <c r="N170" i="83"/>
  <c r="N170" i="89"/>
  <c r="N170" i="102"/>
  <c r="N170" i="103"/>
  <c r="N170" i="79"/>
  <c r="N170" i="1"/>
  <c r="N170" i="158"/>
  <c r="N170" i="72"/>
  <c r="N170" i="85"/>
  <c r="N170" i="177"/>
  <c r="N170" i="55"/>
  <c r="N170" i="39"/>
  <c r="N170" i="152"/>
  <c r="N170" i="38"/>
  <c r="N170" i="94"/>
  <c r="N170" i="106"/>
  <c r="N170" i="60"/>
  <c r="N170" i="46"/>
  <c r="N170" i="43"/>
  <c r="N170" i="92"/>
  <c r="N170" i="174"/>
  <c r="N170" i="49"/>
  <c r="N170" i="66"/>
  <c r="N170" i="172"/>
  <c r="N170" i="21"/>
  <c r="N170" i="42"/>
  <c r="N170" i="53"/>
  <c r="N170" i="71"/>
  <c r="N170" i="62"/>
  <c r="N170" i="54"/>
  <c r="N170" i="98"/>
  <c r="N170" i="176"/>
  <c r="N170" i="95"/>
  <c r="N170" i="118"/>
  <c r="N170" i="65"/>
  <c r="N170" i="24"/>
  <c r="N170" i="156"/>
  <c r="N170" i="37"/>
  <c r="N170" i="63"/>
  <c r="N170" i="27"/>
  <c r="N170" i="164"/>
  <c r="N170" i="32"/>
  <c r="N170" i="20"/>
  <c r="N170" i="155"/>
  <c r="N170" i="47"/>
  <c r="N170" i="15"/>
  <c r="N170" i="28"/>
  <c r="N170" i="143"/>
  <c r="N170" i="145"/>
  <c r="N170" i="33"/>
  <c r="N170" i="90"/>
  <c r="N170" i="133"/>
  <c r="N170" i="141"/>
  <c r="N170" i="135"/>
  <c r="N170" i="84"/>
  <c r="N170" i="25"/>
  <c r="N170" i="111"/>
  <c r="N170" i="136"/>
  <c r="N170" i="64"/>
  <c r="N170" i="86"/>
  <c r="N170" i="119"/>
  <c r="N170" i="50"/>
  <c r="N170" i="142"/>
  <c r="N170" i="157"/>
  <c r="N30" i="53"/>
  <c r="N30" i="95"/>
  <c r="N30" i="55"/>
  <c r="N30" i="150"/>
  <c r="N30" i="10"/>
  <c r="N30" i="31"/>
  <c r="N30" i="27"/>
  <c r="N30" i="175"/>
  <c r="N30" i="63"/>
  <c r="N30" i="32"/>
  <c r="N30" i="145"/>
  <c r="N30" i="155"/>
  <c r="N30" i="33"/>
  <c r="N30" i="15"/>
  <c r="N30" i="54"/>
  <c r="N30" i="43"/>
  <c r="N30" i="64"/>
  <c r="N30" i="25"/>
  <c r="N30" i="47"/>
  <c r="N30" i="66"/>
  <c r="N30" i="1"/>
  <c r="N30" i="174"/>
  <c r="N30" i="119"/>
  <c r="N30" i="65"/>
  <c r="N30" i="68"/>
  <c r="N30" i="39"/>
  <c r="N30" i="136"/>
  <c r="N30" i="165"/>
  <c r="N30" i="141"/>
  <c r="N30" i="98"/>
  <c r="N30" i="60"/>
  <c r="N30" i="50"/>
  <c r="N30" i="86"/>
  <c r="N30" i="83"/>
  <c r="N30" i="87"/>
  <c r="N30" i="142"/>
  <c r="N30" i="133"/>
  <c r="N30" i="118"/>
  <c r="N30" i="46"/>
  <c r="N30" i="104"/>
  <c r="N30" i="16"/>
  <c r="N30" i="14"/>
  <c r="N30" i="49"/>
  <c r="N30" i="71"/>
  <c r="N30" i="156"/>
  <c r="N30" i="92"/>
  <c r="N30" i="152"/>
  <c r="N30" i="62"/>
  <c r="N30" i="149"/>
  <c r="N30" i="90"/>
  <c r="N30" i="37"/>
  <c r="N30" i="164"/>
  <c r="N30" i="89"/>
  <c r="N30" i="143"/>
  <c r="N30" i="19"/>
  <c r="N30" i="42"/>
  <c r="N30" i="102"/>
  <c r="N30" i="106"/>
  <c r="N30" i="84"/>
  <c r="N30" i="45"/>
  <c r="N30" i="176"/>
  <c r="N30" i="58"/>
  <c r="N30" i="135"/>
  <c r="N30" i="167"/>
  <c r="N30" i="178"/>
  <c r="N30" i="120"/>
  <c r="N30" i="157"/>
  <c r="N30" i="177"/>
  <c r="N30" i="24"/>
  <c r="N30" i="159"/>
  <c r="N30" i="94"/>
  <c r="N30" i="113"/>
  <c r="N30" i="172"/>
  <c r="N30" i="57"/>
  <c r="N30" i="28"/>
  <c r="N30" i="69"/>
  <c r="N30" i="111"/>
  <c r="N30" i="20"/>
  <c r="N30" i="79"/>
  <c r="N30" i="158"/>
  <c r="N30" i="103"/>
  <c r="N30" i="85"/>
  <c r="N30" i="38"/>
  <c r="N30" i="72"/>
  <c r="N30" i="21"/>
  <c r="N77" i="165"/>
  <c r="N77" i="167"/>
  <c r="N77" i="71"/>
  <c r="N77" i="24"/>
  <c r="N77" i="49"/>
  <c r="N77" i="21"/>
  <c r="N77" i="85"/>
  <c r="N77" i="98"/>
  <c r="N77" i="58"/>
  <c r="N77" i="47"/>
  <c r="N77" i="19"/>
  <c r="N77" i="149"/>
  <c r="N77" i="175"/>
  <c r="N77" i="87"/>
  <c r="N77" i="95"/>
  <c r="N77" i="31"/>
  <c r="N77" i="25"/>
  <c r="N77" i="84"/>
  <c r="N77" i="72"/>
  <c r="N77" i="38"/>
  <c r="N77" i="1"/>
  <c r="N77" i="156"/>
  <c r="N77" i="152"/>
  <c r="N77" i="65"/>
  <c r="N77" i="69"/>
  <c r="N77" i="135"/>
  <c r="N77" i="33"/>
  <c r="N77" i="62"/>
  <c r="N77" i="14"/>
  <c r="N77" i="68"/>
  <c r="N77" i="57"/>
  <c r="N77" i="176"/>
  <c r="N77" i="158"/>
  <c r="N77" i="143"/>
  <c r="N77" i="60"/>
  <c r="N77" i="118"/>
  <c r="N77" i="89"/>
  <c r="N77" i="133"/>
  <c r="N77" i="16"/>
  <c r="N77" i="55"/>
  <c r="N77" i="28"/>
  <c r="N77" i="119"/>
  <c r="N77" i="178"/>
  <c r="N77" i="177"/>
  <c r="N77" i="155"/>
  <c r="N77" i="113"/>
  <c r="N77" i="10"/>
  <c r="N77" i="20"/>
  <c r="N77" i="86"/>
  <c r="N77" i="111"/>
  <c r="N77" i="15"/>
  <c r="N77" i="142"/>
  <c r="N77" i="46"/>
  <c r="N77" i="164"/>
  <c r="N77" i="157"/>
  <c r="N77" i="45"/>
  <c r="N77" i="42"/>
  <c r="N77" i="145"/>
  <c r="N77" i="54"/>
  <c r="N77" i="102"/>
  <c r="N77" i="92"/>
  <c r="N77" i="136"/>
  <c r="N77" i="103"/>
  <c r="N77" i="43"/>
  <c r="N77" i="174"/>
  <c r="N77" i="150"/>
  <c r="N77" i="53"/>
  <c r="N77" i="66"/>
  <c r="N77" i="83"/>
  <c r="N77" i="50"/>
  <c r="N77" i="94"/>
  <c r="N77" i="141"/>
  <c r="N77" i="120"/>
  <c r="N77" i="79"/>
  <c r="N77" i="64"/>
  <c r="N77" i="172"/>
  <c r="N77" i="159"/>
  <c r="N77" i="32"/>
  <c r="N77" i="27"/>
  <c r="N77" i="104"/>
  <c r="N77" i="39"/>
  <c r="N77" i="106"/>
  <c r="N77" i="63"/>
  <c r="N77" i="37"/>
  <c r="N77" i="90"/>
  <c r="N67" i="165"/>
  <c r="N67" i="152"/>
  <c r="N67" i="53"/>
  <c r="N67" i="31"/>
  <c r="N67" i="62"/>
  <c r="N67" i="33"/>
  <c r="N67" i="94"/>
  <c r="N67" i="89"/>
  <c r="N67" i="79"/>
  <c r="N67" i="20"/>
  <c r="N67" i="158"/>
  <c r="N67" i="172"/>
  <c r="N67" i="136"/>
  <c r="N67" i="84"/>
  <c r="N67" i="1"/>
  <c r="N67" i="54"/>
  <c r="N67" i="90"/>
  <c r="N67" i="28"/>
  <c r="N67" i="135"/>
  <c r="N67" i="86"/>
  <c r="N67" i="66"/>
  <c r="N67" i="178"/>
  <c r="N67" i="167"/>
  <c r="N67" i="143"/>
  <c r="N67" i="106"/>
  <c r="N67" i="16"/>
  <c r="N67" i="46"/>
  <c r="N67" i="25"/>
  <c r="N67" i="39"/>
  <c r="N67" i="95"/>
  <c r="N67" i="27"/>
  <c r="N67" i="49"/>
  <c r="N67" i="174"/>
  <c r="N67" i="157"/>
  <c r="N67" i="21"/>
  <c r="N67" i="141"/>
  <c r="N67" i="68"/>
  <c r="N67" i="37"/>
  <c r="N67" i="118"/>
  <c r="N67" i="55"/>
  <c r="N67" i="15"/>
  <c r="N67" i="83"/>
  <c r="N67" i="57"/>
  <c r="N67" i="176"/>
  <c r="N67" i="145"/>
  <c r="N67" i="142"/>
  <c r="N67" i="69"/>
  <c r="N67" i="102"/>
  <c r="N67" i="113"/>
  <c r="N67" i="149"/>
  <c r="N67" i="119"/>
  <c r="N67" i="64"/>
  <c r="N67" i="92"/>
  <c r="N67" i="72"/>
  <c r="N67" i="60"/>
  <c r="N67" i="177"/>
  <c r="N67" i="85"/>
  <c r="N67" i="155"/>
  <c r="N67" i="50"/>
  <c r="N67" i="103"/>
  <c r="N67" i="14"/>
  <c r="N67" i="175"/>
  <c r="N67" i="87"/>
  <c r="N67" i="111"/>
  <c r="N67" i="63"/>
  <c r="N67" i="42"/>
  <c r="N67" i="159"/>
  <c r="N67" i="133"/>
  <c r="N67" i="10"/>
  <c r="N67" i="32"/>
  <c r="N67" i="58"/>
  <c r="N67" i="150"/>
  <c r="N67" i="47"/>
  <c r="N67" i="98"/>
  <c r="N67" i="43"/>
  <c r="N67" i="45"/>
  <c r="N67" i="164"/>
  <c r="N67" i="38"/>
  <c r="N67" i="71"/>
  <c r="N67" i="65"/>
  <c r="N67" i="24"/>
  <c r="N67" i="156"/>
  <c r="N67" i="19"/>
  <c r="N67" i="104"/>
  <c r="N67" i="120"/>
  <c r="N55" i="176"/>
  <c r="N55" i="159"/>
  <c r="N55" i="141"/>
  <c r="N55" i="90"/>
  <c r="N55" i="47"/>
  <c r="N55" i="20"/>
  <c r="N55" i="118"/>
  <c r="N55" i="104"/>
  <c r="N55" i="66"/>
  <c r="N55" i="14"/>
  <c r="N55" i="43"/>
  <c r="N55" i="158"/>
  <c r="N55" i="156"/>
  <c r="N55" i="79"/>
  <c r="N55" i="33"/>
  <c r="N55" i="54"/>
  <c r="N55" i="42"/>
  <c r="N55" i="103"/>
  <c r="N55" i="72"/>
  <c r="N55" i="71"/>
  <c r="N55" i="113"/>
  <c r="N55" i="149"/>
  <c r="N55" i="164"/>
  <c r="N55" i="19"/>
  <c r="N55" i="106"/>
  <c r="N55" i="142"/>
  <c r="N55" i="21"/>
  <c r="N55" i="111"/>
  <c r="N55" i="89"/>
  <c r="N55" i="133"/>
  <c r="N55" i="39"/>
  <c r="N55" i="174"/>
  <c r="N55" i="143"/>
  <c r="N55" i="83"/>
  <c r="N55" i="62"/>
  <c r="N55" i="102"/>
  <c r="N55" i="95"/>
  <c r="N55" i="1"/>
  <c r="N55" i="24"/>
  <c r="N55" i="120"/>
  <c r="N55" i="94"/>
  <c r="N55" i="16"/>
  <c r="N55" i="178"/>
  <c r="N55" i="150"/>
  <c r="N55" i="152"/>
  <c r="N55" i="92"/>
  <c r="N55" i="69"/>
  <c r="N55" i="27"/>
  <c r="N55" i="64"/>
  <c r="N55" i="136"/>
  <c r="N55" i="98"/>
  <c r="N55" i="46"/>
  <c r="N55" i="60"/>
  <c r="N55" i="165"/>
  <c r="N55" i="172"/>
  <c r="N55" i="58"/>
  <c r="N55" i="65"/>
  <c r="N55" i="45"/>
  <c r="N55" i="135"/>
  <c r="N55" i="63"/>
  <c r="N55" i="85"/>
  <c r="N55" i="10"/>
  <c r="N55" i="15"/>
  <c r="N55" i="32"/>
  <c r="N55" i="175"/>
  <c r="N55" i="177"/>
  <c r="N55" i="53"/>
  <c r="N55" i="84"/>
  <c r="N55" i="157"/>
  <c r="N55" i="49"/>
  <c r="N55" i="155"/>
  <c r="N55" i="86"/>
  <c r="N55" i="55"/>
  <c r="N55" i="119"/>
  <c r="N55" i="25"/>
  <c r="N55" i="167"/>
  <c r="N55" i="145"/>
  <c r="N55" i="87"/>
  <c r="N55" i="68"/>
  <c r="N55" i="31"/>
  <c r="N55" i="50"/>
  <c r="N55" i="37"/>
  <c r="N55" i="28"/>
  <c r="N55" i="57"/>
  <c r="N55" i="38"/>
  <c r="N178" i="155"/>
  <c r="N178" i="85"/>
  <c r="N178" i="158"/>
  <c r="N178" i="177"/>
  <c r="N178" i="19"/>
  <c r="N178" i="157"/>
  <c r="N178" i="95"/>
  <c r="N178" i="87"/>
  <c r="N178" i="84"/>
  <c r="N178" i="45"/>
  <c r="N178" i="53"/>
  <c r="N178" i="104"/>
  <c r="N178" i="135"/>
  <c r="N178" i="31"/>
  <c r="N178" i="103"/>
  <c r="N178" i="15"/>
  <c r="N178" i="57"/>
  <c r="N178" i="47"/>
  <c r="N178" i="16"/>
  <c r="N178" i="55"/>
  <c r="N178" i="98"/>
  <c r="N178" i="178"/>
  <c r="N178" i="106"/>
  <c r="N178" i="120"/>
  <c r="N178" i="64"/>
  <c r="N178" i="66"/>
  <c r="N178" i="164"/>
  <c r="N178" i="69"/>
  <c r="N178" i="37"/>
  <c r="N178" i="175"/>
  <c r="N178" i="142"/>
  <c r="N178" i="25"/>
  <c r="N178" i="152"/>
  <c r="N178" i="79"/>
  <c r="N178" i="102"/>
  <c r="N178" i="86"/>
  <c r="N178" i="42"/>
  <c r="N178" i="133"/>
  <c r="N178" i="32"/>
  <c r="N178" i="119"/>
  <c r="N178" i="20"/>
  <c r="N178" i="165"/>
  <c r="N178" i="54"/>
  <c r="N178" i="38"/>
  <c r="N178" i="58"/>
  <c r="N178" i="174"/>
  <c r="N178" i="167"/>
  <c r="N178" i="27"/>
  <c r="N178" i="24"/>
  <c r="N178" i="118"/>
  <c r="N178" i="176"/>
  <c r="N178" i="92"/>
  <c r="N178" i="72"/>
  <c r="N178" i="83"/>
  <c r="N178" i="65"/>
  <c r="N178" i="149"/>
  <c r="N178" i="172"/>
  <c r="N178" i="145"/>
  <c r="N178" i="90"/>
  <c r="N178" i="71"/>
  <c r="N178" i="49"/>
  <c r="N178" i="28"/>
  <c r="N178" i="150"/>
  <c r="N178" i="14"/>
  <c r="N178" i="113"/>
  <c r="N178" i="33"/>
  <c r="N178" i="46"/>
  <c r="N178" i="94"/>
  <c r="N178" i="10"/>
  <c r="N178" i="111"/>
  <c r="N178" i="143"/>
  <c r="N178" i="68"/>
  <c r="N178" i="159"/>
  <c r="N178" i="39"/>
  <c r="N178" i="43"/>
  <c r="N178" i="136"/>
  <c r="N178" i="89"/>
  <c r="N178" i="50"/>
  <c r="N178" i="62"/>
  <c r="N178" i="1"/>
  <c r="N178" i="63"/>
  <c r="N178" i="141"/>
  <c r="N178" i="156"/>
  <c r="N178" i="21"/>
  <c r="N178" i="60"/>
  <c r="N182" i="178"/>
  <c r="N182" i="172"/>
  <c r="N182" i="155"/>
  <c r="N182" i="118"/>
  <c r="N182" i="33"/>
  <c r="N182" i="135"/>
  <c r="N182" i="106"/>
  <c r="N182" i="64"/>
  <c r="N182" i="57"/>
  <c r="N182" i="175"/>
  <c r="N182" i="152"/>
  <c r="N182" i="58"/>
  <c r="N182" i="103"/>
  <c r="N182" i="45"/>
  <c r="N182" i="1"/>
  <c r="N182" i="60"/>
  <c r="N182" i="71"/>
  <c r="N182" i="141"/>
  <c r="N182" i="167"/>
  <c r="N182" i="143"/>
  <c r="N182" i="54"/>
  <c r="N182" i="25"/>
  <c r="N182" i="15"/>
  <c r="N182" i="136"/>
  <c r="N182" i="14"/>
  <c r="N182" i="113"/>
  <c r="N182" i="21"/>
  <c r="N182" i="133"/>
  <c r="N182" i="157"/>
  <c r="N182" i="28"/>
  <c r="N182" i="98"/>
  <c r="N182" i="68"/>
  <c r="N182" i="16"/>
  <c r="N182" i="50"/>
  <c r="N182" i="89"/>
  <c r="N182" i="65"/>
  <c r="N182" i="164"/>
  <c r="N182" i="165"/>
  <c r="N182" i="37"/>
  <c r="N182" i="159"/>
  <c r="N182" i="142"/>
  <c r="N182" i="53"/>
  <c r="N182" i="92"/>
  <c r="N182" i="95"/>
  <c r="N182" i="104"/>
  <c r="N182" i="62"/>
  <c r="N182" i="43"/>
  <c r="N182" i="176"/>
  <c r="N182" i="86"/>
  <c r="N182" i="102"/>
  <c r="N182" i="63"/>
  <c r="N182" i="150"/>
  <c r="N182" i="66"/>
  <c r="N182" i="31"/>
  <c r="N182" i="120"/>
  <c r="N182" i="84"/>
  <c r="N182" i="90"/>
  <c r="N182" i="20"/>
  <c r="N182" i="47"/>
  <c r="N182" i="69"/>
  <c r="N182" i="158"/>
  <c r="N182" i="46"/>
  <c r="N182" i="10"/>
  <c r="N182" i="119"/>
  <c r="N182" i="87"/>
  <c r="N182" i="174"/>
  <c r="N182" i="42"/>
  <c r="N182" i="85"/>
  <c r="N182" i="32"/>
  <c r="N182" i="49"/>
  <c r="N182" i="145"/>
  <c r="N182" i="39"/>
  <c r="N182" i="149"/>
  <c r="N182" i="19"/>
  <c r="N182" i="72"/>
  <c r="N182" i="156"/>
  <c r="N182" i="94"/>
  <c r="N182" i="38"/>
  <c r="N182" i="27"/>
  <c r="N182" i="177"/>
  <c r="N182" i="111"/>
  <c r="N182" i="55"/>
  <c r="N182" i="79"/>
  <c r="N182" i="83"/>
  <c r="N182" i="24"/>
  <c r="N206" i="174"/>
  <c r="O206" i="174"/>
  <c r="N206" i="152"/>
  <c r="O206" i="152"/>
  <c r="N206" i="84"/>
  <c r="O206" i="84"/>
  <c r="N206" i="175"/>
  <c r="O206" i="175"/>
  <c r="N206" i="176"/>
  <c r="O206" i="176"/>
  <c r="N206" i="64"/>
  <c r="O206" i="64"/>
  <c r="N206" i="104"/>
  <c r="O206" i="104"/>
  <c r="N206" i="118"/>
  <c r="O206" i="118"/>
  <c r="N206" i="55"/>
  <c r="O206" i="55"/>
  <c r="N206" i="135"/>
  <c r="O206" i="135"/>
  <c r="N206" i="111"/>
  <c r="O206" i="111"/>
  <c r="N206" i="42"/>
  <c r="O206" i="42"/>
  <c r="N206" i="68"/>
  <c r="O206" i="68"/>
  <c r="N206" i="32"/>
  <c r="O206" i="32"/>
  <c r="N206" i="65"/>
  <c r="O206" i="65"/>
  <c r="N206" i="53"/>
  <c r="O206" i="53"/>
  <c r="N206" i="102"/>
  <c r="O206" i="102"/>
  <c r="N206" i="143"/>
  <c r="O206" i="143"/>
  <c r="N206" i="43"/>
  <c r="O206" i="43"/>
  <c r="N206" i="178"/>
  <c r="O206" i="178"/>
  <c r="N206" i="47"/>
  <c r="O206" i="47"/>
  <c r="N206" i="69"/>
  <c r="O206" i="69"/>
  <c r="N206" i="90"/>
  <c r="O206" i="90"/>
  <c r="N206" i="39"/>
  <c r="O206" i="39"/>
  <c r="N206" i="10"/>
  <c r="O206" i="10"/>
  <c r="N206" i="113"/>
  <c r="O206" i="113"/>
  <c r="N206" i="15"/>
  <c r="O206" i="15"/>
  <c r="N206" i="37"/>
  <c r="O206" i="37"/>
  <c r="N206" i="24"/>
  <c r="O206" i="24"/>
  <c r="N206" i="156"/>
  <c r="O206" i="156"/>
  <c r="N206" i="16"/>
  <c r="O206" i="16"/>
  <c r="N206" i="172"/>
  <c r="O206" i="172"/>
  <c r="N206" i="28"/>
  <c r="O206" i="28"/>
  <c r="N206" i="27"/>
  <c r="O206" i="27"/>
  <c r="N206" i="95"/>
  <c r="O206" i="95"/>
  <c r="N206" i="72"/>
  <c r="O206" i="72"/>
  <c r="N206" i="89"/>
  <c r="O206" i="89"/>
  <c r="N206" i="38"/>
  <c r="O206" i="38"/>
  <c r="N206" i="158"/>
  <c r="O206" i="158"/>
  <c r="N206" i="120"/>
  <c r="O206" i="120"/>
  <c r="N206" i="83"/>
  <c r="O206" i="83"/>
  <c r="N206" i="165"/>
  <c r="O206" i="165"/>
  <c r="N206" i="98"/>
  <c r="O206" i="98"/>
  <c r="N206" i="149"/>
  <c r="O206" i="149"/>
  <c r="N206" i="25"/>
  <c r="O206" i="25"/>
  <c r="N206" i="87"/>
  <c r="O206" i="87"/>
  <c r="N206" i="21"/>
  <c r="O206" i="21"/>
  <c r="N206" i="85"/>
  <c r="O206" i="85"/>
  <c r="N206" i="79"/>
  <c r="O206" i="79"/>
  <c r="N206" i="103"/>
  <c r="O206" i="103"/>
  <c r="N206" i="133"/>
  <c r="O206" i="133"/>
  <c r="N206" i="92"/>
  <c r="O206" i="92"/>
  <c r="N206" i="33"/>
  <c r="O206" i="33"/>
  <c r="N206" i="119"/>
  <c r="O206" i="119"/>
  <c r="N206" i="150"/>
  <c r="O206" i="150"/>
  <c r="N206" i="71"/>
  <c r="O206" i="71"/>
  <c r="N206" i="60"/>
  <c r="O206" i="60"/>
  <c r="N206" i="94"/>
  <c r="O206" i="94"/>
  <c r="N206" i="54"/>
  <c r="O206" i="54"/>
  <c r="N206" i="106"/>
  <c r="O206" i="106"/>
  <c r="N206" i="142"/>
  <c r="O206" i="142"/>
  <c r="N206" i="58"/>
  <c r="O206" i="58"/>
  <c r="N206" i="20"/>
  <c r="O206" i="20"/>
  <c r="N206" i="66"/>
  <c r="O206" i="66"/>
  <c r="N206" i="145"/>
  <c r="O206" i="145"/>
  <c r="N206" i="86"/>
  <c r="O206" i="86"/>
  <c r="N206" i="159"/>
  <c r="O206" i="159"/>
  <c r="N206" i="19"/>
  <c r="O206" i="19"/>
  <c r="N206" i="31"/>
  <c r="O206" i="31"/>
  <c r="N206" i="50"/>
  <c r="O206" i="50"/>
  <c r="N206" i="141"/>
  <c r="O206" i="141"/>
  <c r="N206" i="157"/>
  <c r="O206" i="157"/>
  <c r="N206" i="177"/>
  <c r="O206" i="177"/>
  <c r="N206" i="45"/>
  <c r="O206" i="45"/>
  <c r="N206" i="14"/>
  <c r="O206" i="14"/>
  <c r="N206" i="155"/>
  <c r="O206" i="155"/>
  <c r="N206" i="63"/>
  <c r="O206" i="63"/>
  <c r="N206" i="167"/>
  <c r="O206" i="167"/>
  <c r="N206" i="57"/>
  <c r="O206" i="57"/>
  <c r="N206" i="46"/>
  <c r="O206" i="46"/>
  <c r="N206" i="62"/>
  <c r="O206" i="62"/>
  <c r="N206" i="1"/>
  <c r="O206" i="1"/>
  <c r="N206" i="164"/>
  <c r="O206" i="164"/>
  <c r="N206" i="136"/>
  <c r="O206" i="136"/>
  <c r="N206" i="49"/>
  <c r="O206" i="49"/>
  <c r="N68" i="176"/>
  <c r="N68" i="157"/>
  <c r="N68" i="83"/>
  <c r="N68" i="79"/>
  <c r="N68" i="133"/>
  <c r="N68" i="38"/>
  <c r="N68" i="10"/>
  <c r="N68" i="28"/>
  <c r="N68" i="98"/>
  <c r="N68" i="71"/>
  <c r="N68" i="58"/>
  <c r="N68" i="164"/>
  <c r="N68" i="152"/>
  <c r="N68" i="42"/>
  <c r="N68" i="113"/>
  <c r="N68" i="68"/>
  <c r="N68" i="87"/>
  <c r="N68" i="39"/>
  <c r="N68" i="95"/>
  <c r="N68" i="94"/>
  <c r="N68" i="69"/>
  <c r="N68" i="172"/>
  <c r="N68" i="167"/>
  <c r="N68" i="141"/>
  <c r="N68" i="50"/>
  <c r="N68" i="158"/>
  <c r="N68" i="149"/>
  <c r="N68" i="85"/>
  <c r="N68" i="20"/>
  <c r="N68" i="47"/>
  <c r="N68" i="31"/>
  <c r="N68" i="63"/>
  <c r="N68" i="55"/>
  <c r="N68" i="33"/>
  <c r="N68" i="66"/>
  <c r="N68" i="104"/>
  <c r="N68" i="143"/>
  <c r="N68" i="60"/>
  <c r="N68" i="24"/>
  <c r="N68" i="175"/>
  <c r="N68" i="84"/>
  <c r="N68" i="1"/>
  <c r="N68" i="32"/>
  <c r="N68" i="90"/>
  <c r="N68" i="49"/>
  <c r="N68" i="37"/>
  <c r="N68" i="136"/>
  <c r="N68" i="27"/>
  <c r="N68" i="15"/>
  <c r="N68" i="165"/>
  <c r="N68" i="86"/>
  <c r="N68" i="155"/>
  <c r="N68" i="43"/>
  <c r="N68" i="177"/>
  <c r="N68" i="45"/>
  <c r="N68" i="65"/>
  <c r="N68" i="178"/>
  <c r="N68" i="156"/>
  <c r="N68" i="150"/>
  <c r="N68" i="135"/>
  <c r="N68" i="103"/>
  <c r="N68" i="62"/>
  <c r="N68" i="142"/>
  <c r="N68" i="120"/>
  <c r="N68" i="54"/>
  <c r="N68" i="111"/>
  <c r="N68" i="102"/>
  <c r="N68" i="174"/>
  <c r="N68" i="145"/>
  <c r="N68" i="21"/>
  <c r="N68" i="14"/>
  <c r="N68" i="106"/>
  <c r="N68" i="119"/>
  <c r="N68" i="57"/>
  <c r="N68" i="89"/>
  <c r="N68" i="46"/>
  <c r="N68" i="64"/>
  <c r="N68" i="118"/>
  <c r="N68" i="16"/>
  <c r="N68" i="92"/>
  <c r="N68" i="19"/>
  <c r="N68" i="159"/>
  <c r="N68" i="53"/>
  <c r="N68" i="72"/>
  <c r="N68" i="25"/>
  <c r="N203" i="176"/>
  <c r="N203" i="152"/>
  <c r="N203" i="68"/>
  <c r="N203" i="120"/>
  <c r="N203" i="103"/>
  <c r="N203" i="46"/>
  <c r="N203" i="14"/>
  <c r="N203" i="39"/>
  <c r="N203" i="113"/>
  <c r="N203" i="38"/>
  <c r="N203" i="49"/>
  <c r="N203" i="149"/>
  <c r="N203" i="159"/>
  <c r="N203" i="15"/>
  <c r="N203" i="1"/>
  <c r="N203" i="66"/>
  <c r="N203" i="27"/>
  <c r="N203" i="102"/>
  <c r="N203" i="86"/>
  <c r="N203" i="92"/>
  <c r="N203" i="16"/>
  <c r="N203" i="156"/>
  <c r="N203" i="167"/>
  <c r="N203" i="98"/>
  <c r="N203" i="55"/>
  <c r="N203" i="60"/>
  <c r="N203" i="24"/>
  <c r="N203" i="21"/>
  <c r="N203" i="25"/>
  <c r="N203" i="104"/>
  <c r="N203" i="50"/>
  <c r="N203" i="177"/>
  <c r="N203" i="157"/>
  <c r="N203" i="143"/>
  <c r="N203" i="62"/>
  <c r="N203" i="28"/>
  <c r="N203" i="42"/>
  <c r="N203" i="95"/>
  <c r="N203" i="85"/>
  <c r="N203" i="32"/>
  <c r="N203" i="20"/>
  <c r="N203" i="79"/>
  <c r="N203" i="178"/>
  <c r="N203" i="174"/>
  <c r="N203" i="145"/>
  <c r="N203" i="133"/>
  <c r="N203" i="37"/>
  <c r="N203" i="83"/>
  <c r="N203" i="69"/>
  <c r="N203" i="10"/>
  <c r="N203" i="71"/>
  <c r="N203" i="89"/>
  <c r="N203" i="63"/>
  <c r="N203" i="164"/>
  <c r="N203" i="158"/>
  <c r="N203" i="19"/>
  <c r="N203" i="43"/>
  <c r="N203" i="142"/>
  <c r="N203" i="58"/>
  <c r="N203" i="119"/>
  <c r="N203" i="45"/>
  <c r="N203" i="87"/>
  <c r="N203" i="118"/>
  <c r="N203" i="57"/>
  <c r="N203" i="175"/>
  <c r="N203" i="111"/>
  <c r="N203" i="65"/>
  <c r="N203" i="172"/>
  <c r="N203" i="84"/>
  <c r="N203" i="135"/>
  <c r="N203" i="150"/>
  <c r="N203" i="94"/>
  <c r="N203" i="72"/>
  <c r="N203" i="136"/>
  <c r="N203" i="90"/>
  <c r="N203" i="155"/>
  <c r="N203" i="141"/>
  <c r="N203" i="31"/>
  <c r="N203" i="64"/>
  <c r="N203" i="33"/>
  <c r="N203" i="47"/>
  <c r="N203" i="106"/>
  <c r="N203" i="54"/>
  <c r="N203" i="53"/>
  <c r="N203" i="165"/>
  <c r="N151" i="172"/>
  <c r="N151" i="167"/>
  <c r="N151" i="133"/>
  <c r="N151" i="19"/>
  <c r="N151" i="83"/>
  <c r="N151" i="87"/>
  <c r="N151" i="54"/>
  <c r="N151" i="50"/>
  <c r="N151" i="68"/>
  <c r="N151" i="1"/>
  <c r="N151" i="55"/>
  <c r="N151" i="165"/>
  <c r="N151" i="149"/>
  <c r="N151" i="58"/>
  <c r="N151" i="66"/>
  <c r="N151" i="143"/>
  <c r="N151" i="113"/>
  <c r="N151" i="63"/>
  <c r="N151" i="72"/>
  <c r="N151" i="94"/>
  <c r="N151" i="28"/>
  <c r="N151" i="177"/>
  <c r="N151" i="176"/>
  <c r="N151" i="141"/>
  <c r="N151" i="95"/>
  <c r="N151" i="60"/>
  <c r="N151" i="135"/>
  <c r="N151" i="92"/>
  <c r="N151" i="102"/>
  <c r="N151" i="174"/>
  <c r="N151" i="175"/>
  <c r="N151" i="84"/>
  <c r="N151" i="69"/>
  <c r="N151" i="65"/>
  <c r="N151" i="104"/>
  <c r="N151" i="16"/>
  <c r="N151" i="142"/>
  <c r="N151" i="157"/>
  <c r="N151" i="145"/>
  <c r="N151" i="14"/>
  <c r="N151" i="85"/>
  <c r="N151" i="39"/>
  <c r="N151" i="20"/>
  <c r="N151" i="136"/>
  <c r="N151" i="10"/>
  <c r="N151" i="164"/>
  <c r="N151" i="150"/>
  <c r="N151" i="119"/>
  <c r="N151" i="118"/>
  <c r="N151" i="21"/>
  <c r="N151" i="31"/>
  <c r="N151" i="62"/>
  <c r="N151" i="64"/>
  <c r="N151" i="158"/>
  <c r="N151" i="98"/>
  <c r="N151" i="42"/>
  <c r="N151" i="45"/>
  <c r="N151" i="25"/>
  <c r="N151" i="57"/>
  <c r="N151" i="120"/>
  <c r="N151" i="43"/>
  <c r="N151" i="152"/>
  <c r="N151" i="156"/>
  <c r="N151" i="90"/>
  <c r="N151" i="53"/>
  <c r="N151" i="33"/>
  <c r="N151" i="89"/>
  <c r="N151" i="37"/>
  <c r="N151" i="103"/>
  <c r="N151" i="46"/>
  <c r="N151" i="79"/>
  <c r="N151" i="15"/>
  <c r="N151" i="38"/>
  <c r="N151" i="27"/>
  <c r="N151" i="106"/>
  <c r="N151" i="24"/>
  <c r="N151" i="47"/>
  <c r="N151" i="32"/>
  <c r="N151" i="178"/>
  <c r="N151" i="71"/>
  <c r="N151" i="111"/>
  <c r="N151" i="155"/>
  <c r="N151" i="49"/>
  <c r="N151" i="159"/>
  <c r="N151" i="86"/>
  <c r="N205" i="164"/>
  <c r="N205" i="159"/>
  <c r="N205" i="68"/>
  <c r="N205" i="31"/>
  <c r="N205" i="57"/>
  <c r="N205" i="119"/>
  <c r="N205" i="65"/>
  <c r="N205" i="118"/>
  <c r="N205" i="55"/>
  <c r="N205" i="45"/>
  <c r="N205" i="33"/>
  <c r="N205" i="165"/>
  <c r="N205" i="175"/>
  <c r="N205" i="106"/>
  <c r="N205" i="133"/>
  <c r="N205" i="10"/>
  <c r="N205" i="83"/>
  <c r="N205" i="84"/>
  <c r="N205" i="16"/>
  <c r="N205" i="69"/>
  <c r="N205" i="21"/>
  <c r="N205" i="172"/>
  <c r="N205" i="150"/>
  <c r="N205" i="19"/>
  <c r="N205" i="66"/>
  <c r="N205" i="72"/>
  <c r="N205" i="136"/>
  <c r="N205" i="62"/>
  <c r="N205" i="87"/>
  <c r="N205" i="89"/>
  <c r="N205" i="60"/>
  <c r="N205" i="15"/>
  <c r="N205" i="152"/>
  <c r="N205" i="156"/>
  <c r="N205" i="43"/>
  <c r="N205" i="24"/>
  <c r="N205" i="39"/>
  <c r="N205" i="104"/>
  <c r="N205" i="95"/>
  <c r="N205" i="54"/>
  <c r="N205" i="49"/>
  <c r="N205" i="38"/>
  <c r="N205" i="167"/>
  <c r="N205" i="46"/>
  <c r="N205" i="85"/>
  <c r="N205" i="50"/>
  <c r="N205" i="141"/>
  <c r="N205" i="158"/>
  <c r="N205" i="1"/>
  <c r="N205" i="71"/>
  <c r="N205" i="176"/>
  <c r="N205" i="120"/>
  <c r="N205" i="178"/>
  <c r="N205" i="145"/>
  <c r="N205" i="86"/>
  <c r="N205" i="79"/>
  <c r="N205" i="98"/>
  <c r="N205" i="90"/>
  <c r="N205" i="155"/>
  <c r="N205" i="142"/>
  <c r="N205" i="113"/>
  <c r="N205" i="94"/>
  <c r="N205" i="37"/>
  <c r="N205" i="157"/>
  <c r="N205" i="58"/>
  <c r="N205" i="53"/>
  <c r="N205" i="27"/>
  <c r="N205" i="103"/>
  <c r="N205" i="174"/>
  <c r="N205" i="143"/>
  <c r="N205" i="32"/>
  <c r="N205" i="92"/>
  <c r="N205" i="63"/>
  <c r="N205" i="42"/>
  <c r="N205" i="14"/>
  <c r="N205" i="149"/>
  <c r="N205" i="47"/>
  <c r="N205" i="102"/>
  <c r="N205" i="64"/>
  <c r="N205" i="177"/>
  <c r="N205" i="135"/>
  <c r="N205" i="25"/>
  <c r="N205" i="28"/>
  <c r="N205" i="111"/>
  <c r="N205" i="20"/>
  <c r="N185" i="158"/>
  <c r="N185" i="175"/>
  <c r="N185" i="45"/>
  <c r="N185" i="42"/>
  <c r="N185" i="104"/>
  <c r="N185" i="39"/>
  <c r="N185" i="118"/>
  <c r="N185" i="57"/>
  <c r="N185" i="142"/>
  <c r="N185" i="119"/>
  <c r="N185" i="111"/>
  <c r="N185" i="172"/>
  <c r="N185" i="156"/>
  <c r="N185" i="65"/>
  <c r="N185" i="69"/>
  <c r="N185" i="20"/>
  <c r="N185" i="86"/>
  <c r="N185" i="62"/>
  <c r="N185" i="37"/>
  <c r="N185" i="1"/>
  <c r="N185" i="64"/>
  <c r="N185" i="164"/>
  <c r="N185" i="165"/>
  <c r="N185" i="32"/>
  <c r="N185" i="27"/>
  <c r="N185" i="31"/>
  <c r="N185" i="25"/>
  <c r="N185" i="143"/>
  <c r="N185" i="58"/>
  <c r="N185" i="92"/>
  <c r="N185" i="98"/>
  <c r="N185" i="90"/>
  <c r="N185" i="149"/>
  <c r="N185" i="157"/>
  <c r="N185" i="113"/>
  <c r="N185" i="83"/>
  <c r="N185" i="50"/>
  <c r="N185" i="177"/>
  <c r="N185" i="72"/>
  <c r="N185" i="38"/>
  <c r="N185" i="28"/>
  <c r="N185" i="19"/>
  <c r="N185" i="152"/>
  <c r="N185" i="145"/>
  <c r="N185" i="87"/>
  <c r="N185" i="95"/>
  <c r="N185" i="89"/>
  <c r="N185" i="10"/>
  <c r="N185" i="14"/>
  <c r="N185" i="68"/>
  <c r="N185" i="46"/>
  <c r="N185" i="133"/>
  <c r="N185" i="167"/>
  <c r="N185" i="150"/>
  <c r="N185" i="53"/>
  <c r="N185" i="66"/>
  <c r="N185" i="49"/>
  <c r="N185" i="21"/>
  <c r="N185" i="176"/>
  <c r="N185" i="55"/>
  <c r="N185" i="141"/>
  <c r="N185" i="79"/>
  <c r="N185" i="84"/>
  <c r="N185" i="85"/>
  <c r="N185" i="102"/>
  <c r="N185" i="94"/>
  <c r="N185" i="24"/>
  <c r="N185" i="43"/>
  <c r="N185" i="54"/>
  <c r="N185" i="71"/>
  <c r="N185" i="16"/>
  <c r="N185" i="60"/>
  <c r="N185" i="15"/>
  <c r="N185" i="174"/>
  <c r="N185" i="135"/>
  <c r="N185" i="120"/>
  <c r="N185" i="155"/>
  <c r="N185" i="136"/>
  <c r="N185" i="106"/>
  <c r="N185" i="178"/>
  <c r="N185" i="63"/>
  <c r="N185" i="47"/>
  <c r="N185" i="159"/>
  <c r="N185" i="33"/>
  <c r="N185" i="103"/>
  <c r="N152" i="178"/>
  <c r="N152" i="159"/>
  <c r="N152" i="172"/>
  <c r="N152" i="98"/>
  <c r="N152" i="68"/>
  <c r="N152" i="24"/>
  <c r="N152" i="152"/>
  <c r="N152" i="86"/>
  <c r="N152" i="69"/>
  <c r="N152" i="119"/>
  <c r="N152" i="95"/>
  <c r="N152" i="141"/>
  <c r="N152" i="53"/>
  <c r="N152" i="104"/>
  <c r="N152" i="21"/>
  <c r="N152" i="38"/>
  <c r="N152" i="45"/>
  <c r="N152" i="157"/>
  <c r="N152" i="14"/>
  <c r="N152" i="118"/>
  <c r="N152" i="43"/>
  <c r="N152" i="174"/>
  <c r="N152" i="167"/>
  <c r="N152" i="83"/>
  <c r="N152" i="87"/>
  <c r="N152" i="133"/>
  <c r="N152" i="102"/>
  <c r="N152" i="25"/>
  <c r="N152" i="62"/>
  <c r="N152" i="120"/>
  <c r="N152" i="54"/>
  <c r="N152" i="165"/>
  <c r="N152" i="37"/>
  <c r="N152" i="31"/>
  <c r="N152" i="158"/>
  <c r="N152" i="32"/>
  <c r="N152" i="85"/>
  <c r="N152" i="72"/>
  <c r="N152" i="1"/>
  <c r="N152" i="58"/>
  <c r="N152" i="175"/>
  <c r="N152" i="136"/>
  <c r="N152" i="106"/>
  <c r="N152" i="103"/>
  <c r="N152" i="135"/>
  <c r="N152" i="39"/>
  <c r="N152" i="65"/>
  <c r="N152" i="177"/>
  <c r="N152" i="20"/>
  <c r="N152" i="149"/>
  <c r="N152" i="19"/>
  <c r="N152" i="49"/>
  <c r="N152" i="15"/>
  <c r="N152" i="71"/>
  <c r="N152" i="27"/>
  <c r="N152" i="90"/>
  <c r="N152" i="143"/>
  <c r="N152" i="46"/>
  <c r="N152" i="57"/>
  <c r="N152" i="89"/>
  <c r="N152" i="64"/>
  <c r="N152" i="92"/>
  <c r="N152" i="66"/>
  <c r="N152" i="94"/>
  <c r="N152" i="156"/>
  <c r="N152" i="16"/>
  <c r="N152" i="164"/>
  <c r="N152" i="84"/>
  <c r="N152" i="63"/>
  <c r="N152" i="113"/>
  <c r="N152" i="145"/>
  <c r="N152" i="47"/>
  <c r="N152" i="155"/>
  <c r="N152" i="176"/>
  <c r="N152" i="50"/>
  <c r="N152" i="10"/>
  <c r="N152" i="111"/>
  <c r="N152" i="42"/>
  <c r="N152" i="60"/>
  <c r="N152" i="79"/>
  <c r="N152" i="142"/>
  <c r="N152" i="33"/>
  <c r="N152" i="55"/>
  <c r="N152" i="150"/>
  <c r="N152" i="28"/>
  <c r="N92" i="178"/>
  <c r="N92" i="177"/>
  <c r="N92" i="152"/>
  <c r="N92" i="19"/>
  <c r="N92" i="106"/>
  <c r="N92" i="145"/>
  <c r="N92" i="21"/>
  <c r="N92" i="46"/>
  <c r="N92" i="155"/>
  <c r="N92" i="55"/>
  <c r="N92" i="136"/>
  <c r="N92" i="164"/>
  <c r="N92" i="159"/>
  <c r="N92" i="141"/>
  <c r="N92" i="65"/>
  <c r="N92" i="43"/>
  <c r="N92" i="135"/>
  <c r="N92" i="38"/>
  <c r="N92" i="39"/>
  <c r="N92" i="111"/>
  <c r="N92" i="85"/>
  <c r="N92" i="53"/>
  <c r="N92" i="176"/>
  <c r="N92" i="167"/>
  <c r="N92" i="83"/>
  <c r="N92" i="92"/>
  <c r="N92" i="69"/>
  <c r="N92" i="27"/>
  <c r="N92" i="64"/>
  <c r="N92" i="14"/>
  <c r="N92" i="120"/>
  <c r="N92" i="71"/>
  <c r="N92" i="119"/>
  <c r="N92" i="156"/>
  <c r="N92" i="172"/>
  <c r="N92" i="118"/>
  <c r="N92" i="68"/>
  <c r="N92" i="142"/>
  <c r="N92" i="50"/>
  <c r="N92" i="133"/>
  <c r="N92" i="10"/>
  <c r="N92" i="103"/>
  <c r="N92" i="28"/>
  <c r="N92" i="149"/>
  <c r="N92" i="84"/>
  <c r="N92" i="49"/>
  <c r="N92" i="57"/>
  <c r="N92" i="113"/>
  <c r="N92" i="37"/>
  <c r="N92" i="175"/>
  <c r="N92" i="143"/>
  <c r="N92" i="33"/>
  <c r="N92" i="42"/>
  <c r="N92" i="24"/>
  <c r="N92" i="72"/>
  <c r="N92" i="174"/>
  <c r="N92" i="45"/>
  <c r="N92" i="58"/>
  <c r="N92" i="66"/>
  <c r="N92" i="89"/>
  <c r="N92" i="79"/>
  <c r="N92" i="54"/>
  <c r="N92" i="32"/>
  <c r="N92" i="98"/>
  <c r="N92" i="16"/>
  <c r="N92" i="47"/>
  <c r="N92" i="90"/>
  <c r="N92" i="25"/>
  <c r="N92" i="157"/>
  <c r="N92" i="95"/>
  <c r="N92" i="86"/>
  <c r="N92" i="165"/>
  <c r="N92" i="31"/>
  <c r="N92" i="104"/>
  <c r="N92" i="63"/>
  <c r="N92" i="1"/>
  <c r="N92" i="15"/>
  <c r="N92" i="150"/>
  <c r="N92" i="20"/>
  <c r="N92" i="94"/>
  <c r="N92" i="62"/>
  <c r="N92" i="60"/>
  <c r="N92" i="87"/>
  <c r="N92" i="158"/>
  <c r="N92" i="102"/>
  <c r="N105" i="177"/>
  <c r="N105" i="47"/>
  <c r="N105" i="98"/>
  <c r="N105" i="65"/>
  <c r="N105" i="72"/>
  <c r="N105" i="178"/>
  <c r="N105" i="49"/>
  <c r="N105" i="102"/>
  <c r="N105" i="21"/>
  <c r="N105" i="31"/>
  <c r="N105" i="133"/>
  <c r="N105" i="152"/>
  <c r="N105" i="120"/>
  <c r="N105" i="87"/>
  <c r="N105" i="32"/>
  <c r="N105" i="111"/>
  <c r="N105" i="106"/>
  <c r="N105" i="58"/>
  <c r="N105" i="60"/>
  <c r="N105" i="10"/>
  <c r="N105" i="156"/>
  <c r="N105" i="143"/>
  <c r="N105" i="15"/>
  <c r="N105" i="16"/>
  <c r="N105" i="149"/>
  <c r="N105" i="155"/>
  <c r="N105" i="157"/>
  <c r="N105" i="135"/>
  <c r="N105" i="1"/>
  <c r="N105" i="46"/>
  <c r="N105" i="43"/>
  <c r="N105" i="145"/>
  <c r="N105" i="37"/>
  <c r="N105" i="64"/>
  <c r="N105" i="167"/>
  <c r="N105" i="104"/>
  <c r="N105" i="150"/>
  <c r="N105" i="50"/>
  <c r="N105" i="119"/>
  <c r="N105" i="25"/>
  <c r="N105" i="14"/>
  <c r="N105" i="24"/>
  <c r="N105" i="141"/>
  <c r="N105" i="158"/>
  <c r="N105" i="55"/>
  <c r="N105" i="63"/>
  <c r="N105" i="83"/>
  <c r="N105" i="62"/>
  <c r="N105" i="165"/>
  <c r="N105" i="113"/>
  <c r="N105" i="136"/>
  <c r="N105" i="53"/>
  <c r="N105" i="19"/>
  <c r="N105" i="33"/>
  <c r="N105" i="68"/>
  <c r="N105" i="159"/>
  <c r="N105" i="79"/>
  <c r="N105" i="95"/>
  <c r="N105" i="84"/>
  <c r="N105" i="66"/>
  <c r="N105" i="38"/>
  <c r="N105" i="28"/>
  <c r="N105" i="39"/>
  <c r="N105" i="103"/>
  <c r="N105" i="45"/>
  <c r="N105" i="86"/>
  <c r="N105" i="174"/>
  <c r="N105" i="69"/>
  <c r="N105" i="54"/>
  <c r="N105" i="71"/>
  <c r="N105" i="85"/>
  <c r="N105" i="57"/>
  <c r="N105" i="20"/>
  <c r="N105" i="94"/>
  <c r="N105" i="89"/>
  <c r="N105" i="118"/>
  <c r="N105" i="27"/>
  <c r="N105" i="175"/>
  <c r="N105" i="164"/>
  <c r="N105" i="176"/>
  <c r="N105" i="92"/>
  <c r="N105" i="90"/>
  <c r="N105" i="42"/>
  <c r="N105" i="172"/>
  <c r="N105" i="142"/>
  <c r="N158" i="55"/>
  <c r="N158" i="1"/>
  <c r="N158" i="64"/>
  <c r="N158" i="159"/>
  <c r="N158" i="95"/>
  <c r="N158" i="25"/>
  <c r="N158" i="157"/>
  <c r="N158" i="141"/>
  <c r="N158" i="111"/>
  <c r="N158" i="62"/>
  <c r="N158" i="39"/>
  <c r="N158" i="21"/>
  <c r="N158" i="113"/>
  <c r="N158" i="19"/>
  <c r="N158" i="149"/>
  <c r="N158" i="24"/>
  <c r="N158" i="176"/>
  <c r="N158" i="142"/>
  <c r="N158" i="120"/>
  <c r="N158" i="85"/>
  <c r="N158" i="49"/>
  <c r="N158" i="178"/>
  <c r="N158" i="65"/>
  <c r="N158" i="15"/>
  <c r="N158" i="43"/>
  <c r="N158" i="92"/>
  <c r="N158" i="136"/>
  <c r="N158" i="143"/>
  <c r="N158" i="102"/>
  <c r="N158" i="45"/>
  <c r="N158" i="152"/>
  <c r="N158" i="103"/>
  <c r="N158" i="89"/>
  <c r="N158" i="66"/>
  <c r="N158" i="37"/>
  <c r="N158" i="172"/>
  <c r="N158" i="72"/>
  <c r="N158" i="60"/>
  <c r="N158" i="119"/>
  <c r="N158" i="158"/>
  <c r="N158" i="28"/>
  <c r="N158" i="10"/>
  <c r="N158" i="90"/>
  <c r="N158" i="174"/>
  <c r="N158" i="155"/>
  <c r="N158" i="94"/>
  <c r="N158" i="150"/>
  <c r="N158" i="58"/>
  <c r="N158" i="87"/>
  <c r="N158" i="145"/>
  <c r="N158" i="98"/>
  <c r="N158" i="68"/>
  <c r="N158" i="27"/>
  <c r="N158" i="175"/>
  <c r="N158" i="16"/>
  <c r="N158" i="133"/>
  <c r="N158" i="54"/>
  <c r="N158" i="84"/>
  <c r="N158" i="83"/>
  <c r="N158" i="38"/>
  <c r="N158" i="71"/>
  <c r="N158" i="14"/>
  <c r="N158" i="165"/>
  <c r="N158" i="104"/>
  <c r="N158" i="50"/>
  <c r="N158" i="47"/>
  <c r="N158" i="31"/>
  <c r="N158" i="118"/>
  <c r="N158" i="20"/>
  <c r="N158" i="135"/>
  <c r="N158" i="177"/>
  <c r="N158" i="33"/>
  <c r="N158" i="57"/>
  <c r="N158" i="79"/>
  <c r="N158" i="106"/>
  <c r="N158" i="63"/>
  <c r="N158" i="42"/>
  <c r="N158" i="69"/>
  <c r="N158" i="53"/>
  <c r="N158" i="32"/>
  <c r="N158" i="86"/>
  <c r="N158" i="46"/>
  <c r="N158" i="164"/>
  <c r="N158" i="156"/>
  <c r="N158" i="167"/>
  <c r="N75" i="157"/>
  <c r="N75" i="167"/>
  <c r="N75" i="155"/>
  <c r="N75" i="24"/>
  <c r="N75" i="50"/>
  <c r="N75" i="69"/>
  <c r="N75" i="90"/>
  <c r="N75" i="1"/>
  <c r="N75" i="27"/>
  <c r="N75" i="25"/>
  <c r="N75" i="46"/>
  <c r="N75" i="58"/>
  <c r="N75" i="159"/>
  <c r="N75" i="32"/>
  <c r="N75" i="54"/>
  <c r="N75" i="63"/>
  <c r="N75" i="66"/>
  <c r="N75" i="95"/>
  <c r="N75" i="164"/>
  <c r="N75" i="47"/>
  <c r="N75" i="145"/>
  <c r="N75" i="92"/>
  <c r="N75" i="102"/>
  <c r="N75" i="104"/>
  <c r="N75" i="68"/>
  <c r="N75" i="119"/>
  <c r="N75" i="57"/>
  <c r="N75" i="143"/>
  <c r="N75" i="14"/>
  <c r="N75" i="113"/>
  <c r="N75" i="15"/>
  <c r="N75" i="142"/>
  <c r="N75" i="136"/>
  <c r="N75" i="177"/>
  <c r="N75" i="135"/>
  <c r="N75" i="71"/>
  <c r="N75" i="79"/>
  <c r="N75" i="152"/>
  <c r="N75" i="64"/>
  <c r="N75" i="42"/>
  <c r="N75" i="33"/>
  <c r="N75" i="156"/>
  <c r="N75" i="178"/>
  <c r="N75" i="118"/>
  <c r="N75" i="20"/>
  <c r="N75" i="86"/>
  <c r="N75" i="62"/>
  <c r="N75" i="55"/>
  <c r="N75" i="31"/>
  <c r="N75" i="53"/>
  <c r="N75" i="176"/>
  <c r="N75" i="106"/>
  <c r="N75" i="98"/>
  <c r="N75" i="174"/>
  <c r="N75" i="133"/>
  <c r="N75" i="60"/>
  <c r="N75" i="72"/>
  <c r="N75" i="150"/>
  <c r="N75" i="49"/>
  <c r="N75" i="38"/>
  <c r="N75" i="141"/>
  <c r="N75" i="87"/>
  <c r="N75" i="175"/>
  <c r="N75" i="39"/>
  <c r="N75" i="158"/>
  <c r="N75" i="172"/>
  <c r="N75" i="89"/>
  <c r="N75" i="45"/>
  <c r="N75" i="10"/>
  <c r="N75" i="21"/>
  <c r="N75" i="85"/>
  <c r="N75" i="149"/>
  <c r="N75" i="165"/>
  <c r="N75" i="37"/>
  <c r="N75" i="120"/>
  <c r="N75" i="83"/>
  <c r="N75" i="111"/>
  <c r="N75" i="28"/>
  <c r="N75" i="16"/>
  <c r="N75" i="84"/>
  <c r="N75" i="43"/>
  <c r="N75" i="19"/>
  <c r="N75" i="103"/>
  <c r="N75" i="94"/>
  <c r="N75" i="65"/>
  <c r="N157" i="178"/>
  <c r="N157" i="33"/>
  <c r="N157" i="10"/>
  <c r="N157" i="136"/>
  <c r="N157" i="31"/>
  <c r="N157" i="14"/>
  <c r="N157" i="104"/>
  <c r="N157" i="49"/>
  <c r="N157" i="177"/>
  <c r="N157" i="94"/>
  <c r="N157" i="65"/>
  <c r="N157" i="145"/>
  <c r="N157" i="64"/>
  <c r="N157" i="53"/>
  <c r="N157" i="45"/>
  <c r="N157" i="21"/>
  <c r="N157" i="176"/>
  <c r="N157" i="142"/>
  <c r="N157" i="119"/>
  <c r="N157" i="66"/>
  <c r="N157" i="83"/>
  <c r="N157" i="143"/>
  <c r="N157" i="55"/>
  <c r="N157" i="62"/>
  <c r="N157" i="150"/>
  <c r="N157" i="92"/>
  <c r="N157" i="42"/>
  <c r="N157" i="84"/>
  <c r="N157" i="157"/>
  <c r="N157" i="155"/>
  <c r="N157" i="111"/>
  <c r="N157" i="106"/>
  <c r="N157" i="71"/>
  <c r="N157" i="175"/>
  <c r="N157" i="16"/>
  <c r="N157" i="68"/>
  <c r="N157" i="24"/>
  <c r="N157" i="85"/>
  <c r="N157" i="32"/>
  <c r="N157" i="152"/>
  <c r="N157" i="28"/>
  <c r="N157" i="46"/>
  <c r="N157" i="15"/>
  <c r="N157" i="60"/>
  <c r="N157" i="50"/>
  <c r="N157" i="20"/>
  <c r="N157" i="159"/>
  <c r="N157" i="72"/>
  <c r="N157" i="98"/>
  <c r="N157" i="43"/>
  <c r="N157" i="174"/>
  <c r="N157" i="39"/>
  <c r="N157" i="102"/>
  <c r="N157" i="1"/>
  <c r="N157" i="118"/>
  <c r="N157" i="156"/>
  <c r="N157" i="57"/>
  <c r="N157" i="141"/>
  <c r="N157" i="19"/>
  <c r="N157" i="95"/>
  <c r="N157" i="86"/>
  <c r="N157" i="158"/>
  <c r="N157" i="47"/>
  <c r="N157" i="120"/>
  <c r="N157" i="69"/>
  <c r="N157" i="167"/>
  <c r="N157" i="38"/>
  <c r="N157" i="58"/>
  <c r="N157" i="149"/>
  <c r="N157" i="89"/>
  <c r="N157" i="135"/>
  <c r="N157" i="63"/>
  <c r="N157" i="54"/>
  <c r="N157" i="164"/>
  <c r="N157" i="133"/>
  <c r="N157" i="25"/>
  <c r="N157" i="113"/>
  <c r="N157" i="172"/>
  <c r="N157" i="37"/>
  <c r="N157" i="103"/>
  <c r="N157" i="90"/>
  <c r="N157" i="27"/>
  <c r="N157" i="87"/>
  <c r="N157" i="165"/>
  <c r="N157" i="79"/>
  <c r="N57" i="157"/>
  <c r="N57" i="156"/>
  <c r="N57" i="31"/>
  <c r="N57" i="133"/>
  <c r="N57" i="103"/>
  <c r="N57" i="98"/>
  <c r="N57" i="25"/>
  <c r="N57" i="167"/>
  <c r="N57" i="86"/>
  <c r="N57" i="178"/>
  <c r="N57" i="164"/>
  <c r="N57" i="15"/>
  <c r="N57" i="50"/>
  <c r="N57" i="37"/>
  <c r="N57" i="155"/>
  <c r="N57" i="68"/>
  <c r="N57" i="47"/>
  <c r="N57" i="159"/>
  <c r="N57" i="113"/>
  <c r="N57" i="102"/>
  <c r="N57" i="142"/>
  <c r="N57" i="28"/>
  <c r="N57" i="79"/>
  <c r="N57" i="55"/>
  <c r="N57" i="174"/>
  <c r="N57" i="49"/>
  <c r="N57" i="20"/>
  <c r="N57" i="120"/>
  <c r="N57" i="46"/>
  <c r="N57" i="1"/>
  <c r="N57" i="33"/>
  <c r="N57" i="92"/>
  <c r="N57" i="32"/>
  <c r="N57" i="10"/>
  <c r="N57" i="24"/>
  <c r="N57" i="16"/>
  <c r="N57" i="143"/>
  <c r="N57" i="71"/>
  <c r="N57" i="57"/>
  <c r="N57" i="172"/>
  <c r="N57" i="90"/>
  <c r="N57" i="106"/>
  <c r="N57" i="85"/>
  <c r="N57" i="45"/>
  <c r="N57" i="14"/>
  <c r="N57" i="60"/>
  <c r="N57" i="176"/>
  <c r="N57" i="83"/>
  <c r="N57" i="42"/>
  <c r="N57" i="58"/>
  <c r="N57" i="136"/>
  <c r="N57" i="145"/>
  <c r="N57" i="118"/>
  <c r="N57" i="95"/>
  <c r="N57" i="150"/>
  <c r="N57" i="149"/>
  <c r="N57" i="89"/>
  <c r="N57" i="158"/>
  <c r="N57" i="38"/>
  <c r="N57" i="165"/>
  <c r="N57" i="135"/>
  <c r="N57" i="54"/>
  <c r="N57" i="65"/>
  <c r="N57" i="141"/>
  <c r="N57" i="87"/>
  <c r="N57" i="21"/>
  <c r="N57" i="62"/>
  <c r="N57" i="43"/>
  <c r="N57" i="19"/>
  <c r="N57" i="72"/>
  <c r="N57" i="63"/>
  <c r="N57" i="64"/>
  <c r="N57" i="27"/>
  <c r="N57" i="175"/>
  <c r="N57" i="111"/>
  <c r="N57" i="177"/>
  <c r="N57" i="39"/>
  <c r="N57" i="53"/>
  <c r="N57" i="152"/>
  <c r="N57" i="69"/>
  <c r="N57" i="94"/>
  <c r="N57" i="119"/>
  <c r="N57" i="104"/>
  <c r="N57" i="66"/>
  <c r="N57" i="84"/>
  <c r="N32" i="167"/>
  <c r="N32" i="150"/>
  <c r="N32" i="55"/>
  <c r="N32" i="84"/>
  <c r="N32" i="24"/>
  <c r="N32" i="45"/>
  <c r="N32" i="62"/>
  <c r="N32" i="72"/>
  <c r="N32" i="33"/>
  <c r="N32" i="25"/>
  <c r="N32" i="63"/>
  <c r="N32" i="152"/>
  <c r="N32" i="19"/>
  <c r="N32" i="159"/>
  <c r="N32" i="14"/>
  <c r="N32" i="95"/>
  <c r="N32" i="65"/>
  <c r="N32" i="37"/>
  <c r="N32" i="21"/>
  <c r="N32" i="57"/>
  <c r="N32" i="172"/>
  <c r="N32" i="156"/>
  <c r="N32" i="176"/>
  <c r="N32" i="133"/>
  <c r="N32" i="119"/>
  <c r="N32" i="69"/>
  <c r="N32" i="32"/>
  <c r="N32" i="43"/>
  <c r="N32" i="135"/>
  <c r="N32" i="49"/>
  <c r="N32" i="104"/>
  <c r="N32" i="174"/>
  <c r="N32" i="175"/>
  <c r="N32" i="157"/>
  <c r="N32" i="120"/>
  <c r="N32" i="58"/>
  <c r="N32" i="66"/>
  <c r="N32" i="85"/>
  <c r="N32" i="158"/>
  <c r="N32" i="142"/>
  <c r="N32" i="79"/>
  <c r="N32" i="50"/>
  <c r="N32" i="39"/>
  <c r="N32" i="164"/>
  <c r="N32" i="145"/>
  <c r="N32" i="1"/>
  <c r="N32" i="141"/>
  <c r="N32" i="27"/>
  <c r="N32" i="71"/>
  <c r="N32" i="47"/>
  <c r="N32" i="86"/>
  <c r="N32" i="92"/>
  <c r="N32" i="118"/>
  <c r="N32" i="149"/>
  <c r="N32" i="94"/>
  <c r="N32" i="10"/>
  <c r="N32" i="155"/>
  <c r="N32" i="46"/>
  <c r="N32" i="53"/>
  <c r="N32" i="103"/>
  <c r="N32" i="102"/>
  <c r="N32" i="68"/>
  <c r="N32" i="87"/>
  <c r="N32" i="54"/>
  <c r="N32" i="136"/>
  <c r="N32" i="60"/>
  <c r="N32" i="113"/>
  <c r="N32" i="89"/>
  <c r="N32" i="20"/>
  <c r="N32" i="98"/>
  <c r="N32" i="28"/>
  <c r="N32" i="165"/>
  <c r="N32" i="64"/>
  <c r="N32" i="42"/>
  <c r="N32" i="106"/>
  <c r="N32" i="177"/>
  <c r="N32" i="16"/>
  <c r="N32" i="178"/>
  <c r="N32" i="90"/>
  <c r="N32" i="38"/>
  <c r="N32" i="143"/>
  <c r="N32" i="15"/>
  <c r="N32" i="83"/>
  <c r="N32" i="111"/>
  <c r="N32" i="31"/>
  <c r="N191" i="177"/>
  <c r="N191" i="53"/>
  <c r="N191" i="16"/>
  <c r="N191" i="19"/>
  <c r="N191" i="37"/>
  <c r="N191" i="31"/>
  <c r="N191" i="152"/>
  <c r="N191" i="68"/>
  <c r="N191" i="87"/>
  <c r="N191" i="15"/>
  <c r="N191" i="142"/>
  <c r="N191" i="69"/>
  <c r="N191" i="103"/>
  <c r="N191" i="120"/>
  <c r="N191" i="158"/>
  <c r="N191" i="98"/>
  <c r="N191" i="159"/>
  <c r="N191" i="24"/>
  <c r="N191" i="176"/>
  <c r="N191" i="14"/>
  <c r="N191" i="155"/>
  <c r="N191" i="178"/>
  <c r="N191" i="172"/>
  <c r="N191" i="46"/>
  <c r="N191" i="45"/>
  <c r="N191" i="92"/>
  <c r="N191" i="1"/>
  <c r="N191" i="28"/>
  <c r="N191" i="20"/>
  <c r="N191" i="167"/>
  <c r="N191" i="60"/>
  <c r="N191" i="104"/>
  <c r="N191" i="42"/>
  <c r="N191" i="118"/>
  <c r="N191" i="102"/>
  <c r="N191" i="50"/>
  <c r="N191" i="21"/>
  <c r="N191" i="58"/>
  <c r="N191" i="43"/>
  <c r="N191" i="164"/>
  <c r="N191" i="119"/>
  <c r="N191" i="65"/>
  <c r="N191" i="90"/>
  <c r="N191" i="174"/>
  <c r="N191" i="25"/>
  <c r="N191" i="165"/>
  <c r="N191" i="10"/>
  <c r="N191" i="150"/>
  <c r="N191" i="94"/>
  <c r="N191" i="141"/>
  <c r="N191" i="111"/>
  <c r="N191" i="63"/>
  <c r="N191" i="149"/>
  <c r="N191" i="66"/>
  <c r="N191" i="33"/>
  <c r="N191" i="143"/>
  <c r="N191" i="57"/>
  <c r="N191" i="71"/>
  <c r="N191" i="72"/>
  <c r="N191" i="49"/>
  <c r="N191" i="55"/>
  <c r="N191" i="38"/>
  <c r="N191" i="106"/>
  <c r="N191" i="83"/>
  <c r="N191" i="79"/>
  <c r="N191" i="145"/>
  <c r="N191" i="47"/>
  <c r="N191" i="32"/>
  <c r="N191" i="89"/>
  <c r="N191" i="86"/>
  <c r="N191" i="84"/>
  <c r="N191" i="175"/>
  <c r="N191" i="133"/>
  <c r="N191" i="95"/>
  <c r="N191" i="157"/>
  <c r="N191" i="136"/>
  <c r="N191" i="85"/>
  <c r="N191" i="156"/>
  <c r="N191" i="54"/>
  <c r="N191" i="64"/>
  <c r="N191" i="113"/>
  <c r="N191" i="135"/>
  <c r="N191" i="39"/>
  <c r="N191" i="27"/>
  <c r="N191" i="62"/>
  <c r="N78" i="178"/>
  <c r="N78" i="150"/>
  <c r="N78" i="32"/>
  <c r="N78" i="159"/>
  <c r="N78" i="149"/>
  <c r="N78" i="83"/>
  <c r="N78" i="157"/>
  <c r="N78" i="58"/>
  <c r="N78" i="142"/>
  <c r="N78" i="111"/>
  <c r="N78" i="33"/>
  <c r="N78" i="164"/>
  <c r="N78" i="65"/>
  <c r="N78" i="141"/>
  <c r="N78" i="104"/>
  <c r="N78" i="103"/>
  <c r="N78" i="53"/>
  <c r="N78" i="10"/>
  <c r="N78" i="167"/>
  <c r="N78" i="64"/>
  <c r="N78" i="16"/>
  <c r="N78" i="176"/>
  <c r="N78" i="42"/>
  <c r="N78" i="21"/>
  <c r="N78" i="24"/>
  <c r="N78" i="46"/>
  <c r="N78" i="25"/>
  <c r="N78" i="102"/>
  <c r="N78" i="63"/>
  <c r="N78" i="177"/>
  <c r="N78" i="158"/>
  <c r="N78" i="90"/>
  <c r="N78" i="133"/>
  <c r="N78" i="28"/>
  <c r="N78" i="156"/>
  <c r="N78" i="84"/>
  <c r="N78" i="172"/>
  <c r="N78" i="50"/>
  <c r="N78" i="62"/>
  <c r="N78" i="98"/>
  <c r="N78" i="89"/>
  <c r="N78" i="38"/>
  <c r="N78" i="49"/>
  <c r="N78" i="120"/>
  <c r="N78" i="57"/>
  <c r="N78" i="79"/>
  <c r="N78" i="86"/>
  <c r="N78" i="19"/>
  <c r="N78" i="71"/>
  <c r="N78" i="113"/>
  <c r="N78" i="72"/>
  <c r="N78" i="15"/>
  <c r="N78" i="27"/>
  <c r="N78" i="94"/>
  <c r="N78" i="31"/>
  <c r="N78" i="37"/>
  <c r="N78" i="152"/>
  <c r="N78" i="55"/>
  <c r="N78" i="66"/>
  <c r="N78" i="69"/>
  <c r="N78" i="54"/>
  <c r="N78" i="45"/>
  <c r="N78" i="47"/>
  <c r="N78" i="143"/>
  <c r="N78" i="136"/>
  <c r="N78" i="119"/>
  <c r="N78" i="20"/>
  <c r="N78" i="43"/>
  <c r="N78" i="68"/>
  <c r="N78" i="155"/>
  <c r="N78" i="135"/>
  <c r="N78" i="85"/>
  <c r="N78" i="175"/>
  <c r="N78" i="118"/>
  <c r="N78" i="106"/>
  <c r="N78" i="174"/>
  <c r="N78" i="39"/>
  <c r="N78" i="14"/>
  <c r="N78" i="60"/>
  <c r="N78" i="145"/>
  <c r="N78" i="92"/>
  <c r="N78" i="95"/>
  <c r="N78" i="87"/>
  <c r="N78" i="1"/>
  <c r="N78" i="165"/>
  <c r="N73" i="164"/>
  <c r="N73" i="159"/>
  <c r="N73" i="63"/>
  <c r="N73" i="111"/>
  <c r="N73" i="85"/>
  <c r="N73" i="65"/>
  <c r="N73" i="106"/>
  <c r="N73" i="98"/>
  <c r="N73" i="38"/>
  <c r="N73" i="141"/>
  <c r="N73" i="71"/>
  <c r="N73" i="177"/>
  <c r="N73" i="175"/>
  <c r="N73" i="32"/>
  <c r="N73" i="83"/>
  <c r="N73" i="24"/>
  <c r="N73" i="133"/>
  <c r="N73" i="113"/>
  <c r="N73" i="64"/>
  <c r="N73" i="19"/>
  <c r="N73" i="16"/>
  <c r="N73" i="172"/>
  <c r="N73" i="167"/>
  <c r="N73" i="43"/>
  <c r="N73" i="90"/>
  <c r="N73" i="136"/>
  <c r="N73" i="89"/>
  <c r="N73" i="20"/>
  <c r="N73" i="104"/>
  <c r="N73" i="62"/>
  <c r="N73" i="15"/>
  <c r="N73" i="174"/>
  <c r="N73" i="150"/>
  <c r="N73" i="72"/>
  <c r="N73" i="25"/>
  <c r="N73" i="155"/>
  <c r="N73" i="28"/>
  <c r="N73" i="47"/>
  <c r="N73" i="54"/>
  <c r="N73" i="10"/>
  <c r="N73" i="119"/>
  <c r="N73" i="49"/>
  <c r="N73" i="178"/>
  <c r="N73" i="149"/>
  <c r="N73" i="143"/>
  <c r="N73" i="120"/>
  <c r="N73" i="118"/>
  <c r="N73" i="135"/>
  <c r="N73" i="95"/>
  <c r="N73" i="86"/>
  <c r="N73" i="66"/>
  <c r="N73" i="37"/>
  <c r="N73" i="94"/>
  <c r="N73" i="165"/>
  <c r="N73" i="157"/>
  <c r="N73" i="57"/>
  <c r="N73" i="69"/>
  <c r="N73" i="21"/>
  <c r="N73" i="55"/>
  <c r="N73" i="27"/>
  <c r="N73" i="46"/>
  <c r="N73" i="87"/>
  <c r="N73" i="142"/>
  <c r="N73" i="31"/>
  <c r="N73" i="176"/>
  <c r="N73" i="158"/>
  <c r="N73" i="145"/>
  <c r="N73" i="60"/>
  <c r="N73" i="45"/>
  <c r="N73" i="79"/>
  <c r="N73" i="53"/>
  <c r="N73" i="103"/>
  <c r="N73" i="58"/>
  <c r="N73" i="84"/>
  <c r="N73" i="68"/>
  <c r="N73" i="156"/>
  <c r="N73" i="152"/>
  <c r="N73" i="39"/>
  <c r="N73" i="50"/>
  <c r="N73" i="42"/>
  <c r="N73" i="92"/>
  <c r="N73" i="14"/>
  <c r="N73" i="1"/>
  <c r="N73" i="102"/>
  <c r="N73" i="33"/>
  <c r="N172" i="32"/>
  <c r="N172" i="85"/>
  <c r="N172" i="104"/>
  <c r="N172" i="165"/>
  <c r="N172" i="46"/>
  <c r="N172" i="95"/>
  <c r="N172" i="133"/>
  <c r="N172" i="16"/>
  <c r="N172" i="87"/>
  <c r="N172" i="159"/>
  <c r="N172" i="72"/>
  <c r="N172" i="49"/>
  <c r="N172" i="167"/>
  <c r="N172" i="103"/>
  <c r="N172" i="120"/>
  <c r="N172" i="111"/>
  <c r="N172" i="152"/>
  <c r="N172" i="20"/>
  <c r="N172" i="33"/>
  <c r="N172" i="15"/>
  <c r="N172" i="164"/>
  <c r="N172" i="178"/>
  <c r="N172" i="65"/>
  <c r="N172" i="50"/>
  <c r="N172" i="45"/>
  <c r="N172" i="14"/>
  <c r="N172" i="71"/>
  <c r="N172" i="177"/>
  <c r="N172" i="31"/>
  <c r="N172" i="63"/>
  <c r="N172" i="89"/>
  <c r="N172" i="58"/>
  <c r="N172" i="54"/>
  <c r="N172" i="27"/>
  <c r="N172" i="143"/>
  <c r="N172" i="10"/>
  <c r="N172" i="90"/>
  <c r="N172" i="175"/>
  <c r="N172" i="142"/>
  <c r="N172" i="94"/>
  <c r="N172" i="158"/>
  <c r="N172" i="135"/>
  <c r="N172" i="86"/>
  <c r="N172" i="57"/>
  <c r="N172" i="106"/>
  <c r="N172" i="172"/>
  <c r="N172" i="37"/>
  <c r="N172" i="155"/>
  <c r="N172" i="156"/>
  <c r="N172" i="83"/>
  <c r="N172" i="39"/>
  <c r="N172" i="176"/>
  <c r="N172" i="113"/>
  <c r="N172" i="84"/>
  <c r="N172" i="43"/>
  <c r="N172" i="119"/>
  <c r="N172" i="1"/>
  <c r="N172" i="98"/>
  <c r="N172" i="21"/>
  <c r="N172" i="60"/>
  <c r="N172" i="64"/>
  <c r="N172" i="136"/>
  <c r="N172" i="53"/>
  <c r="N172" i="24"/>
  <c r="N172" i="25"/>
  <c r="N172" i="92"/>
  <c r="N172" i="145"/>
  <c r="N172" i="55"/>
  <c r="N172" i="174"/>
  <c r="N172" i="28"/>
  <c r="N172" i="79"/>
  <c r="N172" i="38"/>
  <c r="N172" i="66"/>
  <c r="N172" i="150"/>
  <c r="N172" i="69"/>
  <c r="N172" i="19"/>
  <c r="N172" i="62"/>
  <c r="N172" i="42"/>
  <c r="N172" i="118"/>
  <c r="N172" i="47"/>
  <c r="N172" i="102"/>
  <c r="N172" i="157"/>
  <c r="N172" i="68"/>
  <c r="N172" i="141"/>
  <c r="N172" i="149"/>
  <c r="N173" i="118"/>
  <c r="N173" i="71"/>
  <c r="N173" i="49"/>
  <c r="N173" i="157"/>
  <c r="N173" i="111"/>
  <c r="N173" i="20"/>
  <c r="N173" i="46"/>
  <c r="N173" i="164"/>
  <c r="N173" i="152"/>
  <c r="N173" i="92"/>
  <c r="N173" i="177"/>
  <c r="N173" i="95"/>
  <c r="N173" i="69"/>
  <c r="N173" i="47"/>
  <c r="N173" i="156"/>
  <c r="N173" i="83"/>
  <c r="N173" i="176"/>
  <c r="N173" i="142"/>
  <c r="N173" i="145"/>
  <c r="N173" i="58"/>
  <c r="N173" i="14"/>
  <c r="N173" i="94"/>
  <c r="N173" i="106"/>
  <c r="N173" i="159"/>
  <c r="N173" i="33"/>
  <c r="N173" i="10"/>
  <c r="N173" i="133"/>
  <c r="N173" i="25"/>
  <c r="N173" i="55"/>
  <c r="N173" i="27"/>
  <c r="N173" i="103"/>
  <c r="N173" i="38"/>
  <c r="N173" i="172"/>
  <c r="N173" i="32"/>
  <c r="N173" i="15"/>
  <c r="N173" i="155"/>
  <c r="N173" i="165"/>
  <c r="N173" i="28"/>
  <c r="N173" i="90"/>
  <c r="N173" i="119"/>
  <c r="N173" i="19"/>
  <c r="N173" i="21"/>
  <c r="N173" i="178"/>
  <c r="N173" i="141"/>
  <c r="N173" i="98"/>
  <c r="N173" i="16"/>
  <c r="N173" i="167"/>
  <c r="N173" i="150"/>
  <c r="N173" i="42"/>
  <c r="N173" i="72"/>
  <c r="N173" i="113"/>
  <c r="N173" i="84"/>
  <c r="N173" i="135"/>
  <c r="N173" i="68"/>
  <c r="N173" i="79"/>
  <c r="N173" i="175"/>
  <c r="N173" i="24"/>
  <c r="N173" i="1"/>
  <c r="N173" i="37"/>
  <c r="N173" i="63"/>
  <c r="N173" i="174"/>
  <c r="N173" i="62"/>
  <c r="N173" i="104"/>
  <c r="N173" i="57"/>
  <c r="N173" i="53"/>
  <c r="N173" i="60"/>
  <c r="N173" i="87"/>
  <c r="N173" i="120"/>
  <c r="N173" i="50"/>
  <c r="N173" i="45"/>
  <c r="N173" i="89"/>
  <c r="N173" i="102"/>
  <c r="N173" i="64"/>
  <c r="N173" i="85"/>
  <c r="N173" i="143"/>
  <c r="N173" i="54"/>
  <c r="N173" i="136"/>
  <c r="N173" i="31"/>
  <c r="N173" i="65"/>
  <c r="N173" i="39"/>
  <c r="N173" i="86"/>
  <c r="N173" i="158"/>
  <c r="N173" i="66"/>
  <c r="N173" i="149"/>
  <c r="N173" i="43"/>
  <c r="N189" i="14"/>
  <c r="N189" i="58"/>
  <c r="N189" i="53"/>
  <c r="N189" i="102"/>
  <c r="N189" i="83"/>
  <c r="N189" i="165"/>
  <c r="N189" i="68"/>
  <c r="N189" i="33"/>
  <c r="N189" i="172"/>
  <c r="N189" i="79"/>
  <c r="N189" i="167"/>
  <c r="N189" i="136"/>
  <c r="N189" i="174"/>
  <c r="N189" i="155"/>
  <c r="N189" i="37"/>
  <c r="N189" i="20"/>
  <c r="N189" i="85"/>
  <c r="N189" i="57"/>
  <c r="N189" i="157"/>
  <c r="N189" i="142"/>
  <c r="N189" i="10"/>
  <c r="N189" i="178"/>
  <c r="N189" i="86"/>
  <c r="N189" i="87"/>
  <c r="N189" i="71"/>
  <c r="N189" i="120"/>
  <c r="N189" i="133"/>
  <c r="N189" i="135"/>
  <c r="N189" i="1"/>
  <c r="N189" i="158"/>
  <c r="N189" i="15"/>
  <c r="N189" i="19"/>
  <c r="N189" i="164"/>
  <c r="N189" i="141"/>
  <c r="N189" i="65"/>
  <c r="N189" i="32"/>
  <c r="N189" i="42"/>
  <c r="N189" i="103"/>
  <c r="N189" i="25"/>
  <c r="N189" i="145"/>
  <c r="N189" i="60"/>
  <c r="N189" i="119"/>
  <c r="N189" i="111"/>
  <c r="N189" i="175"/>
  <c r="N189" i="24"/>
  <c r="N189" i="149"/>
  <c r="N189" i="150"/>
  <c r="N189" i="118"/>
  <c r="N189" i="92"/>
  <c r="N189" i="98"/>
  <c r="N189" i="113"/>
  <c r="N189" i="16"/>
  <c r="N189" i="69"/>
  <c r="N189" i="90"/>
  <c r="N189" i="152"/>
  <c r="N189" i="28"/>
  <c r="N189" i="72"/>
  <c r="N189" i="27"/>
  <c r="N189" i="143"/>
  <c r="N189" i="176"/>
  <c r="N189" i="63"/>
  <c r="N189" i="104"/>
  <c r="N189" i="50"/>
  <c r="N189" i="159"/>
  <c r="N189" i="55"/>
  <c r="N189" i="94"/>
  <c r="N189" i="54"/>
  <c r="N189" i="21"/>
  <c r="N189" i="43"/>
  <c r="N189" i="84"/>
  <c r="N189" i="66"/>
  <c r="N189" i="38"/>
  <c r="N189" i="45"/>
  <c r="N189" i="89"/>
  <c r="N189" i="62"/>
  <c r="N189" i="39"/>
  <c r="N189" i="49"/>
  <c r="N189" i="46"/>
  <c r="N189" i="95"/>
  <c r="N189" i="106"/>
  <c r="N189" i="64"/>
  <c r="N189" i="31"/>
  <c r="N189" i="47"/>
  <c r="N189" i="177"/>
  <c r="N189" i="156"/>
  <c r="N101" i="83"/>
  <c r="N101" i="149"/>
  <c r="N101" i="46"/>
  <c r="N101" i="47"/>
  <c r="N101" i="104"/>
  <c r="N101" i="15"/>
  <c r="N101" i="106"/>
  <c r="N101" i="165"/>
  <c r="N101" i="63"/>
  <c r="N101" i="1"/>
  <c r="N101" i="118"/>
  <c r="N101" i="19"/>
  <c r="N101" i="43"/>
  <c r="N101" i="120"/>
  <c r="N101" i="90"/>
  <c r="N101" i="20"/>
  <c r="N101" i="39"/>
  <c r="N101" i="64"/>
  <c r="N101" i="103"/>
  <c r="N101" i="16"/>
  <c r="N101" i="25"/>
  <c r="N101" i="178"/>
  <c r="N101" i="86"/>
  <c r="N101" i="42"/>
  <c r="N101" i="176"/>
  <c r="N101" i="133"/>
  <c r="N101" i="28"/>
  <c r="N101" i="157"/>
  <c r="N101" i="31"/>
  <c r="N101" i="21"/>
  <c r="N101" i="152"/>
  <c r="N101" i="143"/>
  <c r="N101" i="62"/>
  <c r="N101" i="111"/>
  <c r="N101" i="14"/>
  <c r="N101" i="50"/>
  <c r="N101" i="172"/>
  <c r="N101" i="45"/>
  <c r="N101" i="113"/>
  <c r="N101" i="27"/>
  <c r="N101" i="158"/>
  <c r="N101" i="135"/>
  <c r="N101" i="94"/>
  <c r="N101" i="175"/>
  <c r="N101" i="141"/>
  <c r="N101" i="89"/>
  <c r="N101" i="71"/>
  <c r="N101" i="174"/>
  <c r="N101" i="55"/>
  <c r="N101" i="33"/>
  <c r="N101" i="177"/>
  <c r="N101" i="85"/>
  <c r="N101" i="155"/>
  <c r="N101" i="142"/>
  <c r="N101" i="24"/>
  <c r="N101" i="65"/>
  <c r="N101" i="66"/>
  <c r="N101" i="95"/>
  <c r="N101" i="84"/>
  <c r="N101" i="68"/>
  <c r="N101" i="32"/>
  <c r="N101" i="37"/>
  <c r="N101" i="150"/>
  <c r="N101" i="79"/>
  <c r="N101" i="53"/>
  <c r="N101" i="58"/>
  <c r="N101" i="72"/>
  <c r="N101" i="145"/>
  <c r="N101" i="87"/>
  <c r="N101" i="167"/>
  <c r="N101" i="92"/>
  <c r="N101" i="54"/>
  <c r="N101" i="38"/>
  <c r="N101" i="10"/>
  <c r="N101" i="156"/>
  <c r="N101" i="98"/>
  <c r="N101" i="49"/>
  <c r="N101" i="164"/>
  <c r="N101" i="159"/>
  <c r="N101" i="119"/>
  <c r="N101" i="57"/>
  <c r="N101" i="60"/>
  <c r="N101" i="69"/>
  <c r="N101" i="136"/>
  <c r="N101" i="102"/>
  <c r="H82" i="97"/>
  <c r="N208" i="46"/>
  <c r="N208" i="55"/>
  <c r="N208" i="87"/>
  <c r="N208" i="158"/>
  <c r="N208" i="104"/>
  <c r="N208" i="155"/>
  <c r="N208" i="38"/>
  <c r="N208" i="25"/>
  <c r="N208" i="19"/>
  <c r="N208" i="15"/>
  <c r="N208" i="72"/>
  <c r="N208" i="176"/>
  <c r="N208" i="57"/>
  <c r="N208" i="89"/>
  <c r="N208" i="84"/>
  <c r="N208" i="32"/>
  <c r="N208" i="86"/>
  <c r="N208" i="120"/>
  <c r="N208" i="95"/>
  <c r="N208" i="141"/>
  <c r="N208" i="172"/>
  <c r="N208" i="94"/>
  <c r="N208" i="90"/>
  <c r="N208" i="31"/>
  <c r="N208" i="111"/>
  <c r="N208" i="106"/>
  <c r="N208" i="150"/>
  <c r="N208" i="145"/>
  <c r="N208" i="60"/>
  <c r="N208" i="142"/>
  <c r="N208" i="63"/>
  <c r="N208" i="66"/>
  <c r="N208" i="178"/>
  <c r="N208" i="65"/>
  <c r="N208" i="149"/>
  <c r="N208" i="1"/>
  <c r="N208" i="177"/>
  <c r="N208" i="42"/>
  <c r="N208" i="14"/>
  <c r="N208" i="45"/>
  <c r="N208" i="39"/>
  <c r="N208" i="10"/>
  <c r="N208" i="37"/>
  <c r="N208" i="164"/>
  <c r="N208" i="174"/>
  <c r="N208" i="68"/>
  <c r="N208" i="58"/>
  <c r="N208" i="102"/>
  <c r="N208" i="167"/>
  <c r="N208" i="64"/>
  <c r="N208" i="62"/>
  <c r="N208" i="136"/>
  <c r="N208" i="159"/>
  <c r="N208" i="49"/>
  <c r="N208" i="53"/>
  <c r="N208" i="54"/>
  <c r="N208" i="47"/>
  <c r="N208" i="143"/>
  <c r="N208" i="83"/>
  <c r="N208" i="50"/>
  <c r="N208" i="165"/>
  <c r="N208" i="16"/>
  <c r="N208" i="98"/>
  <c r="N208" i="69"/>
  <c r="N208" i="152"/>
  <c r="N208" i="113"/>
  <c r="N208" i="85"/>
  <c r="N208" i="133"/>
  <c r="N208" i="71"/>
  <c r="N208" i="92"/>
  <c r="N208" i="175"/>
  <c r="N208" i="20"/>
  <c r="N208" i="119"/>
  <c r="N208" i="27"/>
  <c r="N208" i="24"/>
  <c r="N208" i="135"/>
  <c r="N208" i="33"/>
  <c r="N208" i="21"/>
  <c r="N208" i="156"/>
  <c r="N208" i="157"/>
  <c r="N208" i="103"/>
  <c r="N208" i="28"/>
  <c r="N208" i="118"/>
  <c r="N208" i="79"/>
  <c r="N208" i="43"/>
  <c r="O209" i="43"/>
  <c r="O209" i="150"/>
  <c r="O209" i="155"/>
  <c r="O209" i="178"/>
  <c r="O209" i="28"/>
  <c r="O209" i="86"/>
  <c r="O209" i="106"/>
  <c r="O209" i="157"/>
  <c r="O209" i="60"/>
  <c r="O209" i="98"/>
  <c r="O209" i="104"/>
  <c r="O209" i="53"/>
  <c r="O209" i="66"/>
  <c r="O209" i="46"/>
  <c r="O209" i="33"/>
  <c r="O209" i="95"/>
  <c r="O209" i="21"/>
  <c r="O209" i="24"/>
  <c r="O209" i="120"/>
  <c r="O209" i="164"/>
  <c r="O209" i="142"/>
  <c r="O209" i="69"/>
  <c r="O209" i="102"/>
  <c r="O209" i="165"/>
  <c r="O209" i="14"/>
  <c r="O209" i="39"/>
  <c r="O209" i="175"/>
  <c r="O209" i="83"/>
  <c r="O209" i="111"/>
  <c r="O209" i="1"/>
  <c r="O209" i="20"/>
  <c r="O209" i="143"/>
  <c r="O209" i="25"/>
  <c r="O209" i="57"/>
  <c r="O209" i="177"/>
  <c r="O209" i="72"/>
  <c r="O209" i="113"/>
  <c r="O209" i="152"/>
  <c r="O209" i="79"/>
  <c r="O209" i="55"/>
  <c r="O209" i="176"/>
  <c r="O209" i="15"/>
  <c r="O209" i="89"/>
  <c r="O209" i="84"/>
  <c r="O209" i="16"/>
  <c r="O209" i="64"/>
  <c r="O209" i="71"/>
  <c r="O209" i="92"/>
  <c r="O209" i="119"/>
  <c r="O209" i="37"/>
  <c r="O209" i="58"/>
  <c r="O209" i="10"/>
  <c r="O209" i="135"/>
  <c r="O209" i="62"/>
  <c r="O209" i="27"/>
  <c r="O209" i="136"/>
  <c r="O209" i="94"/>
  <c r="O209" i="149"/>
  <c r="O209" i="31"/>
  <c r="O209" i="47"/>
  <c r="O209" i="90"/>
  <c r="O209" i="65"/>
  <c r="O209" i="68"/>
  <c r="O209" i="156"/>
  <c r="O209" i="141"/>
  <c r="O209" i="38"/>
  <c r="O209" i="85"/>
  <c r="O209" i="167"/>
  <c r="O209" i="158"/>
  <c r="O209" i="49"/>
  <c r="O209" i="32"/>
  <c r="O209" i="145"/>
  <c r="O209" i="63"/>
  <c r="O209" i="103"/>
  <c r="O209" i="159"/>
  <c r="O209" i="54"/>
  <c r="O209" i="87"/>
  <c r="O209" i="174"/>
  <c r="O209" i="50"/>
  <c r="O209" i="19"/>
  <c r="O209" i="172"/>
  <c r="O209" i="45"/>
  <c r="O209" i="118"/>
  <c r="O209" i="42"/>
  <c r="O209" i="133"/>
</calcChain>
</file>

<file path=xl/sharedStrings.xml><?xml version="1.0" encoding="utf-8"?>
<sst xmlns="http://schemas.openxmlformats.org/spreadsheetml/2006/main" count="29993" uniqueCount="725">
  <si>
    <t>COST CAT</t>
  </si>
  <si>
    <t>FCP AS FILED</t>
  </si>
  <si>
    <t>FCP ADJ'S</t>
  </si>
  <si>
    <t>ADJ FCP</t>
  </si>
  <si>
    <t>AUDIT</t>
  </si>
  <si>
    <t>AUDITED FCP</t>
  </si>
  <si>
    <t>% TO</t>
  </si>
  <si>
    <t>&amp; ACCT</t>
  </si>
  <si>
    <t>(COL 1 + 2)</t>
  </si>
  <si>
    <t>ADJ'S</t>
  </si>
  <si>
    <t>(COL 3 + 4)</t>
  </si>
  <si>
    <t>TOTAL</t>
  </si>
  <si>
    <t>GENERAL ADMINISTRATIVE</t>
  </si>
  <si>
    <t>01</t>
  </si>
  <si>
    <t xml:space="preserve">Administrator Salary </t>
  </si>
  <si>
    <t>02</t>
  </si>
  <si>
    <t>03</t>
  </si>
  <si>
    <t>Office Salaries and Wages</t>
  </si>
  <si>
    <t>04</t>
  </si>
  <si>
    <t>05</t>
  </si>
  <si>
    <t>Director Fees</t>
  </si>
  <si>
    <t>06</t>
  </si>
  <si>
    <t>Management Services</t>
  </si>
  <si>
    <t>Advertising</t>
  </si>
  <si>
    <t>Telephone</t>
  </si>
  <si>
    <t>Dues, Subscriptions &amp; Licenses</t>
  </si>
  <si>
    <t>Office Supplies, Printing &amp; Postage</t>
  </si>
  <si>
    <t>Legal and Accounting</t>
  </si>
  <si>
    <t>Utilization Review</t>
  </si>
  <si>
    <t>Data Processing</t>
  </si>
  <si>
    <t>Amortization-Organization</t>
  </si>
  <si>
    <t>Patient Day Assessment</t>
  </si>
  <si>
    <t>Interest-Operating Loans</t>
  </si>
  <si>
    <t>Income Taxes</t>
  </si>
  <si>
    <t>Bad Debts</t>
  </si>
  <si>
    <t>Contributions</t>
  </si>
  <si>
    <t>Miscellaneous (Attach Schedule)</t>
  </si>
  <si>
    <t>1</t>
  </si>
  <si>
    <t>2</t>
  </si>
  <si>
    <t>3</t>
  </si>
  <si>
    <t>4</t>
  </si>
  <si>
    <t>5</t>
  </si>
  <si>
    <t>6</t>
  </si>
  <si>
    <t>PLANT OPERATION &amp; MAINTENANCE</t>
  </si>
  <si>
    <t>Salaries and Wages</t>
  </si>
  <si>
    <t>Payroll Taxes &amp; Emp Benefits</t>
  </si>
  <si>
    <t>Equipment Rental-Short Term</t>
  </si>
  <si>
    <t>Supplies</t>
  </si>
  <si>
    <t>Purchased Services</t>
  </si>
  <si>
    <t>Utilities</t>
  </si>
  <si>
    <t>TOTAL PLANT OPER &amp; MAINT</t>
  </si>
  <si>
    <t>DIETARY</t>
  </si>
  <si>
    <t>Food</t>
  </si>
  <si>
    <t>Food Supplies</t>
  </si>
  <si>
    <t>Purchased Services/Consultants</t>
  </si>
  <si>
    <t>TOTAL DIETARY</t>
  </si>
  <si>
    <t>LAUNDRY AND LINEN</t>
  </si>
  <si>
    <t>Linen and Bedding</t>
  </si>
  <si>
    <t>TOTAL LAUNDRY &amp; LINEN</t>
  </si>
  <si>
    <t>HOUSEKEEPING</t>
  </si>
  <si>
    <t>Purchased Service/Consultants</t>
  </si>
  <si>
    <t>TOTAL HOUSEKEEPING</t>
  </si>
  <si>
    <t>NURSING</t>
  </si>
  <si>
    <t>Nurse Admin Sal-Med Rec, In Ser</t>
  </si>
  <si>
    <t>Nurse Dir Care Salaries &amp; Wages</t>
  </si>
  <si>
    <t>Medical Supplies</t>
  </si>
  <si>
    <t>Oxygen Equipment and Rental</t>
  </si>
  <si>
    <t>Oxygen Gas</t>
  </si>
  <si>
    <t>RECREATIONAL ACTIVITIES &amp; SPECIAL SERVICES</t>
  </si>
  <si>
    <t>Salaries &amp; Wages</t>
  </si>
  <si>
    <t>Recreational Therapy</t>
  </si>
  <si>
    <t>Sheltered Workshops</t>
  </si>
  <si>
    <t>MEDICARE DAYS</t>
  </si>
  <si>
    <t>VETERANS DAYS</t>
  </si>
  <si>
    <t>PRIVATE DAYS</t>
  </si>
  <si>
    <t>TOTAL PATIENT DAYS</t>
  </si>
  <si>
    <t>CALENDAR DAYS IN PERIOD</t>
  </si>
  <si>
    <t xml:space="preserve">TOTAL REVENUE </t>
  </si>
  <si>
    <t>PROFIT / (LOSS) (REV - EXP)</t>
  </si>
  <si>
    <t>PERIOD BEGINNING --------------&gt;</t>
  </si>
  <si>
    <t>PERIOD ENDING  ------------------&gt;</t>
  </si>
  <si>
    <t>% TO TOTAL</t>
  </si>
  <si>
    <t>PROFIT/LOSS TO REVENUE</t>
  </si>
  <si>
    <t>010</t>
  </si>
  <si>
    <t>011</t>
  </si>
  <si>
    <t>012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</si>
  <si>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</si>
  <si>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</si>
  <si>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</si>
  <si>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</si>
  <si>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</si>
  <si>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</si>
  <si>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</si>
  <si>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</si>
  <si>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</si>
  <si>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013</t>
  </si>
  <si>
    <t>041</t>
  </si>
  <si>
    <t>Non Medical Supplies (Charts &amp; Forms)</t>
  </si>
  <si>
    <t>Purchased Nursing Services</t>
  </si>
  <si>
    <t>Respiration/Inhalation Therapy</t>
  </si>
  <si>
    <t>ANCILLARIES NOT IN MEDICAID DAILY RATE</t>
  </si>
  <si>
    <t>Nurs Aide Trg Costs (by formula from Sch D)</t>
  </si>
  <si>
    <t>Physician &amp; Psychiatrist-Staff Salaries</t>
  </si>
  <si>
    <t>Physician &amp; Psychiatrist Payroll tax &amp; Benefit</t>
  </si>
  <si>
    <t>Physical Therapy - Staff Salaries</t>
  </si>
  <si>
    <t>Physical Therapy Payroll tax &amp; Benefit</t>
  </si>
  <si>
    <t>Speech Therapy - Staff Salaries</t>
  </si>
  <si>
    <t>SpeechTherapy Payroll tax &amp; Benefit</t>
  </si>
  <si>
    <t>Audiology Therapy - Staff Salaries</t>
  </si>
  <si>
    <t>Audiology Therapy Payroll tax &amp; Benefit</t>
  </si>
  <si>
    <t>Occupational Therapy - Staff Salaries</t>
  </si>
  <si>
    <t>Occupational Therapy Payroll tax &amp; Benefits</t>
  </si>
  <si>
    <t>Laboratory &amp; Radiology - Staff Salaries</t>
  </si>
  <si>
    <t>Laboratory &amp; Radiology Payroll tax &amp; Benefit</t>
  </si>
  <si>
    <t>Physical Therapy - Supplies/Other</t>
  </si>
  <si>
    <t>Audiology Therapy -Supplies/Other</t>
  </si>
  <si>
    <t>Occupational Therapy - Supplies/Other</t>
  </si>
  <si>
    <t>Laboratory &amp; Radiology-Supplies/Other</t>
  </si>
  <si>
    <t>Purchased Physician &amp; Psychiatrist(non-emp)</t>
  </si>
  <si>
    <t>Purchased Physical Therapy (non-employee)</t>
  </si>
  <si>
    <t>Purch.Serv.-Speech Therapy (non-employee)</t>
  </si>
  <si>
    <t>Purch.Serv.-Occup.Therapy (non-employee)</t>
  </si>
  <si>
    <t>Laboratory &amp; Radiology Service</t>
  </si>
  <si>
    <t>014</t>
  </si>
  <si>
    <t>017</t>
  </si>
  <si>
    <t>042</t>
  </si>
  <si>
    <t>043</t>
  </si>
  <si>
    <t>044</t>
  </si>
  <si>
    <t>045</t>
  </si>
  <si>
    <t>046</t>
  </si>
  <si>
    <t>TOTAL ANCILLARIES NOT IN MEDICAID RATE</t>
  </si>
  <si>
    <t>Purch.Serv.-Audiology Therapy(non-employee)</t>
  </si>
  <si>
    <t>311</t>
  </si>
  <si>
    <t>312</t>
  </si>
  <si>
    <t>313</t>
  </si>
  <si>
    <t>314</t>
  </si>
  <si>
    <t>315</t>
  </si>
  <si>
    <t>316</t>
  </si>
  <si>
    <t>450</t>
  </si>
  <si>
    <t>460</t>
  </si>
  <si>
    <t>310</t>
  </si>
  <si>
    <t>470</t>
  </si>
  <si>
    <t>480</t>
  </si>
  <si>
    <t>490</t>
  </si>
  <si>
    <t>TOTAL REC ACT &amp; SOCIAL SERVICES</t>
  </si>
  <si>
    <t>TOTAL REPORTED EXPENSES PER FCP</t>
  </si>
  <si>
    <t>010-090</t>
  </si>
  <si>
    <t>FCP less G/L must = 0</t>
  </si>
  <si>
    <t>Home Office Charges</t>
  </si>
  <si>
    <t>Travel , Seminars, &amp; Admin Training</t>
  </si>
  <si>
    <t>TOTAL PROPERTY &amp; RELATED</t>
  </si>
  <si>
    <t>Payroll Taxes &amp; Benefits</t>
  </si>
  <si>
    <t>Nurse Admin Payroll Tax and Benefits</t>
  </si>
  <si>
    <t>Nurse Dir Care Payroll Tax &amp; Benefits</t>
  </si>
  <si>
    <t>Physician &amp; Psychiatrist-Supplies/Other</t>
  </si>
  <si>
    <t>Speech Therapy - Supplies/Other</t>
  </si>
  <si>
    <t>Hours Worked</t>
  </si>
  <si>
    <t>018</t>
  </si>
  <si>
    <t>019</t>
  </si>
  <si>
    <t>CENSUS (SCH D)</t>
  </si>
  <si>
    <t>OCCUPANCY (SCH D)</t>
  </si>
  <si>
    <t>010-000</t>
  </si>
  <si>
    <t>020-000</t>
  </si>
  <si>
    <t>030-000</t>
  </si>
  <si>
    <t>040-000</t>
  </si>
  <si>
    <t>050-000</t>
  </si>
  <si>
    <t>060-000</t>
  </si>
  <si>
    <t>070-000</t>
  </si>
  <si>
    <t>080-000</t>
  </si>
  <si>
    <t>090-000</t>
  </si>
  <si>
    <t>NET MEDICARE  REVENUE</t>
  </si>
  <si>
    <t>NET VETERANS  REVENUE</t>
  </si>
  <si>
    <t>NET PRIVATE  REVENUE</t>
  </si>
  <si>
    <t>NET OTHER  REVENUE</t>
  </si>
  <si>
    <t>8</t>
  </si>
  <si>
    <t>051</t>
  </si>
  <si>
    <t>Asst Administrator Salary</t>
  </si>
  <si>
    <t>TOTAL GENERAL ADMINISTRATIVE</t>
  </si>
  <si>
    <t>PROPERTY AND RELATED EXPENSES</t>
  </si>
  <si>
    <t>OTHER DAYS</t>
  </si>
  <si>
    <t>NET MISC INCOME</t>
  </si>
  <si>
    <t>TOTAL EXPENSES PER G/L</t>
  </si>
  <si>
    <t>9</t>
  </si>
  <si>
    <t>10</t>
  </si>
  <si>
    <t>Rate</t>
  </si>
  <si>
    <t>Hours Per</t>
  </si>
  <si>
    <t>Avg Hr</t>
  </si>
  <si>
    <t>Audited Days</t>
  </si>
  <si>
    <t>Col 8 / Aud Days</t>
  </si>
  <si>
    <t>Name of Nursing Facility</t>
  </si>
  <si>
    <t>Worker's compensation</t>
  </si>
  <si>
    <t>Professional/General Liability Insurance</t>
  </si>
  <si>
    <t>Gain/loss on asset disposition</t>
  </si>
  <si>
    <t>Col 5/8</t>
  </si>
  <si>
    <t>Registered Nurses</t>
  </si>
  <si>
    <t>Licensed Practical Nurses</t>
  </si>
  <si>
    <t>Certified Nursing Aides</t>
  </si>
  <si>
    <t>Others</t>
  </si>
  <si>
    <t xml:space="preserve"> </t>
  </si>
  <si>
    <t>DAYS</t>
  </si>
  <si>
    <t>n/a</t>
  </si>
  <si>
    <t>Civil Money Penalties (Medicare and Medicaid)</t>
  </si>
  <si>
    <t>Other Taxes (attach schedule)</t>
  </si>
  <si>
    <t>Other Penalties/Fines</t>
  </si>
  <si>
    <t>Transportation Salaries &amp; Wages</t>
  </si>
  <si>
    <t>Transportation Payroll Taxes &amp; Emp Benefits</t>
  </si>
  <si>
    <t>Gifts</t>
  </si>
  <si>
    <t>Bank/Service Charges</t>
  </si>
  <si>
    <t>Public Relations</t>
  </si>
  <si>
    <t>Recruiting Expense</t>
  </si>
  <si>
    <t>TV/Cable/Satellite Expense</t>
  </si>
  <si>
    <t>Beauty &amp; Barber Expense</t>
  </si>
  <si>
    <t>NET MEDICAID - NON UTAH</t>
  </si>
  <si>
    <t>NET MEDICAID REVENUE - UTAH</t>
  </si>
  <si>
    <t>NET MEDICAID REVENUE - NON UTAH</t>
  </si>
  <si>
    <t>07</t>
  </si>
  <si>
    <t>08</t>
  </si>
  <si>
    <t>MEDICAID DAYS - NON UTAH</t>
  </si>
  <si>
    <t>MEDICAID DAYS - UTAH</t>
  </si>
  <si>
    <t xml:space="preserve">TOTAL LICENSED BEDS </t>
  </si>
  <si>
    <t>TOTAL LICENSED BEDS</t>
  </si>
  <si>
    <t>REVENUE (SCH B)</t>
  </si>
  <si>
    <t>EXPENSES (SCH C)</t>
  </si>
  <si>
    <t>Evaluation Costs</t>
  </si>
  <si>
    <t>Instructor Costs</t>
  </si>
  <si>
    <t>Testing Costs</t>
  </si>
  <si>
    <t>Material Costs</t>
  </si>
  <si>
    <t>09</t>
  </si>
  <si>
    <t>NET HOSPICE REVENUE - MEDICAID</t>
  </si>
  <si>
    <t>NET HOSPICE REVENUE - NON MEDICAID</t>
  </si>
  <si>
    <t>NET OTHER REVENUE</t>
  </si>
  <si>
    <t>COST CAT &amp; ACCT</t>
  </si>
  <si>
    <t>Medical Director</t>
  </si>
  <si>
    <t>TOTAL NURSING</t>
  </si>
  <si>
    <t>PROFIT/LOSS TO EXPENSES</t>
  </si>
  <si>
    <t>HOSPICE DAYS - NON MEDICAID</t>
  </si>
  <si>
    <t>HOSPICE DAYS - MEDICAID</t>
  </si>
  <si>
    <r>
      <t xml:space="preserve">TOTAL PATIENT DAYS AVAILABLE </t>
    </r>
    <r>
      <rPr>
        <b/>
        <sz val="10"/>
        <color indexed="8"/>
        <rFont val="Times New Roman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</si>
  <si>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Times New Roman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</si>
  <si>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Times New Roman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</si>
  <si>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Times New Roman"/>
        <family val="1"/>
      </rPr>
      <t>(Medicaid Occupancy/Total Occupancy)</t>
    </r>
  </si>
  <si>
    <t>TOTAL PATIENT DAYS AVAILABLE (Total Licensed Beds*Calendar Days in Period)</t>
  </si>
  <si>
    <t>TOTAL OCCUPANCY (Total Patient Days/Total Patient Days Available)</t>
  </si>
  <si>
    <t>MEDICAID OCCUPANCY (Medicaid Days-Utah /Total Patient Days Available)</t>
  </si>
  <si>
    <t>MEDICAID OCCUPANCY AS A % OF TOTAL OCCUPANCY (Medicaid Occupancy/Total Occupancy)</t>
  </si>
  <si>
    <t>REV  CAT</t>
  </si>
  <si>
    <t>REVENUE (INCL TPL)  (SCH B)</t>
  </si>
  <si>
    <t>Highland Care Center</t>
  </si>
  <si>
    <t>Crestwood Care Center</t>
  </si>
  <si>
    <t>INDUSTRY REVENUE</t>
  </si>
  <si>
    <t xml:space="preserve">OR COST PER/DAY </t>
  </si>
  <si>
    <t>(COL 5/AUDITED DAYS)</t>
  </si>
  <si>
    <t>Hours Paid</t>
  </si>
  <si>
    <t>Building Rent</t>
  </si>
  <si>
    <t>Building Depreciation</t>
  </si>
  <si>
    <t>Buidling Interest Expense</t>
  </si>
  <si>
    <t>"Real Property" Property Tax</t>
  </si>
  <si>
    <t>"Real Property" Property Insurance</t>
  </si>
  <si>
    <t>Vehicle Depreciation</t>
  </si>
  <si>
    <t>Vehicle Interest Expense</t>
  </si>
  <si>
    <t>Vehicle Property Tax</t>
  </si>
  <si>
    <t>Vehicle Insurance</t>
  </si>
  <si>
    <t>Equipment Leases (Operating Leases Only)</t>
  </si>
  <si>
    <t>Equipment Depreciation</t>
  </si>
  <si>
    <t>Equipment Interest Expense</t>
  </si>
  <si>
    <t>Personal Property Tax</t>
  </si>
  <si>
    <t>Miscellaneous</t>
  </si>
  <si>
    <t>Furniture &amp; Equipment less than Capitalization $ Threshold</t>
  </si>
  <si>
    <t>Repair &amp; Maintenance - Vehicles</t>
  </si>
  <si>
    <t>Repair &amp; Maintenance -  Equipment</t>
  </si>
  <si>
    <t>Repair &amp; Maintenance - Buidling &amp; Grounds</t>
  </si>
  <si>
    <t xml:space="preserve">Miscellaneous </t>
  </si>
  <si>
    <t>NET MEDICARE HMO REVENUE</t>
  </si>
  <si>
    <t>Total Hours Worked</t>
  </si>
  <si>
    <t>Total Hours Paid</t>
  </si>
  <si>
    <t>350</t>
  </si>
  <si>
    <t>Other Direct Care (i.e. psychologists, podiatrists, optometrists)</t>
  </si>
  <si>
    <t>360</t>
  </si>
  <si>
    <t>Dental Services</t>
  </si>
  <si>
    <t>370</t>
  </si>
  <si>
    <t>Emergency Ambulance</t>
  </si>
  <si>
    <t>380</t>
  </si>
  <si>
    <t>Eye Glasses, Dentures, Hearing Aids</t>
  </si>
  <si>
    <t>390</t>
  </si>
  <si>
    <t>Special Equipment Approved by Medicaid**</t>
  </si>
  <si>
    <t>400</t>
  </si>
  <si>
    <t>Prosthetic Devices***</t>
  </si>
  <si>
    <t>Prescription Drugs****</t>
  </si>
  <si>
    <t>TOTAL PLANT OPERATION &amp; MAINTENANCE</t>
  </si>
  <si>
    <t>MEDICARE HMO DAYS</t>
  </si>
  <si>
    <t>MEDICAID CERTIFIED BEDS</t>
  </si>
  <si>
    <t>HOURS WORKED</t>
  </si>
  <si>
    <t>HOURS PAID</t>
  </si>
  <si>
    <t>112</t>
  </si>
  <si>
    <t>113</t>
  </si>
  <si>
    <t>114</t>
  </si>
  <si>
    <t>115</t>
  </si>
  <si>
    <t>116</t>
  </si>
  <si>
    <t>117</t>
  </si>
  <si>
    <t>C</t>
  </si>
  <si>
    <t>Repair &amp; Maintenance - Vehicles (include vehicle fuel)</t>
  </si>
  <si>
    <t>Misc. Costs</t>
  </si>
  <si>
    <t>Nurs Aide Trg Costs</t>
  </si>
  <si>
    <t>Miscellaneous Nursing Costs</t>
  </si>
  <si>
    <t>NF - SUMMARY</t>
  </si>
  <si>
    <t>% OF</t>
  </si>
  <si>
    <t>NET MEDICARE-HMO  REVENUE</t>
  </si>
  <si>
    <t>Building Interest Expense</t>
  </si>
  <si>
    <t>"RealProperty" Property Tax*</t>
  </si>
  <si>
    <t>"Real Property" Property Insurance*</t>
  </si>
  <si>
    <t>Vechicle Insurance</t>
  </si>
  <si>
    <t xml:space="preserve">Personal Property Tax </t>
  </si>
  <si>
    <t>Miscellaneous (Attach Detail Schedule)</t>
  </si>
  <si>
    <t>Repair &amp; Maintenance - Building &amp; Grounds</t>
  </si>
  <si>
    <t>Repair &amp; Maintenance - Equipment</t>
  </si>
  <si>
    <t>Miscellaneous Nursing (Attach Detail Schedule)</t>
  </si>
  <si>
    <t>Speech Therapy-Staff Salaries</t>
  </si>
  <si>
    <t>Speech Therapy Payroll tax &amp; Benefit</t>
  </si>
  <si>
    <t>Audiology Therapy-Staff Salaries</t>
  </si>
  <si>
    <t>Occupational Therapy-Staff Salaries</t>
  </si>
  <si>
    <t>Laboratory &amp; Radiology-Staff Salaries</t>
  </si>
  <si>
    <t>Laboratory &amp; Radiology Payroll tax &amp; Benefits</t>
  </si>
  <si>
    <t>Physical Therapy -Supplies/Other</t>
  </si>
  <si>
    <t>Speech Therapy-Supplies/Other</t>
  </si>
  <si>
    <t>Audiology Therapy-Supplies/Other</t>
  </si>
  <si>
    <t>Occupational Therapy-Supplies/Other</t>
  </si>
  <si>
    <t>Purch. Serv.-Speech Therapy (non-employee)</t>
  </si>
  <si>
    <t>Purch. Serv.-Aud.Therapy(non-employee)</t>
  </si>
  <si>
    <t>Purch. Serv.-Occup.Therapy(non-employee)</t>
  </si>
  <si>
    <t>Other direct care (i.e. psychologists, podiatrists, optometrists)</t>
  </si>
  <si>
    <t>Special Equipment Approved by Medicaid</t>
  </si>
  <si>
    <t>Prosthetic Devices</t>
  </si>
  <si>
    <t>Prescription Drugs</t>
  </si>
  <si>
    <t>Miscellaneous (Attach Detail Schedule if greater than $100)</t>
  </si>
  <si>
    <t>MEDICARE-HMO DAYS</t>
  </si>
  <si>
    <r>
      <t xml:space="preserve">TOTAL PATIENT DAYS AVAILABLE </t>
    </r>
    <r>
      <rPr>
        <b/>
        <sz val="10"/>
        <color indexed="8"/>
        <rFont val="NewCenturySchlbk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</si>
  <si>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NewCenturySchlbk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</si>
  <si>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NewCenturySchlbk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</si>
  <si>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NewCenturySchlbk"/>
        <family val="1"/>
      </rPr>
      <t>(Medicaid Occupancy/Total Occupancy)</t>
    </r>
  </si>
  <si>
    <t>Private Revenue Per Day</t>
  </si>
  <si>
    <t>Q1</t>
  </si>
  <si>
    <t>Q2</t>
  </si>
  <si>
    <t>Q3</t>
  </si>
  <si>
    <t>Q4</t>
  </si>
  <si>
    <t>Rev</t>
  </si>
  <si>
    <t>Exp</t>
  </si>
  <si>
    <t>Days</t>
  </si>
  <si>
    <t>Beds</t>
  </si>
  <si>
    <t>Total Days</t>
  </si>
  <si>
    <t>Repair &amp; Maintenance - Transportation Equipment</t>
  </si>
  <si>
    <t>Miscellaneous Nursing</t>
  </si>
  <si>
    <t>PER DAY</t>
  </si>
  <si>
    <t>AMOUNT</t>
  </si>
  <si>
    <t>INDUSTRY</t>
  </si>
  <si>
    <t>VARIANCE %</t>
  </si>
  <si>
    <t>Canyon Rim Care Center</t>
  </si>
  <si>
    <t>Hillside Rehab Center</t>
  </si>
  <si>
    <t>Holladay Healthcare Center</t>
  </si>
  <si>
    <t>North Canyon Care Center</t>
  </si>
  <si>
    <t>Pioneer Care Center</t>
  </si>
  <si>
    <t>Richfield Care Center</t>
  </si>
  <si>
    <t>Willow Wood Care Center</t>
  </si>
  <si>
    <t>IRON COUNTY NURSING HOME</t>
  </si>
  <si>
    <t>MIDTOWN MANOR</t>
  </si>
  <si>
    <t>PARKWAY HEALTH CENTER</t>
  </si>
  <si>
    <t>UINTAH CARE CENTER</t>
  </si>
  <si>
    <t>???????</t>
  </si>
  <si>
    <t>As of June 21, 2011, Hazen has 26 Medicaid beds</t>
  </si>
  <si>
    <t>Hurricane (Zion's Health Care Complex)</t>
  </si>
  <si>
    <t>Avalon Valley Rehabilitation Center</t>
  </si>
  <si>
    <t>Canyonlands Care Center</t>
  </si>
  <si>
    <t>Draper Rehabilitation and Care Center</t>
  </si>
  <si>
    <t>EMERY COUNTY NURSING HOME</t>
  </si>
  <si>
    <t>Hazen Nursing Home, INC</t>
  </si>
  <si>
    <t>Heritage Care Center</t>
  </si>
  <si>
    <t>Heritage Hills Health Care Center</t>
  </si>
  <si>
    <t>Heritage Park Care Center</t>
  </si>
  <si>
    <t>LIFE CARE CENTER OF BOUNTIFUL</t>
  </si>
  <si>
    <t>MILLARD COUNTY CARE &amp; REHAB</t>
  </si>
  <si>
    <t>Mountain View Health Services</t>
  </si>
  <si>
    <t>Sunshine Terrace Foundation</t>
  </si>
  <si>
    <t>Uintah Basin Rehabilitation and Senior Villa</t>
  </si>
  <si>
    <t>Washington Terrace Care &amp; Rehabilitation Center</t>
  </si>
  <si>
    <t>Willow Glen Health &amp; Rehab, LLC</t>
  </si>
  <si>
    <t>Woodland Park Rehabilitation and Care Center</t>
  </si>
  <si>
    <t>Stonehenge of Richfield</t>
  </si>
  <si>
    <t>AUDIT ADJUSTMENT NOTES</t>
  </si>
  <si>
    <t>`</t>
  </si>
  <si>
    <t>Office Salaries and Wages            AUDIT ADJ.  NOTES, 1, 2</t>
  </si>
  <si>
    <t>HOSPICE DAYS - MEDICAID           (1)</t>
  </si>
  <si>
    <t>HOSPICE DAYS - NON MEDICAID            (1)</t>
  </si>
  <si>
    <r>
      <t xml:space="preserve">  </t>
    </r>
    <r>
      <rPr>
        <i/>
        <sz val="10"/>
        <rFont val="NewCenturySchlbk"/>
      </rPr>
      <t xml:space="preserve">Contains audit adjustment   </t>
    </r>
    <r>
      <rPr>
        <sz val="10"/>
        <rFont val="NewCenturySchlbk"/>
        <family val="1"/>
      </rPr>
      <t>Registered Nurses</t>
    </r>
  </si>
  <si>
    <r>
      <rPr>
        <i/>
        <sz val="10"/>
        <rFont val="NewCenturySchlbk"/>
      </rPr>
      <t xml:space="preserve">  Contains audit adjustment  </t>
    </r>
    <r>
      <rPr>
        <sz val="10"/>
        <rFont val="NewCenturySchlbk"/>
        <family val="1"/>
      </rPr>
      <t xml:space="preserve"> Licensed Practical Nurses</t>
    </r>
  </si>
  <si>
    <r>
      <rPr>
        <i/>
        <sz val="10"/>
        <rFont val="NewCenturySchlbk"/>
      </rPr>
      <t xml:space="preserve">  Contains audit adjustment   </t>
    </r>
    <r>
      <rPr>
        <sz val="10"/>
        <rFont val="NewCenturySchlbk"/>
        <family val="1"/>
      </rPr>
      <t>Certified Nursing Aides</t>
    </r>
  </si>
  <si>
    <r>
      <t xml:space="preserve">Auditor's Note:  Most of the dollar amounts in Column 4 are due to facilities changing ownership during the reporting period.  The original facility's FCP figures are posted in Columns 1 &amp; 2 and the second owner's figures are posted in Column 4.  </t>
    </r>
    <r>
      <rPr>
        <b/>
        <sz val="10"/>
        <color rgb="FF0066CC"/>
        <rFont val="Times New Roman"/>
        <family val="1"/>
      </rPr>
      <t xml:space="preserve">Adjustments from </t>
    </r>
    <r>
      <rPr>
        <b/>
        <u/>
        <sz val="10"/>
        <color rgb="FF0066CC"/>
        <rFont val="Times New Roman"/>
        <family val="1"/>
      </rPr>
      <t>reviews</t>
    </r>
    <r>
      <rPr>
        <b/>
        <sz val="10"/>
        <color rgb="FF0066CC"/>
        <rFont val="Times New Roman"/>
        <family val="1"/>
      </rPr>
      <t xml:space="preserve"> are also found in Column 4; in the individual facility summary sheet, cells which include those adjustments </t>
    </r>
    <r>
      <rPr>
        <b/>
        <u/>
        <sz val="10"/>
        <color rgb="FF0066CC"/>
        <rFont val="Times New Roman"/>
        <family val="1"/>
      </rPr>
      <t>and the amounts from a second owner</t>
    </r>
    <r>
      <rPr>
        <b/>
        <sz val="10"/>
        <color rgb="FF0066CC"/>
        <rFont val="Times New Roman"/>
        <family val="1"/>
      </rPr>
      <t xml:space="preserve"> have a light blue background - the second number of the formula there is the adjustment by Carver Florek &amp; James (CFJ), CPAs.</t>
    </r>
  </si>
  <si>
    <t>Retainer</t>
  </si>
  <si>
    <t>per visit</t>
  </si>
  <si>
    <t>dba: Avalon West Health &amp; Rehabilitation</t>
  </si>
  <si>
    <t>Community Living Center</t>
  </si>
  <si>
    <t xml:space="preserve">MEDICAID DAYS - NON UTAH                                      </t>
  </si>
  <si>
    <t xml:space="preserve">OTHER DAYS                                                            </t>
  </si>
  <si>
    <r>
      <t xml:space="preserve">Fairview Care Center East  - </t>
    </r>
    <r>
      <rPr>
        <sz val="14"/>
        <rFont val="NewCenturySchlbk"/>
      </rPr>
      <t>Robert Adams, New Owner</t>
    </r>
  </si>
  <si>
    <t>??</t>
  </si>
  <si>
    <t>Hourly</t>
  </si>
  <si>
    <t>Ogden Veteran's Home, George E. Wahlen V. H.</t>
  </si>
  <si>
    <t>SEASONS</t>
  </si>
  <si>
    <t>VA Salt Lake (William E Christofferson Salt Lake Veterans Home)</t>
  </si>
  <si>
    <t>Stonehenge of American Fork</t>
  </si>
  <si>
    <t>Country Life Care Center</t>
  </si>
  <si>
    <t>Avalon Care Center - Bountiful</t>
  </si>
  <si>
    <t>Alpine Valley Care Center</t>
  </si>
  <si>
    <t>TOOELE</t>
  </si>
  <si>
    <r>
      <rPr>
        <i/>
        <sz val="10"/>
        <rFont val="NewCenturySchlbk"/>
      </rPr>
      <t xml:space="preserve">  </t>
    </r>
    <r>
      <rPr>
        <sz val="10"/>
        <rFont val="NewCenturySchlbk"/>
        <family val="1"/>
      </rPr>
      <t xml:space="preserve">   Registered Nurses</t>
    </r>
  </si>
  <si>
    <t xml:space="preserve"> Licensed Practical Nurses</t>
  </si>
  <si>
    <t xml:space="preserve"> Certified Nursing Aides</t>
  </si>
  <si>
    <t>Bennion dba Avalon West</t>
  </si>
  <si>
    <t>Rocky Mountain Care - RIVERTON</t>
  </si>
  <si>
    <t>CENTRAL UTAH VETERANS HOME - PAYSON</t>
  </si>
  <si>
    <t>Southern Utah Veterans Home - Ivins</t>
  </si>
  <si>
    <t>Legal: Avalon Care Center - VA Ivins, LLC</t>
  </si>
  <si>
    <t>1)</t>
  </si>
  <si>
    <t>Audit Adjustment Notes:</t>
  </si>
  <si>
    <r>
      <t>1) Licensed beds are 30; only 8 beds are MEDICAID CERTIFIED</t>
    </r>
    <r>
      <rPr>
        <sz val="10"/>
        <rFont val="NewCenturySchlbk"/>
      </rPr>
      <t xml:space="preserve"> because of Medicaid bed moratium</t>
    </r>
  </si>
  <si>
    <t>Adjustment notes at bottom of Summary</t>
  </si>
  <si>
    <t>2)</t>
  </si>
  <si>
    <t>AT END OF SUMMARY</t>
  </si>
  <si>
    <t>AUDIT ADJUSTMENT NOTES:</t>
  </si>
  <si>
    <t>AUDIT ADJ NOTES</t>
  </si>
  <si>
    <t>3) Moved the $875 revenue from Hospice- Non Medicaid to Hospice- Medicaid.</t>
  </si>
  <si>
    <t>Desk Review Notes</t>
  </si>
  <si>
    <t>at end of form.</t>
  </si>
  <si>
    <t>RMC - HEBER</t>
  </si>
  <si>
    <t>Hrs Worked</t>
  </si>
  <si>
    <t>Hrs Paid</t>
  </si>
  <si>
    <t>Mountain View</t>
  </si>
  <si>
    <t>Heber</t>
  </si>
  <si>
    <t>BVH Clearfield</t>
  </si>
  <si>
    <t>RMC Clearfield</t>
  </si>
  <si>
    <t>HRS WORK</t>
  </si>
  <si>
    <t>HOURS PD</t>
  </si>
  <si>
    <t>WILLOW SPRINGS</t>
  </si>
  <si>
    <t xml:space="preserve">HOSPICE DAYS - NON MEDICAID    </t>
  </si>
  <si>
    <t xml:space="preserve">MEDICAID DAYS - UTAH   </t>
  </si>
  <si>
    <t xml:space="preserve"> Others</t>
  </si>
  <si>
    <t xml:space="preserve">NET HOSPICE REVENUE - NON MEDICAID   </t>
  </si>
  <si>
    <t xml:space="preserve">NET HOSPICE REVENUE - MEDICAID    </t>
  </si>
  <si>
    <t xml:space="preserve">NET MEDICAID REVENUE - UTAH       </t>
  </si>
  <si>
    <r>
      <t xml:space="preserve">Little Cottonwood   </t>
    </r>
    <r>
      <rPr>
        <sz val="12"/>
        <rFont val="Times New Roman"/>
        <family val="1"/>
      </rPr>
      <t>(7/1/13 - 12/12/13 was TRINITY CARE CENTER)</t>
    </r>
  </si>
  <si>
    <t>DESK REVIEW/AUDIT ADJUSTMENT NOTES</t>
  </si>
  <si>
    <r>
      <t>1)</t>
    </r>
    <r>
      <rPr>
        <sz val="10"/>
        <rFont val="NewCenturySchlbk"/>
      </rPr>
      <t xml:space="preserve"> TO SHOW REMOVAL OF RELATED PARTY RENT AND SUBSTITUTE RELATED LESSOR'S DEPRECIATION AND INTEREST EXPENSE;</t>
    </r>
  </si>
  <si>
    <t xml:space="preserve">AND TO SHOW REDISTRIBUTION OF RELATED PARTY EQUIPMENT DEPRECIATION ENTRY TO RELATED PARTY EXPENSE FOR EQUIPMENT </t>
  </si>
  <si>
    <t>[$1,268 + $4,466 = $5,734] AND TO VEHICLE DEPRECIATION [$1,940] FOR TRINITY OWNED VEHICLE.</t>
  </si>
  <si>
    <r>
      <t xml:space="preserve">AT BOTTOM OF SUMMARY </t>
    </r>
    <r>
      <rPr>
        <sz val="10"/>
        <rFont val="Arial"/>
        <family val="2"/>
      </rPr>
      <t>▬</t>
    </r>
  </si>
  <si>
    <t>COL. 4 INCLUDES CFJ AUDIT ADJUSTMENTS ALSO</t>
  </si>
  <si>
    <t>AJDUSTED 5/29/15 TO MEDICAID CERTIFIED BEDS!  dm</t>
  </si>
  <si>
    <t>Mission at Bear River- GVH</t>
  </si>
  <si>
    <t>Still DBA as BEAR RIVER VALLEY CARE CENTER</t>
  </si>
  <si>
    <t xml:space="preserve">HOSPICE DAYS - NON MEDICAID </t>
  </si>
  <si>
    <t>WAS WESTSIDE COMMUNITY NURSING CENTER UNTIL 1/14/15</t>
  </si>
  <si>
    <t>was Deseret Health &amp; Rehab at Ogden; CHOW 5/8/15</t>
  </si>
  <si>
    <t>Stonehenge of Ogden</t>
  </si>
  <si>
    <t>(MISSION AT HILLSIDE REHABILITATION)</t>
  </si>
  <si>
    <t>Licensing shows 120 beds, not 118.  dm 11/3/15</t>
  </si>
  <si>
    <t>SANDY REGIONAL PURCH. HRS.</t>
  </si>
  <si>
    <t>BV- PARKDALE PURCH. NURS. SVCS</t>
  </si>
  <si>
    <t>BV Mt. Olympus Purch Nurs. Svcs</t>
  </si>
  <si>
    <t>Risk Scores</t>
  </si>
  <si>
    <t>COL 9/10</t>
  </si>
  <si>
    <t>FY16 Nursing Facility Summary</t>
  </si>
  <si>
    <t>Kolob Reg/Bella Terra Cedar City</t>
  </si>
  <si>
    <t>RMC CLEARFIELD -BVH</t>
  </si>
  <si>
    <t>BVH IN THIS COL.</t>
  </si>
  <si>
    <t>HUNTER HOLLOW-</t>
  </si>
  <si>
    <t>RMC Cottage on Vine -BVH</t>
  </si>
  <si>
    <t>RMC Mountain View -BVH</t>
  </si>
  <si>
    <t xml:space="preserve"> RMC Willow Springs -BVH</t>
  </si>
  <si>
    <t>COLs C &amp; D CONTAIN CITY CREEK</t>
  </si>
  <si>
    <t>7/1/15 - 4/30/16</t>
  </si>
  <si>
    <t xml:space="preserve">COL 3 OF FCP FOR </t>
  </si>
  <si>
    <t>CELLS WITH THIS COLOR</t>
  </si>
  <si>
    <t>CONTAIN AUDIT ADJUSTMENTS</t>
  </si>
  <si>
    <r>
      <t xml:space="preserve">CITY CREEK  -BV (BEAVER VALLEY) </t>
    </r>
    <r>
      <rPr>
        <b/>
        <u/>
        <sz val="10"/>
        <color rgb="FFFF0000"/>
        <rFont val="NewCenturySchlbk"/>
        <family val="1"/>
      </rPr>
      <t>5/1/16 - 6/30/16</t>
    </r>
  </si>
  <si>
    <t>COL 4 IS "ADJUSTED FCP",</t>
  </si>
  <si>
    <r>
      <t xml:space="preserve">CALENDAR DAYS IN PERIOD      </t>
    </r>
    <r>
      <rPr>
        <b/>
        <sz val="10"/>
        <color indexed="8"/>
        <rFont val="NewCenturySchlbk"/>
      </rPr>
      <t>CHANGE FORMULA</t>
    </r>
  </si>
  <si>
    <t>NEXT YEAR</t>
  </si>
  <si>
    <t>CHANGE FORMULA FOR CALENDAR DAYS IN OCCUPANCY FOR 2017</t>
  </si>
  <si>
    <t xml:space="preserve">THIS COL IS COPPER RIDGE </t>
  </si>
  <si>
    <t>FROM 7/1/15 - 4/30/16</t>
  </si>
  <si>
    <t xml:space="preserve">THIS COL IS FROM </t>
  </si>
  <si>
    <t>COL 3 OF FCP FOR</t>
  </si>
  <si>
    <t>COPPER RIDGE -BV</t>
  </si>
  <si>
    <t>5/1/16 - 6/30/16</t>
  </si>
  <si>
    <t>CHANGE FORMULA FOR OCCUPANCY FOR 2017</t>
  </si>
  <si>
    <t>CHANGE CALENDAR DAYS FORMULA</t>
  </si>
  <si>
    <t xml:space="preserve">DATA IN THIS COL </t>
  </si>
  <si>
    <t>IS FROM COL 3 OF</t>
  </si>
  <si>
    <t>DRAPER -BV FCP</t>
  </si>
  <si>
    <t xml:space="preserve">MEDICAID DAYS - UTAH  </t>
  </si>
  <si>
    <t xml:space="preserve">MEDICARE-HMO DAYS  </t>
  </si>
  <si>
    <t>Per Visit</t>
  </si>
  <si>
    <t>COL 4 CONTAINS</t>
  </si>
  <si>
    <t xml:space="preserve">FCP COL 3 OF </t>
  </si>
  <si>
    <t>HOLLADAY -BV</t>
  </si>
  <si>
    <t>HAVE AUDIT ADJUSTMENTS</t>
  </si>
  <si>
    <t>{COLS 1, 2, &amp; 3 HAVE HOLLADAY FCP DATA 7/1/15 - 4/30/16}</t>
  </si>
  <si>
    <t>COL 4 DATA IS FROM</t>
  </si>
  <si>
    <t xml:space="preserve">COL 3 FCP FOR </t>
  </si>
  <si>
    <t>HURRICANE -BV En</t>
  </si>
  <si>
    <t xml:space="preserve">COL 4 HAS DATA </t>
  </si>
  <si>
    <t>FROM BELLA TERRA, CEDAR CITY</t>
  </si>
  <si>
    <t>FCP, COL 3</t>
  </si>
  <si>
    <t>2/1/16 - 6/30/16</t>
  </si>
  <si>
    <t>COL 4 HAS DATA FROM COL 3</t>
  </si>
  <si>
    <t>OF FCP FOR BELLA TERRA ST. GEORGE</t>
  </si>
  <si>
    <t>LIFE CARE CENTER OF SALT LAKE CITY</t>
  </si>
  <si>
    <t>(7/1/15 - 10/3115)</t>
  </si>
  <si>
    <t>&amp; LITTLE COTTONWOOD -BV (11/1/15 - 6/30/16)</t>
  </si>
  <si>
    <t>COL 4 HAD DATA FROM COL 3</t>
  </si>
  <si>
    <t>OF FCP FOR LITTLE COTTONWOOD -BV</t>
  </si>
  <si>
    <t>11/1/15 - 6/30/16</t>
  </si>
  <si>
    <t>CONTAIN AUDIT ADJ'S</t>
  </si>
  <si>
    <t>HOW DO YOU HAVE REVENUE W/OUT DAYS????  DM  10/11/16</t>
  </si>
  <si>
    <t>RMC LOGAN -BVH</t>
  </si>
  <si>
    <t>CHOWED AGAIN 11/1/15 to Lomond Peak -BV</t>
  </si>
  <si>
    <t>COL 4 HAS DATA FROM</t>
  </si>
  <si>
    <t>LOMOND PEAK -BV FCP, COL 3</t>
  </si>
  <si>
    <t>Manor Care Health Services -South Ogden  to SOUTH OGDEN  -BV (PLUM) {full name South Odgen Post Acute -BV (Plum)}</t>
  </si>
  <si>
    <t xml:space="preserve">COL 4 HAS DATA FROM </t>
  </si>
  <si>
    <t>SOUTH OGDEN POST ACUTE -BV (PLUM)</t>
  </si>
  <si>
    <t>11/2/15 - 6/30/16</t>
  </si>
  <si>
    <t>HAVE AUDIT ADJ'S</t>
  </si>
  <si>
    <r>
      <t xml:space="preserve">DM:  CY DAYS FOR SO OGDEN -BV ARE </t>
    </r>
    <r>
      <rPr>
        <u/>
        <sz val="10"/>
        <rFont val="NewCenturySchlbk"/>
      </rPr>
      <t>241</t>
    </r>
    <r>
      <rPr>
        <sz val="10"/>
        <rFont val="NewCenturySchlbk"/>
      </rPr>
      <t>, NOT 242.</t>
    </r>
  </si>
  <si>
    <r>
      <rPr>
        <b/>
        <sz val="10"/>
        <rFont val="NewCenturySchlbk"/>
      </rPr>
      <t xml:space="preserve">1)    </t>
    </r>
    <r>
      <rPr>
        <sz val="10"/>
        <rFont val="NewCenturySchlbk"/>
        <family val="1"/>
      </rPr>
      <t>DM 11/13/14  license shows 78 beds</t>
    </r>
  </si>
  <si>
    <t>MILLCREEK -BV FCP, COL 3</t>
  </si>
  <si>
    <t>MT. OGDEN - BV FCP, COL 3</t>
  </si>
  <si>
    <t>5/1/`6 - 6/30/16</t>
  </si>
  <si>
    <t xml:space="preserve">CELLS WITH THIS COLOR </t>
  </si>
  <si>
    <t>monthly retainer</t>
  </si>
  <si>
    <t>1587hrs/HO direct</t>
  </si>
  <si>
    <t>Orchard Park Post-Acute Rehab, CASCADES at ORCHARD PARK</t>
  </si>
  <si>
    <t>Orem Rehabilitation and Nursing Center &amp; OREM REHAB -BV</t>
  </si>
  <si>
    <t>FCP, COL 3 OF OREM -BV</t>
  </si>
  <si>
    <t xml:space="preserve">NOTE: 1146 AND 1218 ARE THE </t>
  </si>
  <si>
    <r>
      <rPr>
        <b/>
        <sz val="10"/>
        <rFont val="NewCenturySchlbk"/>
      </rPr>
      <t xml:space="preserve">SAME FOR BOTH FCPS; </t>
    </r>
    <r>
      <rPr>
        <b/>
        <u/>
        <sz val="10"/>
        <rFont val="NewCenturySchlbk"/>
      </rPr>
      <t>SOON</t>
    </r>
    <r>
      <rPr>
        <b/>
        <sz val="10"/>
        <rFont val="NewCenturySchlbk"/>
      </rPr>
      <t xml:space="preserve">, </t>
    </r>
  </si>
  <si>
    <t>DID YOU MAKE A MISTAKE?</t>
  </si>
  <si>
    <r>
      <t xml:space="preserve">DM 10/13/16???? or </t>
    </r>
    <r>
      <rPr>
        <b/>
        <u/>
        <sz val="10"/>
        <rFont val="NewCenturySchlbk"/>
      </rPr>
      <t>Ian Drew?</t>
    </r>
  </si>
  <si>
    <t>Paramount Health and Rehabilitation PARAMOUNT -BV</t>
  </si>
  <si>
    <r>
      <t xml:space="preserve">FCP for PARAMOUNT -BV, </t>
    </r>
    <r>
      <rPr>
        <b/>
        <u/>
        <sz val="10"/>
        <color rgb="FFFF0000"/>
        <rFont val="NewCenturySchlbk"/>
      </rPr>
      <t>COL 3</t>
    </r>
  </si>
  <si>
    <t>CELLS THIS COLOR</t>
  </si>
  <si>
    <t>LOOK AT (-) PRIVATE REV IN 3RD QRTR</t>
  </si>
  <si>
    <t>Pinnacle Nursing and Rehabilitation &amp; PINNACLE -BV</t>
  </si>
  <si>
    <t>5/1/16 = 6/30/16</t>
  </si>
  <si>
    <t>COL 3, FCP for PINNACLE -BV</t>
  </si>
  <si>
    <t>Provo Rehabilitation and Nursing &amp; PROVO -BV</t>
  </si>
  <si>
    <t>COL 3 OF FCP FOR PROVO -BV</t>
  </si>
  <si>
    <t>5/1/16 -6/30/16</t>
  </si>
  <si>
    <t>RED CLIFFS REGIONAL HEALTH &amp; REHAB -BV</t>
  </si>
  <si>
    <t>Rocky Mountain Care - Hunter Hollow &amp; - Hunter Hollow- BVH</t>
  </si>
  <si>
    <r>
      <t>SANDY HEALTH &amp; REHAB -BV</t>
    </r>
    <r>
      <rPr>
        <sz val="14"/>
        <rFont val="Times New Roman"/>
        <family val="1"/>
      </rPr>
      <t xml:space="preserve">   [Plum]</t>
    </r>
  </si>
  <si>
    <t>Monthly/PerVisit</t>
  </si>
  <si>
    <t>203 Hrs</t>
  </si>
  <si>
    <t>49 Hrs</t>
  </si>
  <si>
    <t>839.66 Hrs</t>
  </si>
  <si>
    <t>South Davis Community Hospital &amp; South Davis  -BV</t>
  </si>
  <si>
    <t>SOUTH DAVIS -BV</t>
  </si>
  <si>
    <t>4/20/16 - 6/30/16</t>
  </si>
  <si>
    <t>COL 3 FCP, SOUTH DAVIS -BV</t>
  </si>
  <si>
    <t>Spanish Fork Nursing &amp; Rehab, Inc., &amp; SPANISH FORK -BV</t>
  </si>
  <si>
    <t>COL 3, FCP, SPANISH FORK -BV</t>
  </si>
  <si>
    <t>Spring Creek Healthcare Center -BV</t>
  </si>
  <si>
    <t>Monthly Retainer</t>
  </si>
  <si>
    <t>St. George Rehabilitation - Ensign</t>
  </si>
  <si>
    <t>St. Jospeh Villa, St. Joseph Villa -BV</t>
  </si>
  <si>
    <t>COL 3, FCP for ST JOSEPH VILLA -BV</t>
  </si>
  <si>
    <t xml:space="preserve">???WHY NO </t>
  </si>
  <si>
    <t>ENTRIES HERE??</t>
  </si>
  <si>
    <t>Stonehenge of Orem</t>
  </si>
  <si>
    <t>ART CITY NURSING &amp; REHAB//STONEHENGE of SPRINGVILLE</t>
  </si>
  <si>
    <t>UTAH VALLEY REHAB &amp; HEALTHCARE    (was Trinity Mission Health &amp; Rehab of Provo, LLC)</t>
  </si>
  <si>
    <t>FCP:  NAME CHANGE 6/1/16</t>
  </si>
  <si>
    <t>Harrison Pointe   En   (was Wasatch Care)</t>
  </si>
  <si>
    <t>City Creek Post Acute//City Creek -BV</t>
  </si>
  <si>
    <t>COPPER RIDGE -BV, COL 3</t>
  </si>
  <si>
    <t>COL 4 HAS DATA OF FCP FOR</t>
  </si>
  <si>
    <t>Copper Ridge Health Care//Copper Ridge -BV</t>
  </si>
  <si>
    <t>FOUR CORNERS REGIONAL -BV</t>
  </si>
  <si>
    <t>Kolob Care and Rehabilitation of St. George//Bella Terra St. George</t>
  </si>
  <si>
    <t>LOMOND PEAK, &amp; LP-BV</t>
  </si>
  <si>
    <t>Mission at Community Living -GVH</t>
  </si>
  <si>
    <t>MT OGDEN HEALTH &amp; REHAB CENTER, MT OGDEN -BV</t>
  </si>
  <si>
    <t>Full Name:  Mt Ogden Health &amp; Rehabilitation Center [-BV] (Ensign)</t>
  </si>
  <si>
    <t>Mt. Olympus Rehab Center -BV</t>
  </si>
  <si>
    <t>PARKDALE - BV</t>
  </si>
  <si>
    <t>PINE CREEK, PINE CREEK -BV</t>
  </si>
  <si>
    <t>3640*</t>
  </si>
  <si>
    <t>(1) AUDIT ADJUST TO 120 BEDS, PER LICENSE.  DM 11/1/16</t>
  </si>
  <si>
    <t>*(3) AUDIT ADJUSTMENT FOR 2016</t>
  </si>
  <si>
    <t xml:space="preserve">Per Audit Adj, </t>
  </si>
  <si>
    <t>added 1,766 Hrs</t>
  </si>
  <si>
    <t xml:space="preserve">Audit Adj: added </t>
  </si>
  <si>
    <t>per Pat Burns email 11/3/16.</t>
  </si>
  <si>
    <t>1,766 Hrs to 090-012</t>
  </si>
  <si>
    <t>AUDIT ADJ'S</t>
  </si>
  <si>
    <t>FROM DESK REVIEW</t>
  </si>
  <si>
    <t xml:space="preserve">adjust Mcaid &amp; Private days </t>
  </si>
  <si>
    <t>in Prior Period Adj by NH</t>
  </si>
  <si>
    <t>(a)</t>
  </si>
  <si>
    <t xml:space="preserve">because of incorrect negative days </t>
  </si>
  <si>
    <t>(1) Audit Adj TO REMOVE MEDICAL DIRECTOR SALARY TO 070-050 A)</t>
  </si>
  <si>
    <t>(1) Audit Adj TO ADD Medical Director salary to 070-050 A)</t>
  </si>
  <si>
    <t>DESK REVIEW AUDIT ADJ (1)</t>
  </si>
  <si>
    <t>AT 070</t>
  </si>
  <si>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Medical Director</t>
    </r>
  </si>
  <si>
    <r>
      <rPr>
        <b/>
        <sz val="10"/>
        <rFont val="NewCenturySchlbk"/>
      </rPr>
      <t xml:space="preserve">B) </t>
    </r>
    <r>
      <rPr>
        <sz val="10"/>
        <rFont val="NewCenturySchlbk"/>
        <family val="1"/>
      </rPr>
      <t>Registered Nurses</t>
    </r>
  </si>
  <si>
    <r>
      <rPr>
        <b/>
        <sz val="10"/>
        <rFont val="NewCenturySchlbk"/>
      </rPr>
      <t xml:space="preserve">C) </t>
    </r>
    <r>
      <rPr>
        <sz val="10"/>
        <rFont val="NewCenturySchlbk"/>
        <family val="1"/>
      </rPr>
      <t>Licensed Practical Nurses</t>
    </r>
  </si>
  <si>
    <r>
      <rPr>
        <b/>
        <sz val="10"/>
        <rFont val="NewCenturySchlbk"/>
      </rPr>
      <t xml:space="preserve">D) </t>
    </r>
    <r>
      <rPr>
        <sz val="10"/>
        <rFont val="NewCenturySchlbk"/>
        <family val="1"/>
      </rPr>
      <t>Certified Nursing Aides</t>
    </r>
  </si>
  <si>
    <r>
      <rPr>
        <b/>
        <sz val="10"/>
        <rFont val="NewCenturySchlbk"/>
      </rPr>
      <t xml:space="preserve">E) </t>
    </r>
    <r>
      <rPr>
        <sz val="10"/>
        <rFont val="NewCenturySchlbk"/>
        <family val="1"/>
      </rPr>
      <t>Others</t>
    </r>
  </si>
  <si>
    <r>
      <rPr>
        <b/>
        <sz val="10"/>
        <rFont val="NewCenturySchlbk"/>
      </rPr>
      <t xml:space="preserve">A) </t>
    </r>
    <r>
      <rPr>
        <sz val="10"/>
        <rFont val="NewCenturySchlbk"/>
        <family val="1"/>
      </rPr>
      <t>Registered Nurses</t>
    </r>
  </si>
  <si>
    <r>
      <rPr>
        <b/>
        <sz val="10"/>
        <rFont val="NewCenturySchlbk"/>
      </rPr>
      <t xml:space="preserve">B) </t>
    </r>
    <r>
      <rPr>
        <sz val="10"/>
        <rFont val="NewCenturySchlbk"/>
        <family val="1"/>
      </rPr>
      <t>Licensed Practical Nurses</t>
    </r>
  </si>
  <si>
    <r>
      <rPr>
        <b/>
        <sz val="10"/>
        <rFont val="NewCenturySchlbk"/>
      </rPr>
      <t xml:space="preserve">C) </t>
    </r>
    <r>
      <rPr>
        <sz val="10"/>
        <rFont val="NewCenturySchlbk"/>
        <family val="1"/>
      </rPr>
      <t>Certified Nursing Aides</t>
    </r>
  </si>
  <si>
    <r>
      <rPr>
        <b/>
        <sz val="10"/>
        <rFont val="NewCenturySchlbk"/>
      </rPr>
      <t xml:space="preserve">D) </t>
    </r>
    <r>
      <rPr>
        <sz val="10"/>
        <rFont val="NewCenturySchlbk"/>
        <family val="1"/>
      </rPr>
      <t>Others</t>
    </r>
  </si>
  <si>
    <t>Add in Days for BellaTerra St. George  DM 11/10/16</t>
  </si>
  <si>
    <t>Millcreek Health Center &amp; Millcreek Rehab &amp; Nurs  -BV</t>
  </si>
  <si>
    <t>&amp;11/1/2015</t>
  </si>
  <si>
    <t>CASCADES at RIVERWALK</t>
  </si>
  <si>
    <t xml:space="preserve">NET HOSPICE REVENUE - MEDICAID   </t>
  </si>
  <si>
    <t xml:space="preserve">NET HOSPICE REVENUE - NON MEDICAID  </t>
  </si>
  <si>
    <t>\</t>
  </si>
  <si>
    <t xml:space="preserve">Payroll Taxes &amp; Emp Benefits </t>
  </si>
  <si>
    <t xml:space="preserve">NET HOSPICE REVENUE - MEDICAID </t>
  </si>
  <si>
    <t>DATA FROM COL 3,</t>
  </si>
  <si>
    <t>MEADOW BROOK -BV</t>
  </si>
  <si>
    <t>MEADOW BROOK &amp; MEADOW BROOK R &amp; N -BVH</t>
  </si>
  <si>
    <t>CASCADES at ORCHARD PARK</t>
  </si>
  <si>
    <t>FACILITY IS LICENSED FOR 13 DUAL CERTIFED BEDS.</t>
  </si>
  <si>
    <t xml:space="preserve">HAS DATA FROM </t>
  </si>
  <si>
    <t>PINE CREEK -BV</t>
  </si>
  <si>
    <t>(2) AUDIT ADJ. TO 14 MCAID CERTIF. BEDS</t>
  </si>
  <si>
    <t>FCP FOR LIFE CARE OF SLC</t>
  </si>
  <si>
    <t>DATA IN COL 1 IS FROM SUBMITTED</t>
  </si>
  <si>
    <t>(desk review DM)</t>
  </si>
  <si>
    <t>DESK REVIEW ADJs</t>
  </si>
  <si>
    <t>(2) move Charity Rev to Hospice Non Medicaid</t>
  </si>
  <si>
    <t>(1) to move prior yr. ancillary rev to MISC</t>
  </si>
  <si>
    <t>schedules revised 7/2016</t>
  </si>
  <si>
    <t>1) is Desk review ADJ to Manor Care</t>
  </si>
  <si>
    <t>Yields same results as replacement C; no ADJ needed.</t>
  </si>
  <si>
    <t>Desk Review: MOVE RN TAX TO CORRECT LINE</t>
  </si>
  <si>
    <t>Desk Review: MOVE RECLASSED AMOUNT TO LPN</t>
  </si>
  <si>
    <t>desk Review: REMOVE RECLASSED AMOUNT FROM CNA</t>
  </si>
  <si>
    <t>to add $64 office supp. left out.</t>
  </si>
  <si>
    <t>EXPENSES FROM REPLACEMENT SCH C, Jan. 3, 2017.   DM</t>
  </si>
  <si>
    <t>ADJUSTED AGAIN 1/4/17 TO 95 MDCD BEDS!</t>
  </si>
  <si>
    <t xml:space="preserve">Updated from AMENDED FCP </t>
  </si>
  <si>
    <t>From 31 to 44.</t>
  </si>
  <si>
    <t>Desk Review ADJ: reduce Medicaid Beds to License.  DM 1/27/17</t>
  </si>
  <si>
    <t>DM 1/27/17</t>
  </si>
  <si>
    <t>-3,125 is Desk Review</t>
  </si>
  <si>
    <t>CA Adj per info from PLUM</t>
  </si>
  <si>
    <t>ANSWER: MISTAKE! L &amp; L FOR</t>
  </si>
  <si>
    <t>OREM 6/30 should be -0-.</t>
  </si>
  <si>
    <t>Desk Rev. ADJ. 1/30/17.   DM</t>
  </si>
  <si>
    <t>Desk Review ADJ: move Med Director Exp to 070-050A</t>
  </si>
  <si>
    <t xml:space="preserve">Remove Exp for Cigarettes, Spending $, </t>
  </si>
  <si>
    <t>&amp; Personal Items (clothes)   1/31/17 DM</t>
  </si>
  <si>
    <t>Desk Review ADJ to move Med Director Exp.</t>
  </si>
  <si>
    <t xml:space="preserve">Desk Rev:  per ph calls wi/ MZ, </t>
  </si>
  <si>
    <t>entry for ($11,383) removed</t>
  </si>
  <si>
    <t>Desk Rev ADJ -move benefits</t>
  </si>
  <si>
    <t>to 070-013B.</t>
  </si>
  <si>
    <t>to ADJ 116,398 to 070-050.</t>
  </si>
  <si>
    <t>Desk Review ADJ to correct total</t>
  </si>
  <si>
    <t>Desk Rev. ADJ, to bring MDCD Beds to License.</t>
  </si>
  <si>
    <t>Desk Review ADJ</t>
  </si>
  <si>
    <t>*</t>
  </si>
  <si>
    <t>*Desk Review ADJ: reduce MDCD Beds to 2.</t>
  </si>
  <si>
    <t>1) Desk Review ADJ: Reduce MDCD Beds to License.</t>
  </si>
  <si>
    <t xml:space="preserve">    Note made for FCP for FY2014 and on!</t>
  </si>
  <si>
    <r>
      <t xml:space="preserve">desk review ADJ: </t>
    </r>
    <r>
      <rPr>
        <b/>
        <u/>
        <sz val="10"/>
        <rFont val="NewCenturySchlbk"/>
      </rPr>
      <t>5 MEDICAID</t>
    </r>
    <r>
      <rPr>
        <b/>
        <sz val="10"/>
        <rFont val="NewCenturySchlbk"/>
      </rPr>
      <t xml:space="preserve"> Beds, not 81</t>
    </r>
  </si>
  <si>
    <t>1) To reclassify recreation supplies from 070-110 to 090-490</t>
  </si>
  <si>
    <t xml:space="preserve">     Recreation Miscellaneous = $2,882.75 + $150.</t>
  </si>
  <si>
    <t>1) Desk Review: ADJ MDCD Days   DM 2/22/17</t>
  </si>
  <si>
    <t>1) Desk Review: ADJ MDCD Days</t>
  </si>
  <si>
    <t>1) Desk Review ADJ to MDCD Days</t>
  </si>
  <si>
    <t>2)  Desk Review ADJ: accounts 070-110 and 090-490   DM 2/22/17</t>
  </si>
  <si>
    <t>move humididier rental to 080-490</t>
  </si>
  <si>
    <t>humidifier rental moved.</t>
  </si>
  <si>
    <t>1)Moved Rec &amp; SocSvc Suppl from 070-490</t>
  </si>
  <si>
    <t>1) Desk R ADJ: Move Rec,SocSvc to 090-490</t>
  </si>
  <si>
    <t>An audit ADJ was needed on BT S.G. FCP to make total beds = 180.</t>
  </si>
  <si>
    <t>1) Desk Review ADJ, Reclassify</t>
  </si>
  <si>
    <t>Desk Review: remove unallowable expense</t>
  </si>
  <si>
    <t>1) ADJ Misc 10-12 to include QI $.</t>
  </si>
  <si>
    <t>3)</t>
  </si>
  <si>
    <t>1) Move QI $ to Misc. Income</t>
  </si>
  <si>
    <t>1) to move QI $ to Misc. Income 10-12</t>
  </si>
  <si>
    <t>1) To move QI $ to Misc. Income</t>
  </si>
  <si>
    <r>
      <rPr>
        <sz val="10"/>
        <color rgb="FFFF0000"/>
        <rFont val="NewCenturySchlbk"/>
      </rPr>
      <t>(1)</t>
    </r>
    <r>
      <rPr>
        <sz val="10"/>
        <rFont val="NewCenturySchlbk"/>
        <family val="1"/>
      </rPr>
      <t>, 3)</t>
    </r>
  </si>
  <si>
    <t>3) Move QI $ to Misc. Income [10-12]</t>
  </si>
  <si>
    <t>2) Desk Rev. ADJ to move QI $ to Misc. Income</t>
  </si>
  <si>
    <t>1) Move QI $ to Misc. Income 10-12</t>
  </si>
  <si>
    <t>Mcare HMO and Mcare REV adjusted per Desk Review; to affect daily rate, done on FCP form.</t>
  </si>
  <si>
    <t>5) disallow Board &amp; Commttee lunches, snacks</t>
  </si>
  <si>
    <t>4)</t>
  </si>
  <si>
    <t>5) 040-490: disallow lunches, snacks, Board &amp; Committee Meetings per Pub. 15-1 Section 2105.5</t>
  </si>
  <si>
    <t>2) &amp; 4)</t>
  </si>
  <si>
    <t xml:space="preserve">2) &amp; 4) </t>
  </si>
  <si>
    <t>1)  to move Med Director $ to Purchased N SVCS  070-012 A), 070-050 A)</t>
  </si>
  <si>
    <t>2) to Reclassify a portion of N Admin payroll tax to "Others"  070-013 B), 070-013 E)</t>
  </si>
  <si>
    <t>3) to Reclassify N Direct Care payroll taxes  070-041 A), B), C).</t>
  </si>
  <si>
    <t>4) Reclass Health Insur. Benefits to correct account: 010-040, 010--290, 030-040, 040-040, 050-040, 060-040, 070-013 B) &amp; E), 070-041 A), B), C).</t>
  </si>
  <si>
    <t>DESK REVIEW ADJ'S</t>
  </si>
  <si>
    <t>For Desk Review ADJs see bottom of Summary</t>
  </si>
  <si>
    <t xml:space="preserve">Coral Desert </t>
  </si>
  <si>
    <t>7/1/15 - 6/30/16 (Medicaid 4/1/16 - 6/30/16)</t>
  </si>
  <si>
    <t>Audit Adjustment Cells</t>
  </si>
  <si>
    <t>Have this color</t>
  </si>
  <si>
    <t>DONE</t>
  </si>
  <si>
    <t>A</t>
  </si>
  <si>
    <t>A: Enter UPL for FY 2016, net of seed.</t>
  </si>
  <si>
    <t>Composite of South Davis [$660] &amp; South Davis -BV [$19]</t>
  </si>
  <si>
    <t>RN, LPN, CNA: 3) &amp; 4)</t>
  </si>
  <si>
    <t xml:space="preserve">1) </t>
  </si>
  <si>
    <t>ADJ: Allocate benefits to Nurse Categories</t>
  </si>
  <si>
    <r>
      <t xml:space="preserve">Per Pub. 15-1 </t>
    </r>
    <r>
      <rPr>
        <b/>
        <sz val="10"/>
        <rFont val="Calibri"/>
        <family val="2"/>
      </rPr>
      <t>§</t>
    </r>
    <r>
      <rPr>
        <b/>
        <sz val="8"/>
        <rFont val="NewCenturySchlbk"/>
        <family val="1"/>
      </rPr>
      <t>2106.1 , removed 90% of cable TV cost of $4094.76  as unallowable.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</si>
</sst>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000"/>
    <numFmt numFmtId="167" formatCode="0.0%"/>
    <numFmt numFmtId="168" formatCode="#,##0.0_);[Red]\(#,##0.0\)"/>
    <numFmt numFmtId="169" formatCode="#,##0.0000000000_);\(#,##0.0000000000\)"/>
    <numFmt numFmtId="170" formatCode="0_);[Red]\(0\)"/>
    <numFmt numFmtId="171" formatCode="0_);\(0\)"/>
    <numFmt numFmtId="172" formatCode="[$$-409]#,##0_);\([$$-409]#,##0\)"/>
    <numFmt numFmtId="173" formatCode="[$$-409]#,##0_);[Red]\([$$-409]#,##0\)"/>
  </numFmts>
  <fonts count="83">
    <font>
      <sz val="12"/>
      <name val="NewCenturySchlbk"/>
    </font>
    <font>
      <sz val="12"/>
      <name val="NewCenturySchlbk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name val="NewCenturySchlbk"/>
      <family val="1"/>
    </font>
    <font>
      <sz val="18"/>
      <name val="Times New Roman"/>
      <family val="1"/>
    </font>
    <font>
      <b/>
      <sz val="12"/>
      <name val="Times New Roman"/>
      <family val="1"/>
    </font>
    <font>
      <b/>
      <sz val="10"/>
      <name val="NewCenturySchlbk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sz val="10"/>
      <color indexed="8"/>
      <name val="Arial"/>
      <family val="2"/>
    </font>
    <font>
      <sz val="8"/>
      <name val="NewCenturySchlbk"/>
      <family val="1"/>
    </font>
    <font>
      <sz val="16"/>
      <name val="NewCenturySchlbk"/>
      <family val="1"/>
    </font>
    <font>
      <u/>
      <sz val="10"/>
      <name val="Times New Roman"/>
      <family val="1"/>
    </font>
    <font>
      <sz val="8"/>
      <name val="Helv"/>
    </font>
    <font>
      <sz val="18"/>
      <name val="NewCenturySchlbk"/>
      <family val="1"/>
    </font>
    <font>
      <sz val="10"/>
      <color indexed="8"/>
      <name val="NewCenturySchlbk"/>
      <family val="1"/>
    </font>
    <font>
      <sz val="10"/>
      <color indexed="9"/>
      <name val="NewCenturySchlbk"/>
      <family val="1"/>
    </font>
    <font>
      <u/>
      <sz val="9"/>
      <name val="NewCenturySchlbk"/>
      <family val="1"/>
    </font>
    <font>
      <sz val="10"/>
      <name val="Helv"/>
    </font>
    <font>
      <sz val="10"/>
      <color indexed="10"/>
      <name val="NewCenturySchlbk"/>
      <family val="1"/>
    </font>
    <font>
      <b/>
      <sz val="10"/>
      <color indexed="8"/>
      <name val="NewCenturySchlbk"/>
      <family val="1"/>
    </font>
    <font>
      <sz val="10"/>
      <name val="NewCenturySchlbk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NewCenturySchlbk"/>
    </font>
    <font>
      <sz val="10"/>
      <name val="Times New Roman"/>
      <family val="1"/>
    </font>
    <font>
      <sz val="10"/>
      <color indexed="8"/>
      <name val="Helv"/>
    </font>
    <font>
      <sz val="10"/>
      <color indexed="9"/>
      <name val="NewCenturySchlbk"/>
    </font>
    <font>
      <sz val="9"/>
      <name val="Helv"/>
    </font>
    <font>
      <sz val="12"/>
      <color indexed="10"/>
      <name val="NewCenturySchlbk"/>
      <family val="1"/>
    </font>
    <font>
      <b/>
      <sz val="10"/>
      <name val="NewCenturySchlbk"/>
    </font>
    <font>
      <b/>
      <sz val="12"/>
      <name val="NewCenturySchlbk"/>
    </font>
    <font>
      <b/>
      <sz val="14"/>
      <name val="NewCenturySchlbk"/>
    </font>
    <font>
      <sz val="10"/>
      <color rgb="FFFF0000"/>
      <name val="NewCenturySchlbk"/>
      <family val="1"/>
    </font>
    <font>
      <sz val="10"/>
      <color rgb="FFFF0000"/>
      <name val="Times New Roman"/>
      <family val="1"/>
    </font>
    <font>
      <sz val="10"/>
      <color theme="3" tint="-0.24994659260841701"/>
      <name val="Cambria"/>
      <family val="1"/>
    </font>
    <font>
      <b/>
      <sz val="10"/>
      <color rgb="FFFF0000"/>
      <name val="NewCenturySchlbk"/>
    </font>
    <font>
      <b/>
      <sz val="12"/>
      <color rgb="FFFF0000"/>
      <name val="NewCenturySchlbk"/>
    </font>
    <font>
      <sz val="12"/>
      <color rgb="FFFF0000"/>
      <name val="NewCenturySchlbk"/>
      <family val="1"/>
    </font>
    <font>
      <sz val="16"/>
      <name val="Times New Roman"/>
      <family val="1"/>
    </font>
    <font>
      <sz val="10"/>
      <color rgb="FF000000"/>
      <name val="Times New Roman"/>
      <family val="1"/>
    </font>
    <font>
      <sz val="10"/>
      <name val="Cambria"/>
      <family val="1"/>
    </font>
    <font>
      <sz val="12"/>
      <name val="Cambria"/>
      <family val="1"/>
    </font>
    <font>
      <sz val="8"/>
      <color indexed="8"/>
      <name val="Helv"/>
    </font>
    <font>
      <b/>
      <u/>
      <sz val="10"/>
      <color rgb="FFFF0000"/>
      <name val="NewCenturySchlbk"/>
    </font>
    <font>
      <sz val="10"/>
      <color theme="5" tint="-0.499984740745262"/>
      <name val="Cambria"/>
      <family val="1"/>
    </font>
    <font>
      <b/>
      <sz val="10"/>
      <name val="Cambria"/>
      <family val="1"/>
    </font>
    <font>
      <sz val="12"/>
      <color rgb="FFFF0000"/>
      <name val="NewCenturySchlbk"/>
    </font>
    <font>
      <u/>
      <sz val="10"/>
      <color rgb="FFFF0000"/>
      <name val="NewCenturySchlbk"/>
    </font>
    <font>
      <sz val="10"/>
      <color rgb="FFFF0000"/>
      <name val="NewCenturySchlbk"/>
    </font>
    <font>
      <b/>
      <u/>
      <sz val="10"/>
      <name val="NewCenturySchlbk"/>
    </font>
    <font>
      <sz val="12"/>
      <name val="Cambria"/>
      <family val="1"/>
      <scheme val="major"/>
    </font>
    <font>
      <sz val="10"/>
      <color rgb="FF003300"/>
      <name val="NewCenturySchlbk"/>
      <family val="1"/>
    </font>
    <font>
      <i/>
      <sz val="10"/>
      <name val="NewCenturySchlbk"/>
    </font>
    <font>
      <sz val="12"/>
      <color rgb="FFFF0000"/>
      <name val="Cambria"/>
      <family val="1"/>
      <scheme val="major"/>
    </font>
    <font>
      <b/>
      <sz val="10"/>
      <color rgb="FF0066CC"/>
      <name val="Times New Roman"/>
      <family val="1"/>
    </font>
    <font>
      <b/>
      <u/>
      <sz val="10"/>
      <color rgb="FF0066CC"/>
      <name val="Times New Roman"/>
      <family val="1"/>
    </font>
    <font>
      <sz val="14"/>
      <name val="Times New Roman"/>
      <family val="1"/>
    </font>
    <font>
      <sz val="14"/>
      <name val="NewCenturySchlbk"/>
    </font>
    <font>
      <b/>
      <sz val="10"/>
      <name val="Helv"/>
    </font>
    <font>
      <u/>
      <sz val="10"/>
      <name val="NewCenturySchlbk"/>
      <family val="1"/>
    </font>
    <font>
      <b/>
      <sz val="13"/>
      <name val="NewCenturySchlbk"/>
    </font>
    <font>
      <u val="double"/>
      <sz val="10"/>
      <name val="NewCenturySchlbk"/>
      <family val="1"/>
    </font>
    <font>
      <sz val="14"/>
      <color rgb="FFFF0000"/>
      <name val="Times New Roman"/>
      <family val="1"/>
    </font>
    <font>
      <b/>
      <sz val="12"/>
      <color rgb="FFFF0000"/>
      <name val="Cambria"/>
      <family val="1"/>
    </font>
    <font>
      <b/>
      <sz val="11"/>
      <color rgb="FFFF0000"/>
      <name val="Cambria"/>
      <family val="1"/>
    </font>
    <font>
      <u/>
      <sz val="10"/>
      <color rgb="FFFF0000"/>
      <name val="NewCenturySchlbk"/>
      <family val="1"/>
    </font>
    <font>
      <b/>
      <u/>
      <sz val="10"/>
      <color rgb="FFFF0000"/>
      <name val="NewCenturySchlbk"/>
      <family val="1"/>
    </font>
    <font>
      <b/>
      <sz val="10"/>
      <color rgb="FFFF0000"/>
      <name val="NewCenturySchlbk"/>
      <family val="1"/>
    </font>
    <font>
      <b/>
      <sz val="10"/>
      <color indexed="8"/>
      <name val="NewCenturySchlbk"/>
    </font>
    <font>
      <sz val="14"/>
      <color rgb="FFFF0000"/>
      <name val="NewCenturySchlbk"/>
      <family val="1"/>
    </font>
    <font>
      <u/>
      <sz val="10"/>
      <name val="NewCenturySchlbk"/>
    </font>
    <font>
      <b/>
      <sz val="12"/>
      <color indexed="10"/>
      <name val="NewCenturySchlbk"/>
    </font>
    <font>
      <b/>
      <sz val="12"/>
      <name val="Cambria"/>
      <family val="1"/>
    </font>
    <font>
      <sz val="11"/>
      <name val="NewCenturySchlbk"/>
    </font>
    <font>
      <b/>
      <sz val="10"/>
      <name val="Calibri"/>
      <family val="2"/>
    </font>
    <font>
      <b/>
      <sz val="8"/>
      <name val="NewCenturySchlbk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CFC9A"/>
        <bgColor indexed="64"/>
      </patternFill>
    </fill>
    <fill>
      <patternFill patternType="solid">
        <fgColor rgb="FFCCEC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</cellStyleXfs>
  <cellXfs count="761">
    <xf numFmtId="0" fontId="0" fillId="0" borderId="0" xfId="0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11" fillId="0" borderId="1" xfId="0" applyFont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6" fontId="8" fillId="2" borderId="0" xfId="0" applyNumberFormat="1" applyFont="1" applyFill="1" applyBorder="1"/>
    <xf numFmtId="0" fontId="4" fillId="2" borderId="0" xfId="0" applyFont="1" applyFill="1" applyAlignment="1">
      <alignment horizontal="left" wrapText="1"/>
    </xf>
    <xf numFmtId="0" fontId="4" fillId="2" borderId="0" xfId="0" applyFont="1" applyFill="1" applyBorder="1" applyAlignment="1">
      <alignment horizontal="left"/>
    </xf>
    <xf numFmtId="7" fontId="11" fillId="0" borderId="0" xfId="0" applyNumberFormat="1" applyFont="1" applyBorder="1" applyAlignment="1">
      <alignment horizontal="center"/>
    </xf>
    <xf numFmtId="6" fontId="8" fillId="2" borderId="2" xfId="0" applyNumberFormat="1" applyFont="1" applyFill="1" applyBorder="1"/>
    <xf numFmtId="6" fontId="8" fillId="4" borderId="3" xfId="0" applyNumberFormat="1" applyFont="1" applyFill="1" applyBorder="1"/>
    <xf numFmtId="38" fontId="8" fillId="4" borderId="3" xfId="0" applyNumberFormat="1" applyFont="1" applyFill="1" applyBorder="1"/>
    <xf numFmtId="38" fontId="8" fillId="2" borderId="4" xfId="0" applyNumberFormat="1" applyFont="1" applyFill="1" applyBorder="1"/>
    <xf numFmtId="6" fontId="8" fillId="2" borderId="4" xfId="0" applyNumberFormat="1" applyFont="1" applyFill="1" applyBorder="1"/>
    <xf numFmtId="6" fontId="8" fillId="4" borderId="5" xfId="0" applyNumberFormat="1" applyFont="1" applyFill="1" applyBorder="1"/>
    <xf numFmtId="6" fontId="8" fillId="2" borderId="6" xfId="0" applyNumberFormat="1" applyFont="1" applyFill="1" applyBorder="1"/>
    <xf numFmtId="10" fontId="8" fillId="4" borderId="3" xfId="0" applyNumberFormat="1" applyFont="1" applyFill="1" applyBorder="1"/>
    <xf numFmtId="7" fontId="11" fillId="2" borderId="0" xfId="0" applyNumberFormat="1" applyFont="1" applyFill="1" applyBorder="1" applyAlignment="1">
      <alignment horizontal="center"/>
    </xf>
    <xf numFmtId="10" fontId="8" fillId="2" borderId="0" xfId="0" applyNumberFormat="1" applyFont="1" applyFill="1" applyBorder="1" applyAlignment="1">
      <alignment horizontal="center"/>
    </xf>
    <xf numFmtId="0" fontId="4" fillId="2" borderId="0" xfId="0" applyFont="1" applyFill="1" applyAlignment="1" applyProtection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10" fontId="11" fillId="4" borderId="3" xfId="0" applyNumberFormat="1" applyFont="1" applyFill="1" applyBorder="1"/>
    <xf numFmtId="7" fontId="3" fillId="3" borderId="0" xfId="0" applyNumberFormat="1" applyFont="1" applyFill="1" applyBorder="1" applyAlignment="1">
      <alignment horizontal="center"/>
    </xf>
    <xf numFmtId="37" fontId="8" fillId="4" borderId="3" xfId="1" applyNumberFormat="1" applyFont="1" applyFill="1" applyBorder="1"/>
    <xf numFmtId="14" fontId="3" fillId="0" borderId="0" xfId="0" applyNumberFormat="1" applyFont="1" applyAlignment="1" applyProtection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2" borderId="0" xfId="0" quotePrefix="1" applyFont="1" applyFill="1" applyAlignment="1">
      <alignment horizontal="right"/>
    </xf>
    <xf numFmtId="14" fontId="3" fillId="0" borderId="0" xfId="0" applyNumberFormat="1" applyFont="1" applyAlignment="1" applyProtection="1">
      <alignment horizontal="right" wrapText="1"/>
    </xf>
    <xf numFmtId="17" fontId="3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 wrapText="1"/>
    </xf>
    <xf numFmtId="49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2" fillId="2" borderId="0" xfId="0" applyFont="1" applyFill="1" applyAlignment="1">
      <alignment wrapText="1"/>
    </xf>
    <xf numFmtId="0" fontId="2" fillId="2" borderId="0" xfId="0" quotePrefix="1" applyFont="1" applyFill="1" applyAlignment="1">
      <alignment horizontal="right"/>
    </xf>
    <xf numFmtId="0" fontId="3" fillId="2" borderId="0" xfId="0" applyFont="1" applyFill="1" applyBorder="1" applyAlignment="1">
      <alignment horizontal="right"/>
    </xf>
    <xf numFmtId="6" fontId="3" fillId="0" borderId="0" xfId="0" applyNumberFormat="1" applyFont="1" applyAlignment="1">
      <alignment horizontal="centerContinuous"/>
    </xf>
    <xf numFmtId="10" fontId="3" fillId="0" borderId="0" xfId="0" applyNumberFormat="1" applyFont="1"/>
    <xf numFmtId="14" fontId="3" fillId="0" borderId="3" xfId="0" applyNumberFormat="1" applyFont="1" applyBorder="1" applyAlignment="1">
      <alignment horizontal="center"/>
    </xf>
    <xf numFmtId="6" fontId="3" fillId="0" borderId="0" xfId="0" applyNumberFormat="1" applyFont="1" applyAlignment="1" applyProtection="1">
      <alignment horizontal="centerContinuous"/>
    </xf>
    <xf numFmtId="0" fontId="3" fillId="0" borderId="0" xfId="0" quotePrefix="1" applyFont="1" applyAlignment="1">
      <alignment horizontal="center"/>
    </xf>
    <xf numFmtId="14" fontId="3" fillId="0" borderId="0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/>
    </xf>
    <xf numFmtId="6" fontId="3" fillId="0" borderId="0" xfId="0" quotePrefix="1" applyNumberFormat="1" applyFont="1" applyAlignment="1" applyProtection="1">
      <alignment horizontal="centerContinuous"/>
    </xf>
    <xf numFmtId="6" fontId="3" fillId="0" borderId="0" xfId="0" quotePrefix="1" applyNumberFormat="1" applyFont="1" applyAlignment="1" applyProtection="1">
      <alignment horizontal="center"/>
    </xf>
    <xf numFmtId="6" fontId="3" fillId="0" borderId="0" xfId="0" quotePrefix="1" applyNumberFormat="1" applyFont="1" applyAlignment="1">
      <alignment horizontal="centerContinuous"/>
    </xf>
    <xf numFmtId="0" fontId="3" fillId="0" borderId="0" xfId="0" applyFont="1" applyAlignment="1">
      <alignment horizontal="right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11" fillId="0" borderId="0" xfId="0" applyFont="1"/>
    <xf numFmtId="14" fontId="3" fillId="0" borderId="9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6" fontId="3" fillId="2" borderId="0" xfId="0" applyNumberFormat="1" applyFont="1" applyFill="1"/>
    <xf numFmtId="6" fontId="3" fillId="2" borderId="0" xfId="0" applyNumberFormat="1" applyFont="1" applyFill="1" applyProtection="1"/>
    <xf numFmtId="7" fontId="11" fillId="0" borderId="0" xfId="0" applyNumberFormat="1" applyFont="1" applyBorder="1"/>
    <xf numFmtId="6" fontId="3" fillId="2" borderId="0" xfId="0" applyNumberFormat="1" applyFont="1" applyFill="1" applyBorder="1"/>
    <xf numFmtId="0" fontId="3" fillId="2" borderId="0" xfId="0" applyFont="1" applyFill="1" applyBorder="1"/>
    <xf numFmtId="7" fontId="11" fillId="2" borderId="0" xfId="2" applyNumberFormat="1" applyFont="1" applyFill="1" applyBorder="1"/>
    <xf numFmtId="0" fontId="11" fillId="2" borderId="0" xfId="0" applyFont="1" applyFill="1" applyBorder="1"/>
    <xf numFmtId="8" fontId="11" fillId="2" borderId="0" xfId="2" applyNumberFormat="1" applyFont="1" applyFill="1" applyBorder="1"/>
    <xf numFmtId="10" fontId="11" fillId="2" borderId="0" xfId="2" applyNumberFormat="1" applyFont="1" applyFill="1" applyBorder="1"/>
    <xf numFmtId="0" fontId="18" fillId="2" borderId="0" xfId="0" applyFont="1" applyFill="1" applyAlignment="1">
      <alignment horizontal="left"/>
    </xf>
    <xf numFmtId="10" fontId="11" fillId="2" borderId="2" xfId="2" applyNumberFormat="1" applyFont="1" applyFill="1" applyBorder="1"/>
    <xf numFmtId="6" fontId="3" fillId="2" borderId="6" xfId="0" applyNumberFormat="1" applyFont="1" applyFill="1" applyBorder="1"/>
    <xf numFmtId="6" fontId="3" fillId="2" borderId="6" xfId="0" applyNumberFormat="1" applyFont="1" applyFill="1" applyBorder="1" applyProtection="1"/>
    <xf numFmtId="0" fontId="11" fillId="0" borderId="0" xfId="0" quotePrefix="1" applyFont="1" applyBorder="1" applyAlignment="1">
      <alignment horizontal="center"/>
    </xf>
    <xf numFmtId="6" fontId="3" fillId="0" borderId="0" xfId="0" applyNumberFormat="1" applyFont="1" applyFill="1" applyBorder="1"/>
    <xf numFmtId="37" fontId="3" fillId="2" borderId="0" xfId="1" applyNumberFormat="1" applyFont="1" applyFill="1"/>
    <xf numFmtId="37" fontId="3" fillId="2" borderId="0" xfId="0" applyNumberFormat="1" applyFont="1" applyFill="1"/>
    <xf numFmtId="37" fontId="3" fillId="2" borderId="0" xfId="0" applyNumberFormat="1" applyFont="1" applyFill="1" applyProtection="1"/>
    <xf numFmtId="37" fontId="3" fillId="2" borderId="0" xfId="0" applyNumberFormat="1" applyFont="1" applyFill="1" applyBorder="1"/>
    <xf numFmtId="37" fontId="3" fillId="2" borderId="0" xfId="0" applyNumberFormat="1" applyFont="1" applyFill="1" applyBorder="1" applyProtection="1"/>
    <xf numFmtId="37" fontId="3" fillId="2" borderId="4" xfId="1" applyNumberFormat="1" applyFont="1" applyFill="1" applyBorder="1"/>
    <xf numFmtId="10" fontId="3" fillId="2" borderId="0" xfId="0" applyNumberFormat="1" applyFont="1" applyFill="1" applyBorder="1" applyProtection="1"/>
    <xf numFmtId="7" fontId="11" fillId="0" borderId="0" xfId="0" quotePrefix="1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168" fontId="3" fillId="0" borderId="0" xfId="0" applyNumberFormat="1" applyFont="1" applyAlignment="1">
      <alignment horizontal="centerContinuous"/>
    </xf>
    <xf numFmtId="10" fontId="3" fillId="2" borderId="0" xfId="0" applyNumberFormat="1" applyFont="1" applyFill="1" applyBorder="1"/>
    <xf numFmtId="7" fontId="11" fillId="3" borderId="0" xfId="2" applyNumberFormat="1" applyFont="1" applyFill="1" applyBorder="1"/>
    <xf numFmtId="7" fontId="11" fillId="3" borderId="0" xfId="2" applyNumberFormat="1" applyFont="1" applyFill="1" applyBorder="1" applyAlignment="1">
      <alignment horizontal="center"/>
    </xf>
    <xf numFmtId="10" fontId="11" fillId="4" borderId="3" xfId="2" applyNumberFormat="1" applyFont="1" applyFill="1" applyBorder="1"/>
    <xf numFmtId="0" fontId="3" fillId="3" borderId="0" xfId="0" applyFont="1" applyFill="1" applyBorder="1"/>
    <xf numFmtId="10" fontId="11" fillId="2" borderId="0" xfId="0" applyNumberFormat="1" applyFont="1" applyFill="1" applyBorder="1"/>
    <xf numFmtId="0" fontId="3" fillId="3" borderId="0" xfId="0" applyFont="1" applyFill="1" applyBorder="1" applyAlignment="1"/>
    <xf numFmtId="3" fontId="11" fillId="2" borderId="0" xfId="2" applyNumberFormat="1" applyFont="1" applyFill="1" applyBorder="1"/>
    <xf numFmtId="169" fontId="11" fillId="3" borderId="0" xfId="2" applyNumberFormat="1" applyFont="1" applyFill="1" applyBorder="1" applyAlignment="1">
      <alignment horizontal="left"/>
    </xf>
    <xf numFmtId="0" fontId="11" fillId="2" borderId="0" xfId="0" applyFont="1" applyFill="1"/>
    <xf numFmtId="7" fontId="11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7" fontId="11" fillId="2" borderId="4" xfId="0" applyNumberFormat="1" applyFont="1" applyFill="1" applyBorder="1"/>
    <xf numFmtId="6" fontId="11" fillId="2" borderId="0" xfId="0" applyNumberFormat="1" applyFont="1" applyFill="1"/>
    <xf numFmtId="7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7" fontId="11" fillId="2" borderId="0" xfId="0" quotePrefix="1" applyNumberFormat="1" applyFont="1" applyFill="1" applyBorder="1" applyAlignment="1">
      <alignment horizontal="center"/>
    </xf>
    <xf numFmtId="3" fontId="2" fillId="0" borderId="1" xfId="0" applyNumberFormat="1" applyFont="1" applyBorder="1"/>
    <xf numFmtId="7" fontId="11" fillId="2" borderId="10" xfId="0" applyNumberFormat="1" applyFont="1" applyFill="1" applyBorder="1" applyAlignment="1">
      <alignment horizontal="center" wrapText="1"/>
    </xf>
    <xf numFmtId="3" fontId="2" fillId="0" borderId="10" xfId="0" quotePrefix="1" applyNumberFormat="1" applyFont="1" applyBorder="1" applyAlignment="1">
      <alignment horizontal="center"/>
    </xf>
    <xf numFmtId="3" fontId="2" fillId="0" borderId="9" xfId="0" applyNumberFormat="1" applyFont="1" applyBorder="1"/>
    <xf numFmtId="165" fontId="11" fillId="4" borderId="3" xfId="0" applyNumberFormat="1" applyFont="1" applyFill="1" applyBorder="1"/>
    <xf numFmtId="8" fontId="11" fillId="3" borderId="0" xfId="2" applyNumberFormat="1" applyFont="1" applyFill="1" applyBorder="1"/>
    <xf numFmtId="0" fontId="11" fillId="3" borderId="0" xfId="0" applyFont="1" applyFill="1" applyBorder="1"/>
    <xf numFmtId="165" fontId="11" fillId="4" borderId="3" xfId="0" applyNumberFormat="1" applyFont="1" applyFill="1" applyBorder="1" applyAlignment="1">
      <alignment horizontal="right"/>
    </xf>
    <xf numFmtId="3" fontId="8" fillId="0" borderId="0" xfId="0" applyNumberFormat="1" applyFont="1" applyBorder="1"/>
    <xf numFmtId="3" fontId="11" fillId="0" borderId="0" xfId="0" applyNumberFormat="1" applyFont="1" applyBorder="1"/>
    <xf numFmtId="7" fontId="11" fillId="2" borderId="0" xfId="0" applyNumberFormat="1" applyFont="1" applyFill="1" applyBorder="1"/>
    <xf numFmtId="3" fontId="11" fillId="4" borderId="3" xfId="2" applyNumberFormat="1" applyFont="1" applyFill="1" applyBorder="1"/>
    <xf numFmtId="3" fontId="11" fillId="2" borderId="10" xfId="2" applyNumberFormat="1" applyFont="1" applyFill="1" applyBorder="1"/>
    <xf numFmtId="165" fontId="11" fillId="4" borderId="3" xfId="2" applyNumberFormat="1" applyFont="1" applyFill="1" applyBorder="1"/>
    <xf numFmtId="2" fontId="11" fillId="4" borderId="3" xfId="2" applyNumberFormat="1" applyFont="1" applyFill="1" applyBorder="1"/>
    <xf numFmtId="2" fontId="11" fillId="2" borderId="0" xfId="2" applyNumberFormat="1" applyFont="1" applyFill="1" applyBorder="1"/>
    <xf numFmtId="3" fontId="11" fillId="2" borderId="0" xfId="0" applyNumberFormat="1" applyFont="1" applyFill="1" applyBorder="1"/>
    <xf numFmtId="2" fontId="3" fillId="2" borderId="0" xfId="0" applyNumberFormat="1" applyFont="1" applyFill="1"/>
    <xf numFmtId="2" fontId="11" fillId="3" borderId="0" xfId="2" applyNumberFormat="1" applyFont="1" applyFill="1" applyBorder="1"/>
    <xf numFmtId="2" fontId="3" fillId="3" borderId="0" xfId="0" applyNumberFormat="1" applyFont="1" applyFill="1" applyBorder="1"/>
    <xf numFmtId="165" fontId="11" fillId="2" borderId="0" xfId="0" applyNumberFormat="1" applyFont="1" applyFill="1" applyBorder="1"/>
    <xf numFmtId="166" fontId="11" fillId="2" borderId="0" xfId="2" applyNumberFormat="1" applyFont="1" applyFill="1" applyBorder="1"/>
    <xf numFmtId="165" fontId="11" fillId="2" borderId="2" xfId="0" applyNumberFormat="1" applyFont="1" applyFill="1" applyBorder="1"/>
    <xf numFmtId="165" fontId="11" fillId="3" borderId="0" xfId="2" applyNumberFormat="1" applyFont="1" applyFill="1" applyBorder="1"/>
    <xf numFmtId="10" fontId="11" fillId="4" borderId="5" xfId="2" applyNumberFormat="1" applyFont="1" applyFill="1" applyBorder="1"/>
    <xf numFmtId="3" fontId="11" fillId="4" borderId="3" xfId="2" applyNumberFormat="1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3" fontId="11" fillId="2" borderId="0" xfId="0" applyNumberFormat="1" applyFont="1" applyFill="1"/>
    <xf numFmtId="3" fontId="3" fillId="2" borderId="0" xfId="0" applyNumberFormat="1" applyFont="1" applyFill="1"/>
    <xf numFmtId="3" fontId="3" fillId="2" borderId="0" xfId="0" applyNumberFormat="1" applyFont="1" applyFill="1" applyBorder="1"/>
    <xf numFmtId="3" fontId="3" fillId="3" borderId="0" xfId="0" applyNumberFormat="1" applyFont="1" applyFill="1" applyBorder="1"/>
    <xf numFmtId="0" fontId="19" fillId="0" borderId="0" xfId="0" applyFont="1" applyAlignment="1" applyProtection="1">
      <alignment horizontal="left" vertical="center" wrapText="1"/>
    </xf>
    <xf numFmtId="0" fontId="20" fillId="0" borderId="0" xfId="0" applyFont="1" applyProtection="1"/>
    <xf numFmtId="0" fontId="6" fillId="0" borderId="0" xfId="0" applyFont="1" applyProtection="1"/>
    <xf numFmtId="38" fontId="6" fillId="0" borderId="0" xfId="0" applyNumberFormat="1" applyFont="1" applyProtection="1"/>
    <xf numFmtId="0" fontId="6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6" fontId="6" fillId="0" borderId="0" xfId="0" applyNumberFormat="1" applyFont="1" applyAlignment="1" applyProtection="1">
      <alignment horizontal="centerContinuous"/>
    </xf>
    <xf numFmtId="14" fontId="6" fillId="0" borderId="0" xfId="0" applyNumberFormat="1" applyFont="1" applyAlignment="1" applyProtection="1">
      <alignment horizontal="right"/>
    </xf>
    <xf numFmtId="14" fontId="6" fillId="0" borderId="3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6" fillId="0" borderId="0" xfId="0" quotePrefix="1" applyFont="1" applyAlignment="1" applyProtection="1">
      <alignment horizontal="center"/>
    </xf>
    <xf numFmtId="164" fontId="6" fillId="0" borderId="0" xfId="0" applyNumberFormat="1" applyFont="1" applyProtection="1"/>
    <xf numFmtId="14" fontId="6" fillId="0" borderId="0" xfId="0" applyNumberFormat="1" applyFont="1" applyAlignment="1" applyProtection="1">
      <alignment horizontal="center"/>
    </xf>
    <xf numFmtId="14" fontId="6" fillId="0" borderId="0" xfId="0" quotePrefix="1" applyNumberFormat="1" applyFont="1" applyAlignment="1" applyProtection="1">
      <alignment horizontal="center"/>
    </xf>
    <xf numFmtId="6" fontId="6" fillId="0" borderId="0" xfId="0" quotePrefix="1" applyNumberFormat="1" applyFont="1" applyAlignment="1" applyProtection="1">
      <alignment horizontal="centerContinuous"/>
    </xf>
    <xf numFmtId="6" fontId="6" fillId="0" borderId="0" xfId="0" quotePrefix="1" applyNumberFormat="1" applyFont="1" applyAlignment="1" applyProtection="1">
      <alignment horizontal="center"/>
    </xf>
    <xf numFmtId="38" fontId="6" fillId="0" borderId="0" xfId="0" applyNumberFormat="1" applyFont="1" applyAlignment="1" applyProtection="1">
      <alignment horizontal="center"/>
    </xf>
    <xf numFmtId="14" fontId="6" fillId="0" borderId="1" xfId="0" applyNumberFormat="1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38" fontId="6" fillId="0" borderId="1" xfId="0" applyNumberFormat="1" applyFont="1" applyBorder="1" applyProtection="1"/>
    <xf numFmtId="38" fontId="6" fillId="0" borderId="1" xfId="0" applyNumberFormat="1" applyFont="1" applyBorder="1" applyAlignment="1" applyProtection="1">
      <alignment horizontal="center"/>
    </xf>
    <xf numFmtId="14" fontId="6" fillId="0" borderId="9" xfId="0" applyNumberFormat="1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center"/>
    </xf>
    <xf numFmtId="38" fontId="6" fillId="0" borderId="9" xfId="0" applyNumberFormat="1" applyFont="1" applyBorder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0" fontId="2" fillId="2" borderId="0" xfId="0" applyFont="1" applyFill="1" applyAlignment="1" applyProtection="1">
      <alignment horizontal="center"/>
    </xf>
    <xf numFmtId="6" fontId="6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38" fontId="6" fillId="2" borderId="0" xfId="0" applyNumberFormat="1" applyFont="1" applyFill="1" applyProtection="1"/>
    <xf numFmtId="0" fontId="6" fillId="2" borderId="0" xfId="0" quotePrefix="1" applyFont="1" applyFill="1" applyAlignment="1" applyProtection="1">
      <alignment horizontal="right"/>
    </xf>
    <xf numFmtId="0" fontId="6" fillId="2" borderId="0" xfId="0" applyFont="1" applyFill="1" applyAlignment="1" applyProtection="1">
      <alignment horizontal="left"/>
    </xf>
    <xf numFmtId="6" fontId="6" fillId="5" borderId="3" xfId="0" applyNumberFormat="1" applyFont="1" applyFill="1" applyBorder="1" applyProtection="1"/>
    <xf numFmtId="10" fontId="6" fillId="5" borderId="3" xfId="2" applyNumberFormat="1" applyFont="1" applyFill="1" applyBorder="1" applyProtection="1"/>
    <xf numFmtId="0" fontId="21" fillId="2" borderId="0" xfId="0" quotePrefix="1" applyFont="1" applyFill="1" applyAlignment="1" applyProtection="1">
      <alignment horizontal="right"/>
    </xf>
    <xf numFmtId="0" fontId="21" fillId="2" borderId="0" xfId="0" quotePrefix="1" applyFont="1" applyFill="1" applyAlignment="1" applyProtection="1">
      <alignment horizontal="left"/>
    </xf>
    <xf numFmtId="6" fontId="21" fillId="5" borderId="3" xfId="0" applyNumberFormat="1" applyFont="1" applyFill="1" applyBorder="1" applyProtection="1"/>
    <xf numFmtId="10" fontId="21" fillId="5" borderId="3" xfId="2" applyNumberFormat="1" applyFont="1" applyFill="1" applyBorder="1" applyProtection="1"/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0" fontId="2" fillId="0" borderId="0" xfId="0" applyFont="1" applyAlignment="1" applyProtection="1">
      <alignment horizontal="center"/>
    </xf>
    <xf numFmtId="14" fontId="6" fillId="0" borderId="0" xfId="0" applyNumberFormat="1" applyFont="1" applyAlignment="1" applyProtection="1">
      <alignment horizontal="right" wrapText="1"/>
    </xf>
    <xf numFmtId="17" fontId="6" fillId="0" borderId="0" xfId="0" applyNumberFormat="1" applyFont="1" applyAlignment="1" applyProtection="1">
      <alignment horizontal="right"/>
    </xf>
    <xf numFmtId="6" fontId="6" fillId="5" borderId="8" xfId="0" applyNumberFormat="1" applyFont="1" applyFill="1" applyBorder="1" applyProtection="1"/>
    <xf numFmtId="38" fontId="6" fillId="5" borderId="3" xfId="0" applyNumberFormat="1" applyFont="1" applyFill="1" applyBorder="1" applyProtection="1"/>
    <xf numFmtId="10" fontId="6" fillId="5" borderId="9" xfId="2" applyNumberFormat="1" applyFont="1" applyFill="1" applyBorder="1" applyProtection="1"/>
    <xf numFmtId="38" fontId="6" fillId="5" borderId="9" xfId="0" applyNumberFormat="1" applyFont="1" applyFill="1" applyBorder="1" applyProtection="1"/>
    <xf numFmtId="10" fontId="3" fillId="5" borderId="3" xfId="2" applyNumberFormat="1" applyFont="1" applyFill="1" applyBorder="1" applyProtection="1"/>
    <xf numFmtId="10" fontId="2" fillId="2" borderId="0" xfId="0" applyNumberFormat="1" applyFont="1" applyFill="1" applyAlignment="1" applyProtection="1">
      <alignment horizontal="center"/>
    </xf>
    <xf numFmtId="0" fontId="6" fillId="0" borderId="0" xfId="0" quotePrefix="1" applyFont="1" applyAlignment="1" applyProtection="1">
      <alignment horizontal="right"/>
    </xf>
    <xf numFmtId="0" fontId="21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/>
    </xf>
    <xf numFmtId="0" fontId="6" fillId="0" borderId="0" xfId="0" quotePrefix="1" applyFont="1" applyBorder="1" applyAlignment="1" applyProtection="1">
      <alignment horizontal="right"/>
    </xf>
    <xf numFmtId="0" fontId="21" fillId="0" borderId="0" xfId="0" quotePrefix="1" applyFont="1" applyBorder="1" applyAlignment="1" applyProtection="1">
      <alignment horizontal="left"/>
    </xf>
    <xf numFmtId="0" fontId="15" fillId="0" borderId="0" xfId="0" quotePrefix="1" applyFont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6" fontId="6" fillId="2" borderId="0" xfId="0" applyNumberFormat="1" applyFont="1" applyFill="1" applyBorder="1" applyProtection="1"/>
    <xf numFmtId="10" fontId="6" fillId="2" borderId="0" xfId="2" applyNumberFormat="1" applyFont="1" applyFill="1" applyBorder="1" applyProtection="1"/>
    <xf numFmtId="10" fontId="6" fillId="2" borderId="0" xfId="0" applyNumberFormat="1" applyFont="1" applyFill="1" applyProtection="1"/>
    <xf numFmtId="0" fontId="6" fillId="0" borderId="0" xfId="0" applyFont="1" applyBorder="1" applyAlignment="1" applyProtection="1">
      <alignment horizontal="left"/>
    </xf>
    <xf numFmtId="0" fontId="21" fillId="0" borderId="0" xfId="0" quotePrefix="1" applyFont="1" applyAlignment="1" applyProtection="1">
      <alignment horizontal="left"/>
    </xf>
    <xf numFmtId="0" fontId="6" fillId="0" borderId="0" xfId="0" quotePrefix="1" applyFont="1" applyBorder="1" applyAlignment="1" applyProtection="1">
      <alignment horizontal="left"/>
    </xf>
    <xf numFmtId="0" fontId="21" fillId="2" borderId="0" xfId="0" applyFont="1" applyFill="1" applyAlignment="1" applyProtection="1">
      <alignment horizontal="left"/>
    </xf>
    <xf numFmtId="3" fontId="6" fillId="2" borderId="0" xfId="0" applyNumberFormat="1" applyFont="1" applyFill="1" applyBorder="1" applyAlignment="1" applyProtection="1">
      <alignment horizontal="center"/>
    </xf>
    <xf numFmtId="38" fontId="6" fillId="2" borderId="0" xfId="0" applyNumberFormat="1" applyFont="1" applyFill="1" applyBorder="1" applyProtection="1"/>
    <xf numFmtId="6" fontId="22" fillId="2" borderId="0" xfId="0" applyNumberFormat="1" applyFont="1" applyFill="1" applyBorder="1" applyProtection="1"/>
    <xf numFmtId="10" fontId="22" fillId="2" borderId="0" xfId="2" applyNumberFormat="1" applyFont="1" applyFill="1" applyBorder="1" applyProtection="1"/>
    <xf numFmtId="38" fontId="22" fillId="2" borderId="0" xfId="0" applyNumberFormat="1" applyFont="1" applyFill="1" applyBorder="1" applyProtection="1"/>
    <xf numFmtId="38" fontId="6" fillId="2" borderId="4" xfId="0" applyNumberFormat="1" applyFont="1" applyFill="1" applyBorder="1" applyProtection="1"/>
    <xf numFmtId="0" fontId="23" fillId="2" borderId="0" xfId="0" applyFont="1" applyFill="1" applyAlignment="1" applyProtection="1">
      <alignment horizontal="left"/>
    </xf>
    <xf numFmtId="6" fontId="6" fillId="2" borderId="2" xfId="0" applyNumberFormat="1" applyFont="1" applyFill="1" applyBorder="1" applyProtection="1"/>
    <xf numFmtId="10" fontId="6" fillId="2" borderId="2" xfId="2" applyNumberFormat="1" applyFont="1" applyFill="1" applyBorder="1" applyProtection="1"/>
    <xf numFmtId="0" fontId="6" fillId="2" borderId="0" xfId="0" applyFont="1" applyFill="1" applyAlignment="1" applyProtection="1">
      <alignment horizontal="left" wrapText="1"/>
    </xf>
    <xf numFmtId="6" fontId="6" fillId="2" borderId="6" xfId="0" applyNumberFormat="1" applyFont="1" applyFill="1" applyBorder="1" applyProtection="1"/>
    <xf numFmtId="10" fontId="6" fillId="2" borderId="6" xfId="2" applyNumberFormat="1" applyFont="1" applyFill="1" applyBorder="1" applyProtection="1"/>
    <xf numFmtId="49" fontId="6" fillId="0" borderId="0" xfId="0" quotePrefix="1" applyNumberFormat="1" applyFont="1" applyAlignment="1" applyProtection="1">
      <alignment horizontal="right"/>
    </xf>
    <xf numFmtId="5" fontId="24" fillId="5" borderId="3" xfId="0" applyNumberFormat="1" applyFont="1" applyFill="1" applyBorder="1" applyProtection="1"/>
    <xf numFmtId="37" fontId="24" fillId="5" borderId="3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Protection="1"/>
    <xf numFmtId="0" fontId="24" fillId="0" borderId="0" xfId="0" applyFont="1" applyBorder="1" applyProtection="1"/>
    <xf numFmtId="0" fontId="24" fillId="0" borderId="0" xfId="0" applyFont="1" applyProtection="1"/>
    <xf numFmtId="0" fontId="13" fillId="0" borderId="0" xfId="0" applyFont="1" applyProtection="1"/>
    <xf numFmtId="37" fontId="24" fillId="0" borderId="0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Alignment="1" applyProtection="1">
      <alignment horizontal="center"/>
    </xf>
    <xf numFmtId="49" fontId="6" fillId="0" borderId="0" xfId="0" applyNumberFormat="1" applyFont="1" applyAlignment="1" applyProtection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9" fillId="2" borderId="0" xfId="0" quotePrefix="1" applyFont="1" applyFill="1" applyAlignment="1" applyProtection="1">
      <alignment horizontal="right"/>
    </xf>
    <xf numFmtId="0" fontId="9" fillId="2" borderId="0" xfId="0" applyFont="1" applyFill="1" applyAlignment="1" applyProtection="1">
      <alignment horizontal="left"/>
    </xf>
    <xf numFmtId="6" fontId="6" fillId="0" borderId="0" xfId="0" applyNumberFormat="1" applyFont="1" applyFill="1" applyBorder="1" applyProtection="1"/>
    <xf numFmtId="0" fontId="25" fillId="2" borderId="0" xfId="0" applyFont="1" applyFill="1" applyAlignment="1" applyProtection="1">
      <alignment horizontal="left"/>
    </xf>
    <xf numFmtId="37" fontId="6" fillId="2" borderId="0" xfId="1" applyNumberFormat="1" applyFont="1" applyFill="1" applyProtection="1"/>
    <xf numFmtId="37" fontId="6" fillId="2" borderId="0" xfId="0" applyNumberFormat="1" applyFont="1" applyFill="1" applyProtection="1"/>
    <xf numFmtId="0" fontId="9" fillId="2" borderId="0" xfId="0" applyFont="1" applyFill="1" applyAlignment="1" applyProtection="1">
      <alignment horizontal="center"/>
    </xf>
    <xf numFmtId="37" fontId="6" fillId="5" borderId="3" xfId="1" applyNumberFormat="1" applyFont="1" applyFill="1" applyBorder="1" applyProtection="1"/>
    <xf numFmtId="37" fontId="6" fillId="5" borderId="3" xfId="0" applyNumberFormat="1" applyFont="1" applyFill="1" applyBorder="1" applyProtection="1"/>
    <xf numFmtId="0" fontId="9" fillId="2" borderId="0" xfId="0" applyFont="1" applyFill="1" applyProtection="1"/>
    <xf numFmtId="3" fontId="6" fillId="5" borderId="5" xfId="1" applyNumberFormat="1" applyFont="1" applyFill="1" applyBorder="1" applyProtection="1"/>
    <xf numFmtId="1" fontId="6" fillId="2" borderId="0" xfId="0" applyNumberFormat="1" applyFont="1" applyFill="1" applyProtection="1"/>
    <xf numFmtId="37" fontId="6" fillId="2" borderId="0" xfId="0" applyNumberFormat="1" applyFont="1" applyFill="1" applyBorder="1" applyProtection="1"/>
    <xf numFmtId="0" fontId="26" fillId="2" borderId="0" xfId="0" applyFont="1" applyFill="1" applyAlignment="1" applyProtection="1">
      <alignment horizontal="center"/>
    </xf>
    <xf numFmtId="37" fontId="6" fillId="2" borderId="6" xfId="1" applyNumberFormat="1" applyFont="1" applyFill="1" applyBorder="1" applyProtection="1"/>
    <xf numFmtId="37" fontId="6" fillId="2" borderId="6" xfId="0" applyNumberFormat="1" applyFont="1" applyFill="1" applyBorder="1" applyProtection="1"/>
    <xf numFmtId="0" fontId="21" fillId="2" borderId="0" xfId="0" applyFont="1" applyFill="1" applyAlignment="1" applyProtection="1">
      <alignment horizontal="left" wrapText="1"/>
    </xf>
    <xf numFmtId="10" fontId="6" fillId="5" borderId="3" xfId="1" applyNumberFormat="1" applyFont="1" applyFill="1" applyBorder="1" applyAlignment="1" applyProtection="1">
      <alignment horizontal="right"/>
    </xf>
    <xf numFmtId="10" fontId="6" fillId="2" borderId="0" xfId="0" applyNumberFormat="1" applyFont="1" applyFill="1" applyBorder="1" applyProtection="1"/>
    <xf numFmtId="38" fontId="7" fillId="0" borderId="0" xfId="0" applyNumberFormat="1" applyFont="1" applyAlignment="1" applyProtection="1">
      <alignment horizontal="left"/>
    </xf>
    <xf numFmtId="38" fontId="6" fillId="2" borderId="0" xfId="0" applyNumberFormat="1" applyFont="1" applyFill="1" applyAlignment="1" applyProtection="1">
      <alignment horizontal="right"/>
    </xf>
    <xf numFmtId="6" fontId="27" fillId="5" borderId="3" xfId="0" applyNumberFormat="1" applyFont="1" applyFill="1" applyBorder="1" applyProtection="1"/>
    <xf numFmtId="0" fontId="27" fillId="0" borderId="0" xfId="0" applyFont="1" applyProtection="1"/>
    <xf numFmtId="38" fontId="27" fillId="0" borderId="0" xfId="0" applyNumberFormat="1" applyFont="1" applyProtection="1"/>
    <xf numFmtId="0" fontId="27" fillId="0" borderId="0" xfId="0" applyFont="1" applyAlignment="1" applyProtection="1">
      <alignment horizontal="right"/>
    </xf>
    <xf numFmtId="0" fontId="28" fillId="0" borderId="0" xfId="0" applyFont="1" applyAlignment="1" applyProtection="1">
      <alignment horizontal="left"/>
    </xf>
    <xf numFmtId="6" fontId="27" fillId="0" borderId="0" xfId="0" applyNumberFormat="1" applyFont="1" applyAlignment="1" applyProtection="1">
      <alignment horizontal="centerContinuous"/>
    </xf>
    <xf numFmtId="14" fontId="27" fillId="0" borderId="0" xfId="0" applyNumberFormat="1" applyFont="1" applyAlignment="1" applyProtection="1">
      <alignment horizontal="right"/>
    </xf>
    <xf numFmtId="0" fontId="27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left"/>
    </xf>
    <xf numFmtId="0" fontId="27" fillId="0" borderId="0" xfId="0" quotePrefix="1" applyFont="1" applyAlignment="1" applyProtection="1">
      <alignment horizontal="center"/>
    </xf>
    <xf numFmtId="164" fontId="27" fillId="0" borderId="0" xfId="0" applyNumberFormat="1" applyFont="1" applyProtection="1"/>
    <xf numFmtId="14" fontId="27" fillId="0" borderId="0" xfId="0" applyNumberFormat="1" applyFont="1" applyAlignment="1" applyProtection="1">
      <alignment horizontal="center"/>
    </xf>
    <xf numFmtId="14" fontId="27" fillId="0" borderId="0" xfId="0" quotePrefix="1" applyNumberFormat="1" applyFont="1" applyAlignment="1" applyProtection="1">
      <alignment horizontal="center"/>
    </xf>
    <xf numFmtId="6" fontId="27" fillId="0" borderId="0" xfId="0" quotePrefix="1" applyNumberFormat="1" applyFont="1" applyAlignment="1" applyProtection="1">
      <alignment horizontal="centerContinuous"/>
    </xf>
    <xf numFmtId="6" fontId="27" fillId="0" borderId="0" xfId="0" quotePrefix="1" applyNumberFormat="1" applyFont="1" applyAlignment="1" applyProtection="1">
      <alignment horizontal="center"/>
    </xf>
    <xf numFmtId="38" fontId="27" fillId="0" borderId="0" xfId="0" applyNumberFormat="1" applyFont="1" applyAlignment="1" applyProtection="1">
      <alignment horizontal="center"/>
    </xf>
    <xf numFmtId="14" fontId="27" fillId="0" borderId="1" xfId="0" applyNumberFormat="1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/>
    </xf>
    <xf numFmtId="38" fontId="27" fillId="0" borderId="1" xfId="0" applyNumberFormat="1" applyFont="1" applyBorder="1" applyProtection="1"/>
    <xf numFmtId="38" fontId="27" fillId="0" borderId="1" xfId="0" applyNumberFormat="1" applyFont="1" applyBorder="1" applyAlignment="1" applyProtection="1">
      <alignment horizontal="center"/>
    </xf>
    <xf numFmtId="14" fontId="27" fillId="0" borderId="9" xfId="0" applyNumberFormat="1" applyFont="1" applyBorder="1" applyAlignment="1" applyProtection="1">
      <alignment horizontal="center"/>
    </xf>
    <xf numFmtId="0" fontId="27" fillId="0" borderId="9" xfId="0" applyFont="1" applyBorder="1" applyAlignment="1" applyProtection="1">
      <alignment horizontal="center"/>
    </xf>
    <xf numFmtId="38" fontId="27" fillId="0" borderId="9" xfId="0" applyNumberFormat="1" applyFont="1" applyBorder="1" applyAlignment="1" applyProtection="1">
      <alignment horizontal="center"/>
    </xf>
    <xf numFmtId="0" fontId="27" fillId="2" borderId="0" xfId="0" applyFont="1" applyFill="1" applyAlignment="1" applyProtection="1">
      <alignment horizontal="right"/>
    </xf>
    <xf numFmtId="0" fontId="28" fillId="2" borderId="0" xfId="0" applyFont="1" applyFill="1" applyAlignment="1" applyProtection="1">
      <alignment horizontal="center"/>
    </xf>
    <xf numFmtId="6" fontId="27" fillId="2" borderId="0" xfId="0" applyNumberFormat="1" applyFont="1" applyFill="1" applyProtection="1"/>
    <xf numFmtId="0" fontId="27" fillId="2" borderId="0" xfId="0" applyFont="1" applyFill="1" applyAlignment="1" applyProtection="1">
      <alignment horizontal="center"/>
    </xf>
    <xf numFmtId="0" fontId="27" fillId="2" borderId="0" xfId="0" applyFont="1" applyFill="1" applyProtection="1"/>
    <xf numFmtId="38" fontId="27" fillId="2" borderId="0" xfId="0" applyNumberFormat="1" applyFont="1" applyFill="1" applyProtection="1"/>
    <xf numFmtId="0" fontId="27" fillId="2" borderId="0" xfId="0" quotePrefix="1" applyFont="1" applyFill="1" applyAlignment="1" applyProtection="1">
      <alignment horizontal="right"/>
    </xf>
    <xf numFmtId="0" fontId="27" fillId="2" borderId="0" xfId="0" applyFont="1" applyFill="1" applyAlignment="1" applyProtection="1">
      <alignment horizontal="left"/>
    </xf>
    <xf numFmtId="10" fontId="27" fillId="5" borderId="3" xfId="2" applyNumberFormat="1" applyFont="1" applyFill="1" applyBorder="1" applyProtection="1"/>
    <xf numFmtId="0" fontId="30" fillId="2" borderId="0" xfId="0" quotePrefix="1" applyFont="1" applyFill="1" applyAlignment="1" applyProtection="1">
      <alignment horizontal="right"/>
    </xf>
    <xf numFmtId="0" fontId="30" fillId="2" borderId="0" xfId="0" quotePrefix="1" applyFont="1" applyFill="1" applyAlignment="1" applyProtection="1">
      <alignment horizontal="left"/>
    </xf>
    <xf numFmtId="6" fontId="30" fillId="5" borderId="3" xfId="0" applyNumberFormat="1" applyFont="1" applyFill="1" applyBorder="1" applyProtection="1"/>
    <xf numFmtId="10" fontId="30" fillId="5" borderId="3" xfId="2" applyNumberFormat="1" applyFont="1" applyFill="1" applyBorder="1" applyProtection="1"/>
    <xf numFmtId="0" fontId="28" fillId="2" borderId="0" xfId="0" applyFont="1" applyFill="1" applyAlignment="1" applyProtection="1">
      <alignment horizontal="left"/>
    </xf>
    <xf numFmtId="0" fontId="28" fillId="0" borderId="0" xfId="0" applyFont="1" applyAlignment="1" applyProtection="1">
      <alignment horizontal="center"/>
    </xf>
    <xf numFmtId="14" fontId="27" fillId="0" borderId="0" xfId="0" applyNumberFormat="1" applyFont="1" applyAlignment="1" applyProtection="1">
      <alignment horizontal="right" wrapText="1"/>
    </xf>
    <xf numFmtId="17" fontId="27" fillId="0" borderId="0" xfId="0" applyNumberFormat="1" applyFont="1" applyAlignment="1" applyProtection="1">
      <alignment horizontal="right"/>
    </xf>
    <xf numFmtId="6" fontId="27" fillId="5" borderId="8" xfId="0" applyNumberFormat="1" applyFont="1" applyFill="1" applyBorder="1" applyProtection="1"/>
    <xf numFmtId="10" fontId="27" fillId="5" borderId="9" xfId="2" applyNumberFormat="1" applyFont="1" applyFill="1" applyBorder="1" applyProtection="1"/>
    <xf numFmtId="10" fontId="31" fillId="5" borderId="3" xfId="2" applyNumberFormat="1" applyFont="1" applyFill="1" applyBorder="1" applyProtection="1"/>
    <xf numFmtId="0" fontId="24" fillId="0" borderId="0" xfId="0" quotePrefix="1" applyFont="1" applyAlignment="1" applyProtection="1">
      <alignment horizontal="right"/>
    </xf>
    <xf numFmtId="0" fontId="32" fillId="0" borderId="0" xfId="0" applyFont="1" applyBorder="1" applyAlignment="1" applyProtection="1">
      <alignment horizontal="left"/>
    </xf>
    <xf numFmtId="0" fontId="24" fillId="0" borderId="0" xfId="0" quotePrefix="1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32" fillId="0" borderId="0" xfId="0" quotePrefix="1" applyFont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6" fontId="27" fillId="2" borderId="0" xfId="0" applyNumberFormat="1" applyFont="1" applyFill="1" applyBorder="1" applyProtection="1"/>
    <xf numFmtId="10" fontId="27" fillId="2" borderId="0" xfId="2" applyNumberFormat="1" applyFont="1" applyFill="1" applyBorder="1" applyProtection="1"/>
    <xf numFmtId="10" fontId="27" fillId="2" borderId="0" xfId="0" applyNumberFormat="1" applyFont="1" applyFill="1" applyProtection="1"/>
    <xf numFmtId="0" fontId="24" fillId="0" borderId="0" xfId="0" applyFont="1" applyAlignment="1" applyProtection="1">
      <alignment horizontal="left"/>
    </xf>
    <xf numFmtId="0" fontId="24" fillId="0" borderId="0" xfId="0" applyFont="1" applyBorder="1" applyAlignment="1" applyProtection="1">
      <alignment horizontal="left"/>
    </xf>
    <xf numFmtId="0" fontId="32" fillId="0" borderId="0" xfId="0" quotePrefix="1" applyFont="1" applyAlignment="1" applyProtection="1">
      <alignment horizontal="left"/>
    </xf>
    <xf numFmtId="0" fontId="24" fillId="0" borderId="0" xfId="0" quotePrefix="1" applyFont="1" applyBorder="1" applyAlignment="1" applyProtection="1">
      <alignment horizontal="left"/>
    </xf>
    <xf numFmtId="6" fontId="33" fillId="2" borderId="0" xfId="0" applyNumberFormat="1" applyFont="1" applyFill="1" applyBorder="1" applyProtection="1"/>
    <xf numFmtId="10" fontId="33" fillId="2" borderId="0" xfId="2" applyNumberFormat="1" applyFont="1" applyFill="1" applyBorder="1" applyProtection="1"/>
    <xf numFmtId="6" fontId="27" fillId="2" borderId="2" xfId="0" applyNumberFormat="1" applyFont="1" applyFill="1" applyBorder="1" applyProtection="1"/>
    <xf numFmtId="10" fontId="27" fillId="2" borderId="2" xfId="2" applyNumberFormat="1" applyFont="1" applyFill="1" applyBorder="1" applyProtection="1"/>
    <xf numFmtId="6" fontId="27" fillId="2" borderId="6" xfId="0" applyNumberFormat="1" applyFont="1" applyFill="1" applyBorder="1" applyProtection="1"/>
    <xf numFmtId="10" fontId="27" fillId="2" borderId="6" xfId="2" applyNumberFormat="1" applyFont="1" applyFill="1" applyBorder="1" applyProtection="1"/>
    <xf numFmtId="49" fontId="24" fillId="0" borderId="0" xfId="0" quotePrefix="1" applyNumberFormat="1" applyFont="1" applyAlignment="1" applyProtection="1">
      <alignment horizontal="right"/>
    </xf>
    <xf numFmtId="0" fontId="29" fillId="0" borderId="0" xfId="0" applyFont="1" applyProtection="1"/>
    <xf numFmtId="0" fontId="34" fillId="0" borderId="0" xfId="0" applyFont="1" applyAlignment="1" applyProtection="1">
      <alignment horizontal="left"/>
    </xf>
    <xf numFmtId="49" fontId="24" fillId="0" borderId="0" xfId="0" applyNumberFormat="1" applyFont="1" applyAlignment="1" applyProtection="1">
      <alignment horizontal="right"/>
    </xf>
    <xf numFmtId="49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2" borderId="0" xfId="0" applyFont="1" applyFill="1" applyAlignment="1" applyProtection="1">
      <alignment horizontal="left" wrapText="1"/>
    </xf>
    <xf numFmtId="0" fontId="5" fillId="2" borderId="0" xfId="0" applyFont="1" applyFill="1" applyAlignment="1" applyProtection="1">
      <alignment horizontal="left"/>
    </xf>
    <xf numFmtId="37" fontId="27" fillId="2" borderId="0" xfId="0" applyNumberFormat="1" applyFont="1" applyFill="1" applyProtection="1"/>
    <xf numFmtId="37" fontId="27" fillId="5" borderId="3" xfId="1" applyNumberFormat="1" applyFont="1" applyFill="1" applyBorder="1" applyProtection="1"/>
    <xf numFmtId="37" fontId="27" fillId="5" borderId="3" xfId="0" applyNumberFormat="1" applyFont="1" applyFill="1" applyBorder="1" applyProtection="1"/>
    <xf numFmtId="0" fontId="30" fillId="2" borderId="0" xfId="0" applyFont="1" applyFill="1" applyAlignment="1" applyProtection="1">
      <alignment horizontal="left"/>
    </xf>
    <xf numFmtId="0" fontId="28" fillId="2" borderId="0" xfId="0" applyFont="1" applyFill="1" applyProtection="1"/>
    <xf numFmtId="3" fontId="27" fillId="5" borderId="5" xfId="1" applyNumberFormat="1" applyFont="1" applyFill="1" applyBorder="1" applyProtection="1"/>
    <xf numFmtId="1" fontId="27" fillId="2" borderId="0" xfId="0" applyNumberFormat="1" applyFont="1" applyFill="1" applyProtection="1"/>
    <xf numFmtId="37" fontId="27" fillId="2" borderId="0" xfId="0" applyNumberFormat="1" applyFont="1" applyFill="1" applyBorder="1" applyProtection="1"/>
    <xf numFmtId="0" fontId="12" fillId="2" borderId="0" xfId="0" applyFont="1" applyFill="1" applyAlignment="1" applyProtection="1">
      <alignment horizontal="center"/>
    </xf>
    <xf numFmtId="37" fontId="27" fillId="2" borderId="6" xfId="0" applyNumberFormat="1" applyFont="1" applyFill="1" applyBorder="1" applyProtection="1"/>
    <xf numFmtId="0" fontId="4" fillId="2" borderId="0" xfId="0" applyFont="1" applyFill="1" applyAlignment="1" applyProtection="1">
      <alignment horizontal="left" wrapText="1"/>
    </xf>
    <xf numFmtId="10" fontId="27" fillId="5" borderId="3" xfId="1" applyNumberFormat="1" applyFont="1" applyFill="1" applyBorder="1" applyAlignment="1" applyProtection="1">
      <alignment horizontal="right"/>
    </xf>
    <xf numFmtId="10" fontId="27" fillId="2" borderId="0" xfId="0" applyNumberFormat="1" applyFont="1" applyFill="1" applyBorder="1" applyProtection="1"/>
    <xf numFmtId="0" fontId="2" fillId="2" borderId="0" xfId="0" applyFont="1" applyFill="1" applyProtection="1"/>
    <xf numFmtId="0" fontId="6" fillId="0" borderId="0" xfId="0" applyFont="1" applyFill="1" applyProtection="1"/>
    <xf numFmtId="0" fontId="6" fillId="0" borderId="0" xfId="0" quotePrefix="1" applyFont="1" applyFill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Alignment="1" applyProtection="1">
      <alignment horizontal="center"/>
    </xf>
    <xf numFmtId="10" fontId="6" fillId="0" borderId="0" xfId="2" applyNumberFormat="1" applyFont="1" applyFill="1" applyBorder="1" applyProtection="1"/>
    <xf numFmtId="10" fontId="21" fillId="0" borderId="0" xfId="2" applyNumberFormat="1" applyFont="1" applyFill="1" applyBorder="1" applyProtection="1"/>
    <xf numFmtId="10" fontId="3" fillId="0" borderId="0" xfId="2" applyNumberFormat="1" applyFont="1" applyFill="1" applyBorder="1" applyProtection="1"/>
    <xf numFmtId="10" fontId="2" fillId="0" borderId="0" xfId="0" applyNumberFormat="1" applyFont="1" applyFill="1" applyAlignment="1" applyProtection="1">
      <alignment horizontal="center"/>
    </xf>
    <xf numFmtId="10" fontId="6" fillId="0" borderId="0" xfId="0" applyNumberFormat="1" applyFont="1" applyFill="1" applyProtection="1"/>
    <xf numFmtId="10" fontId="22" fillId="0" borderId="0" xfId="2" applyNumberFormat="1" applyFont="1" applyFill="1" applyBorder="1" applyProtection="1"/>
    <xf numFmtId="10" fontId="6" fillId="0" borderId="10" xfId="2" applyNumberFormat="1" applyFont="1" applyFill="1" applyBorder="1" applyProtection="1"/>
    <xf numFmtId="10" fontId="6" fillId="0" borderId="7" xfId="2" applyNumberFormat="1" applyFont="1" applyFill="1" applyBorder="1" applyProtection="1"/>
    <xf numFmtId="0" fontId="27" fillId="0" borderId="0" xfId="0" applyFont="1" applyFill="1" applyProtection="1"/>
    <xf numFmtId="0" fontId="27" fillId="0" borderId="0" xfId="0" quotePrefix="1" applyFont="1" applyFill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0" fontId="27" fillId="0" borderId="0" xfId="0" applyFont="1" applyFill="1" applyAlignment="1" applyProtection="1">
      <alignment horizontal="center"/>
    </xf>
    <xf numFmtId="10" fontId="27" fillId="0" borderId="0" xfId="2" applyNumberFormat="1" applyFont="1" applyFill="1" applyBorder="1" applyProtection="1"/>
    <xf numFmtId="10" fontId="30" fillId="0" borderId="0" xfId="2" applyNumberFormat="1" applyFont="1" applyFill="1" applyBorder="1" applyProtection="1"/>
    <xf numFmtId="10" fontId="27" fillId="0" borderId="0" xfId="0" applyNumberFormat="1" applyFont="1" applyFill="1" applyProtection="1"/>
    <xf numFmtId="10" fontId="33" fillId="0" borderId="0" xfId="2" applyNumberFormat="1" applyFont="1" applyFill="1" applyBorder="1" applyProtection="1"/>
    <xf numFmtId="10" fontId="27" fillId="0" borderId="10" xfId="2" applyNumberFormat="1" applyFont="1" applyFill="1" applyBorder="1" applyProtection="1"/>
    <xf numFmtId="10" fontId="27" fillId="0" borderId="7" xfId="2" applyNumberFormat="1" applyFont="1" applyFill="1" applyBorder="1" applyProtection="1"/>
    <xf numFmtId="167" fontId="6" fillId="2" borderId="0" xfId="3" applyNumberFormat="1" applyFont="1" applyFill="1" applyProtection="1"/>
    <xf numFmtId="167" fontId="27" fillId="2" borderId="0" xfId="3" applyNumberFormat="1" applyFont="1" applyFill="1" applyProtection="1"/>
    <xf numFmtId="44" fontId="6" fillId="2" borderId="0" xfId="2" applyFont="1" applyFill="1" applyProtection="1"/>
    <xf numFmtId="44" fontId="27" fillId="2" borderId="0" xfId="2" applyFont="1" applyFill="1" applyProtection="1"/>
    <xf numFmtId="0" fontId="36" fillId="2" borderId="0" xfId="0" applyFont="1" applyFill="1" applyAlignment="1" applyProtection="1">
      <alignment horizontal="right"/>
    </xf>
    <xf numFmtId="2" fontId="6" fillId="2" borderId="0" xfId="0" applyNumberFormat="1" applyFont="1" applyFill="1" applyProtection="1"/>
    <xf numFmtId="2" fontId="27" fillId="2" borderId="0" xfId="0" applyNumberFormat="1" applyFont="1" applyFill="1" applyProtection="1"/>
    <xf numFmtId="4" fontId="11" fillId="2" borderId="0" xfId="0" applyNumberFormat="1" applyFont="1" applyFill="1"/>
    <xf numFmtId="2" fontId="6" fillId="2" borderId="0" xfId="0" applyNumberFormat="1" applyFont="1" applyFill="1" applyAlignment="1" applyProtection="1">
      <alignment horizontal="right"/>
    </xf>
    <xf numFmtId="2" fontId="6" fillId="0" borderId="0" xfId="0" applyNumberFormat="1" applyFont="1" applyProtection="1"/>
    <xf numFmtId="2" fontId="6" fillId="2" borderId="0" xfId="2" applyNumberFormat="1" applyFont="1" applyFill="1" applyProtection="1"/>
    <xf numFmtId="2" fontId="27" fillId="2" borderId="0" xfId="0" applyNumberFormat="1" applyFont="1" applyFill="1" applyAlignment="1" applyProtection="1">
      <alignment horizontal="right"/>
    </xf>
    <xf numFmtId="2" fontId="27" fillId="0" borderId="0" xfId="0" applyNumberFormat="1" applyFont="1" applyProtection="1"/>
    <xf numFmtId="2" fontId="27" fillId="2" borderId="0" xfId="2" applyNumberFormat="1" applyFont="1" applyFill="1" applyProtection="1"/>
    <xf numFmtId="38" fontId="6" fillId="2" borderId="11" xfId="0" applyNumberFormat="1" applyFont="1" applyFill="1" applyBorder="1" applyAlignment="1" applyProtection="1">
      <alignment horizontal="right"/>
    </xf>
    <xf numFmtId="38" fontId="6" fillId="2" borderId="12" xfId="0" applyNumberFormat="1" applyFont="1" applyFill="1" applyBorder="1" applyProtection="1"/>
    <xf numFmtId="38" fontId="6" fillId="2" borderId="13" xfId="0" applyNumberFormat="1" applyFont="1" applyFill="1" applyBorder="1" applyAlignment="1" applyProtection="1">
      <alignment horizontal="right"/>
    </xf>
    <xf numFmtId="38" fontId="6" fillId="2" borderId="14" xfId="0" applyNumberFormat="1" applyFont="1" applyFill="1" applyBorder="1" applyProtection="1"/>
    <xf numFmtId="0" fontId="6" fillId="2" borderId="13" xfId="0" applyFont="1" applyFill="1" applyBorder="1" applyAlignment="1" applyProtection="1">
      <alignment horizontal="right"/>
    </xf>
    <xf numFmtId="38" fontId="6" fillId="2" borderId="15" xfId="0" applyNumberFormat="1" applyFont="1" applyFill="1" applyBorder="1" applyAlignment="1" applyProtection="1">
      <alignment horizontal="right"/>
    </xf>
    <xf numFmtId="38" fontId="6" fillId="2" borderId="16" xfId="0" applyNumberFormat="1" applyFont="1" applyFill="1" applyBorder="1" applyProtection="1"/>
    <xf numFmtId="38" fontId="7" fillId="0" borderId="0" xfId="0" applyNumberFormat="1" applyFont="1" applyAlignment="1" applyProtection="1">
      <alignment horizontal="center"/>
    </xf>
    <xf numFmtId="0" fontId="7" fillId="0" borderId="0" xfId="0" applyFont="1" applyProtection="1"/>
    <xf numFmtId="6" fontId="6" fillId="0" borderId="0" xfId="0" applyNumberFormat="1" applyFont="1" applyAlignment="1" applyProtection="1">
      <alignment horizontal="left"/>
    </xf>
    <xf numFmtId="6" fontId="41" fillId="0" borderId="0" xfId="0" quotePrefix="1" applyNumberFormat="1" applyFont="1" applyAlignment="1" applyProtection="1">
      <alignment horizontal="center"/>
    </xf>
    <xf numFmtId="14" fontId="41" fillId="0" borderId="1" xfId="0" applyNumberFormat="1" applyFont="1" applyBorder="1" applyAlignment="1" applyProtection="1">
      <alignment horizontal="center"/>
    </xf>
    <xf numFmtId="14" fontId="41" fillId="0" borderId="9" xfId="0" applyNumberFormat="1" applyFont="1" applyBorder="1" applyAlignment="1" applyProtection="1">
      <alignment horizontal="center"/>
    </xf>
    <xf numFmtId="6" fontId="41" fillId="0" borderId="0" xfId="0" applyNumberFormat="1" applyFont="1" applyAlignment="1" applyProtection="1">
      <alignment horizontal="centerContinuous"/>
    </xf>
    <xf numFmtId="6" fontId="41" fillId="2" borderId="0" xfId="0" applyNumberFormat="1" applyFont="1" applyFill="1" applyProtection="1"/>
    <xf numFmtId="6" fontId="41" fillId="5" borderId="3" xfId="0" applyNumberFormat="1" applyFont="1" applyFill="1" applyBorder="1" applyProtection="1"/>
    <xf numFmtId="0" fontId="41" fillId="0" borderId="0" xfId="0" applyFont="1" applyProtection="1"/>
    <xf numFmtId="6" fontId="41" fillId="2" borderId="0" xfId="0" applyNumberFormat="1" applyFont="1" applyFill="1" applyBorder="1" applyProtection="1"/>
    <xf numFmtId="6" fontId="41" fillId="2" borderId="2" xfId="0" applyNumberFormat="1" applyFont="1" applyFill="1" applyBorder="1" applyProtection="1"/>
    <xf numFmtId="6" fontId="41" fillId="2" borderId="6" xfId="0" applyNumberFormat="1" applyFont="1" applyFill="1" applyBorder="1" applyProtection="1"/>
    <xf numFmtId="5" fontId="41" fillId="5" borderId="3" xfId="0" applyNumberFormat="1" applyFont="1" applyFill="1" applyBorder="1" applyProtection="1"/>
    <xf numFmtId="37" fontId="41" fillId="2" borderId="0" xfId="0" applyNumberFormat="1" applyFont="1" applyFill="1" applyProtection="1"/>
    <xf numFmtId="37" fontId="41" fillId="5" borderId="3" xfId="1" applyNumberFormat="1" applyFont="1" applyFill="1" applyBorder="1" applyProtection="1"/>
    <xf numFmtId="3" fontId="41" fillId="5" borderId="5" xfId="1" applyNumberFormat="1" applyFont="1" applyFill="1" applyBorder="1" applyProtection="1"/>
    <xf numFmtId="1" fontId="41" fillId="2" borderId="0" xfId="0" applyNumberFormat="1" applyFont="1" applyFill="1" applyProtection="1"/>
    <xf numFmtId="37" fontId="41" fillId="5" borderId="3" xfId="0" applyNumberFormat="1" applyFont="1" applyFill="1" applyBorder="1" applyProtection="1"/>
    <xf numFmtId="37" fontId="41" fillId="2" borderId="0" xfId="0" applyNumberFormat="1" applyFont="1" applyFill="1" applyBorder="1" applyProtection="1"/>
    <xf numFmtId="10" fontId="41" fillId="2" borderId="0" xfId="0" applyNumberFormat="1" applyFont="1" applyFill="1" applyBorder="1" applyProtection="1"/>
    <xf numFmtId="0" fontId="41" fillId="0" borderId="0" xfId="0" applyFont="1" applyAlignment="1" applyProtection="1">
      <alignment horizontal="right"/>
    </xf>
    <xf numFmtId="6" fontId="39" fillId="0" borderId="7" xfId="0" applyNumberFormat="1" applyFont="1" applyBorder="1" applyAlignment="1" applyProtection="1">
      <alignment horizontal="left"/>
    </xf>
    <xf numFmtId="6" fontId="39" fillId="0" borderId="0" xfId="0" applyNumberFormat="1" applyFont="1" applyAlignment="1" applyProtection="1">
      <alignment horizontal="left"/>
    </xf>
    <xf numFmtId="6" fontId="6" fillId="0" borderId="0" xfId="0" applyNumberFormat="1" applyFont="1" applyAlignment="1" applyProtection="1"/>
    <xf numFmtId="0" fontId="35" fillId="0" borderId="0" xfId="0" applyFont="1" applyBorder="1" applyAlignment="1">
      <alignment horizontal="left" vertical="top"/>
    </xf>
    <xf numFmtId="0" fontId="6" fillId="0" borderId="6" xfId="0" applyFont="1" applyFill="1" applyBorder="1" applyAlignment="1" applyProtection="1">
      <alignment wrapText="1"/>
    </xf>
    <xf numFmtId="37" fontId="36" fillId="2" borderId="0" xfId="0" applyNumberFormat="1" applyFont="1" applyFill="1" applyBorder="1" applyAlignment="1" applyProtection="1">
      <alignment wrapText="1"/>
    </xf>
    <xf numFmtId="6" fontId="7" fillId="0" borderId="0" xfId="0" applyNumberFormat="1" applyFont="1" applyAlignment="1" applyProtection="1"/>
    <xf numFmtId="38" fontId="6" fillId="2" borderId="17" xfId="0" applyNumberFormat="1" applyFont="1" applyFill="1" applyBorder="1" applyProtection="1"/>
    <xf numFmtId="0" fontId="22" fillId="2" borderId="0" xfId="0" applyFont="1" applyFill="1" applyBorder="1" applyProtection="1"/>
    <xf numFmtId="0" fontId="6" fillId="2" borderId="0" xfId="0" applyFont="1" applyFill="1" applyBorder="1" applyProtection="1"/>
    <xf numFmtId="10" fontId="6" fillId="2" borderId="10" xfId="2" applyNumberFormat="1" applyFont="1" applyFill="1" applyBorder="1" applyProtection="1"/>
    <xf numFmtId="10" fontId="6" fillId="2" borderId="7" xfId="2" applyNumberFormat="1" applyFont="1" applyFill="1" applyBorder="1" applyProtection="1"/>
    <xf numFmtId="38" fontId="45" fillId="0" borderId="0" xfId="0" applyNumberFormat="1" applyFont="1" applyAlignment="1" applyProtection="1">
      <alignment horizontal="left"/>
    </xf>
    <xf numFmtId="0" fontId="47" fillId="0" borderId="0" xfId="0" applyFont="1" applyAlignment="1" applyProtection="1">
      <alignment horizontal="right"/>
    </xf>
    <xf numFmtId="6" fontId="8" fillId="0" borderId="0" xfId="0" applyNumberFormat="1" applyFont="1" applyFill="1" applyBorder="1"/>
    <xf numFmtId="14" fontId="6" fillId="0" borderId="0" xfId="0" applyNumberFormat="1" applyFont="1" applyAlignment="1" applyProtection="1">
      <alignment horizontal="left"/>
    </xf>
    <xf numFmtId="38" fontId="11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6" fontId="47" fillId="5" borderId="3" xfId="0" applyNumberFormat="1" applyFont="1" applyFill="1" applyBorder="1" applyProtection="1"/>
    <xf numFmtId="6" fontId="47" fillId="0" borderId="0" xfId="0" quotePrefix="1" applyNumberFormat="1" applyFont="1" applyAlignment="1" applyProtection="1">
      <alignment horizontal="center"/>
    </xf>
    <xf numFmtId="14" fontId="47" fillId="0" borderId="1" xfId="0" applyNumberFormat="1" applyFont="1" applyBorder="1" applyAlignment="1" applyProtection="1">
      <alignment horizontal="center"/>
    </xf>
    <xf numFmtId="14" fontId="47" fillId="0" borderId="9" xfId="0" applyNumberFormat="1" applyFont="1" applyBorder="1" applyAlignment="1" applyProtection="1">
      <alignment horizontal="center"/>
    </xf>
    <xf numFmtId="6" fontId="47" fillId="2" borderId="0" xfId="0" applyNumberFormat="1" applyFont="1" applyFill="1" applyBorder="1" applyProtection="1"/>
    <xf numFmtId="6" fontId="47" fillId="2" borderId="2" xfId="0" applyNumberFormat="1" applyFont="1" applyFill="1" applyBorder="1" applyProtection="1"/>
    <xf numFmtId="5" fontId="47" fillId="5" borderId="3" xfId="0" applyNumberFormat="1" applyFont="1" applyFill="1" applyBorder="1" applyProtection="1"/>
    <xf numFmtId="6" fontId="47" fillId="2" borderId="0" xfId="0" applyNumberFormat="1" applyFont="1" applyFill="1" applyProtection="1"/>
    <xf numFmtId="37" fontId="47" fillId="2" borderId="0" xfId="0" applyNumberFormat="1" applyFont="1" applyFill="1" applyProtection="1"/>
    <xf numFmtId="37" fontId="47" fillId="5" borderId="3" xfId="1" applyNumberFormat="1" applyFont="1" applyFill="1" applyBorder="1" applyProtection="1"/>
    <xf numFmtId="3" fontId="47" fillId="5" borderId="5" xfId="1" applyNumberFormat="1" applyFont="1" applyFill="1" applyBorder="1" applyProtection="1"/>
    <xf numFmtId="37" fontId="47" fillId="2" borderId="0" xfId="0" applyNumberFormat="1" applyFont="1" applyFill="1" applyBorder="1" applyProtection="1"/>
    <xf numFmtId="0" fontId="47" fillId="0" borderId="0" xfId="0" applyFont="1" applyProtection="1"/>
    <xf numFmtId="1" fontId="47" fillId="2" borderId="0" xfId="0" applyNumberFormat="1" applyFont="1" applyFill="1" applyProtection="1"/>
    <xf numFmtId="37" fontId="47" fillId="5" borderId="3" xfId="0" applyNumberFormat="1" applyFont="1" applyFill="1" applyBorder="1" applyProtection="1"/>
    <xf numFmtId="10" fontId="47" fillId="2" borderId="0" xfId="0" applyNumberFormat="1" applyFont="1" applyFill="1" applyBorder="1" applyProtection="1"/>
    <xf numFmtId="6" fontId="47" fillId="0" borderId="0" xfId="0" applyNumberFormat="1" applyFont="1" applyAlignment="1" applyProtection="1">
      <alignment horizontal="centerContinuous"/>
    </xf>
    <xf numFmtId="6" fontId="47" fillId="2" borderId="6" xfId="0" applyNumberFormat="1" applyFont="1" applyFill="1" applyBorder="1" applyProtection="1"/>
    <xf numFmtId="0" fontId="43" fillId="0" borderId="0" xfId="0" applyFont="1" applyAlignment="1" applyProtection="1"/>
    <xf numFmtId="0" fontId="43" fillId="0" borderId="0" xfId="0" applyFont="1" applyAlignment="1"/>
    <xf numFmtId="0" fontId="49" fillId="0" borderId="0" xfId="0" applyFont="1" applyAlignment="1" applyProtection="1">
      <alignment horizontal="left" wrapText="1"/>
    </xf>
    <xf numFmtId="6" fontId="36" fillId="0" borderId="0" xfId="0" applyNumberFormat="1" applyFont="1" applyAlignment="1" applyProtection="1">
      <alignment horizontal="left"/>
    </xf>
    <xf numFmtId="0" fontId="44" fillId="0" borderId="0" xfId="0" applyFont="1" applyAlignment="1"/>
    <xf numFmtId="6" fontId="27" fillId="0" borderId="0" xfId="0" applyNumberFormat="1" applyFont="1" applyAlignment="1" applyProtection="1">
      <alignment horizontal="left"/>
    </xf>
    <xf numFmtId="6" fontId="51" fillId="0" borderId="0" xfId="0" quotePrefix="1" applyNumberFormat="1" applyFont="1" applyAlignment="1" applyProtection="1">
      <alignment horizontal="center"/>
    </xf>
    <xf numFmtId="14" fontId="51" fillId="0" borderId="1" xfId="0" applyNumberFormat="1" applyFont="1" applyBorder="1" applyAlignment="1" applyProtection="1">
      <alignment horizontal="center"/>
    </xf>
    <xf numFmtId="14" fontId="51" fillId="0" borderId="9" xfId="0" applyNumberFormat="1" applyFont="1" applyBorder="1" applyAlignment="1" applyProtection="1">
      <alignment horizontal="center"/>
    </xf>
    <xf numFmtId="6" fontId="51" fillId="2" borderId="0" xfId="0" applyNumberFormat="1" applyFont="1" applyFill="1" applyProtection="1"/>
    <xf numFmtId="6" fontId="51" fillId="5" borderId="3" xfId="0" applyNumberFormat="1" applyFont="1" applyFill="1" applyBorder="1" applyProtection="1"/>
    <xf numFmtId="0" fontId="51" fillId="0" borderId="0" xfId="0" applyFont="1" applyProtection="1"/>
    <xf numFmtId="0" fontId="42" fillId="0" borderId="0" xfId="0" applyFont="1" applyProtection="1"/>
    <xf numFmtId="0" fontId="50" fillId="0" borderId="0" xfId="0" applyFont="1" applyProtection="1"/>
    <xf numFmtId="0" fontId="48" fillId="0" borderId="0" xfId="0" applyFont="1"/>
    <xf numFmtId="0" fontId="38" fillId="0" borderId="0" xfId="0" applyFont="1" applyAlignment="1" applyProtection="1">
      <alignment horizontal="left"/>
    </xf>
    <xf numFmtId="6" fontId="47" fillId="6" borderId="0" xfId="0" applyNumberFormat="1" applyFont="1" applyFill="1" applyProtection="1"/>
    <xf numFmtId="0" fontId="17" fillId="0" borderId="0" xfId="0" applyFont="1" applyProtection="1"/>
    <xf numFmtId="0" fontId="37" fillId="0" borderId="0" xfId="0" applyFont="1"/>
    <xf numFmtId="0" fontId="0" fillId="0" borderId="0" xfId="0" applyFont="1"/>
    <xf numFmtId="0" fontId="54" fillId="2" borderId="0" xfId="0" applyFont="1" applyFill="1" applyProtection="1"/>
    <xf numFmtId="0" fontId="56" fillId="0" borderId="0" xfId="0" applyFont="1" applyProtection="1"/>
    <xf numFmtId="0" fontId="57" fillId="0" borderId="0" xfId="0" applyFont="1" applyProtection="1"/>
    <xf numFmtId="170" fontId="6" fillId="5" borderId="3" xfId="1" applyNumberFormat="1" applyFont="1" applyFill="1" applyBorder="1" applyProtection="1"/>
    <xf numFmtId="38" fontId="6" fillId="5" borderId="3" xfId="1" applyNumberFormat="1" applyFont="1" applyFill="1" applyBorder="1" applyProtection="1"/>
    <xf numFmtId="0" fontId="37" fillId="0" borderId="0" xfId="0" applyFont="1" applyProtection="1"/>
    <xf numFmtId="0" fontId="39" fillId="0" borderId="0" xfId="0" applyFont="1" applyProtection="1"/>
    <xf numFmtId="0" fontId="36" fillId="0" borderId="0" xfId="0" applyFont="1" applyProtection="1"/>
    <xf numFmtId="171" fontId="6" fillId="2" borderId="0" xfId="0" applyNumberFormat="1" applyFont="1" applyFill="1" applyAlignment="1" applyProtection="1">
      <alignment horizontal="right"/>
    </xf>
    <xf numFmtId="6" fontId="6" fillId="7" borderId="0" xfId="0" applyNumberFormat="1" applyFont="1" applyFill="1" applyBorder="1" applyProtection="1"/>
    <xf numFmtId="37" fontId="58" fillId="5" borderId="3" xfId="1" applyNumberFormat="1" applyFont="1" applyFill="1" applyBorder="1" applyProtection="1"/>
    <xf numFmtId="3" fontId="58" fillId="5" borderId="5" xfId="1" applyNumberFormat="1" applyFont="1" applyFill="1" applyBorder="1" applyProtection="1"/>
    <xf numFmtId="10" fontId="6" fillId="7" borderId="0" xfId="2" applyNumberFormat="1" applyFont="1" applyFill="1" applyBorder="1" applyProtection="1"/>
    <xf numFmtId="0" fontId="6" fillId="7" borderId="0" xfId="0" applyFont="1" applyFill="1" applyAlignment="1" applyProtection="1">
      <alignment horizontal="right"/>
    </xf>
    <xf numFmtId="0" fontId="27" fillId="7" borderId="0" xfId="0" applyFont="1" applyFill="1" applyAlignment="1" applyProtection="1">
      <alignment horizontal="right"/>
    </xf>
    <xf numFmtId="0" fontId="60" fillId="0" borderId="0" xfId="0" applyFont="1" applyProtection="1"/>
    <xf numFmtId="0" fontId="44" fillId="0" borderId="0" xfId="0" applyFont="1" applyAlignment="1"/>
    <xf numFmtId="0" fontId="39" fillId="0" borderId="0" xfId="0" applyFont="1" applyAlignment="1" applyProtection="1"/>
    <xf numFmtId="6" fontId="6" fillId="0" borderId="0" xfId="0" applyNumberFormat="1" applyFont="1" applyAlignment="1" applyProtection="1">
      <alignment horizontal="center"/>
    </xf>
    <xf numFmtId="0" fontId="6" fillId="0" borderId="0" xfId="0" applyFont="1" applyAlignment="1" applyProtection="1"/>
    <xf numFmtId="0" fontId="6" fillId="0" borderId="0" xfId="0" applyFont="1" applyFill="1" applyAlignment="1" applyProtection="1"/>
    <xf numFmtId="0" fontId="48" fillId="0" borderId="0" xfId="0" applyFont="1" applyAlignment="1"/>
    <xf numFmtId="0" fontId="0" fillId="0" borderId="0" xfId="0" applyAlignment="1"/>
    <xf numFmtId="0" fontId="47" fillId="0" borderId="0" xfId="0" applyFont="1" applyAlignment="1" applyProtection="1"/>
    <xf numFmtId="0" fontId="27" fillId="0" borderId="0" xfId="0" applyFont="1" applyAlignment="1" applyProtection="1"/>
    <xf numFmtId="0" fontId="27" fillId="0" borderId="0" xfId="0" applyFont="1" applyFill="1" applyAlignment="1" applyProtection="1"/>
    <xf numFmtId="38" fontId="7" fillId="0" borderId="0" xfId="0" applyNumberFormat="1" applyFont="1" applyAlignment="1" applyProtection="1"/>
    <xf numFmtId="6" fontId="6" fillId="4" borderId="3" xfId="0" applyNumberFormat="1" applyFont="1" applyFill="1" applyBorder="1" applyProtection="1"/>
    <xf numFmtId="38" fontId="6" fillId="4" borderId="3" xfId="0" applyNumberFormat="1" applyFont="1" applyFill="1" applyBorder="1" applyProtection="1"/>
    <xf numFmtId="3" fontId="6" fillId="4" borderId="3" xfId="0" applyNumberFormat="1" applyFont="1" applyFill="1" applyBorder="1" applyProtection="1"/>
    <xf numFmtId="3" fontId="6" fillId="2" borderId="0" xfId="0" applyNumberFormat="1" applyFont="1" applyFill="1" applyBorder="1" applyProtection="1"/>
    <xf numFmtId="6" fontId="6" fillId="10" borderId="3" xfId="0" applyNumberFormat="1" applyFont="1" applyFill="1" applyBorder="1" applyProtection="1"/>
    <xf numFmtId="38" fontId="6" fillId="10" borderId="3" xfId="0" applyNumberFormat="1" applyFont="1" applyFill="1" applyBorder="1" applyProtection="1"/>
    <xf numFmtId="3" fontId="6" fillId="10" borderId="3" xfId="0" applyNumberFormat="1" applyFont="1" applyFill="1" applyBorder="1" applyProtection="1"/>
    <xf numFmtId="10" fontId="6" fillId="10" borderId="3" xfId="0" applyNumberFormat="1" applyFont="1" applyFill="1" applyBorder="1" applyProtection="1"/>
    <xf numFmtId="38" fontId="63" fillId="0" borderId="0" xfId="0" applyNumberFormat="1" applyFont="1" applyAlignment="1" applyProtection="1"/>
    <xf numFmtId="14" fontId="6" fillId="0" borderId="3" xfId="0" applyNumberFormat="1" applyFont="1" applyBorder="1" applyAlignment="1" applyProtection="1">
      <alignment horizontal="center"/>
      <protection locked="0"/>
    </xf>
    <xf numFmtId="6" fontId="6" fillId="11" borderId="3" xfId="0" applyNumberFormat="1" applyFont="1" applyFill="1" applyBorder="1" applyProtection="1"/>
    <xf numFmtId="6" fontId="6" fillId="2" borderId="0" xfId="0" applyNumberFormat="1" applyFont="1" applyFill="1" applyAlignment="1" applyProtection="1">
      <alignment horizontal="right"/>
    </xf>
    <xf numFmtId="0" fontId="36" fillId="0" borderId="0" xfId="0" applyFont="1" applyAlignment="1" applyProtection="1">
      <alignment wrapText="1"/>
    </xf>
    <xf numFmtId="1" fontId="6" fillId="0" borderId="0" xfId="0" applyNumberFormat="1" applyFont="1" applyFill="1" applyProtection="1"/>
    <xf numFmtId="37" fontId="6" fillId="0" borderId="0" xfId="0" applyNumberFormat="1" applyFont="1" applyFill="1" applyProtection="1"/>
    <xf numFmtId="6" fontId="6" fillId="2" borderId="6" xfId="0" applyNumberFormat="1" applyFont="1" applyFill="1" applyBorder="1" applyAlignment="1" applyProtection="1">
      <alignment horizontal="center"/>
    </xf>
    <xf numFmtId="6" fontId="20" fillId="0" borderId="0" xfId="0" applyNumberFormat="1" applyFont="1" applyAlignment="1" applyProtection="1">
      <alignment horizontal="left"/>
    </xf>
    <xf numFmtId="6" fontId="6" fillId="0" borderId="0" xfId="0" applyNumberFormat="1" applyFont="1" applyFill="1" applyAlignment="1" applyProtection="1">
      <alignment horizontal="centerContinuous"/>
    </xf>
    <xf numFmtId="14" fontId="6" fillId="11" borderId="3" xfId="0" applyNumberFormat="1" applyFont="1" applyFill="1" applyBorder="1" applyProtection="1"/>
    <xf numFmtId="1" fontId="6" fillId="11" borderId="3" xfId="0" applyNumberFormat="1" applyFont="1" applyFill="1" applyBorder="1" applyProtection="1"/>
    <xf numFmtId="37" fontId="65" fillId="5" borderId="3" xfId="0" applyNumberFormat="1" applyFont="1" applyFill="1" applyBorder="1" applyAlignment="1" applyProtection="1">
      <alignment horizontal="right"/>
    </xf>
    <xf numFmtId="37" fontId="65" fillId="0" borderId="0" xfId="0" applyNumberFormat="1" applyFont="1" applyFill="1" applyBorder="1" applyAlignment="1" applyProtection="1">
      <alignment horizontal="right"/>
    </xf>
    <xf numFmtId="0" fontId="27" fillId="0" borderId="0" xfId="0" applyFont="1" applyFill="1" applyAlignment="1" applyProtection="1">
      <alignment horizontal="right"/>
    </xf>
    <xf numFmtId="0" fontId="6" fillId="0" borderId="0" xfId="0" applyFont="1" applyFill="1" applyAlignment="1" applyProtection="1">
      <alignment horizontal="right"/>
    </xf>
    <xf numFmtId="6" fontId="39" fillId="2" borderId="0" xfId="0" applyNumberFormat="1" applyFont="1" applyFill="1" applyProtection="1"/>
    <xf numFmtId="6" fontId="39" fillId="2" borderId="0" xfId="0" applyNumberFormat="1" applyFont="1" applyFill="1" applyAlignment="1" applyProtection="1">
      <alignment horizontal="right"/>
    </xf>
    <xf numFmtId="37" fontId="36" fillId="2" borderId="0" xfId="0" applyNumberFormat="1" applyFont="1" applyFill="1" applyProtection="1"/>
    <xf numFmtId="37" fontId="36" fillId="5" borderId="3" xfId="0" applyNumberFormat="1" applyFont="1" applyFill="1" applyBorder="1" applyProtection="1"/>
    <xf numFmtId="0" fontId="36" fillId="2" borderId="0" xfId="0" applyFont="1" applyFill="1" applyProtection="1"/>
    <xf numFmtId="0" fontId="36" fillId="0" borderId="0" xfId="0" applyFont="1" applyAlignment="1" applyProtection="1"/>
    <xf numFmtId="0" fontId="36" fillId="0" borderId="0" xfId="0" applyFont="1" applyAlignment="1" applyProtection="1">
      <alignment horizontal="center"/>
    </xf>
    <xf numFmtId="0" fontId="37" fillId="0" borderId="0" xfId="0" applyFont="1" applyAlignment="1">
      <alignment horizontal="center"/>
    </xf>
    <xf numFmtId="3" fontId="6" fillId="2" borderId="3" xfId="0" applyNumberFormat="1" applyFont="1" applyFill="1" applyBorder="1" applyProtection="1"/>
    <xf numFmtId="3" fontId="6" fillId="2" borderId="0" xfId="0" applyNumberFormat="1" applyFont="1" applyFill="1" applyProtection="1"/>
    <xf numFmtId="3" fontId="15" fillId="0" borderId="0" xfId="0" applyNumberFormat="1" applyFont="1" applyBorder="1" applyAlignment="1" applyProtection="1">
      <alignment horizontal="left"/>
    </xf>
    <xf numFmtId="3" fontId="15" fillId="0" borderId="0" xfId="0" quotePrefix="1" applyNumberFormat="1" applyFont="1" applyBorder="1" applyAlignment="1" applyProtection="1">
      <alignment horizontal="left"/>
    </xf>
    <xf numFmtId="3" fontId="15" fillId="0" borderId="0" xfId="0" applyNumberFormat="1" applyFont="1" applyAlignment="1" applyProtection="1">
      <alignment horizontal="left"/>
    </xf>
    <xf numFmtId="3" fontId="22" fillId="2" borderId="0" xfId="0" applyNumberFormat="1" applyFont="1" applyFill="1" applyBorder="1" applyProtection="1"/>
    <xf numFmtId="3" fontId="6" fillId="2" borderId="17" xfId="0" applyNumberFormat="1" applyFont="1" applyFill="1" applyBorder="1" applyProtection="1"/>
    <xf numFmtId="3" fontId="24" fillId="0" borderId="0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 applyBorder="1" applyAlignment="1" applyProtection="1">
      <alignment horizontal="center"/>
    </xf>
    <xf numFmtId="3" fontId="24" fillId="0" borderId="0" xfId="0" applyNumberFormat="1" applyFont="1" applyFill="1" applyBorder="1" applyProtection="1"/>
    <xf numFmtId="0" fontId="36" fillId="2" borderId="0" xfId="0" applyFont="1" applyFill="1" applyAlignment="1" applyProtection="1">
      <alignment horizontal="center"/>
    </xf>
    <xf numFmtId="0" fontId="66" fillId="0" borderId="0" xfId="0" applyFont="1" applyProtection="1"/>
    <xf numFmtId="5" fontId="65" fillId="0" borderId="0" xfId="0" applyNumberFormat="1" applyFont="1" applyFill="1" applyBorder="1" applyAlignment="1" applyProtection="1">
      <alignment horizontal="center"/>
    </xf>
    <xf numFmtId="0" fontId="36" fillId="0" borderId="0" xfId="2" applyNumberFormat="1" applyFont="1" applyFill="1" applyBorder="1" applyProtection="1"/>
    <xf numFmtId="0" fontId="6" fillId="0" borderId="0" xfId="2" applyNumberFormat="1" applyFont="1" applyFill="1" applyBorder="1" applyProtection="1"/>
    <xf numFmtId="0" fontId="6" fillId="0" borderId="0" xfId="0" applyNumberFormat="1" applyFont="1" applyFill="1" applyAlignment="1" applyProtection="1"/>
    <xf numFmtId="0" fontId="6" fillId="0" borderId="0" xfId="0" applyNumberFormat="1" applyFont="1" applyFill="1" applyProtection="1"/>
    <xf numFmtId="0" fontId="6" fillId="0" borderId="0" xfId="0" quotePrefix="1" applyNumberFormat="1" applyFont="1" applyFill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Alignment="1" applyProtection="1">
      <alignment horizontal="center"/>
    </xf>
    <xf numFmtId="0" fontId="21" fillId="0" borderId="0" xfId="2" applyNumberFormat="1" applyFont="1" applyFill="1" applyBorder="1" applyProtection="1"/>
    <xf numFmtId="0" fontId="3" fillId="0" borderId="0" xfId="2" applyNumberFormat="1" applyFont="1" applyFill="1" applyBorder="1" applyProtection="1"/>
    <xf numFmtId="0" fontId="2" fillId="0" borderId="0" xfId="0" applyNumberFormat="1" applyFont="1" applyFill="1" applyAlignment="1" applyProtection="1">
      <alignment horizontal="center"/>
    </xf>
    <xf numFmtId="0" fontId="22" fillId="0" borderId="0" xfId="2" applyNumberFormat="1" applyFont="1" applyFill="1" applyBorder="1" applyProtection="1"/>
    <xf numFmtId="0" fontId="6" fillId="0" borderId="10" xfId="2" applyNumberFormat="1" applyFont="1" applyFill="1" applyBorder="1" applyProtection="1"/>
    <xf numFmtId="0" fontId="6" fillId="0" borderId="7" xfId="2" applyNumberFormat="1" applyFont="1" applyFill="1" applyBorder="1" applyProtection="1"/>
    <xf numFmtId="0" fontId="67" fillId="0" borderId="0" xfId="0" applyFont="1" applyProtection="1"/>
    <xf numFmtId="6" fontId="20" fillId="0" borderId="0" xfId="0" applyNumberFormat="1" applyFont="1" applyAlignment="1" applyProtection="1"/>
    <xf numFmtId="14" fontId="6" fillId="0" borderId="0" xfId="0" applyNumberFormat="1" applyFont="1" applyAlignment="1" applyProtection="1"/>
    <xf numFmtId="38" fontId="11" fillId="0" borderId="0" xfId="0" applyNumberFormat="1" applyFont="1" applyAlignment="1" applyProtection="1">
      <alignment horizontal="right"/>
    </xf>
    <xf numFmtId="6" fontId="21" fillId="10" borderId="3" xfId="0" applyNumberFormat="1" applyFont="1" applyFill="1" applyBorder="1" applyProtection="1"/>
    <xf numFmtId="38" fontId="68" fillId="2" borderId="0" xfId="0" applyNumberFormat="1" applyFont="1" applyFill="1" applyProtection="1"/>
    <xf numFmtId="3" fontId="13" fillId="4" borderId="3" xfId="0" applyNumberFormat="1" applyFont="1" applyFill="1" applyBorder="1" applyAlignment="1" applyProtection="1">
      <alignment horizontal="center"/>
      <protection locked="0"/>
    </xf>
    <xf numFmtId="38" fontId="36" fillId="0" borderId="0" xfId="0" applyNumberFormat="1" applyFont="1" applyProtection="1"/>
    <xf numFmtId="3" fontId="0" fillId="0" borderId="0" xfId="0" applyNumberFormat="1"/>
    <xf numFmtId="6" fontId="6" fillId="0" borderId="2" xfId="0" applyNumberFormat="1" applyFont="1" applyFill="1" applyBorder="1" applyProtection="1"/>
    <xf numFmtId="164" fontId="55" fillId="0" borderId="0" xfId="0" applyNumberFormat="1" applyFont="1" applyAlignment="1" applyProtection="1">
      <alignment horizontal="center"/>
    </xf>
    <xf numFmtId="0" fontId="55" fillId="0" borderId="0" xfId="0" applyFont="1" applyAlignment="1" applyProtection="1">
      <alignment horizontal="center"/>
    </xf>
    <xf numFmtId="3" fontId="6" fillId="0" borderId="0" xfId="0" applyNumberFormat="1" applyFont="1" applyProtection="1"/>
    <xf numFmtId="3" fontId="6" fillId="8" borderId="3" xfId="0" applyNumberFormat="1" applyFont="1" applyFill="1" applyBorder="1" applyProtection="1"/>
    <xf numFmtId="3" fontId="13" fillId="8" borderId="3" xfId="0" applyNumberFormat="1" applyFont="1" applyFill="1" applyBorder="1" applyProtection="1"/>
    <xf numFmtId="167" fontId="6" fillId="2" borderId="0" xfId="0" applyNumberFormat="1" applyFont="1" applyFill="1" applyProtection="1"/>
    <xf numFmtId="167" fontId="27" fillId="2" borderId="0" xfId="0" applyNumberFormat="1" applyFont="1" applyFill="1" applyProtection="1"/>
    <xf numFmtId="10" fontId="36" fillId="0" borderId="0" xfId="2" applyNumberFormat="1" applyFont="1" applyFill="1" applyBorder="1" applyProtection="1"/>
    <xf numFmtId="0" fontId="20" fillId="0" borderId="0" xfId="0" applyFont="1" applyAlignment="1" applyProtection="1"/>
    <xf numFmtId="6" fontId="6" fillId="2" borderId="18" xfId="0" applyNumberFormat="1" applyFont="1" applyFill="1" applyBorder="1" applyProtection="1"/>
    <xf numFmtId="6" fontId="6" fillId="10" borderId="19" xfId="0" applyNumberFormat="1" applyFont="1" applyFill="1" applyBorder="1" applyProtection="1"/>
    <xf numFmtId="3" fontId="6" fillId="2" borderId="19" xfId="0" applyNumberFormat="1" applyFont="1" applyFill="1" applyBorder="1" applyProtection="1"/>
    <xf numFmtId="0" fontId="1" fillId="0" borderId="0" xfId="0" applyFont="1" applyAlignment="1" applyProtection="1">
      <alignment horizontal="left"/>
    </xf>
    <xf numFmtId="6" fontId="36" fillId="0" borderId="0" xfId="0" applyNumberFormat="1" applyFont="1" applyAlignment="1" applyProtection="1">
      <alignment horizontal="center"/>
    </xf>
    <xf numFmtId="6" fontId="6" fillId="0" borderId="18" xfId="0" applyNumberFormat="1" applyFont="1" applyFill="1" applyBorder="1" applyProtection="1"/>
    <xf numFmtId="6" fontId="6" fillId="9" borderId="3" xfId="0" applyNumberFormat="1" applyFont="1" applyFill="1" applyBorder="1" applyProtection="1"/>
    <xf numFmtId="6" fontId="36" fillId="5" borderId="3" xfId="0" applyNumberFormat="1" applyFont="1" applyFill="1" applyBorder="1" applyProtection="1"/>
    <xf numFmtId="0" fontId="6" fillId="0" borderId="0" xfId="0" applyFont="1" applyAlignment="1" applyProtection="1">
      <alignment vertical="center"/>
    </xf>
    <xf numFmtId="37" fontId="6" fillId="2" borderId="0" xfId="5" applyNumberFormat="1" applyFont="1" applyFill="1" applyProtection="1"/>
    <xf numFmtId="0" fontId="6" fillId="2" borderId="0" xfId="5" applyNumberFormat="1" applyFont="1" applyFill="1" applyProtection="1"/>
    <xf numFmtId="37" fontId="6" fillId="2" borderId="6" xfId="5" applyNumberFormat="1" applyFont="1" applyFill="1" applyBorder="1" applyProtection="1"/>
    <xf numFmtId="38" fontId="63" fillId="0" borderId="0" xfId="0" applyNumberFormat="1" applyFont="1" applyAlignment="1" applyProtection="1">
      <alignment horizontal="left"/>
    </xf>
    <xf numFmtId="37" fontId="6" fillId="0" borderId="0" xfId="0" applyNumberFormat="1" applyFont="1" applyFill="1" applyBorder="1" applyProtection="1"/>
    <xf numFmtId="3" fontId="6" fillId="0" borderId="20" xfId="0" applyNumberFormat="1" applyFont="1" applyFill="1" applyBorder="1" applyProtection="1"/>
    <xf numFmtId="37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38" fontId="69" fillId="0" borderId="0" xfId="0" applyNumberFormat="1" applyFont="1" applyAlignment="1" applyProtection="1">
      <alignment horizontal="left"/>
    </xf>
    <xf numFmtId="6" fontId="6" fillId="11" borderId="0" xfId="0" applyNumberFormat="1" applyFont="1" applyFill="1" applyProtection="1"/>
    <xf numFmtId="37" fontId="6" fillId="2" borderId="0" xfId="5" applyNumberFormat="1" applyFont="1" applyFill="1" applyProtection="1"/>
    <xf numFmtId="0" fontId="6" fillId="2" borderId="0" xfId="5" applyNumberFormat="1" applyFont="1" applyFill="1" applyProtection="1"/>
    <xf numFmtId="37" fontId="6" fillId="2" borderId="6" xfId="5" applyNumberFormat="1" applyFont="1" applyFill="1" applyBorder="1" applyProtection="1"/>
    <xf numFmtId="6" fontId="36" fillId="11" borderId="0" xfId="0" applyNumberFormat="1" applyFont="1" applyFill="1" applyProtection="1"/>
    <xf numFmtId="6" fontId="36" fillId="2" borderId="0" xfId="0" applyNumberFormat="1" applyFont="1" applyFill="1" applyProtection="1"/>
    <xf numFmtId="38" fontId="20" fillId="0" borderId="0" xfId="0" applyNumberFormat="1" applyFont="1" applyProtection="1"/>
    <xf numFmtId="6" fontId="42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38" fontId="36" fillId="2" borderId="0" xfId="0" applyNumberFormat="1" applyFont="1" applyFill="1" applyBorder="1" applyProtection="1"/>
    <xf numFmtId="38" fontId="36" fillId="2" borderId="0" xfId="0" applyNumberFormat="1" applyFont="1" applyFill="1" applyProtection="1"/>
    <xf numFmtId="0" fontId="43" fillId="0" borderId="0" xfId="0" applyFont="1" applyAlignment="1">
      <alignment horizontal="center"/>
    </xf>
    <xf numFmtId="0" fontId="70" fillId="0" borderId="0" xfId="0" applyFont="1"/>
    <xf numFmtId="3" fontId="6" fillId="5" borderId="3" xfId="0" applyNumberFormat="1" applyFont="1" applyFill="1" applyBorder="1" applyProtection="1"/>
    <xf numFmtId="0" fontId="71" fillId="0" borderId="0" xfId="0" applyFont="1"/>
    <xf numFmtId="0" fontId="71" fillId="0" borderId="0" xfId="0" applyFont="1" applyProtection="1"/>
    <xf numFmtId="3" fontId="36" fillId="2" borderId="0" xfId="0" applyNumberFormat="1" applyFont="1" applyFill="1" applyBorder="1" applyProtection="1"/>
    <xf numFmtId="38" fontId="6" fillId="10" borderId="19" xfId="0" applyNumberFormat="1" applyFont="1" applyFill="1" applyBorder="1" applyProtection="1"/>
    <xf numFmtId="3" fontId="6" fillId="10" borderId="19" xfId="0" applyNumberFormat="1" applyFont="1" applyFill="1" applyBorder="1" applyProtection="1"/>
    <xf numFmtId="10" fontId="6" fillId="10" borderId="19" xfId="0" applyNumberFormat="1" applyFont="1" applyFill="1" applyBorder="1" applyProtection="1"/>
    <xf numFmtId="0" fontId="36" fillId="0" borderId="0" xfId="0" applyFont="1"/>
    <xf numFmtId="0" fontId="72" fillId="0" borderId="0" xfId="0" applyFont="1" applyProtection="1"/>
    <xf numFmtId="14" fontId="39" fillId="0" borderId="0" xfId="0" applyNumberFormat="1" applyFont="1" applyAlignment="1" applyProtection="1">
      <alignment horizontal="center"/>
    </xf>
    <xf numFmtId="6" fontId="74" fillId="2" borderId="0" xfId="0" applyNumberFormat="1" applyFont="1" applyFill="1" applyProtection="1"/>
    <xf numFmtId="0" fontId="75" fillId="2" borderId="0" xfId="0" applyFont="1" applyFill="1" applyAlignment="1" applyProtection="1">
      <alignment horizontal="right"/>
    </xf>
    <xf numFmtId="6" fontId="6" fillId="11" borderId="0" xfId="0" applyNumberFormat="1" applyFont="1" applyFill="1" applyAlignment="1" applyProtection="1">
      <alignment horizontal="left"/>
    </xf>
    <xf numFmtId="0" fontId="74" fillId="2" borderId="0" xfId="0" applyFont="1" applyFill="1" applyAlignment="1" applyProtection="1">
      <alignment horizontal="center"/>
    </xf>
    <xf numFmtId="14" fontId="6" fillId="0" borderId="0" xfId="0" applyNumberFormat="1" applyFont="1" applyBorder="1" applyAlignment="1" applyProtection="1">
      <alignment horizontal="center"/>
      <protection locked="0"/>
    </xf>
    <xf numFmtId="0" fontId="0" fillId="11" borderId="0" xfId="0" applyFill="1"/>
    <xf numFmtId="0" fontId="76" fillId="0" borderId="0" xfId="0" applyFont="1" applyProtection="1"/>
    <xf numFmtId="6" fontId="51" fillId="11" borderId="0" xfId="0" applyNumberFormat="1" applyFont="1" applyFill="1" applyAlignment="1" applyProtection="1">
      <alignment horizontal="left"/>
    </xf>
    <xf numFmtId="6" fontId="36" fillId="11" borderId="0" xfId="0" applyNumberFormat="1" applyFont="1" applyFill="1" applyAlignment="1" applyProtection="1">
      <alignment horizontal="left"/>
    </xf>
    <xf numFmtId="37" fontId="36" fillId="2" borderId="0" xfId="0" applyNumberFormat="1" applyFont="1" applyFill="1" applyBorder="1" applyProtection="1"/>
    <xf numFmtId="1" fontId="6" fillId="0" borderId="0" xfId="2" applyNumberFormat="1" applyFont="1" applyFill="1" applyBorder="1" applyProtection="1"/>
    <xf numFmtId="1" fontId="3" fillId="0" borderId="0" xfId="2" applyNumberFormat="1" applyFont="1" applyFill="1" applyBorder="1" applyProtection="1"/>
    <xf numFmtId="1" fontId="2" fillId="0" borderId="0" xfId="0" applyNumberFormat="1" applyFont="1" applyFill="1" applyAlignment="1" applyProtection="1">
      <alignment horizontal="center"/>
    </xf>
    <xf numFmtId="1" fontId="22" fillId="0" borderId="0" xfId="2" applyNumberFormat="1" applyFont="1" applyFill="1" applyBorder="1" applyProtection="1"/>
    <xf numFmtId="1" fontId="6" fillId="0" borderId="10" xfId="2" applyNumberFormat="1" applyFont="1" applyFill="1" applyBorder="1" applyProtection="1"/>
    <xf numFmtId="1" fontId="6" fillId="0" borderId="7" xfId="2" applyNumberFormat="1" applyFont="1" applyFill="1" applyBorder="1" applyProtection="1"/>
    <xf numFmtId="1" fontId="6" fillId="0" borderId="0" xfId="0" applyNumberFormat="1" applyFont="1" applyFill="1" applyAlignment="1" applyProtection="1"/>
    <xf numFmtId="1" fontId="6" fillId="0" borderId="0" xfId="0" quotePrefix="1" applyNumberFormat="1" applyFont="1" applyFill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Alignment="1" applyProtection="1">
      <alignment horizontal="center"/>
    </xf>
    <xf numFmtId="1" fontId="21" fillId="0" borderId="0" xfId="2" applyNumberFormat="1" applyFont="1" applyFill="1" applyBorder="1" applyProtection="1"/>
    <xf numFmtId="1" fontId="24" fillId="0" borderId="0" xfId="0" applyNumberFormat="1" applyFont="1" applyFill="1" applyBorder="1" applyProtection="1"/>
    <xf numFmtId="1" fontId="24" fillId="0" borderId="0" xfId="0" applyNumberFormat="1" applyFont="1" applyProtection="1"/>
    <xf numFmtId="1" fontId="13" fillId="0" borderId="0" xfId="0" applyNumberFormat="1" applyFont="1" applyProtection="1"/>
    <xf numFmtId="0" fontId="6" fillId="0" borderId="0" xfId="0" applyNumberFormat="1" applyFont="1" applyProtection="1"/>
    <xf numFmtId="0" fontId="6" fillId="2" borderId="0" xfId="0" applyNumberFormat="1" applyFont="1" applyFill="1" applyProtection="1"/>
    <xf numFmtId="0" fontId="24" fillId="0" borderId="0" xfId="0" applyNumberFormat="1" applyFont="1" applyFill="1" applyBorder="1" applyProtection="1"/>
    <xf numFmtId="0" fontId="24" fillId="0" borderId="0" xfId="0" applyNumberFormat="1" applyFont="1" applyProtection="1"/>
    <xf numFmtId="0" fontId="13" fillId="0" borderId="0" xfId="0" applyNumberFormat="1" applyFont="1" applyProtection="1"/>
    <xf numFmtId="3" fontId="6" fillId="0" borderId="10" xfId="0" applyNumberFormat="1" applyFont="1" applyFill="1" applyBorder="1" applyProtection="1"/>
    <xf numFmtId="0" fontId="78" fillId="0" borderId="0" xfId="0" applyFont="1" applyBorder="1" applyAlignment="1">
      <alignment horizontal="left" vertical="top"/>
    </xf>
    <xf numFmtId="1" fontId="27" fillId="0" borderId="0" xfId="2" applyNumberFormat="1" applyFont="1" applyFill="1" applyBorder="1" applyProtection="1"/>
    <xf numFmtId="1" fontId="31" fillId="0" borderId="0" xfId="2" applyNumberFormat="1" applyFont="1" applyFill="1" applyBorder="1" applyProtection="1"/>
    <xf numFmtId="1" fontId="27" fillId="0" borderId="0" xfId="0" applyNumberFormat="1" applyFont="1" applyFill="1" applyProtection="1"/>
    <xf numFmtId="1" fontId="33" fillId="0" borderId="0" xfId="2" applyNumberFormat="1" applyFont="1" applyFill="1" applyBorder="1" applyProtection="1"/>
    <xf numFmtId="1" fontId="27" fillId="0" borderId="10" xfId="2" applyNumberFormat="1" applyFont="1" applyFill="1" applyBorder="1" applyProtection="1"/>
    <xf numFmtId="1" fontId="27" fillId="0" borderId="7" xfId="2" applyNumberFormat="1" applyFont="1" applyFill="1" applyBorder="1" applyProtection="1"/>
    <xf numFmtId="10" fontId="6" fillId="0" borderId="20" xfId="1" applyNumberFormat="1" applyFont="1" applyFill="1" applyBorder="1" applyAlignment="1" applyProtection="1">
      <alignment horizontal="right"/>
    </xf>
    <xf numFmtId="10" fontId="6" fillId="0" borderId="10" xfId="1" applyNumberFormat="1" applyFont="1" applyFill="1" applyBorder="1" applyAlignment="1" applyProtection="1">
      <alignment horizontal="right"/>
    </xf>
    <xf numFmtId="6" fontId="41" fillId="11" borderId="0" xfId="0" applyNumberFormat="1" applyFont="1" applyFill="1" applyProtection="1"/>
    <xf numFmtId="6" fontId="41" fillId="11" borderId="0" xfId="0" applyNumberFormat="1" applyFont="1" applyFill="1" applyAlignment="1" applyProtection="1">
      <alignment horizontal="left"/>
    </xf>
    <xf numFmtId="0" fontId="79" fillId="0" borderId="0" xfId="0" applyFont="1"/>
    <xf numFmtId="0" fontId="77" fillId="0" borderId="0" xfId="0" applyFont="1" applyProtection="1"/>
    <xf numFmtId="0" fontId="80" fillId="0" borderId="0" xfId="0" applyFont="1" applyProtection="1"/>
    <xf numFmtId="37" fontId="36" fillId="2" borderId="0" xfId="5" applyNumberFormat="1" applyFont="1" applyFill="1" applyProtection="1"/>
    <xf numFmtId="37" fontId="6" fillId="0" borderId="10" xfId="0" applyNumberFormat="1" applyFont="1" applyFill="1" applyBorder="1" applyAlignment="1" applyProtection="1">
      <alignment horizontal="right"/>
    </xf>
    <xf numFmtId="6" fontId="21" fillId="11" borderId="3" xfId="0" applyNumberFormat="1" applyFont="1" applyFill="1" applyBorder="1" applyProtection="1"/>
    <xf numFmtId="14" fontId="6" fillId="0" borderId="0" xfId="0" applyNumberFormat="1" applyFont="1" applyAlignment="1" applyProtection="1">
      <alignment horizontal="centerContinuous"/>
    </xf>
    <xf numFmtId="38" fontId="6" fillId="9" borderId="9" xfId="0" applyNumberFormat="1" applyFont="1" applyFill="1" applyBorder="1" applyProtection="1"/>
    <xf numFmtId="38" fontId="6" fillId="9" borderId="3" xfId="0" applyNumberFormat="1" applyFont="1" applyFill="1" applyBorder="1" applyProtection="1"/>
    <xf numFmtId="170" fontId="6" fillId="0" borderId="0" xfId="2" applyNumberFormat="1" applyFont="1" applyFill="1" applyBorder="1" applyProtection="1"/>
    <xf numFmtId="170" fontId="6" fillId="0" borderId="0" xfId="0" applyNumberFormat="1" applyFont="1" applyFill="1" applyAlignment="1" applyProtection="1"/>
    <xf numFmtId="170" fontId="6" fillId="0" borderId="0" xfId="0" applyNumberFormat="1" applyFont="1" applyFill="1" applyProtection="1"/>
    <xf numFmtId="170" fontId="6" fillId="0" borderId="0" xfId="0" quotePrefix="1" applyNumberFormat="1" applyFont="1" applyFill="1" applyAlignment="1" applyProtection="1">
      <alignment horizontal="center"/>
    </xf>
    <xf numFmtId="170" fontId="6" fillId="0" borderId="0" xfId="0" applyNumberFormat="1" applyFont="1" applyFill="1" applyBorder="1" applyAlignment="1" applyProtection="1">
      <alignment horizontal="center"/>
    </xf>
    <xf numFmtId="170" fontId="6" fillId="0" borderId="0" xfId="0" applyNumberFormat="1" applyFont="1" applyFill="1" applyAlignment="1" applyProtection="1">
      <alignment horizontal="center"/>
    </xf>
    <xf numFmtId="170" fontId="21" fillId="0" borderId="0" xfId="2" applyNumberFormat="1" applyFont="1" applyFill="1" applyBorder="1" applyProtection="1"/>
    <xf numFmtId="170" fontId="3" fillId="0" borderId="0" xfId="2" applyNumberFormat="1" applyFont="1" applyFill="1" applyBorder="1" applyProtection="1"/>
    <xf numFmtId="170" fontId="2" fillId="0" borderId="0" xfId="0" applyNumberFormat="1" applyFont="1" applyFill="1" applyAlignment="1" applyProtection="1">
      <alignment horizontal="center"/>
    </xf>
    <xf numFmtId="170" fontId="22" fillId="0" borderId="0" xfId="2" applyNumberFormat="1" applyFont="1" applyFill="1" applyBorder="1" applyProtection="1"/>
    <xf numFmtId="170" fontId="6" fillId="0" borderId="10" xfId="2" applyNumberFormat="1" applyFont="1" applyFill="1" applyBorder="1" applyProtection="1"/>
    <xf numFmtId="170" fontId="6" fillId="0" borderId="7" xfId="2" applyNumberFormat="1" applyFont="1" applyFill="1" applyBorder="1" applyProtection="1"/>
    <xf numFmtId="170" fontId="39" fillId="0" borderId="0" xfId="0" applyNumberFormat="1" applyFont="1" applyFill="1" applyProtection="1"/>
    <xf numFmtId="1" fontId="36" fillId="0" borderId="0" xfId="2" applyNumberFormat="1" applyFont="1" applyFill="1" applyBorder="1" applyProtection="1"/>
    <xf numFmtId="0" fontId="36" fillId="0" borderId="0" xfId="0" applyFont="1" applyFill="1" applyProtection="1"/>
    <xf numFmtId="0" fontId="53" fillId="0" borderId="0" xfId="0" applyFont="1" applyBorder="1" applyAlignment="1">
      <alignment horizontal="left" vertical="top"/>
    </xf>
    <xf numFmtId="0" fontId="44" fillId="0" borderId="0" xfId="0" quotePrefix="1" applyFont="1" applyBorder="1" applyAlignment="1">
      <alignment horizontal="left" vertical="top"/>
    </xf>
    <xf numFmtId="38" fontId="42" fillId="2" borderId="0" xfId="0" applyNumberFormat="1" applyFont="1" applyFill="1" applyProtection="1"/>
    <xf numFmtId="5" fontId="65" fillId="5" borderId="3" xfId="0" applyNumberFormat="1" applyFont="1" applyFill="1" applyBorder="1" applyProtection="1"/>
    <xf numFmtId="37" fontId="36" fillId="5" borderId="3" xfId="0" applyNumberFormat="1" applyFont="1" applyFill="1" applyBorder="1" applyAlignment="1" applyProtection="1">
      <alignment wrapText="1"/>
    </xf>
    <xf numFmtId="37" fontId="36" fillId="2" borderId="0" xfId="0" applyNumberFormat="1" applyFont="1" applyFill="1" applyAlignment="1" applyProtection="1">
      <alignment horizontal="right"/>
    </xf>
    <xf numFmtId="0" fontId="36" fillId="2" borderId="0" xfId="0" applyFont="1" applyFill="1" applyAlignment="1" applyProtection="1">
      <alignment horizontal="left"/>
    </xf>
    <xf numFmtId="37" fontId="74" fillId="5" borderId="3" xfId="0" applyNumberFormat="1" applyFont="1" applyFill="1" applyBorder="1" applyProtection="1"/>
    <xf numFmtId="37" fontId="36" fillId="5" borderId="3" xfId="1" applyNumberFormat="1" applyFont="1" applyFill="1" applyBorder="1" applyProtection="1"/>
    <xf numFmtId="6" fontId="6" fillId="11" borderId="19" xfId="0" applyNumberFormat="1" applyFont="1" applyFill="1" applyBorder="1" applyProtection="1"/>
    <xf numFmtId="170" fontId="36" fillId="0" borderId="0" xfId="2" applyNumberFormat="1" applyFont="1" applyFill="1" applyBorder="1" applyProtection="1"/>
    <xf numFmtId="170" fontId="6" fillId="0" borderId="0" xfId="2" quotePrefix="1" applyNumberFormat="1" applyFont="1" applyFill="1" applyBorder="1" applyProtection="1"/>
    <xf numFmtId="0" fontId="36" fillId="2" borderId="0" xfId="0" applyFont="1" applyFill="1" applyBorder="1" applyProtection="1"/>
    <xf numFmtId="38" fontId="14" fillId="0" borderId="0" xfId="0" applyNumberFormat="1" applyFont="1" applyAlignment="1" applyProtection="1">
      <alignment horizontal="left"/>
    </xf>
    <xf numFmtId="172" fontId="27" fillId="11" borderId="0" xfId="0" applyNumberFormat="1" applyFont="1" applyFill="1"/>
    <xf numFmtId="0" fontId="0" fillId="11" borderId="6" xfId="0" applyFill="1" applyBorder="1"/>
    <xf numFmtId="172" fontId="27" fillId="11" borderId="19" xfId="0" applyNumberFormat="1" applyFont="1" applyFill="1" applyBorder="1"/>
    <xf numFmtId="0" fontId="0" fillId="0" borderId="6" xfId="0" applyBorder="1"/>
    <xf numFmtId="6" fontId="6" fillId="11" borderId="6" xfId="0" applyNumberFormat="1" applyFont="1" applyFill="1" applyBorder="1" applyProtection="1"/>
    <xf numFmtId="173" fontId="27" fillId="11" borderId="0" xfId="0" applyNumberFormat="1" applyFont="1" applyFill="1"/>
    <xf numFmtId="173" fontId="27" fillId="11" borderId="19" xfId="0" applyNumberFormat="1" applyFont="1" applyFill="1" applyBorder="1"/>
    <xf numFmtId="6" fontId="6" fillId="9" borderId="0" xfId="0" applyNumberFormat="1" applyFont="1" applyFill="1" applyAlignment="1" applyProtection="1">
      <alignment horizontal="left"/>
    </xf>
    <xf numFmtId="6" fontId="6" fillId="9" borderId="0" xfId="0" applyNumberFormat="1" applyFont="1" applyFill="1" applyAlignment="1" applyProtection="1">
      <alignment horizontal="center"/>
    </xf>
    <xf numFmtId="6" fontId="6" fillId="9" borderId="0" xfId="0" applyNumberFormat="1" applyFont="1" applyFill="1" applyAlignment="1" applyProtection="1">
      <alignment horizontal="centerContinuous"/>
    </xf>
    <xf numFmtId="6" fontId="6" fillId="9" borderId="0" xfId="0" applyNumberFormat="1" applyFont="1" applyFill="1" applyProtection="1"/>
    <xf numFmtId="6" fontId="6" fillId="9" borderId="19" xfId="0" applyNumberFormat="1" applyFont="1" applyFill="1" applyBorder="1" applyProtection="1"/>
    <xf numFmtId="6" fontId="47" fillId="9" borderId="0" xfId="0" quotePrefix="1" applyNumberFormat="1" applyFont="1" applyFill="1" applyAlignment="1" applyProtection="1">
      <alignment horizontal="center"/>
    </xf>
    <xf numFmtId="6" fontId="52" fillId="9" borderId="0" xfId="0" applyNumberFormat="1" applyFont="1" applyFill="1" applyAlignment="1" applyProtection="1">
      <alignment horizontal="right"/>
    </xf>
    <xf numFmtId="6" fontId="47" fillId="9" borderId="3" xfId="0" applyNumberFormat="1" applyFont="1" applyFill="1" applyBorder="1" applyProtection="1"/>
    <xf numFmtId="6" fontId="36" fillId="9" borderId="0" xfId="0" applyNumberFormat="1" applyFont="1" applyFill="1" applyAlignment="1" applyProtection="1">
      <alignment horizontal="left"/>
    </xf>
    <xf numFmtId="6" fontId="36" fillId="9" borderId="0" xfId="0" applyNumberFormat="1" applyFont="1" applyFill="1" applyProtection="1"/>
    <xf numFmtId="6" fontId="27" fillId="9" borderId="3" xfId="0" applyNumberFormat="1" applyFont="1" applyFill="1" applyBorder="1" applyProtection="1"/>
    <xf numFmtId="14" fontId="6" fillId="9" borderId="3" xfId="0" applyNumberFormat="1" applyFont="1" applyFill="1" applyBorder="1" applyAlignment="1" applyProtection="1">
      <alignment horizontal="center"/>
      <protection locked="0"/>
    </xf>
    <xf numFmtId="6" fontId="27" fillId="9" borderId="0" xfId="0" applyNumberFormat="1" applyFont="1" applyFill="1" applyAlignment="1" applyProtection="1">
      <alignment horizontal="centerContinuous"/>
    </xf>
    <xf numFmtId="0" fontId="35" fillId="9" borderId="0" xfId="0" applyFont="1" applyFill="1" applyBorder="1" applyAlignment="1">
      <alignment horizontal="left" vertical="top"/>
    </xf>
    <xf numFmtId="0" fontId="78" fillId="9" borderId="0" xfId="0" applyFont="1" applyFill="1" applyBorder="1" applyAlignment="1">
      <alignment horizontal="left" vertical="top"/>
    </xf>
    <xf numFmtId="14" fontId="27" fillId="9" borderId="0" xfId="0" applyNumberFormat="1" applyFont="1" applyFill="1" applyAlignment="1" applyProtection="1">
      <alignment horizontal="center"/>
    </xf>
    <xf numFmtId="0" fontId="27" fillId="9" borderId="0" xfId="0" applyFont="1" applyFill="1" applyProtection="1"/>
    <xf numFmtId="0" fontId="36" fillId="9" borderId="0" xfId="0" applyFont="1" applyFill="1" applyProtection="1"/>
    <xf numFmtId="14" fontId="27" fillId="9" borderId="0" xfId="0" quotePrefix="1" applyNumberFormat="1" applyFont="1" applyFill="1" applyAlignment="1" applyProtection="1">
      <alignment horizontal="center"/>
    </xf>
    <xf numFmtId="6" fontId="27" fillId="9" borderId="0" xfId="0" quotePrefix="1" applyNumberFormat="1" applyFont="1" applyFill="1" applyAlignment="1" applyProtection="1">
      <alignment horizontal="centerContinuous"/>
    </xf>
    <xf numFmtId="0" fontId="27" fillId="9" borderId="0" xfId="0" quotePrefix="1" applyFont="1" applyFill="1" applyAlignment="1" applyProtection="1">
      <alignment horizontal="center"/>
    </xf>
    <xf numFmtId="6" fontId="27" fillId="9" borderId="0" xfId="0" quotePrefix="1" applyNumberFormat="1" applyFont="1" applyFill="1" applyAlignment="1" applyProtection="1">
      <alignment horizontal="center"/>
    </xf>
    <xf numFmtId="6" fontId="27" fillId="11" borderId="0" xfId="0" applyNumberFormat="1" applyFont="1" applyFill="1"/>
    <xf numFmtId="14" fontId="36" fillId="0" borderId="0" xfId="0" applyNumberFormat="1" applyFont="1" applyAlignment="1" applyProtection="1"/>
    <xf numFmtId="6" fontId="41" fillId="11" borderId="3" xfId="0" applyNumberFormat="1" applyFont="1" applyFill="1" applyBorder="1" applyProtection="1"/>
    <xf numFmtId="37" fontId="6" fillId="9" borderId="3" xfId="1" applyNumberFormat="1" applyFont="1" applyFill="1" applyBorder="1" applyProtection="1"/>
    <xf numFmtId="0" fontId="13" fillId="0" borderId="0" xfId="4"/>
    <xf numFmtId="6" fontId="6" fillId="0" borderId="0" xfId="4" applyNumberFormat="1" applyFont="1" applyAlignment="1" applyProtection="1">
      <alignment horizontal="centerContinuous"/>
    </xf>
    <xf numFmtId="6" fontId="6" fillId="2" borderId="0" xfId="4" applyNumberFormat="1" applyFont="1" applyFill="1" applyProtection="1"/>
    <xf numFmtId="6" fontId="6" fillId="2" borderId="0" xfId="4" applyNumberFormat="1" applyFont="1" applyFill="1" applyBorder="1" applyProtection="1"/>
    <xf numFmtId="6" fontId="6" fillId="2" borderId="18" xfId="4" applyNumberFormat="1" applyFont="1" applyFill="1" applyBorder="1" applyProtection="1"/>
    <xf numFmtId="6" fontId="6" fillId="2" borderId="6" xfId="4" applyNumberFormat="1" applyFont="1" applyFill="1" applyBorder="1" applyProtection="1"/>
    <xf numFmtId="37" fontId="6" fillId="2" borderId="0" xfId="4" applyNumberFormat="1" applyFont="1" applyFill="1" applyProtection="1"/>
    <xf numFmtId="37" fontId="6" fillId="2" borderId="0" xfId="4" applyNumberFormat="1" applyFont="1" applyFill="1" applyBorder="1" applyProtection="1"/>
    <xf numFmtId="14" fontId="6" fillId="0" borderId="0" xfId="4" applyNumberFormat="1" applyFont="1" applyAlignment="1" applyProtection="1">
      <alignment horizontal="center"/>
    </xf>
    <xf numFmtId="6" fontId="6" fillId="0" borderId="0" xfId="4" applyNumberFormat="1" applyFont="1" applyFill="1" applyBorder="1" applyProtection="1"/>
    <xf numFmtId="37" fontId="6" fillId="2" borderId="0" xfId="5" applyNumberFormat="1" applyFont="1" applyFill="1" applyProtection="1"/>
    <xf numFmtId="0" fontId="6" fillId="2" borderId="0" xfId="5" applyNumberFormat="1" applyFont="1" applyFill="1" applyProtection="1"/>
    <xf numFmtId="1" fontId="6" fillId="2" borderId="0" xfId="4" applyNumberFormat="1" applyFont="1" applyFill="1" applyProtection="1"/>
    <xf numFmtId="37" fontId="6" fillId="2" borderId="6" xfId="5" applyNumberFormat="1" applyFont="1" applyFill="1" applyBorder="1" applyProtection="1"/>
    <xf numFmtId="6" fontId="6" fillId="10" borderId="19" xfId="4" applyNumberFormat="1" applyFont="1" applyFill="1" applyBorder="1" applyProtection="1"/>
    <xf numFmtId="3" fontId="6" fillId="10" borderId="19" xfId="4" applyNumberFormat="1" applyFont="1" applyFill="1" applyBorder="1" applyProtection="1"/>
    <xf numFmtId="3" fontId="6" fillId="2" borderId="19" xfId="4" applyNumberFormat="1" applyFont="1" applyFill="1" applyBorder="1" applyProtection="1"/>
    <xf numFmtId="3" fontId="6" fillId="2" borderId="0" xfId="4" applyNumberFormat="1" applyFont="1" applyFill="1" applyBorder="1" applyProtection="1"/>
    <xf numFmtId="10" fontId="6" fillId="10" borderId="19" xfId="4" applyNumberFormat="1" applyFont="1" applyFill="1" applyBorder="1" applyProtection="1"/>
    <xf numFmtId="38" fontId="6" fillId="10" borderId="19" xfId="4" applyNumberFormat="1" applyFont="1" applyFill="1" applyBorder="1" applyProtection="1"/>
    <xf numFmtId="6" fontId="6" fillId="0" borderId="18" xfId="4" applyNumberFormat="1" applyFont="1" applyFill="1" applyBorder="1" applyProtection="1"/>
    <xf numFmtId="0" fontId="13" fillId="0" borderId="0" xfId="4"/>
    <xf numFmtId="6" fontId="6" fillId="0" borderId="0" xfId="4" applyNumberFormat="1" applyFont="1" applyAlignment="1" applyProtection="1">
      <alignment horizontal="centerContinuous"/>
    </xf>
    <xf numFmtId="6" fontId="6" fillId="2" borderId="0" xfId="4" applyNumberFormat="1" applyFont="1" applyFill="1" applyProtection="1"/>
    <xf numFmtId="6" fontId="6" fillId="2" borderId="0" xfId="4" applyNumberFormat="1" applyFont="1" applyFill="1" applyBorder="1" applyProtection="1"/>
    <xf numFmtId="6" fontId="6" fillId="2" borderId="18" xfId="4" applyNumberFormat="1" applyFont="1" applyFill="1" applyBorder="1" applyProtection="1"/>
    <xf numFmtId="6" fontId="6" fillId="2" borderId="6" xfId="4" applyNumberFormat="1" applyFont="1" applyFill="1" applyBorder="1" applyProtection="1"/>
    <xf numFmtId="37" fontId="6" fillId="2" borderId="0" xfId="4" applyNumberFormat="1" applyFont="1" applyFill="1" applyProtection="1"/>
    <xf numFmtId="37" fontId="6" fillId="2" borderId="0" xfId="4" applyNumberFormat="1" applyFont="1" applyFill="1" applyBorder="1" applyProtection="1"/>
    <xf numFmtId="14" fontId="6" fillId="0" borderId="0" xfId="4" applyNumberFormat="1" applyFont="1" applyAlignment="1" applyProtection="1">
      <alignment horizontal="center"/>
    </xf>
    <xf numFmtId="6" fontId="6" fillId="0" borderId="0" xfId="4" applyNumberFormat="1" applyFont="1" applyFill="1" applyBorder="1" applyProtection="1"/>
    <xf numFmtId="37" fontId="6" fillId="2" borderId="0" xfId="5" applyNumberFormat="1" applyFont="1" applyFill="1" applyProtection="1"/>
    <xf numFmtId="0" fontId="6" fillId="2" borderId="0" xfId="5" applyNumberFormat="1" applyFont="1" applyFill="1" applyProtection="1"/>
    <xf numFmtId="1" fontId="6" fillId="2" borderId="0" xfId="4" applyNumberFormat="1" applyFont="1" applyFill="1" applyProtection="1"/>
    <xf numFmtId="37" fontId="6" fillId="2" borderId="6" xfId="5" applyNumberFormat="1" applyFont="1" applyFill="1" applyBorder="1" applyProtection="1"/>
    <xf numFmtId="6" fontId="6" fillId="10" borderId="19" xfId="4" applyNumberFormat="1" applyFont="1" applyFill="1" applyBorder="1" applyProtection="1"/>
    <xf numFmtId="3" fontId="6" fillId="10" borderId="19" xfId="4" applyNumberFormat="1" applyFont="1" applyFill="1" applyBorder="1" applyProtection="1"/>
    <xf numFmtId="3" fontId="6" fillId="2" borderId="19" xfId="4" applyNumberFormat="1" applyFont="1" applyFill="1" applyBorder="1" applyProtection="1"/>
    <xf numFmtId="3" fontId="6" fillId="2" borderId="0" xfId="4" applyNumberFormat="1" applyFont="1" applyFill="1" applyBorder="1" applyProtection="1"/>
    <xf numFmtId="10" fontId="6" fillId="10" borderId="19" xfId="4" applyNumberFormat="1" applyFont="1" applyFill="1" applyBorder="1" applyProtection="1"/>
    <xf numFmtId="38" fontId="6" fillId="10" borderId="19" xfId="4" applyNumberFormat="1" applyFont="1" applyFill="1" applyBorder="1" applyProtection="1"/>
    <xf numFmtId="6" fontId="6" fillId="0" borderId="18" xfId="4" applyNumberFormat="1" applyFont="1" applyFill="1" applyBorder="1" applyProtection="1"/>
    <xf numFmtId="6" fontId="36" fillId="10" borderId="3" xfId="0" applyNumberFormat="1" applyFont="1" applyFill="1" applyBorder="1" applyProtection="1"/>
    <xf numFmtId="49" fontId="6" fillId="0" borderId="0" xfId="2" applyNumberFormat="1" applyFont="1" applyFill="1" applyBorder="1" applyProtection="1"/>
    <xf numFmtId="49" fontId="6" fillId="2" borderId="0" xfId="0" applyNumberFormat="1" applyFont="1" applyFill="1" applyProtection="1"/>
    <xf numFmtId="6" fontId="14" fillId="0" borderId="0" xfId="0" quotePrefix="1" applyNumberFormat="1" applyFont="1" applyAlignment="1">
      <alignment horizontal="center"/>
    </xf>
    <xf numFmtId="7" fontId="11" fillId="0" borderId="1" xfId="0" applyNumberFormat="1" applyFont="1" applyBorder="1" applyAlignment="1">
      <alignment horizontal="center" wrapText="1"/>
    </xf>
    <xf numFmtId="7" fontId="11" fillId="0" borderId="10" xfId="0" applyNumberFormat="1" applyFont="1" applyBorder="1" applyAlignment="1">
      <alignment horizontal="center" wrapText="1"/>
    </xf>
    <xf numFmtId="7" fontId="11" fillId="0" borderId="9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left" wrapText="1"/>
    </xf>
    <xf numFmtId="0" fontId="0" fillId="0" borderId="0" xfId="0" applyAlignment="1">
      <alignment wrapText="1"/>
    </xf>
  </cellXfs>
  <cellStyles count="9">
    <cellStyle name="Comma" xfId="1" builtinId="3"/>
    <cellStyle name="Comma 2" xfId="5" xr:uid="{00000000-0005-0000-0000-000001000000}"/>
    <cellStyle name="Currency" xfId="2" builtinId="4"/>
    <cellStyle name="Currency 2" xfId="6" xr:uid="{00000000-0005-0000-0000-000003000000}"/>
    <cellStyle name="Excel Built-in Normal" xfId="8" xr:uid="{00000000-0005-0000-0000-000004000000}"/>
    <cellStyle name="Normal" xfId="0" builtinId="0"/>
    <cellStyle name="Normal 2" xfId="4" xr:uid="{00000000-0005-0000-0000-000006000000}"/>
    <cellStyle name="Percent" xfId="3" builtinId="5"/>
    <cellStyle name="Percent 2" xfId="7" xr:uid="{00000000-0005-0000-0000-000008000000}"/>
  </cellStyles>
  <dxfs count="0"/>
  <tableStyles count="0" defaultTableStyle="TableStyleMedium9" defaultPivotStyle="PivotStyleLight16"/>
  <colors>
    <mruColors>
      <color rgb="FFCCFFFF"/>
      <color rgb="FFCCECFF"/>
      <color rgb="FFFFFF99"/>
      <color rgb="FF99CCFF"/>
      <color rgb="FF000000"/>
      <color rgb="FFFCFC9A"/>
      <color rgb="FFCCFFCC"/>
      <color rgb="FF0066CC"/>
      <color rgb="FF0033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12" Type="http://schemas.openxmlformats.org/officeDocument/2006/relationships/externalLink" Target="externalLinks/externalLink26.xml"/><Relationship Id="rId133" Type="http://schemas.openxmlformats.org/officeDocument/2006/relationships/externalLink" Target="externalLinks/externalLink47.xml"/><Relationship Id="rId138" Type="http://schemas.openxmlformats.org/officeDocument/2006/relationships/externalLink" Target="externalLinks/externalLink52.xml"/><Relationship Id="rId154" Type="http://schemas.openxmlformats.org/officeDocument/2006/relationships/externalLink" Target="externalLinks/externalLink68.xml"/><Relationship Id="rId159" Type="http://schemas.openxmlformats.org/officeDocument/2006/relationships/externalLink" Target="externalLinks/externalLink73.xml"/><Relationship Id="rId17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6.xml"/><Relationship Id="rId123" Type="http://schemas.openxmlformats.org/officeDocument/2006/relationships/externalLink" Target="externalLinks/externalLink37.xml"/><Relationship Id="rId128" Type="http://schemas.openxmlformats.org/officeDocument/2006/relationships/externalLink" Target="externalLinks/externalLink42.xml"/><Relationship Id="rId144" Type="http://schemas.openxmlformats.org/officeDocument/2006/relationships/externalLink" Target="externalLinks/externalLink58.xml"/><Relationship Id="rId149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.xml"/><Relationship Id="rId160" Type="http://schemas.openxmlformats.org/officeDocument/2006/relationships/externalLink" Target="externalLinks/externalLink74.xml"/><Relationship Id="rId165" Type="http://schemas.openxmlformats.org/officeDocument/2006/relationships/externalLink" Target="externalLinks/externalLink7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7.xml"/><Relationship Id="rId118" Type="http://schemas.openxmlformats.org/officeDocument/2006/relationships/externalLink" Target="externalLinks/externalLink32.xml"/><Relationship Id="rId134" Type="http://schemas.openxmlformats.org/officeDocument/2006/relationships/externalLink" Target="externalLinks/externalLink48.xml"/><Relationship Id="rId139" Type="http://schemas.openxmlformats.org/officeDocument/2006/relationships/externalLink" Target="externalLinks/externalLink5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69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22.xml"/><Relationship Id="rId124" Type="http://schemas.openxmlformats.org/officeDocument/2006/relationships/externalLink" Target="externalLinks/externalLink38.xml"/><Relationship Id="rId129" Type="http://schemas.openxmlformats.org/officeDocument/2006/relationships/externalLink" Target="externalLinks/externalLink4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5.xml"/><Relationship Id="rId96" Type="http://schemas.openxmlformats.org/officeDocument/2006/relationships/externalLink" Target="externalLinks/externalLink10.xml"/><Relationship Id="rId140" Type="http://schemas.openxmlformats.org/officeDocument/2006/relationships/externalLink" Target="externalLinks/externalLink54.xml"/><Relationship Id="rId145" Type="http://schemas.openxmlformats.org/officeDocument/2006/relationships/externalLink" Target="externalLinks/externalLink59.xml"/><Relationship Id="rId161" Type="http://schemas.openxmlformats.org/officeDocument/2006/relationships/externalLink" Target="externalLinks/externalLink75.xml"/><Relationship Id="rId166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0.xml"/><Relationship Id="rId114" Type="http://schemas.openxmlformats.org/officeDocument/2006/relationships/externalLink" Target="externalLinks/externalLink28.xml"/><Relationship Id="rId119" Type="http://schemas.openxmlformats.org/officeDocument/2006/relationships/externalLink" Target="externalLinks/externalLink33.xml"/><Relationship Id="rId12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8.xml"/><Relationship Id="rId99" Type="http://schemas.openxmlformats.org/officeDocument/2006/relationships/externalLink" Target="externalLinks/externalLink13.xml"/><Relationship Id="rId101" Type="http://schemas.openxmlformats.org/officeDocument/2006/relationships/externalLink" Target="externalLinks/externalLink15.xml"/><Relationship Id="rId122" Type="http://schemas.openxmlformats.org/officeDocument/2006/relationships/externalLink" Target="externalLinks/externalLink36.xml"/><Relationship Id="rId130" Type="http://schemas.openxmlformats.org/officeDocument/2006/relationships/externalLink" Target="externalLinks/externalLink44.xml"/><Relationship Id="rId135" Type="http://schemas.openxmlformats.org/officeDocument/2006/relationships/externalLink" Target="externalLinks/externalLink49.xml"/><Relationship Id="rId143" Type="http://schemas.openxmlformats.org/officeDocument/2006/relationships/externalLink" Target="externalLinks/externalLink57.xml"/><Relationship Id="rId148" Type="http://schemas.openxmlformats.org/officeDocument/2006/relationships/externalLink" Target="externalLinks/externalLink62.xml"/><Relationship Id="rId151" Type="http://schemas.openxmlformats.org/officeDocument/2006/relationships/externalLink" Target="externalLinks/externalLink65.xml"/><Relationship Id="rId156" Type="http://schemas.openxmlformats.org/officeDocument/2006/relationships/externalLink" Target="externalLinks/externalLink70.xml"/><Relationship Id="rId164" Type="http://schemas.openxmlformats.org/officeDocument/2006/relationships/externalLink" Target="externalLinks/externalLink78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1.xml"/><Relationship Id="rId104" Type="http://schemas.openxmlformats.org/officeDocument/2006/relationships/externalLink" Target="externalLinks/externalLink18.xml"/><Relationship Id="rId120" Type="http://schemas.openxmlformats.org/officeDocument/2006/relationships/externalLink" Target="externalLinks/externalLink34.xml"/><Relationship Id="rId125" Type="http://schemas.openxmlformats.org/officeDocument/2006/relationships/externalLink" Target="externalLinks/externalLink39.xml"/><Relationship Id="rId141" Type="http://schemas.openxmlformats.org/officeDocument/2006/relationships/externalLink" Target="externalLinks/externalLink55.xml"/><Relationship Id="rId146" Type="http://schemas.openxmlformats.org/officeDocument/2006/relationships/externalLink" Target="externalLinks/externalLink60.xml"/><Relationship Id="rId167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110" Type="http://schemas.openxmlformats.org/officeDocument/2006/relationships/externalLink" Target="externalLinks/externalLink24.xml"/><Relationship Id="rId115" Type="http://schemas.openxmlformats.org/officeDocument/2006/relationships/externalLink" Target="externalLinks/externalLink29.xml"/><Relationship Id="rId131" Type="http://schemas.openxmlformats.org/officeDocument/2006/relationships/externalLink" Target="externalLinks/externalLink45.xml"/><Relationship Id="rId136" Type="http://schemas.openxmlformats.org/officeDocument/2006/relationships/externalLink" Target="externalLinks/externalLink50.xml"/><Relationship Id="rId157" Type="http://schemas.openxmlformats.org/officeDocument/2006/relationships/externalLink" Target="externalLinks/externalLink7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6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4.xml"/><Relationship Id="rId105" Type="http://schemas.openxmlformats.org/officeDocument/2006/relationships/externalLink" Target="externalLinks/externalLink19.xml"/><Relationship Id="rId126" Type="http://schemas.openxmlformats.org/officeDocument/2006/relationships/externalLink" Target="externalLinks/externalLink40.xml"/><Relationship Id="rId147" Type="http://schemas.openxmlformats.org/officeDocument/2006/relationships/externalLink" Target="externalLinks/externalLink61.xml"/><Relationship Id="rId168" Type="http://schemas.openxmlformats.org/officeDocument/2006/relationships/externalLink" Target="externalLinks/externalLink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7.xml"/><Relationship Id="rId98" Type="http://schemas.openxmlformats.org/officeDocument/2006/relationships/externalLink" Target="externalLinks/externalLink12.xml"/><Relationship Id="rId121" Type="http://schemas.openxmlformats.org/officeDocument/2006/relationships/externalLink" Target="externalLinks/externalLink35.xml"/><Relationship Id="rId142" Type="http://schemas.openxmlformats.org/officeDocument/2006/relationships/externalLink" Target="externalLinks/externalLink56.xml"/><Relationship Id="rId163" Type="http://schemas.openxmlformats.org/officeDocument/2006/relationships/externalLink" Target="externalLinks/externalLink7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0.xml"/><Relationship Id="rId137" Type="http://schemas.openxmlformats.org/officeDocument/2006/relationships/externalLink" Target="externalLinks/externalLink51.xml"/><Relationship Id="rId158" Type="http://schemas.openxmlformats.org/officeDocument/2006/relationships/externalLink" Target="externalLinks/externalLink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111" Type="http://schemas.openxmlformats.org/officeDocument/2006/relationships/externalLink" Target="externalLinks/externalLink25.xml"/><Relationship Id="rId132" Type="http://schemas.openxmlformats.org/officeDocument/2006/relationships/externalLink" Target="externalLinks/externalLink46.xml"/><Relationship Id="rId153" Type="http://schemas.openxmlformats.org/officeDocument/2006/relationships/externalLink" Target="externalLinks/externalLink67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958850</xdr:colOff>
          <xdr:row>0</xdr:row>
          <xdr:rowOff>0</xdr:rowOff>
        </xdr:from>
        <xdr:to>
          <xdr:col>6</xdr:col>
          <xdr:colOff>1028700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5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START MACRO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Alpine\Alpine%20FCP%20June%2030%202016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opper%20Ridge\Copper%20Ridge%204-30-2016%20FCP%20re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oral%20Desert\661-%20NF%20FCP%20Forms-FY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ountry%20Life\NF%20FCP%20Forms-FY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ountry%20Life\NF%20FCP%20Forms-FY16%20(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restwood\NF%20FCP%20Forms-FY16%20-%20Crestwoo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Draper\Draper%204-30-2016%20FCP%20repor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Emery%20County\1-EMERY%20NF%20FCP%20Forms-FY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Fairview%20East\Fairview%20Care%20Center%20FCP%20Forms-FY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Four%20Corners%20-BV\BVFour%20Corners%20FCP%20FY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arrison%20Pointe\Harrison%20Pointe%206-30-2016%20FCP%20repo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Avalon%20Bountiful\AV%20-%20107%20-%20Bountiful%20-%20FCP%20Forms-FY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eritage%20Care\AV%20-%20102%20-%20Heritage%20Care%20-%20FCP%20Forms-FY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eritage%20Hills\AV%20-%20900%20-%20Heritage%20Hills%20-%20FCP%20Forms-FY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eritage%20Park\NF%20FCP%20Forms-FY16%20-%20Heritage%20Par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ighland\NF%20FCP%20Forms-FY16%20-%20Highlan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illside\Hillside%20FCP%20June%2030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olladay\Holladay-4-30-FCP%20Form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Hurricane\Hurricane%204-30-2016%20FCP%20report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Iron%20County\1-%20IRON%20CO%20NF%20FCP%20Forms-FY16%20%20amended%2002-24-1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Kolob%20-Cedar%20City\CC%20-%20FCP%201-31-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Kolob%20-SG\SG%20-%20FCP%201-31-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Avalon%20Valley\AV%20-%20903%20-%20Valley%20Rehab%20-%20%20FCP%20Forms-FY16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Life%20Care%20of%20Bountiful\NF%20FCP%20Forms-FY16-Bountiful-State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Life%20Care%20of%20SLC\NF%20FCP%20Forms-FY16-SaltLakeCity-State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anor%20Care%20South%20Ogden%20-final%20report\South%20Ogden%20NF%20FCP%20Forms-FY16%20Kim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anor%20Care%20South%20Ogden%20-final%20report\South%20Ogden%20NF%20FCP%20Forms-FY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outh%20Ogden%20Post%20Acute%20-BV%20(manor%20care)\BVSouthOdgenNF%20FCP%20Forms-FY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eadow%20%20Brook%20to%2010-31\NF%20FCP%20Forms-FY16%20(15)%2010-31-1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idtown%20Manor\Midtown%20Manor%20FCP%20Forms-FY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illard%20County\1%20-%20MILLARD%20NF%20FCP%20Forms-FY16%20%20RESUBMITTED%20022017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ission%20at%20Bear%20River%20-GVH\Bear%20River%20FCP%20JUne%2030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ission%20at%20Community%20Living%20-GVH\Community%20Living%20FCP%20June%2020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Bennion\AV%20-%20101%20-%20Bennion%20Care%20-%20FCP%20Forms-FY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ountain%20View\Mountain%20View%20NF%20FCP%20Forms-FY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t.%20Ogden\Mt%20Ogden-%204-30-FCP%20form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Mt.%20Olympus%20-BV\BeaverValley_MtOlympus-FCP_FY063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North%20Canyon\AV%20-%20111%20-%20North%20Canyon%20-%20FCP%20Forms-FY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Ogden%20VH%20(George%20E.%20Wahlen)\AV%20-%20116%20-%20VA%20Ogden%20-%20FCP%20Forms-FY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Orem\Orem%204-30-2016%20FCP%20report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aramount\Paramount-4-30-FCP%20Form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arkdale%20-BV\BVParkdale%20FCP%20FY16-REVISED%2011.03.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arkway\1%20-%20PARKWAY%20NF%20FCP%20Forms-FY16%20%20REFILED%20022017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arkway\1%20-%20PARKWAY%20NF%20FCP%20Forms-FY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anyon%20Rim\AV%20-%20901%20-%20Canyon%20Rim%20-%20FCP%20Forms-FY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ine%20Creek%20to%2010-31\NF%20FCP%20Forms-FY16%20(17)%2010-31-15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innacle\Pinnacle%204-30-2016%20FCP%20report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ioneer\AV%20-%20110%20-%20Pioneer%20-%20FCP%20Forms-FY16%20-%20Revised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Provo\Provo%204-30-2016%20FCP%20report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ed%20Cliffs%20-BV\BVRedCliffs%20FCP%20FY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ichfield\AV%20-%20104%20-%20Richfield%20-%20FCP%20Forms-FY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MC%20-BVH%20Clearfield\Clearfield%20FCP%20Forms-FY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MC%20-BVH%20Cottage%20on%20Vine\Cottage%20on%20Vine%20%20FCP%20Forms-FY16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MC%20-BVH%20Logan\Logan%20FCP%20Forms-FY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MC%20-BVH%20Mtn%20View%20(Heber)\Heber%20FCP%20Forms-FY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anyonlands\NF%20FCP%20Forms-FY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RMC%20-BVH%20Willow%20Springs%20(Tooele)\Tooele%20FCP%20FY1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andy,%20BV\BeaverValley_Sandy%20-%20FCP_FY063016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easons\1%20-%20SEASONS%20NF%20FCP%20Forms-FY16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outh%20Davis\NF%20FCP%20Forms-FY16%20-%20SDCH%20-%20to%20April%2019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outhern%20UT%20VH%20-%20Ivins\AV%20-%20119%20-%20VA%20Ivins%20-%20FCP%20Forms-FY16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panish%20Fork%20%20to%2010-31-15\NF%20FCP%20Forms-FY16%20FOR%2010-31-15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pring%20Creek,%20BV\BeaverValley_SpringCreek-FCP_FY063016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.%20George\St.%20George%206-30-2016%20FCP%20report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.%20Joseph\St.%20Joseph%204-30-2016%20FCP%20report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onehenge%20-American%20Fork\NF%20FCP%20Forms-FY16%20-%20American%20For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ascades%20at%20Riverwalk\NF%20FCP%20Forms-FY16%20(10)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onehenge%20-Ogden\NF%20FCP%20Forms-FY16%20-%20Ogde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onehenge%20-Orem\NF%20FCP%20Forms-FY16%20-%20Orem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onehenge%20-Richfield\NF%20FCP%20Forms-FY16%20-%20Richfield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tonehenge%20-Springville\AMENDED%20NF%20FCP%20Forms-FY16%20-%20Springville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Sunshine%20Terrace\FCP%20-%202016a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Uintah%20Basin\FCP%20-%20June%2030,%202016_a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Uintah%20Care\FCP%20Report%20Uintah%20Care%202016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Utah%20Valley\NF%20FCP%20Forms-FY16%20-%20Utah%20Valley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VA%20Salt%20Lake%20-W'm%20E.%20Christofferson\AV%20-%20114%20-%20VA%20SLC%20-%20FCP%20Forms-FY16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Washington%20Terrace\522088947006%20Washington%20Terrace%20NF%20FCP%20Forms-FY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entral%20UT%20VH%20-%20Payson\AV%20-%20118%20-%20VA%20Payson%20-%20FCP%20Forms-FY16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Willow%20Glen\AV%20-%20115%20-%20Willow%20Glen%20-%20FCP%20Forms-FY16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Willow%20Wood\AV%20-%20105%20-%20Willow%20Wood%20-%20FCP%20Forms-FY16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Woodland%20Park\AV%20-%20106%20-%20Woodland%20Park%20-%20FCP%20Forms-FY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6\2016%20FCP\FY16%20NH%20FCPs\City%20Creek%20Post%20Acute\City%20Creek-4-30-FCP%20For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1783089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428047</v>
          </cell>
          <cell r="G21">
            <v>0</v>
          </cell>
        </row>
        <row r="27">
          <cell r="E27">
            <v>67178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350810</v>
          </cell>
          <cell r="G37">
            <v>0</v>
          </cell>
        </row>
        <row r="42">
          <cell r="E42">
            <v>78156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159560</v>
          </cell>
          <cell r="G67">
            <v>0</v>
          </cell>
        </row>
      </sheetData>
      <sheetData sheetId="6"/>
      <sheetData sheetId="7">
        <row r="10">
          <cell r="D10">
            <v>66267</v>
          </cell>
          <cell r="F10">
            <v>3685.37</v>
          </cell>
        </row>
        <row r="11">
          <cell r="D11"/>
          <cell r="F11"/>
        </row>
        <row r="12">
          <cell r="D12">
            <v>38380</v>
          </cell>
          <cell r="F12">
            <v>2134.4699999999998</v>
          </cell>
        </row>
        <row r="13">
          <cell r="D13">
            <v>224339</v>
          </cell>
          <cell r="F13">
            <v>-208097</v>
          </cell>
        </row>
        <row r="14">
          <cell r="D14"/>
          <cell r="F14"/>
        </row>
        <row r="15">
          <cell r="D15"/>
          <cell r="F15"/>
        </row>
        <row r="16">
          <cell r="D16">
            <v>216121</v>
          </cell>
          <cell r="F16">
            <v>-16319.78</v>
          </cell>
        </row>
        <row r="17">
          <cell r="D17"/>
          <cell r="F17"/>
        </row>
        <row r="18">
          <cell r="D18">
            <v>7835</v>
          </cell>
          <cell r="F18"/>
        </row>
        <row r="19">
          <cell r="D19">
            <v>6543</v>
          </cell>
          <cell r="F19"/>
        </row>
        <row r="20">
          <cell r="D20">
            <v>4199</v>
          </cell>
          <cell r="F20"/>
        </row>
        <row r="21">
          <cell r="D21">
            <v>12566</v>
          </cell>
          <cell r="F21"/>
        </row>
        <row r="22">
          <cell r="D22"/>
          <cell r="F22"/>
        </row>
        <row r="23">
          <cell r="D23">
            <v>6115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237299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197406</v>
          </cell>
          <cell r="F29">
            <v>-197406</v>
          </cell>
        </row>
        <row r="30">
          <cell r="D30"/>
          <cell r="F30">
            <v>0</v>
          </cell>
        </row>
        <row r="31">
          <cell r="D31">
            <v>37160</v>
          </cell>
          <cell r="F31"/>
        </row>
        <row r="32">
          <cell r="D32">
            <v>14431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1269</v>
          </cell>
          <cell r="F39"/>
        </row>
        <row r="40">
          <cell r="D40">
            <v>7492</v>
          </cell>
          <cell r="F40">
            <v>-7492</v>
          </cell>
        </row>
        <row r="41">
          <cell r="D41"/>
          <cell r="F41"/>
        </row>
        <row r="42">
          <cell r="D42"/>
          <cell r="F42"/>
        </row>
        <row r="43">
          <cell r="D43">
            <v>5938</v>
          </cell>
          <cell r="F43"/>
        </row>
        <row r="44">
          <cell r="D44"/>
          <cell r="F44"/>
        </row>
        <row r="45">
          <cell r="D45">
            <v>38655</v>
          </cell>
          <cell r="F45"/>
        </row>
        <row r="57">
          <cell r="D57">
            <v>283985</v>
          </cell>
          <cell r="F57">
            <v>-283985</v>
          </cell>
        </row>
        <row r="58">
          <cell r="D58">
            <v>0</v>
          </cell>
          <cell r="F58"/>
        </row>
        <row r="59">
          <cell r="D59"/>
          <cell r="F59">
            <v>131387.81</v>
          </cell>
        </row>
        <row r="60">
          <cell r="D60"/>
          <cell r="F60"/>
        </row>
        <row r="61">
          <cell r="D61">
            <v>4059</v>
          </cell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4115</v>
          </cell>
          <cell r="F65"/>
        </row>
        <row r="66">
          <cell r="D66"/>
          <cell r="F66"/>
        </row>
        <row r="67">
          <cell r="D67">
            <v>80947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26567</v>
          </cell>
          <cell r="F75">
            <v>1477.5</v>
          </cell>
        </row>
        <row r="76">
          <cell r="D76"/>
          <cell r="F76">
            <v>4133.68</v>
          </cell>
        </row>
        <row r="77">
          <cell r="D77">
            <v>17896</v>
          </cell>
          <cell r="F77"/>
        </row>
        <row r="78">
          <cell r="D78"/>
          <cell r="F78"/>
        </row>
        <row r="79">
          <cell r="D79"/>
          <cell r="F79"/>
        </row>
        <row r="80">
          <cell r="D80">
            <v>37790</v>
          </cell>
          <cell r="F80"/>
        </row>
        <row r="81">
          <cell r="D81">
            <v>642</v>
          </cell>
          <cell r="F81"/>
        </row>
        <row r="82">
          <cell r="D82"/>
          <cell r="F82"/>
        </row>
        <row r="83">
          <cell r="D83"/>
          <cell r="F83"/>
        </row>
        <row r="84">
          <cell r="D84">
            <v>38035</v>
          </cell>
          <cell r="F84"/>
        </row>
        <row r="85">
          <cell r="D85"/>
          <cell r="F85"/>
        </row>
        <row r="89">
          <cell r="D89">
            <v>104324</v>
          </cell>
          <cell r="F89">
            <v>5801.88</v>
          </cell>
        </row>
        <row r="90">
          <cell r="D90"/>
          <cell r="F90">
            <v>16232.23</v>
          </cell>
        </row>
        <row r="91">
          <cell r="D91"/>
          <cell r="F91"/>
        </row>
        <row r="92">
          <cell r="D92">
            <v>80889</v>
          </cell>
          <cell r="F92"/>
        </row>
        <row r="93">
          <cell r="D93">
            <v>7936</v>
          </cell>
          <cell r="F93"/>
        </row>
        <row r="94">
          <cell r="D94"/>
          <cell r="F94"/>
        </row>
        <row r="98">
          <cell r="D98">
            <v>22241</v>
          </cell>
          <cell r="F98">
            <v>1236.9100000000001</v>
          </cell>
        </row>
        <row r="99">
          <cell r="D99"/>
          <cell r="F99">
            <v>3460.58</v>
          </cell>
        </row>
        <row r="100">
          <cell r="D100">
            <v>2742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37131</v>
          </cell>
          <cell r="F115">
            <v>2065</v>
          </cell>
        </row>
        <row r="116">
          <cell r="D116"/>
          <cell r="F116">
            <v>5777.38</v>
          </cell>
        </row>
        <row r="117">
          <cell r="D117">
            <v>9638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>
            <v>24000</v>
          </cell>
          <cell r="F124"/>
        </row>
        <row r="125">
          <cell r="D125">
            <v>112509</v>
          </cell>
          <cell r="F125">
            <v>6257.08</v>
          </cell>
        </row>
        <row r="126">
          <cell r="D126"/>
          <cell r="F126"/>
        </row>
        <row r="127">
          <cell r="D127"/>
          <cell r="F127"/>
        </row>
        <row r="128">
          <cell r="D128">
            <v>13431</v>
          </cell>
          <cell r="F128">
            <v>746.95</v>
          </cell>
        </row>
        <row r="130">
          <cell r="D130"/>
          <cell r="F130"/>
        </row>
        <row r="131">
          <cell r="D131">
            <v>0</v>
          </cell>
          <cell r="F131">
            <v>17505.78</v>
          </cell>
        </row>
        <row r="132">
          <cell r="D132">
            <v>0</v>
          </cell>
          <cell r="F132"/>
        </row>
        <row r="133">
          <cell r="D133"/>
          <cell r="F133"/>
        </row>
        <row r="134">
          <cell r="D134"/>
          <cell r="F134">
            <v>2089.79</v>
          </cell>
        </row>
        <row r="136">
          <cell r="D136">
            <v>90545</v>
          </cell>
          <cell r="F136">
            <v>5035.57</v>
          </cell>
        </row>
        <row r="137">
          <cell r="D137">
            <v>159523</v>
          </cell>
          <cell r="F137">
            <v>8871.7199999999993</v>
          </cell>
        </row>
        <row r="138">
          <cell r="D138">
            <v>336548</v>
          </cell>
          <cell r="F138">
            <v>18716.79</v>
          </cell>
        </row>
        <row r="139">
          <cell r="D139"/>
          <cell r="F139"/>
        </row>
        <row r="141">
          <cell r="D141"/>
          <cell r="F141">
            <v>14088.3</v>
          </cell>
        </row>
        <row r="142">
          <cell r="D142"/>
          <cell r="F142">
            <v>24820.89</v>
          </cell>
        </row>
        <row r="143">
          <cell r="D143"/>
          <cell r="F143">
            <v>52365</v>
          </cell>
        </row>
        <row r="144">
          <cell r="D144"/>
          <cell r="F144"/>
        </row>
        <row r="146">
          <cell r="D146"/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3696</v>
          </cell>
          <cell r="F150"/>
        </row>
        <row r="151">
          <cell r="D151">
            <v>48868</v>
          </cell>
          <cell r="F151"/>
        </row>
        <row r="152">
          <cell r="D152"/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3242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69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69016</v>
          </cell>
          <cell r="F194"/>
        </row>
        <row r="195">
          <cell r="D195">
            <v>3810</v>
          </cell>
          <cell r="F195"/>
        </row>
        <row r="196">
          <cell r="D196">
            <v>0</v>
          </cell>
          <cell r="F196"/>
        </row>
        <row r="197">
          <cell r="D197">
            <v>48346</v>
          </cell>
          <cell r="F197"/>
        </row>
        <row r="198">
          <cell r="D198">
            <v>4403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41611</v>
          </cell>
          <cell r="F205"/>
        </row>
        <row r="206">
          <cell r="D206">
            <v>2996</v>
          </cell>
          <cell r="F206"/>
        </row>
        <row r="207">
          <cell r="D207"/>
          <cell r="F207"/>
        </row>
        <row r="211">
          <cell r="D211">
            <v>54892</v>
          </cell>
          <cell r="F211">
            <v>3052.76</v>
          </cell>
        </row>
        <row r="212">
          <cell r="D212"/>
          <cell r="F212">
            <v>8540.89</v>
          </cell>
        </row>
        <row r="213">
          <cell r="D213">
            <v>7771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2743</v>
          </cell>
          <cell r="F216"/>
        </row>
        <row r="221">
          <cell r="D221">
            <v>2908971</v>
          </cell>
        </row>
      </sheetData>
      <sheetData sheetId="8"/>
      <sheetData sheetId="9"/>
      <sheetData sheetId="10">
        <row r="9">
          <cell r="C9">
            <v>10524</v>
          </cell>
          <cell r="D9"/>
          <cell r="E9">
            <v>629</v>
          </cell>
          <cell r="F9">
            <v>422</v>
          </cell>
          <cell r="G9"/>
          <cell r="H9">
            <v>1918</v>
          </cell>
          <cell r="I9">
            <v>508</v>
          </cell>
          <cell r="J9"/>
          <cell r="K9"/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19032</v>
          </cell>
        </row>
        <row r="30">
          <cell r="N30">
            <v>0.73565573770491799</v>
          </cell>
        </row>
        <row r="32">
          <cell r="N32">
            <v>0.55296343001261039</v>
          </cell>
        </row>
        <row r="34">
          <cell r="N34">
            <v>0.75166059567173782</v>
          </cell>
        </row>
      </sheetData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3204953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768181</v>
          </cell>
          <cell r="G21">
            <v>0</v>
          </cell>
        </row>
        <row r="27">
          <cell r="E27">
            <v>1198447</v>
          </cell>
          <cell r="G27">
            <v>0</v>
          </cell>
        </row>
        <row r="32">
          <cell r="E32">
            <v>-872</v>
          </cell>
          <cell r="G32">
            <v>0</v>
          </cell>
        </row>
        <row r="37">
          <cell r="E37">
            <v>526086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427574</v>
          </cell>
          <cell r="G47">
            <v>0</v>
          </cell>
        </row>
        <row r="52">
          <cell r="E52">
            <v>126</v>
          </cell>
          <cell r="G52">
            <v>0</v>
          </cell>
        </row>
        <row r="67">
          <cell r="E67">
            <v>1089</v>
          </cell>
          <cell r="G67">
            <v>0</v>
          </cell>
        </row>
        <row r="85">
          <cell r="C85">
            <v>189.73496659242761</v>
          </cell>
          <cell r="E85">
            <v>187.8544776119403</v>
          </cell>
          <cell r="G85">
            <v>188.38721804511277</v>
          </cell>
          <cell r="I85">
            <v>190.65263157894736</v>
          </cell>
        </row>
      </sheetData>
      <sheetData sheetId="7"/>
      <sheetData sheetId="8">
        <row r="10">
          <cell r="D10">
            <v>126829</v>
          </cell>
          <cell r="F10">
            <v>7533</v>
          </cell>
        </row>
        <row r="11">
          <cell r="D11">
            <v>0</v>
          </cell>
          <cell r="F11"/>
        </row>
        <row r="12">
          <cell r="D12">
            <v>201007</v>
          </cell>
          <cell r="F12">
            <v>11935</v>
          </cell>
        </row>
        <row r="13">
          <cell r="D13">
            <v>579646</v>
          </cell>
          <cell r="F13">
            <v>-536401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304939</v>
          </cell>
          <cell r="F16">
            <v>125776</v>
          </cell>
        </row>
        <row r="17">
          <cell r="D17">
            <v>0</v>
          </cell>
          <cell r="F17"/>
        </row>
        <row r="18">
          <cell r="D18">
            <v>6395</v>
          </cell>
          <cell r="F18"/>
        </row>
        <row r="19">
          <cell r="D19">
            <v>16452</v>
          </cell>
          <cell r="F19">
            <v>-3187</v>
          </cell>
        </row>
        <row r="20">
          <cell r="D20">
            <v>27286</v>
          </cell>
          <cell r="F20"/>
        </row>
        <row r="21">
          <cell r="D21">
            <v>2249</v>
          </cell>
          <cell r="F21"/>
        </row>
        <row r="22">
          <cell r="D22">
            <v>0</v>
          </cell>
          <cell r="F22"/>
        </row>
        <row r="23">
          <cell r="D23">
            <v>7304</v>
          </cell>
          <cell r="F23"/>
        </row>
        <row r="24">
          <cell r="D24">
            <v>49362</v>
          </cell>
          <cell r="F24">
            <v>-11000</v>
          </cell>
        </row>
        <row r="25">
          <cell r="D25">
            <v>0</v>
          </cell>
          <cell r="F25"/>
        </row>
        <row r="26">
          <cell r="D26">
            <v>422936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53486</v>
          </cell>
          <cell r="F29">
            <v>-53486</v>
          </cell>
        </row>
        <row r="30">
          <cell r="D30">
            <v>0</v>
          </cell>
          <cell r="F30">
            <v>0</v>
          </cell>
        </row>
        <row r="31">
          <cell r="D31">
            <v>39820</v>
          </cell>
          <cell r="F31"/>
        </row>
        <row r="32">
          <cell r="D32">
            <v>88000</v>
          </cell>
          <cell r="F32">
            <v>-30078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9569</v>
          </cell>
          <cell r="F39"/>
        </row>
        <row r="40">
          <cell r="D40">
            <v>5560</v>
          </cell>
          <cell r="F40"/>
        </row>
        <row r="41">
          <cell r="D41">
            <v>23459</v>
          </cell>
          <cell r="F41"/>
        </row>
        <row r="42">
          <cell r="D42">
            <v>11295</v>
          </cell>
          <cell r="F42"/>
        </row>
        <row r="43">
          <cell r="D43">
            <v>14880</v>
          </cell>
          <cell r="F43"/>
        </row>
        <row r="44">
          <cell r="D44">
            <v>0</v>
          </cell>
          <cell r="F44"/>
        </row>
        <row r="45">
          <cell r="D45">
            <v>17745</v>
          </cell>
          <cell r="F45">
            <v>-838</v>
          </cell>
        </row>
        <row r="57">
          <cell r="D57">
            <v>585000</v>
          </cell>
          <cell r="F57"/>
        </row>
        <row r="58">
          <cell r="D58">
            <v>472</v>
          </cell>
          <cell r="F58"/>
        </row>
        <row r="59">
          <cell r="D59">
            <v>0</v>
          </cell>
          <cell r="F59"/>
        </row>
        <row r="60">
          <cell r="D60">
            <v>51031</v>
          </cell>
          <cell r="F60"/>
        </row>
        <row r="61">
          <cell r="D61">
            <v>6845</v>
          </cell>
          <cell r="F61"/>
        </row>
        <row r="62">
          <cell r="D62">
            <v>7070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6076</v>
          </cell>
          <cell r="F65"/>
        </row>
        <row r="66">
          <cell r="D66">
            <v>1892</v>
          </cell>
          <cell r="F66"/>
        </row>
        <row r="67">
          <cell r="D67">
            <v>43815</v>
          </cell>
          <cell r="F67"/>
        </row>
        <row r="68">
          <cell r="D68">
            <v>0</v>
          </cell>
          <cell r="F68"/>
        </row>
        <row r="69">
          <cell r="D69">
            <v>7082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53921</v>
          </cell>
          <cell r="F75">
            <v>3202</v>
          </cell>
        </row>
        <row r="76">
          <cell r="D76">
            <v>0</v>
          </cell>
          <cell r="F76">
            <v>7072</v>
          </cell>
        </row>
        <row r="77">
          <cell r="D77">
            <v>15695</v>
          </cell>
          <cell r="F77"/>
        </row>
        <row r="78">
          <cell r="D78">
            <v>0</v>
          </cell>
          <cell r="F78"/>
        </row>
        <row r="79">
          <cell r="D79">
            <v>5630</v>
          </cell>
          <cell r="F79"/>
        </row>
        <row r="80">
          <cell r="D80">
            <v>22433</v>
          </cell>
          <cell r="F80"/>
        </row>
        <row r="81">
          <cell r="D81">
            <v>5881</v>
          </cell>
          <cell r="F81"/>
        </row>
        <row r="82">
          <cell r="D82">
            <v>118</v>
          </cell>
          <cell r="F82"/>
        </row>
        <row r="83">
          <cell r="D83">
            <v>0</v>
          </cell>
          <cell r="F83"/>
        </row>
        <row r="84">
          <cell r="D84">
            <v>100795</v>
          </cell>
          <cell r="F84"/>
        </row>
        <row r="85">
          <cell r="D85">
            <v>0</v>
          </cell>
          <cell r="F85"/>
        </row>
        <row r="89">
          <cell r="D89">
            <v>171955</v>
          </cell>
          <cell r="F89">
            <v>10213</v>
          </cell>
        </row>
        <row r="90">
          <cell r="D90">
            <v>0</v>
          </cell>
          <cell r="F90">
            <v>22553</v>
          </cell>
        </row>
        <row r="91">
          <cell r="D91">
            <v>7655</v>
          </cell>
          <cell r="F91"/>
        </row>
        <row r="92">
          <cell r="D92">
            <v>160142</v>
          </cell>
          <cell r="F92"/>
        </row>
        <row r="93">
          <cell r="D93">
            <v>26089</v>
          </cell>
          <cell r="F93"/>
        </row>
        <row r="94">
          <cell r="D94">
            <v>0</v>
          </cell>
          <cell r="F94"/>
        </row>
        <row r="98">
          <cell r="D98">
            <v>27305</v>
          </cell>
          <cell r="F98">
            <v>1622</v>
          </cell>
        </row>
        <row r="99">
          <cell r="D99">
            <v>0</v>
          </cell>
          <cell r="F99">
            <v>3581</v>
          </cell>
        </row>
        <row r="100">
          <cell r="D100">
            <v>5793</v>
          </cell>
          <cell r="F100"/>
        </row>
        <row r="101">
          <cell r="D101">
            <v>0</v>
          </cell>
          <cell r="F101"/>
        </row>
        <row r="102">
          <cell r="D102">
            <v>669</v>
          </cell>
          <cell r="F102"/>
        </row>
        <row r="103">
          <cell r="D103">
            <v>0</v>
          </cell>
          <cell r="F103"/>
        </row>
        <row r="115">
          <cell r="D115">
            <v>95560</v>
          </cell>
          <cell r="F115">
            <v>5676</v>
          </cell>
        </row>
        <row r="116">
          <cell r="D116">
            <v>0</v>
          </cell>
          <cell r="F116">
            <v>12533</v>
          </cell>
        </row>
        <row r="117">
          <cell r="D117">
            <v>14303</v>
          </cell>
          <cell r="F117"/>
        </row>
        <row r="118">
          <cell r="D118">
            <v>4930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133294</v>
          </cell>
          <cell r="F125">
            <v>7917</v>
          </cell>
        </row>
        <row r="126">
          <cell r="D126">
            <v>41934</v>
          </cell>
          <cell r="F126">
            <v>2491</v>
          </cell>
        </row>
        <row r="127">
          <cell r="D127">
            <v>0</v>
          </cell>
          <cell r="F127"/>
        </row>
        <row r="128">
          <cell r="D128">
            <v>76752</v>
          </cell>
          <cell r="F128">
            <v>4558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17482</v>
          </cell>
        </row>
        <row r="132">
          <cell r="D132">
            <v>0</v>
          </cell>
          <cell r="F132">
            <v>5500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10066</v>
          </cell>
        </row>
        <row r="136">
          <cell r="D136">
            <v>486382</v>
          </cell>
          <cell r="F136">
            <v>28887</v>
          </cell>
        </row>
        <row r="137">
          <cell r="D137">
            <v>254982</v>
          </cell>
          <cell r="F137">
            <v>15144</v>
          </cell>
        </row>
        <row r="138">
          <cell r="D138">
            <v>410372</v>
          </cell>
          <cell r="F138">
            <v>24373</v>
          </cell>
        </row>
        <row r="139">
          <cell r="D139">
            <v>216601</v>
          </cell>
          <cell r="F139">
            <v>12864</v>
          </cell>
        </row>
        <row r="141">
          <cell r="D141">
            <v>0</v>
          </cell>
          <cell r="F141">
            <v>63789</v>
          </cell>
        </row>
        <row r="142">
          <cell r="D142">
            <v>0</v>
          </cell>
          <cell r="F142">
            <v>33442</v>
          </cell>
        </row>
        <row r="143">
          <cell r="D143">
            <v>0</v>
          </cell>
          <cell r="F143">
            <v>53821</v>
          </cell>
        </row>
        <row r="144">
          <cell r="D144">
            <v>0</v>
          </cell>
          <cell r="F144">
            <v>28408</v>
          </cell>
        </row>
        <row r="146">
          <cell r="D146">
            <v>22000</v>
          </cell>
          <cell r="F146"/>
        </row>
        <row r="147">
          <cell r="D147">
            <v>3672</v>
          </cell>
          <cell r="F147"/>
        </row>
        <row r="148">
          <cell r="D148">
            <v>12110</v>
          </cell>
          <cell r="F148"/>
        </row>
        <row r="149">
          <cell r="D149">
            <v>9992</v>
          </cell>
          <cell r="F149"/>
        </row>
        <row r="150">
          <cell r="D150">
            <v>8305</v>
          </cell>
          <cell r="F150"/>
        </row>
        <row r="151">
          <cell r="D151">
            <v>92041</v>
          </cell>
          <cell r="F151"/>
        </row>
        <row r="152">
          <cell r="D152">
            <v>1588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3050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222361</v>
          </cell>
          <cell r="F177">
            <v>13206</v>
          </cell>
        </row>
        <row r="178">
          <cell r="D178">
            <v>0</v>
          </cell>
          <cell r="F178">
            <v>29163</v>
          </cell>
        </row>
        <row r="179">
          <cell r="D179">
            <v>37594</v>
          </cell>
          <cell r="F179">
            <v>2233</v>
          </cell>
        </row>
        <row r="180">
          <cell r="D180">
            <v>0</v>
          </cell>
          <cell r="F180">
            <v>4931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95398</v>
          </cell>
          <cell r="F183">
            <v>5666</v>
          </cell>
        </row>
        <row r="184">
          <cell r="D184">
            <v>0</v>
          </cell>
          <cell r="F184">
            <v>12512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340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84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332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20278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136473</v>
          </cell>
          <cell r="F205"/>
        </row>
        <row r="206">
          <cell r="D206">
            <v>1833</v>
          </cell>
          <cell r="F206"/>
        </row>
        <row r="207">
          <cell r="D207">
            <v>12906</v>
          </cell>
          <cell r="F207">
            <v>-292</v>
          </cell>
        </row>
        <row r="211">
          <cell r="D211">
            <v>113850</v>
          </cell>
          <cell r="F211">
            <v>6762</v>
          </cell>
        </row>
        <row r="212">
          <cell r="D212">
            <v>0</v>
          </cell>
          <cell r="F212">
            <v>14932</v>
          </cell>
        </row>
        <row r="213">
          <cell r="D213">
            <v>2284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5956</v>
          </cell>
          <cell r="F216"/>
        </row>
        <row r="221">
          <cell r="D221">
            <v>5859140</v>
          </cell>
        </row>
      </sheetData>
      <sheetData sheetId="9"/>
      <sheetData sheetId="10"/>
      <sheetData sheetId="11"/>
      <sheetData sheetId="12"/>
      <sheetData sheetId="13">
        <row r="9">
          <cell r="C9">
            <v>17906</v>
          </cell>
          <cell r="D9"/>
          <cell r="E9">
            <v>1295</v>
          </cell>
          <cell r="F9">
            <v>2736</v>
          </cell>
          <cell r="G9"/>
          <cell r="H9">
            <v>2785</v>
          </cell>
          <cell r="I9"/>
          <cell r="J9">
            <v>2395</v>
          </cell>
          <cell r="K9"/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36600</v>
          </cell>
        </row>
        <row r="30">
          <cell r="N30">
            <v>0.74090163934426234</v>
          </cell>
        </row>
        <row r="32">
          <cell r="N32">
            <v>0.48923497267759564</v>
          </cell>
        </row>
        <row r="34">
          <cell r="N34">
            <v>0.66032378212929155</v>
          </cell>
        </row>
      </sheetData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-1"/>
      <sheetName val="Sch C-1(b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22489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5999886</v>
          </cell>
          <cell r="G21">
            <v>0</v>
          </cell>
        </row>
        <row r="27">
          <cell r="E27">
            <v>1926129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11873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345</v>
          </cell>
          <cell r="G67">
            <v>0</v>
          </cell>
        </row>
        <row r="85">
          <cell r="C85">
            <v>-1709.2857142857142</v>
          </cell>
          <cell r="E85">
            <v>173</v>
          </cell>
          <cell r="G85">
            <v>369.97058823529414</v>
          </cell>
          <cell r="I85">
            <v>371.21428571428572</v>
          </cell>
        </row>
      </sheetData>
      <sheetData sheetId="7"/>
      <sheetData sheetId="8">
        <row r="10">
          <cell r="D10">
            <v>267814</v>
          </cell>
          <cell r="F10">
            <v>14397</v>
          </cell>
        </row>
        <row r="11">
          <cell r="D11">
            <v>0</v>
          </cell>
          <cell r="F11"/>
        </row>
        <row r="12">
          <cell r="D12">
            <v>246315</v>
          </cell>
          <cell r="F12">
            <v>13242</v>
          </cell>
        </row>
        <row r="13">
          <cell r="D13">
            <v>921734</v>
          </cell>
          <cell r="F13">
            <v>-811995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398042</v>
          </cell>
          <cell r="F16">
            <v>169369</v>
          </cell>
        </row>
        <row r="17">
          <cell r="D17">
            <v>0</v>
          </cell>
          <cell r="F17"/>
        </row>
        <row r="18">
          <cell r="D18">
            <v>16155</v>
          </cell>
          <cell r="F18"/>
        </row>
        <row r="19">
          <cell r="D19">
            <v>6693</v>
          </cell>
          <cell r="F19">
            <v>-621</v>
          </cell>
        </row>
        <row r="20">
          <cell r="D20">
            <v>28433</v>
          </cell>
          <cell r="F20"/>
        </row>
        <row r="21">
          <cell r="D21">
            <v>195</v>
          </cell>
          <cell r="F21"/>
        </row>
        <row r="22">
          <cell r="D22">
            <v>0</v>
          </cell>
          <cell r="F22"/>
        </row>
        <row r="23">
          <cell r="D23">
            <v>10747</v>
          </cell>
          <cell r="F23"/>
        </row>
        <row r="24">
          <cell r="D24">
            <v>44991</v>
          </cell>
          <cell r="F24">
            <v>-5400</v>
          </cell>
        </row>
        <row r="25">
          <cell r="D25">
            <v>0</v>
          </cell>
          <cell r="F25"/>
        </row>
        <row r="26">
          <cell r="D26">
            <v>3774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88894</v>
          </cell>
          <cell r="F29">
            <v>-88894</v>
          </cell>
        </row>
        <row r="30">
          <cell r="D30">
            <v>0</v>
          </cell>
          <cell r="F30">
            <v>0</v>
          </cell>
        </row>
        <row r="31">
          <cell r="D31">
            <v>109102</v>
          </cell>
          <cell r="F31">
            <v>-29621</v>
          </cell>
        </row>
        <row r="32">
          <cell r="D32">
            <v>47058</v>
          </cell>
          <cell r="F32">
            <v>-11386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1210</v>
          </cell>
          <cell r="F38">
            <v>-1210</v>
          </cell>
        </row>
        <row r="39">
          <cell r="D39">
            <v>2288</v>
          </cell>
          <cell r="F39"/>
        </row>
        <row r="40">
          <cell r="D40">
            <v>11759</v>
          </cell>
          <cell r="F40"/>
        </row>
        <row r="41">
          <cell r="D41">
            <v>13566</v>
          </cell>
          <cell r="F41"/>
        </row>
        <row r="42">
          <cell r="D42">
            <v>4644</v>
          </cell>
          <cell r="F42"/>
        </row>
        <row r="43">
          <cell r="D43">
            <v>12627</v>
          </cell>
          <cell r="F43"/>
        </row>
        <row r="44">
          <cell r="D44">
            <v>0</v>
          </cell>
          <cell r="F44"/>
        </row>
        <row r="45">
          <cell r="D45">
            <v>5484</v>
          </cell>
          <cell r="F45">
            <v>-9</v>
          </cell>
        </row>
        <row r="57">
          <cell r="D57">
            <v>720000</v>
          </cell>
          <cell r="F57"/>
        </row>
        <row r="58">
          <cell r="D58">
            <v>2246</v>
          </cell>
          <cell r="F58"/>
        </row>
        <row r="59">
          <cell r="D59">
            <v>0</v>
          </cell>
          <cell r="F59"/>
        </row>
        <row r="60">
          <cell r="D60">
            <v>46556</v>
          </cell>
          <cell r="F60"/>
        </row>
        <row r="61">
          <cell r="D61">
            <v>4836</v>
          </cell>
          <cell r="F61"/>
        </row>
        <row r="62">
          <cell r="D62">
            <v>0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3320</v>
          </cell>
          <cell r="F65"/>
        </row>
        <row r="66">
          <cell r="D66">
            <v>461</v>
          </cell>
          <cell r="F66"/>
        </row>
        <row r="67">
          <cell r="D67">
            <v>34804</v>
          </cell>
          <cell r="F67"/>
        </row>
        <row r="68">
          <cell r="D68">
            <v>0</v>
          </cell>
          <cell r="F68"/>
        </row>
        <row r="69">
          <cell r="D69">
            <v>4543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49234</v>
          </cell>
          <cell r="F75">
            <v>2647</v>
          </cell>
        </row>
        <row r="76">
          <cell r="D76">
            <v>0</v>
          </cell>
          <cell r="F76">
            <v>10333</v>
          </cell>
        </row>
        <row r="77">
          <cell r="D77">
            <v>12758</v>
          </cell>
          <cell r="F77"/>
        </row>
        <row r="78">
          <cell r="D78">
            <v>0</v>
          </cell>
          <cell r="F78"/>
        </row>
        <row r="79">
          <cell r="D79">
            <v>5307</v>
          </cell>
          <cell r="F79"/>
        </row>
        <row r="80">
          <cell r="D80">
            <v>9759</v>
          </cell>
          <cell r="F80"/>
        </row>
        <row r="81">
          <cell r="D81">
            <v>5952</v>
          </cell>
          <cell r="F81"/>
        </row>
        <row r="82">
          <cell r="D82">
            <v>797</v>
          </cell>
          <cell r="F82"/>
        </row>
        <row r="83">
          <cell r="D83">
            <v>0</v>
          </cell>
          <cell r="F83"/>
        </row>
        <row r="84">
          <cell r="D84">
            <v>93777</v>
          </cell>
          <cell r="F84"/>
        </row>
        <row r="85">
          <cell r="D85">
            <v>0</v>
          </cell>
          <cell r="F85"/>
        </row>
        <row r="89">
          <cell r="D89">
            <v>163894</v>
          </cell>
          <cell r="F89">
            <v>8811</v>
          </cell>
        </row>
        <row r="90">
          <cell r="D90">
            <v>0</v>
          </cell>
          <cell r="F90">
            <v>34395</v>
          </cell>
        </row>
        <row r="91">
          <cell r="D91">
            <v>9480</v>
          </cell>
          <cell r="F91"/>
        </row>
        <row r="92">
          <cell r="D92">
            <v>142220</v>
          </cell>
          <cell r="F92"/>
        </row>
        <row r="93">
          <cell r="D93">
            <v>15552</v>
          </cell>
          <cell r="F93"/>
        </row>
        <row r="94">
          <cell r="D94">
            <v>0</v>
          </cell>
          <cell r="F94"/>
        </row>
        <row r="98">
          <cell r="D98">
            <v>27232</v>
          </cell>
          <cell r="F98">
            <v>1464</v>
          </cell>
        </row>
        <row r="99">
          <cell r="D99">
            <v>0</v>
          </cell>
          <cell r="F99">
            <v>5715</v>
          </cell>
        </row>
        <row r="100">
          <cell r="D100">
            <v>6211</v>
          </cell>
          <cell r="F100"/>
        </row>
        <row r="101">
          <cell r="D101">
            <v>0</v>
          </cell>
          <cell r="F101"/>
        </row>
        <row r="102">
          <cell r="D102">
            <v>4282</v>
          </cell>
          <cell r="F102"/>
        </row>
        <row r="103">
          <cell r="D103">
            <v>0</v>
          </cell>
          <cell r="F103"/>
        </row>
        <row r="115">
          <cell r="D115">
            <v>64371</v>
          </cell>
          <cell r="F115">
            <v>3460</v>
          </cell>
        </row>
        <row r="116">
          <cell r="D116">
            <v>0</v>
          </cell>
          <cell r="F116">
            <v>13509</v>
          </cell>
        </row>
        <row r="117">
          <cell r="D117">
            <v>22613</v>
          </cell>
          <cell r="F117"/>
        </row>
        <row r="118">
          <cell r="D118">
            <v>4419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133672</v>
          </cell>
          <cell r="F125">
            <v>7186</v>
          </cell>
        </row>
        <row r="126">
          <cell r="D126">
            <v>82184</v>
          </cell>
          <cell r="F126">
            <v>4418</v>
          </cell>
        </row>
        <row r="127">
          <cell r="D127">
            <v>0</v>
          </cell>
          <cell r="F127"/>
        </row>
        <row r="128">
          <cell r="D128">
            <v>67852</v>
          </cell>
          <cell r="F128">
            <v>3648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28053</v>
          </cell>
        </row>
        <row r="132">
          <cell r="D132">
            <v>0</v>
          </cell>
          <cell r="F132">
            <v>17248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14240</v>
          </cell>
        </row>
        <row r="136">
          <cell r="D136">
            <v>640436</v>
          </cell>
          <cell r="F136">
            <v>34429</v>
          </cell>
        </row>
        <row r="137">
          <cell r="D137">
            <v>123774</v>
          </cell>
          <cell r="F137">
            <v>6654</v>
          </cell>
        </row>
        <row r="138">
          <cell r="D138">
            <v>560620</v>
          </cell>
          <cell r="F138">
            <v>30138</v>
          </cell>
        </row>
        <row r="139">
          <cell r="D139">
            <v>29321</v>
          </cell>
          <cell r="F139">
            <v>1576</v>
          </cell>
        </row>
        <row r="141">
          <cell r="D141">
            <v>0</v>
          </cell>
          <cell r="F141">
            <v>134406</v>
          </cell>
        </row>
        <row r="142">
          <cell r="D142">
            <v>0</v>
          </cell>
          <cell r="F142">
            <v>25976</v>
          </cell>
        </row>
        <row r="143">
          <cell r="D143">
            <v>0</v>
          </cell>
          <cell r="F143">
            <v>117655</v>
          </cell>
        </row>
        <row r="144">
          <cell r="D144">
            <v>0</v>
          </cell>
          <cell r="F144">
            <v>6154</v>
          </cell>
        </row>
        <row r="146">
          <cell r="D146">
            <v>30000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557</v>
          </cell>
          <cell r="F150"/>
        </row>
        <row r="151">
          <cell r="D151">
            <v>79910</v>
          </cell>
          <cell r="F151"/>
        </row>
        <row r="152">
          <cell r="D152">
            <v>3005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1500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719191</v>
          </cell>
          <cell r="F177">
            <v>38663</v>
          </cell>
        </row>
        <row r="178">
          <cell r="D178">
            <v>0</v>
          </cell>
          <cell r="F178">
            <v>150934</v>
          </cell>
        </row>
        <row r="179">
          <cell r="D179">
            <v>73147</v>
          </cell>
          <cell r="F179">
            <v>3932</v>
          </cell>
        </row>
        <row r="180">
          <cell r="D180">
            <v>0</v>
          </cell>
          <cell r="F180">
            <v>15351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398948</v>
          </cell>
          <cell r="F183">
            <v>21447</v>
          </cell>
        </row>
        <row r="184">
          <cell r="D184">
            <v>0</v>
          </cell>
          <cell r="F184">
            <v>83726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6699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1723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5069</v>
          </cell>
          <cell r="F195"/>
        </row>
        <row r="196">
          <cell r="D196">
            <v>0</v>
          </cell>
          <cell r="F196"/>
        </row>
        <row r="197">
          <cell r="D197">
            <v>10233</v>
          </cell>
          <cell r="F197"/>
        </row>
        <row r="198">
          <cell r="D198">
            <v>91166</v>
          </cell>
          <cell r="F198"/>
        </row>
        <row r="199">
          <cell r="D199">
            <v>2977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604492</v>
          </cell>
          <cell r="F205">
            <v>-8</v>
          </cell>
        </row>
        <row r="206">
          <cell r="D206">
            <v>5949</v>
          </cell>
          <cell r="F206"/>
        </row>
        <row r="207">
          <cell r="D207">
            <v>31722</v>
          </cell>
          <cell r="F207"/>
        </row>
        <row r="211">
          <cell r="D211">
            <v>79082</v>
          </cell>
          <cell r="F211">
            <v>4251</v>
          </cell>
        </row>
        <row r="212">
          <cell r="D212">
            <v>0</v>
          </cell>
          <cell r="F212">
            <v>16596</v>
          </cell>
        </row>
        <row r="213">
          <cell r="D213">
            <v>3220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5391</v>
          </cell>
          <cell r="F216"/>
        </row>
        <row r="221">
          <cell r="D221">
            <v>7487989.3200000003</v>
          </cell>
        </row>
      </sheetData>
      <sheetData sheetId="9"/>
      <sheetData sheetId="10"/>
      <sheetData sheetId="11"/>
      <sheetData sheetId="12">
        <row r="9">
          <cell r="C9">
            <v>132</v>
          </cell>
          <cell r="D9"/>
          <cell r="E9">
            <v>12634</v>
          </cell>
          <cell r="F9">
            <v>4352</v>
          </cell>
          <cell r="G9"/>
          <cell r="H9">
            <v>74</v>
          </cell>
          <cell r="I9"/>
          <cell r="J9"/>
          <cell r="K9"/>
        </row>
        <row r="22">
          <cell r="N22">
            <v>60</v>
          </cell>
        </row>
        <row r="24">
          <cell r="N24">
            <v>5</v>
          </cell>
        </row>
        <row r="28">
          <cell r="N28">
            <v>21960</v>
          </cell>
        </row>
        <row r="30">
          <cell r="N30">
            <v>0.78287795992714027</v>
          </cell>
        </row>
        <row r="32">
          <cell r="N32">
            <v>6.0109289617486343E-3</v>
          </cell>
        </row>
        <row r="34">
          <cell r="N34">
            <v>7.677989762680317E-3</v>
          </cell>
        </row>
      </sheetData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Tie in"/>
      <sheetName val="P&amp;L"/>
      <sheetName val="BS"/>
      <sheetName val="Support Sched"/>
      <sheetName val="Salaries &amp; Benefits "/>
      <sheetName val="Related party"/>
      <sheetName val="Other Income Explaintion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5281021.62</v>
          </cell>
          <cell r="G10">
            <v>0</v>
          </cell>
        </row>
        <row r="15">
          <cell r="E15">
            <v>358905.76</v>
          </cell>
          <cell r="G15">
            <v>0</v>
          </cell>
        </row>
        <row r="21">
          <cell r="E21">
            <v>974221.59</v>
          </cell>
          <cell r="G21">
            <v>0</v>
          </cell>
        </row>
        <row r="27">
          <cell r="E27">
            <v>322475.51999999996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512684.12</v>
          </cell>
          <cell r="G37">
            <v>0</v>
          </cell>
        </row>
        <row r="42">
          <cell r="E42">
            <v>61651.307000000001</v>
          </cell>
          <cell r="G42">
            <v>0</v>
          </cell>
        </row>
        <row r="47">
          <cell r="E47">
            <v>8000</v>
          </cell>
          <cell r="G47">
            <v>0</v>
          </cell>
        </row>
        <row r="52">
          <cell r="E52">
            <v>934865.95000000007</v>
          </cell>
          <cell r="G52">
            <v>0</v>
          </cell>
        </row>
        <row r="67">
          <cell r="E67">
            <v>73784.53</v>
          </cell>
          <cell r="G67">
            <v>0</v>
          </cell>
        </row>
        <row r="85">
          <cell r="C85">
            <v>448.57911392405066</v>
          </cell>
          <cell r="E85">
            <v>563.55084745762713</v>
          </cell>
          <cell r="G85">
            <v>575.11467889908261</v>
          </cell>
          <cell r="I85">
            <v>583.21243523316059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Tie in"/>
      <sheetName val="P&amp;L"/>
      <sheetName val="BS"/>
      <sheetName val="Support Sched"/>
      <sheetName val="Salaries &amp; Benefits "/>
      <sheetName val="Related party"/>
      <sheetName val="Other Income Explain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D10"/>
          <cell r="F10">
            <v>83487</v>
          </cell>
        </row>
        <row r="11">
          <cell r="D11"/>
          <cell r="F11">
            <v>30750</v>
          </cell>
        </row>
        <row r="12">
          <cell r="D12">
            <v>4383316.9400000004</v>
          </cell>
          <cell r="F12">
            <v>-4093664</v>
          </cell>
        </row>
        <row r="13">
          <cell r="D13">
            <v>16884.080000000002</v>
          </cell>
          <cell r="F13">
            <v>41575</v>
          </cell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>
            <v>20182.32</v>
          </cell>
          <cell r="F17">
            <v>-120041</v>
          </cell>
        </row>
        <row r="18">
          <cell r="D18"/>
          <cell r="F18"/>
        </row>
        <row r="19">
          <cell r="D19">
            <v>10272.11</v>
          </cell>
          <cell r="F19"/>
        </row>
        <row r="20">
          <cell r="D20">
            <v>17620.75</v>
          </cell>
          <cell r="F20"/>
        </row>
        <row r="21">
          <cell r="D21">
            <v>24197.3</v>
          </cell>
          <cell r="F21"/>
        </row>
        <row r="22">
          <cell r="D22"/>
          <cell r="F22"/>
        </row>
        <row r="23">
          <cell r="D23">
            <v>15008.26</v>
          </cell>
          <cell r="F23"/>
        </row>
        <row r="24">
          <cell r="D24">
            <v>23865.42</v>
          </cell>
          <cell r="F24"/>
        </row>
        <row r="25">
          <cell r="D25">
            <v>4912</v>
          </cell>
          <cell r="F25"/>
        </row>
        <row r="26">
          <cell r="D26">
            <v>182192.4</v>
          </cell>
          <cell r="F26"/>
        </row>
        <row r="27">
          <cell r="D27">
            <v>92985.65</v>
          </cell>
          <cell r="F27"/>
        </row>
        <row r="28">
          <cell r="D28">
            <v>10702.81</v>
          </cell>
          <cell r="F28">
            <v>-10702.81</v>
          </cell>
        </row>
        <row r="29">
          <cell r="D29">
            <v>60011.4</v>
          </cell>
          <cell r="F29">
            <v>-60011.4</v>
          </cell>
        </row>
        <row r="30">
          <cell r="D30">
            <v>348.89</v>
          </cell>
          <cell r="F30">
            <v>-348.89</v>
          </cell>
        </row>
        <row r="31">
          <cell r="D31">
            <v>78749.58</v>
          </cell>
          <cell r="F31"/>
        </row>
        <row r="32">
          <cell r="D32">
            <v>24915.34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4590.3100000000004</v>
          </cell>
          <cell r="F39"/>
        </row>
        <row r="40">
          <cell r="D40"/>
          <cell r="F40"/>
        </row>
        <row r="41">
          <cell r="D41">
            <v>32758.59</v>
          </cell>
          <cell r="F41">
            <v>30986</v>
          </cell>
        </row>
        <row r="42">
          <cell r="D42"/>
          <cell r="F42"/>
        </row>
        <row r="43">
          <cell r="D43"/>
          <cell r="F43"/>
        </row>
        <row r="44">
          <cell r="D44">
            <v>95</v>
          </cell>
          <cell r="F44"/>
        </row>
        <row r="45">
          <cell r="D45">
            <v>356.97</v>
          </cell>
          <cell r="F45"/>
        </row>
        <row r="57">
          <cell r="D57">
            <v>487280</v>
          </cell>
          <cell r="F57">
            <v>-487280</v>
          </cell>
        </row>
        <row r="58">
          <cell r="D58"/>
          <cell r="F58">
            <v>278373</v>
          </cell>
        </row>
        <row r="59">
          <cell r="D59"/>
          <cell r="F59">
            <v>206372</v>
          </cell>
        </row>
        <row r="60">
          <cell r="D60">
            <v>84258.89</v>
          </cell>
          <cell r="F60"/>
        </row>
        <row r="61">
          <cell r="D61">
            <v>3580</v>
          </cell>
          <cell r="F61">
            <v>606</v>
          </cell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>
            <v>192003.36</v>
          </cell>
          <cell r="F66"/>
        </row>
        <row r="67">
          <cell r="D67">
            <v>153921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/>
          <cell r="F75">
            <v>89106</v>
          </cell>
        </row>
        <row r="76">
          <cell r="D76"/>
          <cell r="F76">
            <v>10425</v>
          </cell>
        </row>
        <row r="77">
          <cell r="D77"/>
          <cell r="F77"/>
        </row>
        <row r="78">
          <cell r="D78"/>
          <cell r="F78"/>
        </row>
        <row r="79">
          <cell r="D79">
            <v>24540.41</v>
          </cell>
          <cell r="F79"/>
        </row>
        <row r="80">
          <cell r="D80">
            <v>20039.98</v>
          </cell>
          <cell r="F80"/>
        </row>
        <row r="81">
          <cell r="D81"/>
          <cell r="F81"/>
        </row>
        <row r="82">
          <cell r="D82">
            <v>52338.31</v>
          </cell>
          <cell r="F82"/>
        </row>
        <row r="83">
          <cell r="D83">
            <v>8004.26</v>
          </cell>
          <cell r="F83"/>
        </row>
        <row r="84">
          <cell r="D84">
            <v>127861.19</v>
          </cell>
          <cell r="F84"/>
        </row>
        <row r="85">
          <cell r="D85"/>
          <cell r="F85"/>
        </row>
        <row r="89">
          <cell r="D89"/>
          <cell r="F89">
            <v>99739</v>
          </cell>
        </row>
        <row r="90">
          <cell r="D90"/>
          <cell r="F90">
            <v>10965</v>
          </cell>
        </row>
        <row r="91">
          <cell r="D91">
            <v>20057.5</v>
          </cell>
          <cell r="F91"/>
        </row>
        <row r="92">
          <cell r="D92">
            <v>146465.42000000001</v>
          </cell>
          <cell r="F92"/>
        </row>
        <row r="93">
          <cell r="D93">
            <v>7806.07</v>
          </cell>
          <cell r="F93"/>
        </row>
        <row r="94">
          <cell r="D94"/>
          <cell r="F94"/>
        </row>
        <row r="98">
          <cell r="D98"/>
          <cell r="F98"/>
        </row>
        <row r="99">
          <cell r="D99"/>
          <cell r="F99"/>
        </row>
        <row r="100">
          <cell r="D100">
            <v>4680.2700000000004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/>
          <cell r="F103"/>
        </row>
        <row r="115">
          <cell r="D115"/>
          <cell r="F115">
            <v>97937</v>
          </cell>
        </row>
        <row r="116">
          <cell r="D116"/>
          <cell r="F116">
            <v>8827</v>
          </cell>
        </row>
        <row r="117">
          <cell r="D117">
            <v>37033.47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>
            <v>54000</v>
          </cell>
        </row>
        <row r="125">
          <cell r="D125"/>
          <cell r="F125">
            <v>118181</v>
          </cell>
        </row>
        <row r="126">
          <cell r="D126"/>
          <cell r="F126"/>
        </row>
        <row r="127">
          <cell r="D127"/>
          <cell r="F127"/>
        </row>
        <row r="128">
          <cell r="D128"/>
          <cell r="F128">
            <v>29101</v>
          </cell>
        </row>
        <row r="130">
          <cell r="D130"/>
          <cell r="F130">
            <v>20777</v>
          </cell>
        </row>
        <row r="131">
          <cell r="D131"/>
          <cell r="F131">
            <v>11353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3037</v>
          </cell>
        </row>
        <row r="136">
          <cell r="D136"/>
          <cell r="F136">
            <v>837239</v>
          </cell>
        </row>
        <row r="137">
          <cell r="D137"/>
          <cell r="F137">
            <v>207874</v>
          </cell>
        </row>
        <row r="138">
          <cell r="D138"/>
          <cell r="F138">
            <v>651640</v>
          </cell>
        </row>
        <row r="139">
          <cell r="D139"/>
          <cell r="F139"/>
        </row>
        <row r="141">
          <cell r="D141"/>
          <cell r="F141">
            <v>86354</v>
          </cell>
        </row>
        <row r="142">
          <cell r="D142"/>
          <cell r="F142">
            <v>22535</v>
          </cell>
        </row>
        <row r="143">
          <cell r="D143"/>
          <cell r="F143">
            <v>68215</v>
          </cell>
        </row>
        <row r="144">
          <cell r="D144"/>
          <cell r="F144"/>
        </row>
        <row r="146">
          <cell r="D146">
            <v>84075</v>
          </cell>
          <cell r="F146"/>
        </row>
        <row r="147">
          <cell r="D147">
            <v>5936.66</v>
          </cell>
          <cell r="F147"/>
        </row>
        <row r="148">
          <cell r="D148"/>
          <cell r="F148"/>
        </row>
        <row r="149">
          <cell r="D149">
            <v>2506.3200000000002</v>
          </cell>
          <cell r="F149"/>
        </row>
        <row r="150">
          <cell r="D150">
            <v>344953.35</v>
          </cell>
          <cell r="F150"/>
        </row>
        <row r="151">
          <cell r="D151">
            <v>8688.98</v>
          </cell>
          <cell r="F151"/>
        </row>
        <row r="152">
          <cell r="D152">
            <v>1808.61</v>
          </cell>
          <cell r="F152"/>
        </row>
        <row r="153">
          <cell r="D153"/>
          <cell r="F153"/>
        </row>
        <row r="154">
          <cell r="D154"/>
          <cell r="F154">
            <v>878981</v>
          </cell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>
            <v>230795</v>
          </cell>
        </row>
        <row r="178">
          <cell r="D178"/>
          <cell r="F178">
            <v>27200</v>
          </cell>
        </row>
        <row r="179">
          <cell r="D179"/>
          <cell r="F179">
            <v>54068</v>
          </cell>
        </row>
        <row r="180">
          <cell r="D180"/>
          <cell r="F180">
            <v>6373</v>
          </cell>
        </row>
        <row r="181">
          <cell r="D181"/>
          <cell r="F181"/>
        </row>
        <row r="182">
          <cell r="D182"/>
          <cell r="F182"/>
        </row>
        <row r="183">
          <cell r="D183"/>
          <cell r="F183">
            <v>140112</v>
          </cell>
        </row>
        <row r="184">
          <cell r="D184"/>
          <cell r="F184">
            <v>18602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>
            <v>2374.4899999999998</v>
          </cell>
          <cell r="F192"/>
        </row>
        <row r="193">
          <cell r="D193">
            <v>6600</v>
          </cell>
          <cell r="F193"/>
        </row>
        <row r="194">
          <cell r="D194"/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47546.18</v>
          </cell>
          <cell r="F198"/>
        </row>
        <row r="199">
          <cell r="D199"/>
          <cell r="F199"/>
        </row>
        <row r="200">
          <cell r="D200">
            <v>117</v>
          </cell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332451.96999999997</v>
          </cell>
          <cell r="F205"/>
        </row>
        <row r="206">
          <cell r="D206">
            <v>232105.7</v>
          </cell>
          <cell r="F206"/>
        </row>
        <row r="207">
          <cell r="D207">
            <v>681.78</v>
          </cell>
          <cell r="F207"/>
        </row>
        <row r="211">
          <cell r="D211"/>
          <cell r="F211">
            <v>109681</v>
          </cell>
        </row>
        <row r="212">
          <cell r="D212"/>
          <cell r="F212">
            <v>13749</v>
          </cell>
        </row>
        <row r="213">
          <cell r="D213">
            <v>24142.62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/>
          <cell r="F216"/>
        </row>
        <row r="221">
          <cell r="D221">
            <v>7467824.9100000001</v>
          </cell>
        </row>
      </sheetData>
      <sheetData sheetId="8"/>
      <sheetData sheetId="9"/>
      <sheetData sheetId="10">
        <row r="9">
          <cell r="C9">
            <v>6937</v>
          </cell>
          <cell r="D9">
            <v>494</v>
          </cell>
          <cell r="E9">
            <v>1774</v>
          </cell>
          <cell r="F9">
            <v>685</v>
          </cell>
          <cell r="G9">
            <v>0</v>
          </cell>
          <cell r="H9">
            <v>963</v>
          </cell>
          <cell r="I9">
            <v>140</v>
          </cell>
          <cell r="J9">
            <v>20</v>
          </cell>
          <cell r="K9">
            <v>1425</v>
          </cell>
        </row>
        <row r="22">
          <cell r="N22">
            <v>36</v>
          </cell>
        </row>
        <row r="24">
          <cell r="N24">
            <v>24</v>
          </cell>
        </row>
        <row r="28">
          <cell r="N28">
            <v>13176</v>
          </cell>
        </row>
        <row r="30">
          <cell r="N30">
            <v>0.94398907103825136</v>
          </cell>
        </row>
        <row r="32">
          <cell r="N32">
            <v>0.56397996357012747</v>
          </cell>
        </row>
        <row r="34">
          <cell r="N34">
            <v>0.59744331886155333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2290012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1153737</v>
          </cell>
          <cell r="G21">
            <v>0</v>
          </cell>
        </row>
        <row r="27">
          <cell r="E27">
            <v>662080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1050135</v>
          </cell>
          <cell r="G37">
            <v>0</v>
          </cell>
        </row>
        <row r="42">
          <cell r="E42">
            <v>370360</v>
          </cell>
          <cell r="G42">
            <v>0</v>
          </cell>
        </row>
        <row r="47">
          <cell r="E47">
            <v>25716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5697</v>
          </cell>
          <cell r="G67">
            <v>0</v>
          </cell>
        </row>
        <row r="85">
          <cell r="C85">
            <v>338.06240158508348</v>
          </cell>
          <cell r="E85">
            <v>357.02289669009406</v>
          </cell>
          <cell r="G85">
            <v>297.8686142720498</v>
          </cell>
          <cell r="I85">
            <v>280.41928349027012</v>
          </cell>
        </row>
      </sheetData>
      <sheetData sheetId="6"/>
      <sheetData sheetId="7">
        <row r="10">
          <cell r="D10">
            <v>92262.82</v>
          </cell>
          <cell r="F10">
            <v>4582</v>
          </cell>
        </row>
        <row r="11">
          <cell r="D11"/>
          <cell r="F11"/>
        </row>
        <row r="12">
          <cell r="D12">
            <v>232311.1</v>
          </cell>
          <cell r="F12">
            <v>11537</v>
          </cell>
        </row>
        <row r="13">
          <cell r="D13">
            <v>616865</v>
          </cell>
          <cell r="F13">
            <v>-565161</v>
          </cell>
        </row>
        <row r="14">
          <cell r="D14"/>
          <cell r="F14"/>
        </row>
        <row r="15">
          <cell r="D15"/>
          <cell r="F15"/>
        </row>
        <row r="16">
          <cell r="D16">
            <v>277929</v>
          </cell>
          <cell r="F16">
            <v>102321</v>
          </cell>
        </row>
        <row r="17">
          <cell r="D17">
            <v>9388</v>
          </cell>
          <cell r="F17"/>
        </row>
        <row r="18">
          <cell r="D18">
            <v>9828</v>
          </cell>
          <cell r="F18"/>
        </row>
        <row r="19">
          <cell r="D19">
            <v>21734</v>
          </cell>
          <cell r="F19"/>
        </row>
        <row r="20">
          <cell r="D20">
            <v>19332</v>
          </cell>
          <cell r="F20"/>
        </row>
        <row r="21">
          <cell r="D21">
            <v>60012</v>
          </cell>
          <cell r="F21">
            <v>7000</v>
          </cell>
        </row>
        <row r="22">
          <cell r="D22">
            <v>25000</v>
          </cell>
          <cell r="F22"/>
        </row>
        <row r="23">
          <cell r="D23">
            <v>13099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321263</v>
          </cell>
          <cell r="F26"/>
        </row>
        <row r="27">
          <cell r="D27">
            <v>113075</v>
          </cell>
          <cell r="F27">
            <v>-89</v>
          </cell>
        </row>
        <row r="28">
          <cell r="D28"/>
          <cell r="F28">
            <v>0</v>
          </cell>
        </row>
        <row r="29">
          <cell r="D29">
            <v>139586</v>
          </cell>
          <cell r="F29">
            <v>-139586</v>
          </cell>
        </row>
        <row r="30">
          <cell r="D30"/>
          <cell r="F30">
            <v>0</v>
          </cell>
        </row>
        <row r="31">
          <cell r="D31">
            <v>87629</v>
          </cell>
          <cell r="F31"/>
        </row>
        <row r="32">
          <cell r="D32">
            <v>55711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>
            <v>5785</v>
          </cell>
          <cell r="F35">
            <v>-5785</v>
          </cell>
        </row>
        <row r="36">
          <cell r="D36">
            <v>52241</v>
          </cell>
          <cell r="F36">
            <v>2595</v>
          </cell>
        </row>
        <row r="37">
          <cell r="D37"/>
          <cell r="F37">
            <v>8322</v>
          </cell>
        </row>
        <row r="38">
          <cell r="D38"/>
          <cell r="F38"/>
        </row>
        <row r="39">
          <cell r="D39">
            <v>9711</v>
          </cell>
          <cell r="F39"/>
        </row>
        <row r="40">
          <cell r="D40"/>
          <cell r="F40"/>
        </row>
        <row r="41">
          <cell r="D41">
            <v>42080</v>
          </cell>
          <cell r="F41"/>
        </row>
        <row r="42">
          <cell r="D42">
            <v>4825</v>
          </cell>
          <cell r="F42"/>
        </row>
        <row r="43">
          <cell r="D43">
            <v>12770</v>
          </cell>
          <cell r="F43"/>
        </row>
        <row r="44">
          <cell r="D44"/>
          <cell r="F44"/>
        </row>
        <row r="45">
          <cell r="D45">
            <v>6975</v>
          </cell>
          <cell r="F45">
            <v>-5372</v>
          </cell>
        </row>
        <row r="57">
          <cell r="D57">
            <v>640680</v>
          </cell>
          <cell r="F57">
            <v>-640680</v>
          </cell>
        </row>
        <row r="58">
          <cell r="D58">
            <v>4005</v>
          </cell>
          <cell r="F58">
            <v>165996</v>
          </cell>
        </row>
        <row r="59">
          <cell r="D59">
            <v>46777</v>
          </cell>
          <cell r="F59">
            <v>219622</v>
          </cell>
        </row>
        <row r="60">
          <cell r="D60">
            <v>19890</v>
          </cell>
          <cell r="F60"/>
        </row>
        <row r="61">
          <cell r="D61">
            <v>18676</v>
          </cell>
          <cell r="F61">
            <v>22476</v>
          </cell>
        </row>
        <row r="62">
          <cell r="D62">
            <v>15448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18160</v>
          </cell>
          <cell r="F65"/>
        </row>
        <row r="66">
          <cell r="D66"/>
          <cell r="F66"/>
        </row>
        <row r="67">
          <cell r="D67">
            <v>47625</v>
          </cell>
          <cell r="F67">
            <v>16340</v>
          </cell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55586</v>
          </cell>
          <cell r="F75">
            <v>2761</v>
          </cell>
        </row>
        <row r="76">
          <cell r="D76"/>
          <cell r="F76">
            <v>8855</v>
          </cell>
        </row>
        <row r="77">
          <cell r="D77">
            <v>14883</v>
          </cell>
          <cell r="F77"/>
        </row>
        <row r="78">
          <cell r="D78">
            <v>73191</v>
          </cell>
          <cell r="F78"/>
        </row>
        <row r="79">
          <cell r="D79">
            <v>4209</v>
          </cell>
          <cell r="F79"/>
        </row>
        <row r="80">
          <cell r="D80">
            <v>24118</v>
          </cell>
          <cell r="F80"/>
        </row>
        <row r="81">
          <cell r="D81">
            <v>3891</v>
          </cell>
          <cell r="F81"/>
        </row>
        <row r="82">
          <cell r="D82"/>
          <cell r="F82"/>
        </row>
        <row r="83">
          <cell r="D83">
            <v>6661</v>
          </cell>
          <cell r="F83"/>
        </row>
        <row r="84">
          <cell r="D84">
            <v>81534</v>
          </cell>
          <cell r="F84"/>
        </row>
        <row r="85">
          <cell r="D85">
            <v>541</v>
          </cell>
          <cell r="F85"/>
        </row>
        <row r="89">
          <cell r="D89">
            <v>241797</v>
          </cell>
          <cell r="F89">
            <v>12008</v>
          </cell>
        </row>
        <row r="90">
          <cell r="D90"/>
          <cell r="F90">
            <v>38518</v>
          </cell>
        </row>
        <row r="91">
          <cell r="D91">
            <v>21321</v>
          </cell>
          <cell r="F91"/>
        </row>
        <row r="92">
          <cell r="D92">
            <v>176028</v>
          </cell>
          <cell r="F92"/>
        </row>
        <row r="93">
          <cell r="D93">
            <v>14069</v>
          </cell>
          <cell r="F93"/>
        </row>
        <row r="94">
          <cell r="D94">
            <v>1009</v>
          </cell>
          <cell r="F94">
            <v>-236</v>
          </cell>
        </row>
        <row r="98">
          <cell r="D98"/>
          <cell r="F98"/>
        </row>
        <row r="99">
          <cell r="D99"/>
          <cell r="F99"/>
        </row>
        <row r="100">
          <cell r="D100">
            <v>15</v>
          </cell>
          <cell r="F100"/>
        </row>
        <row r="101">
          <cell r="D101">
            <v>69600</v>
          </cell>
          <cell r="F101"/>
        </row>
        <row r="102">
          <cell r="D102"/>
          <cell r="F102"/>
        </row>
        <row r="103">
          <cell r="D103"/>
          <cell r="F103"/>
        </row>
        <row r="115">
          <cell r="D115"/>
          <cell r="F115"/>
        </row>
        <row r="116">
          <cell r="D116"/>
          <cell r="F116"/>
        </row>
        <row r="117">
          <cell r="D117">
            <v>980</v>
          </cell>
          <cell r="F117"/>
        </row>
        <row r="118">
          <cell r="D118">
            <v>104400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201464</v>
          </cell>
          <cell r="F125">
            <v>10005</v>
          </cell>
        </row>
        <row r="126">
          <cell r="D126"/>
          <cell r="F126"/>
        </row>
        <row r="127">
          <cell r="D127"/>
          <cell r="F127"/>
        </row>
        <row r="128">
          <cell r="D128">
            <v>97721</v>
          </cell>
          <cell r="F128">
            <v>4853</v>
          </cell>
        </row>
        <row r="130">
          <cell r="D130"/>
          <cell r="F130"/>
        </row>
        <row r="131">
          <cell r="D131"/>
          <cell r="F131">
            <v>32093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15567</v>
          </cell>
        </row>
        <row r="136">
          <cell r="D136">
            <v>346330</v>
          </cell>
          <cell r="F136">
            <v>17200</v>
          </cell>
        </row>
        <row r="137">
          <cell r="D137">
            <v>278788</v>
          </cell>
          <cell r="F137">
            <v>13846</v>
          </cell>
        </row>
        <row r="138">
          <cell r="D138">
            <v>585085</v>
          </cell>
          <cell r="F138">
            <v>29057</v>
          </cell>
        </row>
        <row r="139">
          <cell r="D139"/>
          <cell r="F139"/>
        </row>
        <row r="141">
          <cell r="D141"/>
          <cell r="F141">
            <v>55169</v>
          </cell>
        </row>
        <row r="142">
          <cell r="D142"/>
          <cell r="F142">
            <v>44410</v>
          </cell>
        </row>
        <row r="143">
          <cell r="D143"/>
          <cell r="F143">
            <v>93202</v>
          </cell>
        </row>
        <row r="144">
          <cell r="D144"/>
          <cell r="F144"/>
        </row>
        <row r="146">
          <cell r="D146">
            <v>56313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28137</v>
          </cell>
          <cell r="F150"/>
        </row>
        <row r="151">
          <cell r="D151">
            <v>130256</v>
          </cell>
          <cell r="F151"/>
        </row>
        <row r="152">
          <cell r="D152">
            <v>3081</v>
          </cell>
          <cell r="F152"/>
        </row>
        <row r="153">
          <cell r="D153"/>
          <cell r="F153"/>
        </row>
        <row r="154">
          <cell r="D154">
            <v>38194</v>
          </cell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67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195140</v>
          </cell>
          <cell r="F177">
            <v>9691</v>
          </cell>
        </row>
        <row r="178">
          <cell r="D178"/>
          <cell r="F178">
            <v>31085</v>
          </cell>
        </row>
        <row r="179">
          <cell r="D179">
            <v>28368</v>
          </cell>
          <cell r="F179">
            <v>1409</v>
          </cell>
        </row>
        <row r="180">
          <cell r="D180"/>
          <cell r="F180">
            <v>4519</v>
          </cell>
        </row>
        <row r="181">
          <cell r="D181">
            <v>264093</v>
          </cell>
          <cell r="F181">
            <v>13116</v>
          </cell>
        </row>
        <row r="182">
          <cell r="D182"/>
          <cell r="F182">
            <v>42069</v>
          </cell>
        </row>
        <row r="183">
          <cell r="D183">
            <v>175027</v>
          </cell>
          <cell r="F183">
            <v>8692</v>
          </cell>
        </row>
        <row r="184">
          <cell r="D184"/>
          <cell r="F184">
            <v>27881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11021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29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/>
          <cell r="F194"/>
        </row>
        <row r="195">
          <cell r="D195">
            <v>330</v>
          </cell>
          <cell r="F195"/>
        </row>
        <row r="196">
          <cell r="D196"/>
          <cell r="F196"/>
        </row>
        <row r="197">
          <cell r="D197">
            <v>863</v>
          </cell>
          <cell r="F197"/>
        </row>
        <row r="198">
          <cell r="D198">
            <v>22345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230485</v>
          </cell>
          <cell r="F205"/>
        </row>
        <row r="206">
          <cell r="D206">
            <v>2385</v>
          </cell>
          <cell r="F206"/>
        </row>
        <row r="207">
          <cell r="D207">
            <v>19346</v>
          </cell>
          <cell r="F207"/>
        </row>
        <row r="211">
          <cell r="D211">
            <v>105853</v>
          </cell>
          <cell r="F211">
            <v>5257</v>
          </cell>
        </row>
        <row r="212">
          <cell r="D212"/>
          <cell r="F212">
            <v>16862</v>
          </cell>
        </row>
        <row r="213">
          <cell r="D213">
            <v>10315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5564</v>
          </cell>
          <cell r="F216"/>
        </row>
        <row r="221">
          <cell r="D221">
            <v>6771106</v>
          </cell>
        </row>
      </sheetData>
      <sheetData sheetId="8"/>
      <sheetData sheetId="9"/>
      <sheetData sheetId="10">
        <row r="9">
          <cell r="C9">
            <v>12385</v>
          </cell>
          <cell r="D9"/>
          <cell r="E9">
            <v>2338</v>
          </cell>
          <cell r="F9">
            <v>1805</v>
          </cell>
          <cell r="G9"/>
          <cell r="H9">
            <v>3381</v>
          </cell>
          <cell r="I9">
            <v>1667</v>
          </cell>
          <cell r="J9">
            <v>103</v>
          </cell>
          <cell r="K9"/>
        </row>
        <row r="22">
          <cell r="N22">
            <v>88</v>
          </cell>
        </row>
        <row r="24">
          <cell r="N24">
            <v>88</v>
          </cell>
        </row>
        <row r="28">
          <cell r="N28">
            <v>32208</v>
          </cell>
        </row>
        <row r="30">
          <cell r="N30">
            <v>0.6730936413313463</v>
          </cell>
        </row>
        <row r="32">
          <cell r="N32">
            <v>0.38453179334326876</v>
          </cell>
        </row>
        <row r="34">
          <cell r="N34">
            <v>0.57129018866183856</v>
          </cell>
        </row>
      </sheetData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2298955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578084</v>
          </cell>
          <cell r="G21">
            <v>0</v>
          </cell>
        </row>
        <row r="27">
          <cell r="E27">
            <v>545081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305105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304744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20083</v>
          </cell>
          <cell r="G67">
            <v>0</v>
          </cell>
        </row>
        <row r="85">
          <cell r="C85">
            <v>204.35917312661499</v>
          </cell>
          <cell r="E85">
            <v>190.42142857142858</v>
          </cell>
          <cell r="G85">
            <v>192.8197424892704</v>
          </cell>
          <cell r="I85">
            <v>194.26315789473685</v>
          </cell>
        </row>
      </sheetData>
      <sheetData sheetId="7"/>
      <sheetData sheetId="8">
        <row r="10">
          <cell r="D10">
            <v>91176</v>
          </cell>
          <cell r="F10">
            <v>5396</v>
          </cell>
        </row>
        <row r="11">
          <cell r="D11">
            <v>0</v>
          </cell>
          <cell r="F11"/>
        </row>
        <row r="12">
          <cell r="D12">
            <v>140091</v>
          </cell>
          <cell r="F12">
            <v>8287</v>
          </cell>
        </row>
        <row r="13">
          <cell r="D13">
            <v>382533</v>
          </cell>
          <cell r="F13">
            <v>-351702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203261</v>
          </cell>
          <cell r="F16">
            <v>97582</v>
          </cell>
        </row>
        <row r="17">
          <cell r="D17">
            <v>0</v>
          </cell>
          <cell r="F17"/>
        </row>
        <row r="18">
          <cell r="D18">
            <v>9120</v>
          </cell>
          <cell r="F18"/>
        </row>
        <row r="19">
          <cell r="D19">
            <v>9766</v>
          </cell>
          <cell r="F19">
            <v>-1833</v>
          </cell>
        </row>
        <row r="20">
          <cell r="D20">
            <v>12339</v>
          </cell>
          <cell r="F20"/>
        </row>
        <row r="21">
          <cell r="D21">
            <v>919</v>
          </cell>
          <cell r="F21"/>
        </row>
        <row r="22">
          <cell r="D22">
            <v>0</v>
          </cell>
          <cell r="F22"/>
        </row>
        <row r="23">
          <cell r="D23">
            <v>10022</v>
          </cell>
          <cell r="F23"/>
        </row>
        <row r="24">
          <cell r="D24">
            <v>38102</v>
          </cell>
          <cell r="F24">
            <v>-8500</v>
          </cell>
        </row>
        <row r="25">
          <cell r="D25">
            <v>0</v>
          </cell>
          <cell r="F25"/>
        </row>
        <row r="26">
          <cell r="D26">
            <v>289181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30435</v>
          </cell>
          <cell r="F29">
            <v>-30435</v>
          </cell>
        </row>
        <row r="30">
          <cell r="D30">
            <v>0</v>
          </cell>
          <cell r="F30">
            <v>0</v>
          </cell>
        </row>
        <row r="31">
          <cell r="D31">
            <v>62919</v>
          </cell>
          <cell r="F31"/>
        </row>
        <row r="32">
          <cell r="D32">
            <v>68000</v>
          </cell>
          <cell r="F32">
            <v>-23242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20</v>
          </cell>
          <cell r="F35">
            <v>-20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300</v>
          </cell>
          <cell r="F38">
            <v>-300</v>
          </cell>
        </row>
        <row r="39">
          <cell r="D39">
            <v>4759</v>
          </cell>
          <cell r="F39"/>
        </row>
        <row r="40">
          <cell r="D40">
            <v>6220</v>
          </cell>
          <cell r="F40"/>
        </row>
        <row r="41">
          <cell r="D41">
            <v>23040</v>
          </cell>
          <cell r="F41"/>
        </row>
        <row r="42">
          <cell r="D42">
            <v>11150</v>
          </cell>
          <cell r="F42"/>
        </row>
        <row r="43">
          <cell r="D43">
            <v>7076</v>
          </cell>
          <cell r="F43"/>
        </row>
        <row r="44">
          <cell r="D44">
            <v>65</v>
          </cell>
          <cell r="F44"/>
        </row>
        <row r="45">
          <cell r="D45">
            <v>19127</v>
          </cell>
          <cell r="F45">
            <v>-20014</v>
          </cell>
        </row>
        <row r="57">
          <cell r="D57">
            <v>350000</v>
          </cell>
          <cell r="F57"/>
        </row>
        <row r="58">
          <cell r="D58">
            <v>78968</v>
          </cell>
          <cell r="F58"/>
        </row>
        <row r="59">
          <cell r="D59">
            <v>0</v>
          </cell>
          <cell r="F59"/>
        </row>
        <row r="60">
          <cell r="D60">
            <v>24106</v>
          </cell>
          <cell r="F60"/>
        </row>
        <row r="61">
          <cell r="D61">
            <v>7733</v>
          </cell>
          <cell r="F61"/>
        </row>
        <row r="62">
          <cell r="D62">
            <v>3360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4482</v>
          </cell>
          <cell r="F65"/>
        </row>
        <row r="66">
          <cell r="D66">
            <v>1122</v>
          </cell>
          <cell r="F66"/>
        </row>
        <row r="67">
          <cell r="D67">
            <v>62905</v>
          </cell>
          <cell r="F67">
            <v>-114</v>
          </cell>
        </row>
        <row r="68">
          <cell r="D68">
            <v>0</v>
          </cell>
          <cell r="F68"/>
        </row>
        <row r="69">
          <cell r="D69">
            <v>5464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44545</v>
          </cell>
          <cell r="F75">
            <v>2636</v>
          </cell>
        </row>
        <row r="76">
          <cell r="D76">
            <v>0</v>
          </cell>
          <cell r="F76">
            <v>5721</v>
          </cell>
        </row>
        <row r="77">
          <cell r="D77">
            <v>18445</v>
          </cell>
          <cell r="F77"/>
        </row>
        <row r="78">
          <cell r="D78">
            <v>0</v>
          </cell>
          <cell r="F78"/>
        </row>
        <row r="79">
          <cell r="D79">
            <v>5668</v>
          </cell>
          <cell r="F79"/>
        </row>
        <row r="80">
          <cell r="D80">
            <v>17115</v>
          </cell>
          <cell r="F80"/>
        </row>
        <row r="81">
          <cell r="D81">
            <v>9839</v>
          </cell>
          <cell r="F81"/>
        </row>
        <row r="82">
          <cell r="D82">
            <v>5718</v>
          </cell>
          <cell r="F82"/>
        </row>
        <row r="83">
          <cell r="D83">
            <v>0</v>
          </cell>
          <cell r="F83"/>
        </row>
        <row r="84">
          <cell r="D84">
            <v>66316</v>
          </cell>
          <cell r="F84"/>
        </row>
        <row r="85">
          <cell r="D85">
            <v>0</v>
          </cell>
          <cell r="F85"/>
        </row>
        <row r="89">
          <cell r="D89">
            <v>120434</v>
          </cell>
          <cell r="F89">
            <v>7127</v>
          </cell>
        </row>
        <row r="90">
          <cell r="D90">
            <v>0</v>
          </cell>
          <cell r="F90">
            <v>15468</v>
          </cell>
        </row>
        <row r="91">
          <cell r="D91">
            <v>12210</v>
          </cell>
          <cell r="F91"/>
        </row>
        <row r="92">
          <cell r="D92">
            <v>120254</v>
          </cell>
          <cell r="F92"/>
        </row>
        <row r="93">
          <cell r="D93">
            <v>16554</v>
          </cell>
          <cell r="F93"/>
        </row>
        <row r="94">
          <cell r="D94">
            <v>0</v>
          </cell>
          <cell r="F94"/>
        </row>
        <row r="98">
          <cell r="D98">
            <v>32204</v>
          </cell>
          <cell r="F98">
            <v>1906</v>
          </cell>
        </row>
        <row r="99">
          <cell r="D99">
            <v>0</v>
          </cell>
          <cell r="F99">
            <v>4136</v>
          </cell>
        </row>
        <row r="100">
          <cell r="D100">
            <v>4812</v>
          </cell>
          <cell r="F100"/>
        </row>
        <row r="101">
          <cell r="D101">
            <v>0</v>
          </cell>
          <cell r="F101"/>
        </row>
        <row r="102">
          <cell r="D102">
            <v>4133</v>
          </cell>
          <cell r="F102"/>
        </row>
        <row r="103">
          <cell r="D103">
            <v>0</v>
          </cell>
          <cell r="F103"/>
        </row>
        <row r="115">
          <cell r="D115">
            <v>37280</v>
          </cell>
          <cell r="F115">
            <v>2206</v>
          </cell>
        </row>
        <row r="116">
          <cell r="D116">
            <v>0</v>
          </cell>
          <cell r="F116">
            <v>4788</v>
          </cell>
        </row>
        <row r="117">
          <cell r="D117">
            <v>20701</v>
          </cell>
          <cell r="F117"/>
        </row>
        <row r="118">
          <cell r="D118">
            <v>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63193</v>
          </cell>
          <cell r="F125">
            <v>3740</v>
          </cell>
        </row>
        <row r="126">
          <cell r="D126">
            <v>51920</v>
          </cell>
          <cell r="F126">
            <v>3072</v>
          </cell>
        </row>
        <row r="127">
          <cell r="D127">
            <v>0</v>
          </cell>
          <cell r="F127"/>
        </row>
        <row r="128">
          <cell r="D128">
            <v>51372</v>
          </cell>
          <cell r="F128">
            <v>3040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8116</v>
          </cell>
        </row>
        <row r="132">
          <cell r="D132">
            <v>0</v>
          </cell>
          <cell r="F132">
            <v>6668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6598</v>
          </cell>
        </row>
        <row r="136">
          <cell r="D136">
            <v>375067</v>
          </cell>
          <cell r="F136">
            <v>22195</v>
          </cell>
        </row>
        <row r="137">
          <cell r="D137">
            <v>94704</v>
          </cell>
          <cell r="F137">
            <v>5604</v>
          </cell>
        </row>
        <row r="138">
          <cell r="D138">
            <v>372432</v>
          </cell>
          <cell r="F138">
            <v>22039</v>
          </cell>
        </row>
        <row r="139">
          <cell r="D139">
            <v>67847</v>
          </cell>
          <cell r="F139">
            <v>4015</v>
          </cell>
        </row>
        <row r="141">
          <cell r="D141">
            <v>0</v>
          </cell>
          <cell r="F141">
            <v>48174</v>
          </cell>
        </row>
        <row r="142">
          <cell r="D142">
            <v>0</v>
          </cell>
          <cell r="F142">
            <v>12164</v>
          </cell>
        </row>
        <row r="143">
          <cell r="D143">
            <v>0</v>
          </cell>
          <cell r="F143">
            <v>47836</v>
          </cell>
        </row>
        <row r="144">
          <cell r="D144">
            <v>0</v>
          </cell>
          <cell r="F144">
            <v>8715</v>
          </cell>
        </row>
        <row r="146">
          <cell r="D146">
            <v>20000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25547</v>
          </cell>
          <cell r="F149"/>
        </row>
        <row r="150">
          <cell r="D150">
            <v>10215</v>
          </cell>
          <cell r="F150"/>
        </row>
        <row r="151">
          <cell r="D151">
            <v>61208</v>
          </cell>
          <cell r="F151"/>
        </row>
        <row r="152">
          <cell r="D152">
            <v>5628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1420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124108</v>
          </cell>
          <cell r="F177">
            <v>7344</v>
          </cell>
        </row>
        <row r="178">
          <cell r="D178">
            <v>0</v>
          </cell>
          <cell r="F178">
            <v>15941</v>
          </cell>
        </row>
        <row r="179">
          <cell r="D179">
            <v>26195</v>
          </cell>
          <cell r="F179">
            <v>1550</v>
          </cell>
        </row>
        <row r="180">
          <cell r="D180">
            <v>0</v>
          </cell>
          <cell r="F180">
            <v>3364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91520</v>
          </cell>
          <cell r="F183">
            <v>5416</v>
          </cell>
        </row>
        <row r="184">
          <cell r="D184">
            <v>0</v>
          </cell>
          <cell r="F184">
            <v>11754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1126</v>
          </cell>
          <cell r="F188"/>
        </row>
        <row r="189">
          <cell r="D189">
            <v>509</v>
          </cell>
          <cell r="F189"/>
        </row>
        <row r="190">
          <cell r="D190">
            <v>0</v>
          </cell>
          <cell r="F190"/>
        </row>
        <row r="191">
          <cell r="D191">
            <v>32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1273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15858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63785</v>
          </cell>
          <cell r="F205"/>
        </row>
        <row r="206">
          <cell r="D206">
            <v>1437</v>
          </cell>
          <cell r="F206"/>
        </row>
        <row r="207">
          <cell r="D207">
            <v>18781</v>
          </cell>
          <cell r="F207">
            <v>-718</v>
          </cell>
        </row>
        <row r="211">
          <cell r="D211">
            <v>73107</v>
          </cell>
          <cell r="F211">
            <v>4326</v>
          </cell>
        </row>
        <row r="212">
          <cell r="D212">
            <v>0</v>
          </cell>
          <cell r="F212">
            <v>9390</v>
          </cell>
        </row>
        <row r="213">
          <cell r="D213">
            <v>3463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4277</v>
          </cell>
          <cell r="F216"/>
        </row>
        <row r="221">
          <cell r="D221">
            <v>4120013</v>
          </cell>
        </row>
      </sheetData>
      <sheetData sheetId="9"/>
      <sheetData sheetId="10"/>
      <sheetData sheetId="11"/>
      <sheetData sheetId="12"/>
      <sheetData sheetId="13">
        <row r="9">
          <cell r="C9">
            <v>12270</v>
          </cell>
          <cell r="D9"/>
          <cell r="E9">
            <v>1097</v>
          </cell>
          <cell r="F9">
            <v>1207</v>
          </cell>
          <cell r="G9"/>
          <cell r="H9">
            <v>1565</v>
          </cell>
          <cell r="I9"/>
          <cell r="J9">
            <v>1638</v>
          </cell>
          <cell r="K9"/>
        </row>
        <row r="22">
          <cell r="N22">
            <v>93</v>
          </cell>
        </row>
        <row r="24">
          <cell r="N24">
            <v>93</v>
          </cell>
        </row>
        <row r="28">
          <cell r="N28">
            <v>28365</v>
          </cell>
        </row>
        <row r="30">
          <cell r="N30">
            <v>0.62672307421117579</v>
          </cell>
        </row>
        <row r="32">
          <cell r="N32">
            <v>0.43257535695399257</v>
          </cell>
        </row>
        <row r="34">
          <cell r="N34">
            <v>0.69021769702424474</v>
          </cell>
        </row>
      </sheetData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1195315.6000000001</v>
          </cell>
          <cell r="G10">
            <v>319565.33</v>
          </cell>
        </row>
        <row r="15">
          <cell r="E15">
            <v>0</v>
          </cell>
          <cell r="G15">
            <v>0</v>
          </cell>
        </row>
        <row r="21">
          <cell r="E21">
            <v>543647.6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298559.69</v>
          </cell>
          <cell r="G37">
            <v>0</v>
          </cell>
        </row>
        <row r="42">
          <cell r="E42">
            <v>77807.600000000006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492895.74</v>
          </cell>
          <cell r="G67">
            <v>-474764.47</v>
          </cell>
        </row>
        <row r="85">
          <cell r="C85">
            <v>158.39296226415095</v>
          </cell>
          <cell r="E85">
            <v>149.09833659491193</v>
          </cell>
          <cell r="G85">
            <v>108.62037109374999</v>
          </cell>
          <cell r="I85">
            <v>166.95270161290324</v>
          </cell>
        </row>
      </sheetData>
      <sheetData sheetId="6"/>
      <sheetData sheetId="7"/>
      <sheetData sheetId="8">
        <row r="10">
          <cell r="D10">
            <v>65644.800000000003</v>
          </cell>
          <cell r="F10"/>
        </row>
        <row r="11">
          <cell r="D11"/>
          <cell r="F11"/>
        </row>
        <row r="12">
          <cell r="D12">
            <v>39179.620000000003</v>
          </cell>
          <cell r="F12"/>
        </row>
        <row r="13">
          <cell r="D13">
            <v>233613.2</v>
          </cell>
          <cell r="F13">
            <v>-216398.01388481754</v>
          </cell>
        </row>
        <row r="14">
          <cell r="D14">
            <v>3600</v>
          </cell>
          <cell r="F14"/>
        </row>
        <row r="15">
          <cell r="D15">
            <v>38400</v>
          </cell>
          <cell r="F15">
            <v>-38400</v>
          </cell>
        </row>
        <row r="16">
          <cell r="D16"/>
          <cell r="F16">
            <v>63167</v>
          </cell>
        </row>
        <row r="17">
          <cell r="D17">
            <v>4513.9399999999996</v>
          </cell>
          <cell r="F17">
            <v>-4515</v>
          </cell>
        </row>
        <row r="18">
          <cell r="D18">
            <v>13902.44</v>
          </cell>
          <cell r="F18"/>
        </row>
        <row r="19">
          <cell r="D19">
            <v>9069.0499999999993</v>
          </cell>
          <cell r="F19"/>
        </row>
        <row r="20">
          <cell r="D20">
            <v>5888</v>
          </cell>
          <cell r="F20"/>
        </row>
        <row r="21">
          <cell r="D21">
            <v>7632.9</v>
          </cell>
          <cell r="F21"/>
        </row>
        <row r="22">
          <cell r="D22"/>
          <cell r="F22"/>
        </row>
        <row r="23">
          <cell r="D23">
            <v>2068.06</v>
          </cell>
          <cell r="F23"/>
        </row>
        <row r="24">
          <cell r="D24">
            <v>44059.83</v>
          </cell>
          <cell r="F24"/>
        </row>
        <row r="25">
          <cell r="D25"/>
          <cell r="F25"/>
        </row>
        <row r="26">
          <cell r="D26">
            <v>165484.56</v>
          </cell>
          <cell r="F26"/>
        </row>
        <row r="27">
          <cell r="D27">
            <v>347.98</v>
          </cell>
          <cell r="F27"/>
        </row>
        <row r="28">
          <cell r="D28"/>
          <cell r="F28">
            <v>0</v>
          </cell>
        </row>
        <row r="29">
          <cell r="D29">
            <v>52939.61</v>
          </cell>
          <cell r="F29">
            <v>-52939.61</v>
          </cell>
        </row>
        <row r="30">
          <cell r="D30"/>
          <cell r="F30">
            <v>0</v>
          </cell>
        </row>
        <row r="31">
          <cell r="D31">
            <v>79289.8</v>
          </cell>
          <cell r="F31"/>
        </row>
        <row r="32">
          <cell r="D32"/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>
            <v>198.51</v>
          </cell>
          <cell r="F38"/>
        </row>
        <row r="39">
          <cell r="D39">
            <v>2461.31</v>
          </cell>
          <cell r="F39"/>
        </row>
        <row r="40">
          <cell r="D40">
            <v>1719.73</v>
          </cell>
          <cell r="F40">
            <v>-1719.73</v>
          </cell>
        </row>
        <row r="41">
          <cell r="D41">
            <v>89.75</v>
          </cell>
          <cell r="F41"/>
        </row>
        <row r="42">
          <cell r="D42">
            <v>1572.14</v>
          </cell>
          <cell r="F42"/>
        </row>
        <row r="43">
          <cell r="D43"/>
          <cell r="F43"/>
        </row>
        <row r="44">
          <cell r="D44"/>
          <cell r="F44"/>
        </row>
        <row r="45">
          <cell r="D45">
            <v>155219.14000000001</v>
          </cell>
          <cell r="F45">
            <v>-155199.14000000001</v>
          </cell>
        </row>
        <row r="57">
          <cell r="D57">
            <v>78986.81</v>
          </cell>
          <cell r="F57">
            <v>-78987</v>
          </cell>
        </row>
        <row r="58">
          <cell r="D58">
            <v>114462.21</v>
          </cell>
          <cell r="F58"/>
        </row>
        <row r="59">
          <cell r="D59"/>
          <cell r="F59"/>
        </row>
        <row r="60">
          <cell r="D60"/>
          <cell r="F60"/>
        </row>
        <row r="61">
          <cell r="D61">
            <v>47055.73</v>
          </cell>
          <cell r="F61"/>
        </row>
        <row r="62">
          <cell r="D62">
            <v>2065.8000000000002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4357.75</v>
          </cell>
          <cell r="F65"/>
        </row>
        <row r="66">
          <cell r="D66">
            <v>10676.7</v>
          </cell>
          <cell r="F66"/>
        </row>
        <row r="67">
          <cell r="D67">
            <v>9523.0499999999993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>
            <v>-1085</v>
          </cell>
          <cell r="F70"/>
        </row>
        <row r="71">
          <cell r="D71"/>
          <cell r="F71"/>
        </row>
        <row r="75">
          <cell r="D75">
            <v>32484.14</v>
          </cell>
          <cell r="F75"/>
        </row>
        <row r="76">
          <cell r="D76"/>
          <cell r="F76">
            <v>8518.8852108871251</v>
          </cell>
        </row>
        <row r="77">
          <cell r="D77">
            <v>1292.44</v>
          </cell>
          <cell r="F77"/>
        </row>
        <row r="78">
          <cell r="D78"/>
          <cell r="F78"/>
        </row>
        <row r="79">
          <cell r="D79">
            <v>-6242.06</v>
          </cell>
          <cell r="F79"/>
        </row>
        <row r="80">
          <cell r="D80">
            <v>22887.37</v>
          </cell>
          <cell r="F80"/>
        </row>
        <row r="81">
          <cell r="D81">
            <v>14857.72</v>
          </cell>
          <cell r="F81"/>
        </row>
        <row r="82">
          <cell r="D82">
            <v>1680.42</v>
          </cell>
          <cell r="F82"/>
        </row>
        <row r="83">
          <cell r="D83">
            <v>9632.4500000000007</v>
          </cell>
          <cell r="F83"/>
        </row>
        <row r="84">
          <cell r="D84">
            <v>60290.11</v>
          </cell>
          <cell r="F84"/>
        </row>
        <row r="85">
          <cell r="D85"/>
          <cell r="F85"/>
        </row>
        <row r="89">
          <cell r="D89">
            <v>102831.22</v>
          </cell>
          <cell r="F89"/>
        </row>
        <row r="90">
          <cell r="D90"/>
          <cell r="F90">
            <v>26967.232602601773</v>
          </cell>
        </row>
        <row r="91">
          <cell r="D91">
            <v>8071.76</v>
          </cell>
          <cell r="F91"/>
        </row>
        <row r="92">
          <cell r="D92">
            <v>70088.899999999994</v>
          </cell>
          <cell r="F92"/>
        </row>
        <row r="93">
          <cell r="D93">
            <v>12401.66</v>
          </cell>
          <cell r="F93"/>
        </row>
        <row r="94">
          <cell r="D94"/>
          <cell r="F94"/>
        </row>
        <row r="98">
          <cell r="D98">
            <v>24678.35</v>
          </cell>
          <cell r="F98"/>
        </row>
        <row r="99">
          <cell r="D99"/>
          <cell r="F99">
            <v>6471.8361281565803</v>
          </cell>
        </row>
        <row r="100">
          <cell r="D100">
            <v>3189.85</v>
          </cell>
          <cell r="F100"/>
        </row>
        <row r="101">
          <cell r="D101"/>
          <cell r="F101"/>
        </row>
        <row r="102">
          <cell r="D102">
            <v>1952.08</v>
          </cell>
          <cell r="F102"/>
        </row>
        <row r="103">
          <cell r="D103"/>
          <cell r="F103"/>
        </row>
        <row r="115">
          <cell r="D115">
            <v>25826.13</v>
          </cell>
          <cell r="F115"/>
        </row>
        <row r="116">
          <cell r="D116"/>
          <cell r="F116">
            <v>6772.8385886604456</v>
          </cell>
        </row>
        <row r="117">
          <cell r="D117">
            <v>8563.9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57481.919999999998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17419.400000000001</v>
          </cell>
          <cell r="F128"/>
        </row>
        <row r="130">
          <cell r="D130"/>
          <cell r="F130"/>
        </row>
        <row r="131">
          <cell r="D131"/>
          <cell r="F131">
            <v>15074.491064913429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4568.1944802148746</v>
          </cell>
        </row>
        <row r="136">
          <cell r="D136">
            <v>106135.64</v>
          </cell>
          <cell r="F136"/>
        </row>
        <row r="137">
          <cell r="D137">
            <v>128768.13</v>
          </cell>
          <cell r="F137"/>
        </row>
        <row r="138">
          <cell r="D138">
            <v>295138.52</v>
          </cell>
          <cell r="F138"/>
        </row>
        <row r="139">
          <cell r="D139"/>
          <cell r="F139"/>
        </row>
        <row r="141">
          <cell r="D141"/>
          <cell r="F141">
            <v>27833.808558393113</v>
          </cell>
        </row>
        <row r="142">
          <cell r="D142"/>
          <cell r="F142">
            <v>33769.122971720688</v>
          </cell>
        </row>
        <row r="143">
          <cell r="D143"/>
          <cell r="F143">
            <v>77399.345440301462</v>
          </cell>
        </row>
        <row r="144">
          <cell r="D144"/>
          <cell r="F144"/>
        </row>
        <row r="146">
          <cell r="D146">
            <v>16500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3733.54</v>
          </cell>
          <cell r="F150"/>
        </row>
        <row r="151">
          <cell r="D151">
            <v>44952.07</v>
          </cell>
          <cell r="F151"/>
        </row>
        <row r="152">
          <cell r="D152">
            <v>129.02000000000001</v>
          </cell>
          <cell r="F152"/>
        </row>
        <row r="153">
          <cell r="D153">
            <v>995.31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>
            <v>5320</v>
          </cell>
          <cell r="F157"/>
        </row>
        <row r="158">
          <cell r="D158">
            <v>975</v>
          </cell>
          <cell r="F158"/>
        </row>
        <row r="159">
          <cell r="D159">
            <v>123.23</v>
          </cell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>
            <v>980.13</v>
          </cell>
          <cell r="F192"/>
        </row>
        <row r="193">
          <cell r="D193">
            <v>280</v>
          </cell>
          <cell r="F193"/>
        </row>
        <row r="194">
          <cell r="D194">
            <v>63989.51</v>
          </cell>
          <cell r="F194"/>
        </row>
        <row r="195">
          <cell r="D195">
            <v>2378.1</v>
          </cell>
          <cell r="F195"/>
        </row>
        <row r="196">
          <cell r="D196"/>
          <cell r="F196"/>
        </row>
        <row r="197">
          <cell r="D197">
            <v>21488.31</v>
          </cell>
          <cell r="F197"/>
        </row>
        <row r="198">
          <cell r="D198">
            <v>11890.37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46339.49</v>
          </cell>
          <cell r="F205"/>
        </row>
        <row r="206">
          <cell r="D206">
            <v>4907.6499999999996</v>
          </cell>
          <cell r="F206"/>
        </row>
        <row r="207">
          <cell r="D207"/>
          <cell r="F207"/>
        </row>
        <row r="211">
          <cell r="D211">
            <v>34403.599999999999</v>
          </cell>
          <cell r="F211"/>
        </row>
        <row r="212">
          <cell r="D212"/>
          <cell r="F212">
            <v>9022.2588389680732</v>
          </cell>
        </row>
        <row r="213">
          <cell r="D213">
            <v>19738.169999999998</v>
          </cell>
          <cell r="F213"/>
        </row>
        <row r="214">
          <cell r="D214">
            <v>720</v>
          </cell>
          <cell r="F214"/>
        </row>
        <row r="215">
          <cell r="D215"/>
          <cell r="F215"/>
        </row>
        <row r="216">
          <cell r="D216"/>
          <cell r="F216"/>
        </row>
        <row r="221">
          <cell r="D221">
            <v>2472210.9700000002</v>
          </cell>
        </row>
      </sheetData>
      <sheetData sheetId="9"/>
      <sheetData sheetId="10"/>
      <sheetData sheetId="11"/>
      <sheetData sheetId="12">
        <row r="9">
          <cell r="C9">
            <v>6564</v>
          </cell>
          <cell r="D9"/>
          <cell r="E9">
            <v>1346</v>
          </cell>
          <cell r="F9"/>
          <cell r="G9"/>
          <cell r="H9">
            <v>2049</v>
          </cell>
          <cell r="I9">
            <v>428</v>
          </cell>
          <cell r="J9">
            <v>15</v>
          </cell>
          <cell r="K9"/>
        </row>
        <row r="22">
          <cell r="N22">
            <v>55</v>
          </cell>
        </row>
        <row r="24">
          <cell r="N24">
            <v>55</v>
          </cell>
        </row>
        <row r="28">
          <cell r="N28">
            <v>20130</v>
          </cell>
        </row>
        <row r="30">
          <cell r="N30">
            <v>0.51674118231495281</v>
          </cell>
        </row>
        <row r="32">
          <cell r="N32">
            <v>0.32608047690014902</v>
          </cell>
        </row>
        <row r="34">
          <cell r="N34">
            <v>0.63103249375120163</v>
          </cell>
        </row>
      </sheetData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1904153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137297</v>
          </cell>
          <cell r="G37">
            <v>0</v>
          </cell>
        </row>
        <row r="42">
          <cell r="E42">
            <v>214660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20759</v>
          </cell>
          <cell r="G67">
            <v>0</v>
          </cell>
        </row>
      </sheetData>
      <sheetData sheetId="6"/>
      <sheetData sheetId="7">
        <row r="10">
          <cell r="D10">
            <v>27626</v>
          </cell>
          <cell r="F10"/>
        </row>
        <row r="11">
          <cell r="D11"/>
          <cell r="F11"/>
        </row>
        <row r="12">
          <cell r="D12">
            <v>19452</v>
          </cell>
          <cell r="F12"/>
        </row>
        <row r="13">
          <cell r="D13">
            <v>6514</v>
          </cell>
          <cell r="F13"/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>
            <v>3531</v>
          </cell>
          <cell r="F17"/>
        </row>
        <row r="18">
          <cell r="D18">
            <v>7342</v>
          </cell>
          <cell r="F18"/>
        </row>
        <row r="19">
          <cell r="D19">
            <v>5493</v>
          </cell>
          <cell r="F19"/>
        </row>
        <row r="20">
          <cell r="D20">
            <v>16823</v>
          </cell>
          <cell r="F20"/>
        </row>
        <row r="21">
          <cell r="D21">
            <v>1600</v>
          </cell>
          <cell r="F21"/>
        </row>
        <row r="22">
          <cell r="D22"/>
          <cell r="F22"/>
        </row>
        <row r="23">
          <cell r="D23">
            <v>4101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238629</v>
          </cell>
          <cell r="F26"/>
        </row>
        <row r="27">
          <cell r="D27">
            <v>1638</v>
          </cell>
          <cell r="F27"/>
        </row>
        <row r="28">
          <cell r="D28"/>
          <cell r="F28">
            <v>0</v>
          </cell>
        </row>
        <row r="29">
          <cell r="D29">
            <v>8562</v>
          </cell>
          <cell r="F29">
            <v>-8562</v>
          </cell>
        </row>
        <row r="30">
          <cell r="D30"/>
          <cell r="F30">
            <v>0</v>
          </cell>
        </row>
        <row r="31">
          <cell r="D31">
            <v>13983</v>
          </cell>
          <cell r="F31"/>
        </row>
        <row r="32">
          <cell r="D32">
            <v>15963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1758</v>
          </cell>
          <cell r="F39"/>
        </row>
        <row r="40">
          <cell r="D40">
            <v>500</v>
          </cell>
          <cell r="F40"/>
        </row>
        <row r="41">
          <cell r="D41">
            <v>618</v>
          </cell>
          <cell r="F41"/>
        </row>
        <row r="42">
          <cell r="D42"/>
          <cell r="F42"/>
        </row>
        <row r="43">
          <cell r="D43"/>
          <cell r="F43"/>
        </row>
        <row r="44">
          <cell r="D44"/>
          <cell r="F44"/>
        </row>
        <row r="45">
          <cell r="D45"/>
          <cell r="F45"/>
        </row>
        <row r="57">
          <cell r="D57">
            <v>100368</v>
          </cell>
          <cell r="F57">
            <v>-100368</v>
          </cell>
        </row>
        <row r="58">
          <cell r="D58">
            <v>593</v>
          </cell>
          <cell r="F58">
            <v>15453</v>
          </cell>
        </row>
        <row r="59">
          <cell r="D59"/>
          <cell r="F59">
            <v>66914</v>
          </cell>
        </row>
        <row r="60">
          <cell r="D60"/>
          <cell r="F60">
            <v>9801</v>
          </cell>
        </row>
        <row r="61">
          <cell r="D61"/>
          <cell r="F61"/>
        </row>
        <row r="62">
          <cell r="D62">
            <v>1720</v>
          </cell>
          <cell r="F62"/>
        </row>
        <row r="63">
          <cell r="D63"/>
          <cell r="F63"/>
        </row>
        <row r="64">
          <cell r="D64">
            <v>185</v>
          </cell>
          <cell r="F64"/>
        </row>
        <row r="65">
          <cell r="D65">
            <v>4339</v>
          </cell>
          <cell r="F65"/>
        </row>
        <row r="66">
          <cell r="D66"/>
          <cell r="F66"/>
        </row>
        <row r="67">
          <cell r="D67">
            <v>32780</v>
          </cell>
          <cell r="F67"/>
        </row>
        <row r="68">
          <cell r="D68">
            <v>21983</v>
          </cell>
          <cell r="F68">
            <v>-21983</v>
          </cell>
        </row>
        <row r="69">
          <cell r="D69">
            <v>418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67536</v>
          </cell>
          <cell r="F75"/>
        </row>
        <row r="76">
          <cell r="D76">
            <v>9344</v>
          </cell>
          <cell r="F76"/>
        </row>
        <row r="77">
          <cell r="D77">
            <v>31247</v>
          </cell>
          <cell r="F77"/>
        </row>
        <row r="78">
          <cell r="D78">
            <v>2766</v>
          </cell>
          <cell r="F78"/>
        </row>
        <row r="79">
          <cell r="D79"/>
          <cell r="F79"/>
        </row>
        <row r="80">
          <cell r="D80">
            <v>18272</v>
          </cell>
          <cell r="F80"/>
        </row>
        <row r="81">
          <cell r="D81"/>
          <cell r="F81"/>
        </row>
        <row r="82">
          <cell r="D82"/>
          <cell r="F82"/>
        </row>
        <row r="83">
          <cell r="D83">
            <v>4306</v>
          </cell>
          <cell r="F83"/>
        </row>
        <row r="84">
          <cell r="D84">
            <v>38890</v>
          </cell>
          <cell r="F84"/>
        </row>
        <row r="85">
          <cell r="D85"/>
          <cell r="F85"/>
        </row>
        <row r="89">
          <cell r="D89">
            <v>139283</v>
          </cell>
          <cell r="F89"/>
        </row>
        <row r="90">
          <cell r="D90">
            <v>19271</v>
          </cell>
          <cell r="F90"/>
        </row>
        <row r="91">
          <cell r="D91">
            <v>6877</v>
          </cell>
          <cell r="F91"/>
        </row>
        <row r="92">
          <cell r="D92">
            <v>136073</v>
          </cell>
          <cell r="F92"/>
        </row>
        <row r="93">
          <cell r="D93">
            <v>15723</v>
          </cell>
          <cell r="F93"/>
        </row>
        <row r="94">
          <cell r="D94"/>
          <cell r="F94"/>
        </row>
        <row r="98">
          <cell r="D98">
            <v>19689</v>
          </cell>
          <cell r="F98"/>
        </row>
        <row r="99">
          <cell r="D99">
            <v>2724</v>
          </cell>
          <cell r="F99"/>
        </row>
        <row r="100">
          <cell r="D100">
            <v>403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50230</v>
          </cell>
          <cell r="F115"/>
        </row>
        <row r="116">
          <cell r="D116">
            <v>6950</v>
          </cell>
          <cell r="F116"/>
        </row>
        <row r="117">
          <cell r="D117">
            <v>22113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108975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78529</v>
          </cell>
          <cell r="F128"/>
        </row>
        <row r="130">
          <cell r="D130"/>
          <cell r="F130"/>
        </row>
        <row r="131">
          <cell r="D131">
            <v>15078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10865</v>
          </cell>
          <cell r="F134"/>
        </row>
        <row r="136">
          <cell r="D136">
            <v>126861</v>
          </cell>
          <cell r="F136"/>
        </row>
        <row r="137">
          <cell r="D137">
            <v>168088</v>
          </cell>
          <cell r="F137"/>
        </row>
        <row r="138">
          <cell r="D138">
            <v>337149</v>
          </cell>
          <cell r="F138"/>
        </row>
        <row r="139">
          <cell r="D139"/>
          <cell r="F139"/>
        </row>
        <row r="141">
          <cell r="D141">
            <v>17553</v>
          </cell>
          <cell r="F141"/>
        </row>
        <row r="142">
          <cell r="D142">
            <v>23257</v>
          </cell>
          <cell r="F142"/>
        </row>
        <row r="143">
          <cell r="D143">
            <v>46648</v>
          </cell>
          <cell r="F143"/>
        </row>
        <row r="144">
          <cell r="D144"/>
          <cell r="F144"/>
        </row>
        <row r="146">
          <cell r="D146">
            <v>7563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4116</v>
          </cell>
          <cell r="F150"/>
        </row>
        <row r="151">
          <cell r="D151">
            <v>38661</v>
          </cell>
          <cell r="F151"/>
        </row>
        <row r="152">
          <cell r="D152">
            <v>104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633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/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225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8069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61855</v>
          </cell>
          <cell r="F211"/>
        </row>
        <row r="212">
          <cell r="D212">
            <v>8558</v>
          </cell>
          <cell r="F212"/>
        </row>
        <row r="213">
          <cell r="D213">
            <v>8675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139053</v>
          </cell>
          <cell r="F216">
            <v>-77764</v>
          </cell>
        </row>
        <row r="221">
          <cell r="D221">
            <v>2338731</v>
          </cell>
        </row>
      </sheetData>
      <sheetData sheetId="8"/>
      <sheetData sheetId="9"/>
      <sheetData sheetId="10">
        <row r="9">
          <cell r="C9">
            <v>11110</v>
          </cell>
          <cell r="D9"/>
          <cell r="E9"/>
          <cell r="F9"/>
          <cell r="G9"/>
          <cell r="H9">
            <v>732</v>
          </cell>
          <cell r="I9">
            <v>1168</v>
          </cell>
          <cell r="J9"/>
          <cell r="K9"/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13176</v>
          </cell>
        </row>
        <row r="30">
          <cell r="N30">
            <v>0.98740133576199152</v>
          </cell>
        </row>
        <row r="32">
          <cell r="N32">
            <v>0.84319975713418338</v>
          </cell>
        </row>
        <row r="34">
          <cell r="N34">
            <v>0.85395849346656416</v>
          </cell>
        </row>
      </sheetData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4557542.9600000009</v>
          </cell>
          <cell r="G10">
            <v>0</v>
          </cell>
        </row>
        <row r="15">
          <cell r="E15">
            <v>505789.24</v>
          </cell>
          <cell r="G15">
            <v>0</v>
          </cell>
        </row>
        <row r="21">
          <cell r="E21">
            <v>774390.41</v>
          </cell>
          <cell r="G21">
            <v>0</v>
          </cell>
        </row>
        <row r="27">
          <cell r="E27">
            <v>1694.68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66354.259999999995</v>
          </cell>
          <cell r="G37">
            <v>0</v>
          </cell>
        </row>
        <row r="42">
          <cell r="E42">
            <v>165.6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-22416.080000000002</v>
          </cell>
          <cell r="G67">
            <v>-152.38999999999999</v>
          </cell>
        </row>
        <row r="85">
          <cell r="C85">
            <v>189.66018867924527</v>
          </cell>
          <cell r="E85">
            <v>150.55387755102041</v>
          </cell>
          <cell r="G85">
            <v>150.24247787610622</v>
          </cell>
          <cell r="I85">
            <v>151.23541666666668</v>
          </cell>
        </row>
      </sheetData>
      <sheetData sheetId="6"/>
      <sheetData sheetId="7">
        <row r="10">
          <cell r="D10">
            <v>210819.59999999998</v>
          </cell>
          <cell r="F10"/>
        </row>
        <row r="11">
          <cell r="D11"/>
          <cell r="F11"/>
        </row>
        <row r="12">
          <cell r="D12">
            <v>115227.69</v>
          </cell>
          <cell r="F12"/>
        </row>
        <row r="13">
          <cell r="D13">
            <v>82798.079999999987</v>
          </cell>
          <cell r="F13"/>
        </row>
        <row r="14">
          <cell r="D14"/>
          <cell r="F14"/>
        </row>
        <row r="15">
          <cell r="D15">
            <v>409370.78</v>
          </cell>
          <cell r="F15">
            <v>-409370.78</v>
          </cell>
        </row>
        <row r="16">
          <cell r="D16"/>
          <cell r="F16">
            <v>191577</v>
          </cell>
        </row>
        <row r="17">
          <cell r="D17">
            <v>798.06999999999994</v>
          </cell>
          <cell r="F17"/>
        </row>
        <row r="18">
          <cell r="D18">
            <v>12849.98</v>
          </cell>
          <cell r="F18"/>
        </row>
        <row r="19">
          <cell r="D19">
            <v>12948.830000000002</v>
          </cell>
          <cell r="F19">
            <v>1097</v>
          </cell>
        </row>
        <row r="20">
          <cell r="D20">
            <v>14254.609999999999</v>
          </cell>
          <cell r="F20"/>
        </row>
        <row r="21">
          <cell r="D21">
            <v>64520.42</v>
          </cell>
          <cell r="F21">
            <v>22013</v>
          </cell>
        </row>
        <row r="22">
          <cell r="D22"/>
          <cell r="F22"/>
        </row>
        <row r="23">
          <cell r="D23">
            <v>48785.719999999994</v>
          </cell>
          <cell r="F23">
            <v>29482</v>
          </cell>
        </row>
        <row r="24">
          <cell r="D24">
            <v>53515.72</v>
          </cell>
          <cell r="F24"/>
        </row>
        <row r="25">
          <cell r="D25"/>
          <cell r="F25"/>
        </row>
        <row r="26">
          <cell r="D26">
            <v>386411.52000000002</v>
          </cell>
          <cell r="F26">
            <v>342</v>
          </cell>
        </row>
        <row r="27">
          <cell r="D27">
            <v>2921.52</v>
          </cell>
          <cell r="F27">
            <v>7965.61</v>
          </cell>
        </row>
        <row r="28">
          <cell r="D28"/>
          <cell r="F28">
            <v>0</v>
          </cell>
        </row>
        <row r="29">
          <cell r="D29">
            <v>-12424.189999999995</v>
          </cell>
          <cell r="F29">
            <v>12424.189999999995</v>
          </cell>
        </row>
        <row r="30">
          <cell r="D30">
            <v>500</v>
          </cell>
          <cell r="F30">
            <v>-500</v>
          </cell>
        </row>
        <row r="31">
          <cell r="D31"/>
          <cell r="F31"/>
        </row>
        <row r="32">
          <cell r="D32">
            <v>117749.25</v>
          </cell>
          <cell r="F32">
            <v>4428</v>
          </cell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14711.35</v>
          </cell>
          <cell r="F39">
            <v>3610</v>
          </cell>
        </row>
        <row r="40">
          <cell r="D40">
            <v>3155.7299999999996</v>
          </cell>
          <cell r="F40">
            <v>-3155.73</v>
          </cell>
        </row>
        <row r="41">
          <cell r="D41">
            <v>15561.35</v>
          </cell>
          <cell r="F41">
            <v>20154</v>
          </cell>
        </row>
        <row r="42">
          <cell r="D42"/>
          <cell r="F42">
            <v>3217</v>
          </cell>
        </row>
        <row r="43">
          <cell r="D43"/>
          <cell r="F43"/>
        </row>
        <row r="44">
          <cell r="D44"/>
          <cell r="F44"/>
        </row>
        <row r="45">
          <cell r="D45">
            <v>6426.36</v>
          </cell>
          <cell r="F45">
            <v>139</v>
          </cell>
        </row>
        <row r="57">
          <cell r="D57">
            <v>911040</v>
          </cell>
          <cell r="F57">
            <v>-911040</v>
          </cell>
        </row>
        <row r="58">
          <cell r="D58">
            <v>1495.6999999999998</v>
          </cell>
          <cell r="F58">
            <v>56979.43</v>
          </cell>
        </row>
        <row r="59">
          <cell r="D59"/>
          <cell r="F59">
            <v>133607.85999999999</v>
          </cell>
        </row>
        <row r="60">
          <cell r="D60">
            <v>36891.129999999997</v>
          </cell>
          <cell r="F60">
            <v>-4628.08</v>
          </cell>
        </row>
        <row r="61">
          <cell r="D61">
            <v>12397.380000000001</v>
          </cell>
          <cell r="F61">
            <v>605</v>
          </cell>
        </row>
        <row r="62">
          <cell r="D62">
            <v>1581.36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542.32000000000005</v>
          </cell>
          <cell r="F67">
            <v>36157.47</v>
          </cell>
        </row>
        <row r="68">
          <cell r="D68"/>
          <cell r="F68"/>
        </row>
        <row r="69">
          <cell r="D69"/>
          <cell r="F69">
            <v>3216.55</v>
          </cell>
        </row>
        <row r="70">
          <cell r="D70"/>
          <cell r="F70"/>
        </row>
        <row r="71">
          <cell r="D71"/>
          <cell r="F71"/>
        </row>
        <row r="75">
          <cell r="D75">
            <v>65989.829999999987</v>
          </cell>
          <cell r="F75"/>
        </row>
        <row r="76">
          <cell r="D76">
            <v>11301.579999999998</v>
          </cell>
          <cell r="F76"/>
        </row>
        <row r="77">
          <cell r="D77">
            <v>8977.26</v>
          </cell>
          <cell r="F77"/>
        </row>
        <row r="78">
          <cell r="D78">
            <v>5128.78</v>
          </cell>
          <cell r="F78">
            <v>1567</v>
          </cell>
        </row>
        <row r="79">
          <cell r="D79">
            <v>14424.64</v>
          </cell>
          <cell r="F79"/>
        </row>
        <row r="80">
          <cell r="D80">
            <v>12235.53</v>
          </cell>
          <cell r="F80"/>
        </row>
        <row r="81">
          <cell r="D81">
            <v>10895.96</v>
          </cell>
          <cell r="F81"/>
        </row>
        <row r="82">
          <cell r="D82"/>
          <cell r="F82"/>
        </row>
        <row r="83">
          <cell r="D83"/>
          <cell r="F83"/>
        </row>
        <row r="84">
          <cell r="D84">
            <v>135100.88</v>
          </cell>
          <cell r="F84">
            <v>883</v>
          </cell>
        </row>
        <row r="85">
          <cell r="D85">
            <v>30.24</v>
          </cell>
          <cell r="F85"/>
        </row>
        <row r="89">
          <cell r="D89">
            <v>150116.34</v>
          </cell>
          <cell r="F89"/>
        </row>
        <row r="90">
          <cell r="D90">
            <v>31106.75</v>
          </cell>
          <cell r="F90"/>
        </row>
        <row r="91">
          <cell r="D91">
            <v>20339</v>
          </cell>
          <cell r="F91"/>
        </row>
        <row r="92">
          <cell r="D92">
            <v>167486.32</v>
          </cell>
          <cell r="F92">
            <v>-144</v>
          </cell>
        </row>
        <row r="93">
          <cell r="D93">
            <v>8282.3100000000013</v>
          </cell>
          <cell r="F93"/>
        </row>
        <row r="94">
          <cell r="D94">
            <v>10832.66</v>
          </cell>
          <cell r="F94"/>
        </row>
        <row r="98">
          <cell r="D98">
            <v>25265.640000000003</v>
          </cell>
          <cell r="F98"/>
        </row>
        <row r="99">
          <cell r="D99">
            <v>5924.5199999999986</v>
          </cell>
          <cell r="F99"/>
        </row>
        <row r="100">
          <cell r="D100">
            <v>11670.039999999999</v>
          </cell>
          <cell r="F100"/>
        </row>
        <row r="101">
          <cell r="D101"/>
          <cell r="F101"/>
        </row>
        <row r="102">
          <cell r="D102">
            <v>6261.57</v>
          </cell>
          <cell r="F102"/>
        </row>
        <row r="103">
          <cell r="D103"/>
          <cell r="F103"/>
        </row>
        <row r="115">
          <cell r="D115">
            <v>101332.13999999998</v>
          </cell>
          <cell r="F115"/>
        </row>
        <row r="116">
          <cell r="D116">
            <v>19606.389999999996</v>
          </cell>
          <cell r="F116"/>
        </row>
        <row r="117">
          <cell r="D117">
            <v>20128.150000000001</v>
          </cell>
          <cell r="F117"/>
        </row>
        <row r="118">
          <cell r="D118">
            <v>609.9</v>
          </cell>
          <cell r="F118"/>
        </row>
        <row r="119">
          <cell r="D119">
            <v>362</v>
          </cell>
          <cell r="F119"/>
        </row>
        <row r="124">
          <cell r="D124">
            <v>84806.83</v>
          </cell>
          <cell r="F124"/>
        </row>
        <row r="125">
          <cell r="D125">
            <v>40174.450000000004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52222.239999999998</v>
          </cell>
          <cell r="F128">
            <v>30062</v>
          </cell>
        </row>
        <row r="130">
          <cell r="D130">
            <v>17422.260000000002</v>
          </cell>
          <cell r="F130"/>
        </row>
        <row r="131">
          <cell r="D131">
            <v>8253.2199999999993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13138.29</v>
          </cell>
          <cell r="F134"/>
        </row>
        <row r="136">
          <cell r="D136">
            <v>276129.08</v>
          </cell>
          <cell r="F136"/>
        </row>
        <row r="137">
          <cell r="D137">
            <v>154261.49</v>
          </cell>
          <cell r="F137"/>
        </row>
        <row r="138">
          <cell r="D138">
            <v>499697.36999999994</v>
          </cell>
          <cell r="F138"/>
        </row>
        <row r="139">
          <cell r="D139">
            <v>65902.19</v>
          </cell>
          <cell r="F139"/>
        </row>
        <row r="141">
          <cell r="D141">
            <v>56726.46</v>
          </cell>
          <cell r="F141"/>
        </row>
        <row r="142">
          <cell r="D142">
            <v>31690.639999999999</v>
          </cell>
          <cell r="F142"/>
        </row>
        <row r="143">
          <cell r="D143">
            <v>102655.11</v>
          </cell>
          <cell r="F143"/>
        </row>
        <row r="144">
          <cell r="D144">
            <v>13538.58</v>
          </cell>
          <cell r="F144"/>
        </row>
        <row r="146">
          <cell r="D146">
            <v>21367.760000000002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7302.4400000000005</v>
          </cell>
          <cell r="F150"/>
        </row>
        <row r="151">
          <cell r="D151">
            <v>79564.639999999999</v>
          </cell>
          <cell r="F151"/>
        </row>
        <row r="152">
          <cell r="D152">
            <v>9919.15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6807.44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>
            <v>9772</v>
          </cell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1751.81</v>
          </cell>
          <cell r="F183"/>
        </row>
        <row r="184">
          <cell r="D184">
            <v>281.83</v>
          </cell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395.24</v>
          </cell>
          <cell r="F191"/>
        </row>
        <row r="192">
          <cell r="D192">
            <v>7648.7599999999993</v>
          </cell>
          <cell r="F192"/>
        </row>
        <row r="193">
          <cell r="D193"/>
          <cell r="F193"/>
        </row>
        <row r="194">
          <cell r="D194">
            <v>108410.53391387184</v>
          </cell>
          <cell r="F194"/>
        </row>
        <row r="195">
          <cell r="D195">
            <v>44052.750216170192</v>
          </cell>
          <cell r="F195"/>
        </row>
        <row r="196">
          <cell r="D196"/>
          <cell r="F196"/>
        </row>
        <row r="197">
          <cell r="D197">
            <v>110670.32586995796</v>
          </cell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32681.93</v>
          </cell>
          <cell r="F205"/>
        </row>
        <row r="206">
          <cell r="D206">
            <v>2974.83</v>
          </cell>
          <cell r="F206"/>
        </row>
        <row r="207">
          <cell r="D207">
            <v>11118.31</v>
          </cell>
          <cell r="F207"/>
        </row>
        <row r="211">
          <cell r="D211">
            <v>55658.06</v>
          </cell>
          <cell r="F211"/>
        </row>
        <row r="212">
          <cell r="D212">
            <v>12225.019999999999</v>
          </cell>
          <cell r="F212"/>
        </row>
        <row r="213">
          <cell r="D213">
            <v>15292.79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10416.779999999999</v>
          </cell>
          <cell r="F216"/>
        </row>
        <row r="221">
          <cell r="D221">
            <v>5323417.3200000022</v>
          </cell>
        </row>
      </sheetData>
      <sheetData sheetId="8"/>
      <sheetData sheetId="9"/>
      <sheetData sheetId="10">
        <row r="9">
          <cell r="C9">
            <v>17597</v>
          </cell>
          <cell r="D9">
            <v>3161</v>
          </cell>
          <cell r="E9">
            <v>1407</v>
          </cell>
          <cell r="F9">
            <v>0</v>
          </cell>
          <cell r="G9">
            <v>0</v>
          </cell>
          <cell r="H9">
            <v>413</v>
          </cell>
          <cell r="I9">
            <v>0</v>
          </cell>
          <cell r="J9">
            <v>0</v>
          </cell>
          <cell r="K9">
            <v>0</v>
          </cell>
        </row>
        <row r="22">
          <cell r="N22">
            <v>104</v>
          </cell>
        </row>
        <row r="24">
          <cell r="N24">
            <v>104</v>
          </cell>
        </row>
        <row r="28">
          <cell r="N28">
            <v>38064</v>
          </cell>
        </row>
        <row r="30">
          <cell r="N30">
            <v>0.59315889029003788</v>
          </cell>
        </row>
        <row r="32">
          <cell r="N32">
            <v>0.54534468263976466</v>
          </cell>
        </row>
        <row r="34">
          <cell r="N34">
            <v>0.91939055717955531</v>
          </cell>
        </row>
      </sheetData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1446278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562298</v>
          </cell>
          <cell r="G21">
            <v>0</v>
          </cell>
        </row>
        <row r="27">
          <cell r="E27">
            <v>719699</v>
          </cell>
          <cell r="G27">
            <v>0</v>
          </cell>
        </row>
        <row r="32">
          <cell r="E32">
            <v>347144</v>
          </cell>
          <cell r="G32">
            <v>0</v>
          </cell>
        </row>
        <row r="37">
          <cell r="E37">
            <v>147610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329211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1205</v>
          </cell>
          <cell r="G67">
            <v>0</v>
          </cell>
        </row>
        <row r="85">
          <cell r="C85">
            <v>271.44660194174759</v>
          </cell>
          <cell r="E85">
            <v>438.46875</v>
          </cell>
          <cell r="G85">
            <v>494.44680851063828</v>
          </cell>
          <cell r="I85">
            <v>231.40730337078651</v>
          </cell>
        </row>
      </sheetData>
      <sheetData sheetId="7"/>
      <sheetData sheetId="8">
        <row r="10">
          <cell r="D10">
            <v>120818</v>
          </cell>
          <cell r="F10">
            <v>6192</v>
          </cell>
        </row>
        <row r="11">
          <cell r="D11">
            <v>0</v>
          </cell>
          <cell r="F11"/>
        </row>
        <row r="12">
          <cell r="D12">
            <v>156628</v>
          </cell>
          <cell r="F12">
            <v>8024</v>
          </cell>
        </row>
        <row r="13">
          <cell r="D13">
            <v>444003</v>
          </cell>
          <cell r="F13">
            <v>-396431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176299</v>
          </cell>
          <cell r="F16">
            <v>88820</v>
          </cell>
        </row>
        <row r="17">
          <cell r="D17">
            <v>0</v>
          </cell>
          <cell r="F17"/>
        </row>
        <row r="18">
          <cell r="D18">
            <v>20474</v>
          </cell>
          <cell r="F18"/>
        </row>
        <row r="19">
          <cell r="D19">
            <v>8529</v>
          </cell>
          <cell r="F19">
            <v>-626</v>
          </cell>
        </row>
        <row r="20">
          <cell r="D20">
            <v>21136</v>
          </cell>
          <cell r="F20"/>
        </row>
        <row r="21">
          <cell r="D21">
            <v>1465</v>
          </cell>
          <cell r="F21"/>
        </row>
        <row r="22">
          <cell r="D22">
            <v>0</v>
          </cell>
          <cell r="F22"/>
        </row>
        <row r="23">
          <cell r="D23">
            <v>5222</v>
          </cell>
          <cell r="F23"/>
        </row>
        <row r="24">
          <cell r="D24">
            <v>40527</v>
          </cell>
          <cell r="F24">
            <v>-5040</v>
          </cell>
        </row>
        <row r="25">
          <cell r="D25">
            <v>4599</v>
          </cell>
          <cell r="F25"/>
        </row>
        <row r="26">
          <cell r="D26">
            <v>216623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65131</v>
          </cell>
          <cell r="F29">
            <v>-65131</v>
          </cell>
        </row>
        <row r="30">
          <cell r="D30">
            <v>0</v>
          </cell>
          <cell r="F30">
            <v>0</v>
          </cell>
        </row>
        <row r="31">
          <cell r="D31">
            <v>49444</v>
          </cell>
          <cell r="F31"/>
        </row>
        <row r="32">
          <cell r="D32">
            <v>40002</v>
          </cell>
          <cell r="F32">
            <v>-9042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7300</v>
          </cell>
          <cell r="F35">
            <v>-7300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3707</v>
          </cell>
          <cell r="F39"/>
        </row>
        <row r="40">
          <cell r="D40">
            <v>3348</v>
          </cell>
          <cell r="F40"/>
        </row>
        <row r="41">
          <cell r="D41">
            <v>7055</v>
          </cell>
          <cell r="F41"/>
        </row>
        <row r="42">
          <cell r="D42">
            <v>6830</v>
          </cell>
          <cell r="F42"/>
        </row>
        <row r="43">
          <cell r="D43">
            <v>8948</v>
          </cell>
          <cell r="F43"/>
        </row>
        <row r="44">
          <cell r="D44">
            <v>0</v>
          </cell>
          <cell r="F44"/>
        </row>
        <row r="45">
          <cell r="D45">
            <v>13477</v>
          </cell>
          <cell r="F45">
            <v>-611</v>
          </cell>
        </row>
        <row r="57">
          <cell r="D57">
            <v>211634</v>
          </cell>
          <cell r="F57">
            <v>-211634</v>
          </cell>
        </row>
        <row r="58">
          <cell r="D58">
            <v>0</v>
          </cell>
          <cell r="F58">
            <v>27470</v>
          </cell>
        </row>
        <row r="59">
          <cell r="D59">
            <v>0</v>
          </cell>
          <cell r="F59"/>
        </row>
        <row r="60">
          <cell r="D60">
            <v>13044</v>
          </cell>
          <cell r="F60"/>
        </row>
        <row r="61">
          <cell r="D61">
            <v>3710</v>
          </cell>
          <cell r="F61"/>
        </row>
        <row r="62">
          <cell r="D62">
            <v>0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960</v>
          </cell>
          <cell r="F65"/>
        </row>
        <row r="66">
          <cell r="D66">
            <v>4810</v>
          </cell>
          <cell r="F66"/>
        </row>
        <row r="67">
          <cell r="D67">
            <v>0</v>
          </cell>
          <cell r="F67">
            <v>56317</v>
          </cell>
        </row>
        <row r="68">
          <cell r="D68">
            <v>0</v>
          </cell>
          <cell r="F68"/>
        </row>
        <row r="69">
          <cell r="D69">
            <v>4946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43903</v>
          </cell>
          <cell r="F75">
            <v>2250</v>
          </cell>
        </row>
        <row r="76">
          <cell r="D76">
            <v>0</v>
          </cell>
          <cell r="F76">
            <v>7607</v>
          </cell>
        </row>
        <row r="77">
          <cell r="D77">
            <v>7006</v>
          </cell>
          <cell r="F77"/>
        </row>
        <row r="78">
          <cell r="D78">
            <v>0</v>
          </cell>
          <cell r="F78"/>
        </row>
        <row r="79">
          <cell r="D79">
            <v>1391</v>
          </cell>
          <cell r="F79"/>
        </row>
        <row r="80">
          <cell r="D80">
            <v>14722</v>
          </cell>
          <cell r="F80"/>
        </row>
        <row r="81">
          <cell r="D81">
            <v>11077</v>
          </cell>
          <cell r="F81"/>
        </row>
        <row r="82">
          <cell r="D82">
            <v>615</v>
          </cell>
          <cell r="F82"/>
        </row>
        <row r="83">
          <cell r="D83">
            <v>0</v>
          </cell>
          <cell r="F83"/>
        </row>
        <row r="84">
          <cell r="D84">
            <v>79550</v>
          </cell>
          <cell r="F84"/>
        </row>
        <row r="85">
          <cell r="D85">
            <v>0</v>
          </cell>
          <cell r="F85"/>
        </row>
        <row r="89">
          <cell r="D89">
            <v>134335</v>
          </cell>
          <cell r="F89">
            <v>6885</v>
          </cell>
        </row>
        <row r="90">
          <cell r="D90">
            <v>0</v>
          </cell>
          <cell r="F90">
            <v>23277</v>
          </cell>
        </row>
        <row r="91">
          <cell r="D91">
            <v>19602</v>
          </cell>
          <cell r="F91"/>
        </row>
        <row r="92">
          <cell r="D92">
            <v>112893</v>
          </cell>
          <cell r="F92"/>
        </row>
        <row r="93">
          <cell r="D93">
            <v>9699</v>
          </cell>
          <cell r="F93"/>
        </row>
        <row r="94">
          <cell r="D94">
            <v>0</v>
          </cell>
          <cell r="F94"/>
        </row>
        <row r="98">
          <cell r="D98">
            <v>1098</v>
          </cell>
          <cell r="F98">
            <v>56</v>
          </cell>
        </row>
        <row r="99">
          <cell r="D99">
            <v>0</v>
          </cell>
          <cell r="F99">
            <v>190</v>
          </cell>
        </row>
        <row r="100">
          <cell r="D100">
            <v>476</v>
          </cell>
          <cell r="F100"/>
        </row>
        <row r="101">
          <cell r="D101">
            <v>0</v>
          </cell>
          <cell r="F101"/>
        </row>
        <row r="102">
          <cell r="D102">
            <v>8747</v>
          </cell>
          <cell r="F102"/>
        </row>
        <row r="103">
          <cell r="D103">
            <v>42</v>
          </cell>
          <cell r="F103"/>
        </row>
        <row r="115">
          <cell r="D115">
            <v>45965</v>
          </cell>
          <cell r="F115">
            <v>2356</v>
          </cell>
        </row>
        <row r="116">
          <cell r="D116">
            <v>0</v>
          </cell>
          <cell r="F116">
            <v>7965</v>
          </cell>
        </row>
        <row r="117">
          <cell r="D117">
            <v>13434</v>
          </cell>
          <cell r="F117"/>
        </row>
        <row r="118">
          <cell r="D118">
            <v>-2100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101880</v>
          </cell>
          <cell r="F125">
            <v>5221</v>
          </cell>
        </row>
        <row r="126">
          <cell r="D126">
            <v>49490</v>
          </cell>
          <cell r="F126">
            <v>2536</v>
          </cell>
        </row>
        <row r="127">
          <cell r="D127">
            <v>0</v>
          </cell>
          <cell r="F127"/>
        </row>
        <row r="128">
          <cell r="D128">
            <v>25159</v>
          </cell>
          <cell r="F128">
            <v>1289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17653</v>
          </cell>
        </row>
        <row r="132">
          <cell r="D132">
            <v>0</v>
          </cell>
          <cell r="F132">
            <v>8575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4360</v>
          </cell>
        </row>
        <row r="136">
          <cell r="D136">
            <v>220645</v>
          </cell>
          <cell r="F136">
            <v>11308</v>
          </cell>
        </row>
        <row r="137">
          <cell r="D137">
            <v>223021</v>
          </cell>
          <cell r="F137">
            <v>11430</v>
          </cell>
        </row>
        <row r="138">
          <cell r="D138">
            <v>408971</v>
          </cell>
          <cell r="F138">
            <v>20959</v>
          </cell>
        </row>
        <row r="139">
          <cell r="D139">
            <v>13423</v>
          </cell>
          <cell r="F139">
            <v>688</v>
          </cell>
        </row>
        <row r="141">
          <cell r="D141">
            <v>0</v>
          </cell>
          <cell r="F141">
            <v>38232</v>
          </cell>
        </row>
        <row r="142">
          <cell r="D142">
            <v>0</v>
          </cell>
          <cell r="F142">
            <v>38645</v>
          </cell>
        </row>
        <row r="143">
          <cell r="D143">
            <v>0</v>
          </cell>
          <cell r="F143">
            <v>70865</v>
          </cell>
        </row>
        <row r="144">
          <cell r="D144">
            <v>0</v>
          </cell>
          <cell r="F144">
            <v>2326</v>
          </cell>
        </row>
        <row r="146">
          <cell r="D146">
            <v>33600</v>
          </cell>
          <cell r="F146"/>
        </row>
        <row r="147">
          <cell r="D147">
            <v>0</v>
          </cell>
          <cell r="F147"/>
        </row>
        <row r="148">
          <cell r="D148">
            <v>213</v>
          </cell>
          <cell r="F148"/>
        </row>
        <row r="149">
          <cell r="D149">
            <v>1252</v>
          </cell>
          <cell r="F149"/>
        </row>
        <row r="150">
          <cell r="D150">
            <v>2147</v>
          </cell>
          <cell r="F150"/>
        </row>
        <row r="151">
          <cell r="D151">
            <v>60615</v>
          </cell>
          <cell r="F151"/>
        </row>
        <row r="152">
          <cell r="D152">
            <v>774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1511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154095</v>
          </cell>
          <cell r="F177">
            <v>7897</v>
          </cell>
        </row>
        <row r="178">
          <cell r="D178">
            <v>0</v>
          </cell>
          <cell r="F178">
            <v>26701</v>
          </cell>
        </row>
        <row r="179">
          <cell r="D179">
            <v>16973</v>
          </cell>
          <cell r="F179">
            <v>870</v>
          </cell>
        </row>
        <row r="180">
          <cell r="D180">
            <v>0</v>
          </cell>
          <cell r="F180">
            <v>2941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90465</v>
          </cell>
          <cell r="F183">
            <v>4636</v>
          </cell>
        </row>
        <row r="184">
          <cell r="D184">
            <v>0</v>
          </cell>
          <cell r="F184">
            <v>15675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1877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34886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133031</v>
          </cell>
          <cell r="F205"/>
        </row>
        <row r="206">
          <cell r="D206">
            <v>5379</v>
          </cell>
          <cell r="F206"/>
        </row>
        <row r="207">
          <cell r="D207">
            <v>27812</v>
          </cell>
          <cell r="F207"/>
        </row>
        <row r="211">
          <cell r="D211">
            <v>58592</v>
          </cell>
          <cell r="F211">
            <v>3003</v>
          </cell>
        </row>
        <row r="212">
          <cell r="D212">
            <v>0</v>
          </cell>
          <cell r="F212">
            <v>10153</v>
          </cell>
        </row>
        <row r="213">
          <cell r="D213">
            <v>4517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1062</v>
          </cell>
          <cell r="F216"/>
        </row>
        <row r="221">
          <cell r="D221">
            <v>3834513.76</v>
          </cell>
        </row>
      </sheetData>
      <sheetData sheetId="9"/>
      <sheetData sheetId="10"/>
      <sheetData sheetId="11"/>
      <sheetData sheetId="12"/>
      <sheetData sheetId="13">
        <row r="9">
          <cell r="C9">
            <v>7939</v>
          </cell>
          <cell r="D9"/>
          <cell r="E9">
            <v>1053</v>
          </cell>
          <cell r="F9">
            <v>1828</v>
          </cell>
          <cell r="G9">
            <v>1467</v>
          </cell>
          <cell r="H9">
            <v>538</v>
          </cell>
          <cell r="I9"/>
          <cell r="J9">
            <v>1845</v>
          </cell>
          <cell r="K9"/>
        </row>
        <row r="22">
          <cell r="N22">
            <v>63</v>
          </cell>
        </row>
        <row r="24">
          <cell r="N24">
            <v>63</v>
          </cell>
        </row>
        <row r="28">
          <cell r="N28">
            <v>23058</v>
          </cell>
        </row>
        <row r="30">
          <cell r="N30">
            <v>0.63622170179547233</v>
          </cell>
        </row>
        <row r="32">
          <cell r="N32">
            <v>0.34430566397779511</v>
          </cell>
        </row>
        <row r="34">
          <cell r="N34">
            <v>0.54117246080436254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2332885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1552324</v>
          </cell>
          <cell r="G21">
            <v>0</v>
          </cell>
        </row>
        <row r="27">
          <cell r="E27">
            <v>798352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778775</v>
          </cell>
          <cell r="G37">
            <v>0</v>
          </cell>
        </row>
        <row r="42">
          <cell r="E42">
            <v>365941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65958</v>
          </cell>
          <cell r="G52">
            <v>0</v>
          </cell>
        </row>
        <row r="67">
          <cell r="E67">
            <v>62359</v>
          </cell>
          <cell r="G67">
            <v>-9438</v>
          </cell>
        </row>
        <row r="85">
          <cell r="C85">
            <v>206.79166666666666</v>
          </cell>
          <cell r="E85">
            <v>206.79029462738302</v>
          </cell>
          <cell r="G85">
            <v>206.79143179255919</v>
          </cell>
          <cell r="I85">
            <v>206.7909790979098</v>
          </cell>
        </row>
      </sheetData>
      <sheetData sheetId="6"/>
      <sheetData sheetId="7">
        <row r="10">
          <cell r="D10">
            <v>0</v>
          </cell>
          <cell r="F10">
            <v>164173</v>
          </cell>
        </row>
        <row r="11">
          <cell r="D11">
            <v>0</v>
          </cell>
          <cell r="F11">
            <v>0</v>
          </cell>
        </row>
        <row r="12">
          <cell r="D12">
            <v>242726</v>
          </cell>
          <cell r="F12">
            <v>-164173</v>
          </cell>
        </row>
        <row r="13">
          <cell r="D13">
            <v>22320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297619</v>
          </cell>
          <cell r="F16">
            <v>-38470</v>
          </cell>
        </row>
        <row r="17">
          <cell r="D17">
            <v>957</v>
          </cell>
          <cell r="F17">
            <v>-957</v>
          </cell>
        </row>
        <row r="18">
          <cell r="D18">
            <v>19583</v>
          </cell>
          <cell r="F18">
            <v>0</v>
          </cell>
        </row>
        <row r="19">
          <cell r="D19">
            <v>14378</v>
          </cell>
          <cell r="F19">
            <v>0</v>
          </cell>
        </row>
        <row r="20">
          <cell r="D20">
            <v>11855</v>
          </cell>
          <cell r="F20">
            <v>0</v>
          </cell>
        </row>
        <row r="21">
          <cell r="D21">
            <v>18397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2543</v>
          </cell>
          <cell r="F23">
            <v>0</v>
          </cell>
        </row>
        <row r="24">
          <cell r="D24">
            <v>298</v>
          </cell>
          <cell r="F24">
            <v>0</v>
          </cell>
        </row>
        <row r="25">
          <cell r="D25">
            <v>3416</v>
          </cell>
          <cell r="F25">
            <v>0</v>
          </cell>
        </row>
        <row r="26">
          <cell r="D26">
            <v>339341</v>
          </cell>
          <cell r="F26">
            <v>0</v>
          </cell>
        </row>
        <row r="27">
          <cell r="D27">
            <v>24031</v>
          </cell>
          <cell r="F27">
            <v>-295</v>
          </cell>
        </row>
        <row r="28">
          <cell r="D28">
            <v>0</v>
          </cell>
          <cell r="F28">
            <v>0</v>
          </cell>
        </row>
        <row r="29">
          <cell r="D29">
            <v>132441</v>
          </cell>
          <cell r="F29">
            <v>-132441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72640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282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371</v>
          </cell>
          <cell r="F38">
            <v>-371</v>
          </cell>
        </row>
        <row r="39">
          <cell r="D39">
            <v>5116</v>
          </cell>
          <cell r="F39">
            <v>0</v>
          </cell>
        </row>
        <row r="40">
          <cell r="D40">
            <v>3771</v>
          </cell>
          <cell r="F40">
            <v>-3771</v>
          </cell>
        </row>
        <row r="41">
          <cell r="D41">
            <v>122996</v>
          </cell>
          <cell r="F41">
            <v>-1562</v>
          </cell>
        </row>
        <row r="42">
          <cell r="D42">
            <v>188</v>
          </cell>
          <cell r="F42">
            <v>0</v>
          </cell>
        </row>
        <row r="43">
          <cell r="D43">
            <v>6844</v>
          </cell>
          <cell r="F43">
            <v>-6844</v>
          </cell>
        </row>
        <row r="44">
          <cell r="D44">
            <v>0</v>
          </cell>
          <cell r="F44">
            <v>0</v>
          </cell>
        </row>
        <row r="45">
          <cell r="D45">
            <v>1576</v>
          </cell>
          <cell r="F45">
            <v>-7610</v>
          </cell>
        </row>
        <row r="57">
          <cell r="D57">
            <v>0</v>
          </cell>
          <cell r="F57">
            <v>0</v>
          </cell>
        </row>
        <row r="58">
          <cell r="D58">
            <v>166560</v>
          </cell>
          <cell r="F58">
            <v>0</v>
          </cell>
        </row>
        <row r="59">
          <cell r="D59">
            <v>248902</v>
          </cell>
          <cell r="F59">
            <v>0</v>
          </cell>
        </row>
        <row r="60">
          <cell r="D60">
            <v>36337</v>
          </cell>
          <cell r="F60">
            <v>0</v>
          </cell>
        </row>
        <row r="61">
          <cell r="D61">
            <v>43185</v>
          </cell>
          <cell r="F61">
            <v>0</v>
          </cell>
        </row>
        <row r="62">
          <cell r="D62">
            <v>985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51933</v>
          </cell>
          <cell r="F66">
            <v>130</v>
          </cell>
        </row>
        <row r="67">
          <cell r="D67">
            <v>64699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6278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35067</v>
          </cell>
          <cell r="F75">
            <v>0</v>
          </cell>
        </row>
        <row r="76">
          <cell r="D76">
            <v>5545</v>
          </cell>
          <cell r="F76">
            <v>0</v>
          </cell>
        </row>
        <row r="77">
          <cell r="D77">
            <v>10404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9132</v>
          </cell>
          <cell r="F79">
            <v>0</v>
          </cell>
        </row>
        <row r="80">
          <cell r="D80">
            <v>31425</v>
          </cell>
          <cell r="F80">
            <v>0</v>
          </cell>
        </row>
        <row r="81">
          <cell r="D81">
            <v>29668</v>
          </cell>
          <cell r="F81">
            <v>0</v>
          </cell>
        </row>
        <row r="82">
          <cell r="D82">
            <v>10903</v>
          </cell>
          <cell r="F82">
            <v>0</v>
          </cell>
        </row>
        <row r="83">
          <cell r="D83">
            <v>223</v>
          </cell>
          <cell r="F83">
            <v>0</v>
          </cell>
        </row>
        <row r="84">
          <cell r="D84">
            <v>80658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106459</v>
          </cell>
          <cell r="F89">
            <v>0</v>
          </cell>
        </row>
        <row r="90">
          <cell r="D90">
            <v>12589</v>
          </cell>
          <cell r="F90">
            <v>0</v>
          </cell>
        </row>
        <row r="91">
          <cell r="D91">
            <v>211425</v>
          </cell>
          <cell r="F91">
            <v>0</v>
          </cell>
        </row>
        <row r="92">
          <cell r="D92">
            <v>82301</v>
          </cell>
          <cell r="F92">
            <v>-1833</v>
          </cell>
        </row>
        <row r="93">
          <cell r="D93">
            <v>7570</v>
          </cell>
          <cell r="F93">
            <v>0</v>
          </cell>
        </row>
        <row r="94">
          <cell r="D94">
            <v>335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260</v>
          </cell>
          <cell r="F100">
            <v>0</v>
          </cell>
        </row>
        <row r="101">
          <cell r="D101">
            <v>58763</v>
          </cell>
          <cell r="F101">
            <v>0</v>
          </cell>
        </row>
        <row r="102">
          <cell r="D102">
            <v>6044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12955</v>
          </cell>
          <cell r="F117">
            <v>0</v>
          </cell>
        </row>
        <row r="118">
          <cell r="D118">
            <v>87160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236873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51325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16652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18225</v>
          </cell>
          <cell r="F134">
            <v>0</v>
          </cell>
        </row>
        <row r="136">
          <cell r="D136">
            <v>722149</v>
          </cell>
          <cell r="F136">
            <v>0</v>
          </cell>
        </row>
        <row r="137">
          <cell r="D137">
            <v>98049</v>
          </cell>
          <cell r="F137">
            <v>0</v>
          </cell>
        </row>
        <row r="138">
          <cell r="D138">
            <v>614338</v>
          </cell>
          <cell r="F138">
            <v>100355</v>
          </cell>
        </row>
        <row r="139">
          <cell r="D139">
            <v>100355</v>
          </cell>
          <cell r="F139">
            <v>-100355</v>
          </cell>
        </row>
        <row r="141">
          <cell r="D141">
            <v>318849</v>
          </cell>
          <cell r="F141">
            <v>-168834</v>
          </cell>
        </row>
        <row r="142">
          <cell r="D142">
            <v>0</v>
          </cell>
          <cell r="F142">
            <v>20368</v>
          </cell>
        </row>
        <row r="143">
          <cell r="D143"/>
          <cell r="F143">
            <v>148466</v>
          </cell>
        </row>
        <row r="144">
          <cell r="D144">
            <v>0</v>
          </cell>
          <cell r="F144">
            <v>0</v>
          </cell>
        </row>
        <row r="146">
          <cell r="D146">
            <v>61707</v>
          </cell>
          <cell r="F146">
            <v>0</v>
          </cell>
        </row>
        <row r="147">
          <cell r="D147">
            <v>7305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15465</v>
          </cell>
          <cell r="F149">
            <v>0</v>
          </cell>
        </row>
        <row r="150">
          <cell r="D150">
            <v>864</v>
          </cell>
          <cell r="F150">
            <v>0</v>
          </cell>
        </row>
        <row r="151">
          <cell r="D151">
            <v>100637</v>
          </cell>
          <cell r="F151">
            <v>-371</v>
          </cell>
        </row>
        <row r="152">
          <cell r="D152">
            <v>6095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6375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12180</v>
          </cell>
          <cell r="F161">
            <v>-114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582</v>
          </cell>
          <cell r="F191">
            <v>0</v>
          </cell>
        </row>
        <row r="192">
          <cell r="D192">
            <v>284</v>
          </cell>
          <cell r="F192">
            <v>0</v>
          </cell>
        </row>
        <row r="193">
          <cell r="D193">
            <v>10678</v>
          </cell>
          <cell r="F193">
            <v>0</v>
          </cell>
        </row>
        <row r="194">
          <cell r="D194">
            <v>236643</v>
          </cell>
          <cell r="F194">
            <v>-3195</v>
          </cell>
        </row>
        <row r="195">
          <cell r="D195">
            <v>107060</v>
          </cell>
          <cell r="F195">
            <v>-1445</v>
          </cell>
        </row>
        <row r="196">
          <cell r="D196">
            <v>0</v>
          </cell>
          <cell r="F196">
            <v>0</v>
          </cell>
        </row>
        <row r="197">
          <cell r="D197">
            <v>231194</v>
          </cell>
          <cell r="F197">
            <v>-3121</v>
          </cell>
        </row>
        <row r="198">
          <cell r="D198">
            <v>29634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162956</v>
          </cell>
          <cell r="F205">
            <v>-2463</v>
          </cell>
        </row>
        <row r="206">
          <cell r="D206">
            <v>2586</v>
          </cell>
          <cell r="F206">
            <v>0</v>
          </cell>
        </row>
        <row r="207">
          <cell r="D207">
            <v>4515</v>
          </cell>
          <cell r="F207">
            <v>0</v>
          </cell>
        </row>
        <row r="211">
          <cell r="D211">
            <v>115998</v>
          </cell>
          <cell r="F211">
            <v>0</v>
          </cell>
        </row>
        <row r="212">
          <cell r="D212">
            <v>44426</v>
          </cell>
          <cell r="F212">
            <v>0</v>
          </cell>
        </row>
        <row r="213">
          <cell r="D213">
            <v>5904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2824</v>
          </cell>
          <cell r="F216">
            <v>0</v>
          </cell>
        </row>
        <row r="221">
          <cell r="D221">
            <v>6104181</v>
          </cell>
        </row>
      </sheetData>
      <sheetData sheetId="8"/>
      <sheetData sheetId="9"/>
      <sheetData sheetId="10">
        <row r="9">
          <cell r="C9">
            <v>12323</v>
          </cell>
          <cell r="D9">
            <v>0</v>
          </cell>
          <cell r="E9">
            <v>2871</v>
          </cell>
          <cell r="F9">
            <v>1816</v>
          </cell>
          <cell r="G9">
            <v>0</v>
          </cell>
          <cell r="H9">
            <v>3766</v>
          </cell>
          <cell r="I9">
            <v>1959</v>
          </cell>
          <cell r="J9">
            <v>0</v>
          </cell>
          <cell r="K9">
            <v>427</v>
          </cell>
        </row>
        <row r="22">
          <cell r="N22">
            <v>122</v>
          </cell>
        </row>
        <row r="24">
          <cell r="N24">
            <v>122</v>
          </cell>
        </row>
        <row r="28">
          <cell r="N28">
            <v>44652</v>
          </cell>
        </row>
        <row r="30">
          <cell r="N30">
            <v>0.51872256561856134</v>
          </cell>
        </row>
        <row r="32">
          <cell r="N32">
            <v>0.2759786795664248</v>
          </cell>
        </row>
        <row r="34">
          <cell r="N34">
            <v>0.53203523011829723</v>
          </cell>
        </row>
      </sheetData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2073039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1023153</v>
          </cell>
          <cell r="G21">
            <v>0</v>
          </cell>
        </row>
        <row r="27">
          <cell r="E27">
            <v>424125</v>
          </cell>
          <cell r="G27">
            <v>0</v>
          </cell>
        </row>
        <row r="32">
          <cell r="E32">
            <v>436793</v>
          </cell>
          <cell r="G32">
            <v>0</v>
          </cell>
        </row>
        <row r="37">
          <cell r="E37">
            <v>369676</v>
          </cell>
          <cell r="G37">
            <v>0</v>
          </cell>
        </row>
        <row r="42">
          <cell r="E42">
            <v>773015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371278</v>
          </cell>
          <cell r="G52">
            <v>-203174</v>
          </cell>
        </row>
        <row r="67">
          <cell r="E67">
            <v>66637</v>
          </cell>
          <cell r="G67">
            <v>-16115</v>
          </cell>
        </row>
        <row r="85">
          <cell r="C85">
            <v>202.45078459343796</v>
          </cell>
          <cell r="E85">
            <v>202.45488721804512</v>
          </cell>
          <cell r="G85">
            <v>202.45135135135135</v>
          </cell>
          <cell r="I85">
            <v>202.44989775051124</v>
          </cell>
        </row>
      </sheetData>
      <sheetData sheetId="6"/>
      <sheetData sheetId="7">
        <row r="10">
          <cell r="D10">
            <v>0</v>
          </cell>
          <cell r="F10">
            <v>162562</v>
          </cell>
        </row>
        <row r="11">
          <cell r="D11">
            <v>0</v>
          </cell>
          <cell r="F11">
            <v>0</v>
          </cell>
        </row>
        <row r="12">
          <cell r="D12">
            <v>224052</v>
          </cell>
          <cell r="F12">
            <v>-162562</v>
          </cell>
        </row>
        <row r="13">
          <cell r="D13">
            <v>45053</v>
          </cell>
          <cell r="F13">
            <v>-2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276301</v>
          </cell>
          <cell r="F16">
            <v>-38047</v>
          </cell>
        </row>
        <row r="17">
          <cell r="D17">
            <v>1167</v>
          </cell>
          <cell r="F17">
            <v>-1167</v>
          </cell>
        </row>
        <row r="18">
          <cell r="D18">
            <v>14100</v>
          </cell>
          <cell r="F18">
            <v>0</v>
          </cell>
        </row>
        <row r="19">
          <cell r="D19">
            <v>10817</v>
          </cell>
          <cell r="F19">
            <v>0</v>
          </cell>
        </row>
        <row r="20">
          <cell r="D20">
            <v>11570</v>
          </cell>
          <cell r="F20">
            <v>0</v>
          </cell>
        </row>
        <row r="21">
          <cell r="D21">
            <v>18156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5128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3798</v>
          </cell>
          <cell r="F25">
            <v>0</v>
          </cell>
        </row>
        <row r="26">
          <cell r="D26">
            <v>353631</v>
          </cell>
          <cell r="F26">
            <v>0</v>
          </cell>
        </row>
        <row r="27">
          <cell r="D27">
            <v>56698</v>
          </cell>
          <cell r="F27">
            <v>-199</v>
          </cell>
        </row>
        <row r="28">
          <cell r="D28">
            <v>0</v>
          </cell>
          <cell r="F28">
            <v>0</v>
          </cell>
        </row>
        <row r="29">
          <cell r="D29">
            <v>58118</v>
          </cell>
          <cell r="F29">
            <v>-58118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72407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616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20688</v>
          </cell>
          <cell r="F36">
            <v>0</v>
          </cell>
        </row>
        <row r="37">
          <cell r="D37">
            <v>13383</v>
          </cell>
          <cell r="F37">
            <v>0</v>
          </cell>
        </row>
        <row r="38">
          <cell r="D38">
            <v>174</v>
          </cell>
          <cell r="F38">
            <v>-174</v>
          </cell>
        </row>
        <row r="39">
          <cell r="D39">
            <v>3117</v>
          </cell>
          <cell r="F39">
            <v>0</v>
          </cell>
        </row>
        <row r="40">
          <cell r="D40">
            <v>4568</v>
          </cell>
          <cell r="F40">
            <v>-4568</v>
          </cell>
        </row>
        <row r="41">
          <cell r="D41">
            <v>66251</v>
          </cell>
          <cell r="F41">
            <v>0</v>
          </cell>
        </row>
        <row r="42">
          <cell r="D42">
            <v>235</v>
          </cell>
          <cell r="F42">
            <v>0</v>
          </cell>
        </row>
        <row r="43">
          <cell r="D43">
            <v>15701</v>
          </cell>
          <cell r="F43">
            <v>-15701</v>
          </cell>
        </row>
        <row r="44">
          <cell r="D44">
            <v>0</v>
          </cell>
          <cell r="F44">
            <v>0</v>
          </cell>
        </row>
        <row r="45">
          <cell r="D45">
            <v>1310</v>
          </cell>
          <cell r="F45">
            <v>-8113</v>
          </cell>
        </row>
        <row r="57">
          <cell r="D57">
            <v>0</v>
          </cell>
          <cell r="F57">
            <v>0</v>
          </cell>
        </row>
        <row r="58">
          <cell r="D58">
            <v>126544</v>
          </cell>
          <cell r="F58">
            <v>-3850</v>
          </cell>
        </row>
        <row r="59">
          <cell r="D59">
            <v>57403</v>
          </cell>
          <cell r="F59">
            <v>0</v>
          </cell>
        </row>
        <row r="60">
          <cell r="D60">
            <v>31609</v>
          </cell>
          <cell r="F60">
            <v>0</v>
          </cell>
        </row>
        <row r="61">
          <cell r="D61">
            <v>19373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3393</v>
          </cell>
          <cell r="F65">
            <v>0</v>
          </cell>
        </row>
        <row r="66">
          <cell r="D66">
            <v>33599</v>
          </cell>
          <cell r="F66">
            <v>70</v>
          </cell>
        </row>
        <row r="67">
          <cell r="D67">
            <v>40049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3780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72926</v>
          </cell>
          <cell r="F75">
            <v>0</v>
          </cell>
        </row>
        <row r="76">
          <cell r="D76">
            <v>18123</v>
          </cell>
          <cell r="F76">
            <v>0</v>
          </cell>
        </row>
        <row r="77">
          <cell r="D77">
            <v>6440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1178</v>
          </cell>
          <cell r="F79">
            <v>0</v>
          </cell>
        </row>
        <row r="80">
          <cell r="D80">
            <v>19788</v>
          </cell>
          <cell r="F80">
            <v>0</v>
          </cell>
        </row>
        <row r="81">
          <cell r="D81">
            <v>31557</v>
          </cell>
          <cell r="F81">
            <v>0</v>
          </cell>
        </row>
        <row r="82">
          <cell r="D82">
            <v>5999</v>
          </cell>
          <cell r="F82">
            <v>0</v>
          </cell>
        </row>
        <row r="83">
          <cell r="D83">
            <v>3395</v>
          </cell>
          <cell r="F83">
            <v>0</v>
          </cell>
        </row>
        <row r="84">
          <cell r="D84">
            <v>142186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90019</v>
          </cell>
          <cell r="F89">
            <v>0</v>
          </cell>
        </row>
        <row r="90">
          <cell r="D90">
            <v>20595</v>
          </cell>
          <cell r="F90">
            <v>0</v>
          </cell>
        </row>
        <row r="91">
          <cell r="D91">
            <v>297757</v>
          </cell>
          <cell r="F91">
            <v>0</v>
          </cell>
        </row>
        <row r="92">
          <cell r="D92">
            <v>73640</v>
          </cell>
          <cell r="F92">
            <v>-3953</v>
          </cell>
        </row>
        <row r="93">
          <cell r="D93">
            <v>11477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65105</v>
          </cell>
          <cell r="F101">
            <v>0</v>
          </cell>
        </row>
        <row r="102">
          <cell r="D102">
            <v>5147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13057</v>
          </cell>
          <cell r="F117">
            <v>0</v>
          </cell>
        </row>
        <row r="118">
          <cell r="D118">
            <v>120381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167526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29007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27849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49905</v>
          </cell>
          <cell r="F134">
            <v>0</v>
          </cell>
        </row>
        <row r="136">
          <cell r="D136">
            <v>431384</v>
          </cell>
          <cell r="F136"/>
        </row>
        <row r="137">
          <cell r="D137">
            <v>320618</v>
          </cell>
          <cell r="F137">
            <v>0</v>
          </cell>
        </row>
        <row r="138">
          <cell r="D138">
            <v>618989</v>
          </cell>
          <cell r="F138">
            <v>26420</v>
          </cell>
        </row>
        <row r="139">
          <cell r="D139">
            <v>26420</v>
          </cell>
          <cell r="F139">
            <v>-26420</v>
          </cell>
        </row>
        <row r="141">
          <cell r="D141">
            <v>335644</v>
          </cell>
          <cell r="F141">
            <v>-232030</v>
          </cell>
        </row>
        <row r="142">
          <cell r="D142">
            <v>0</v>
          </cell>
          <cell r="F142">
            <v>77009</v>
          </cell>
        </row>
        <row r="143">
          <cell r="D143">
            <v>0</v>
          </cell>
          <cell r="F143">
            <v>155021</v>
          </cell>
        </row>
        <row r="144">
          <cell r="D144">
            <v>0</v>
          </cell>
          <cell r="F144">
            <v>0</v>
          </cell>
        </row>
        <row r="146">
          <cell r="D146">
            <v>26560</v>
          </cell>
          <cell r="F146">
            <v>0</v>
          </cell>
        </row>
        <row r="147">
          <cell r="D147">
            <v>94119</v>
          </cell>
          <cell r="F147">
            <v>0</v>
          </cell>
        </row>
        <row r="148">
          <cell r="D148">
            <v>10717</v>
          </cell>
          <cell r="F148">
            <v>0</v>
          </cell>
        </row>
        <row r="149">
          <cell r="D149">
            <v>11025</v>
          </cell>
          <cell r="F149">
            <v>0</v>
          </cell>
        </row>
        <row r="150">
          <cell r="D150">
            <v>1187</v>
          </cell>
          <cell r="F150">
            <v>0</v>
          </cell>
        </row>
        <row r="151">
          <cell r="D151">
            <v>105442</v>
          </cell>
          <cell r="F151">
            <v>-526</v>
          </cell>
        </row>
        <row r="152">
          <cell r="D152">
            <v>5886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1710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14031</v>
          </cell>
          <cell r="F161">
            <v>-203294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633</v>
          </cell>
          <cell r="F192">
            <v>0</v>
          </cell>
        </row>
        <row r="193">
          <cell r="D193">
            <v>6055</v>
          </cell>
          <cell r="F193">
            <v>0</v>
          </cell>
        </row>
        <row r="194">
          <cell r="D194">
            <v>167151</v>
          </cell>
          <cell r="F194">
            <v>-2257</v>
          </cell>
        </row>
        <row r="195">
          <cell r="D195">
            <v>73648</v>
          </cell>
          <cell r="F195">
            <v>-994</v>
          </cell>
        </row>
        <row r="196">
          <cell r="D196">
            <v>0</v>
          </cell>
          <cell r="F196">
            <v>0</v>
          </cell>
        </row>
        <row r="197">
          <cell r="D197">
            <v>153162</v>
          </cell>
          <cell r="F197">
            <v>-2068</v>
          </cell>
        </row>
        <row r="198">
          <cell r="D198">
            <v>31791</v>
          </cell>
          <cell r="F198">
            <v>-101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194870</v>
          </cell>
          <cell r="F205">
            <v>-2870</v>
          </cell>
        </row>
        <row r="206">
          <cell r="D206">
            <v>42</v>
          </cell>
          <cell r="F206">
            <v>0</v>
          </cell>
        </row>
        <row r="207">
          <cell r="D207">
            <v>6420</v>
          </cell>
          <cell r="F207">
            <v>-100</v>
          </cell>
        </row>
        <row r="211">
          <cell r="D211">
            <v>93481</v>
          </cell>
          <cell r="F211">
            <v>0</v>
          </cell>
        </row>
        <row r="212">
          <cell r="D212">
            <v>19659</v>
          </cell>
          <cell r="F212">
            <v>0</v>
          </cell>
        </row>
        <row r="213">
          <cell r="D213">
            <v>3747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2041</v>
          </cell>
          <cell r="F216">
            <v>0</v>
          </cell>
        </row>
        <row r="221">
          <cell r="D221">
            <v>5622278</v>
          </cell>
        </row>
      </sheetData>
      <sheetData sheetId="8"/>
      <sheetData sheetId="9"/>
      <sheetData sheetId="10">
        <row r="9">
          <cell r="C9">
            <v>11014</v>
          </cell>
          <cell r="D9">
            <v>0</v>
          </cell>
          <cell r="E9">
            <v>1784</v>
          </cell>
          <cell r="F9">
            <v>999</v>
          </cell>
          <cell r="G9">
            <v>1914</v>
          </cell>
          <cell r="H9">
            <v>1826</v>
          </cell>
          <cell r="I9">
            <v>4123</v>
          </cell>
          <cell r="J9">
            <v>0</v>
          </cell>
          <cell r="K9">
            <v>473</v>
          </cell>
        </row>
        <row r="22">
          <cell r="N22">
            <v>106</v>
          </cell>
        </row>
        <row r="24">
          <cell r="N24">
            <v>106</v>
          </cell>
        </row>
        <row r="28">
          <cell r="N28">
            <v>38796</v>
          </cell>
        </row>
        <row r="30">
          <cell r="N30">
            <v>0.57049695844932469</v>
          </cell>
        </row>
        <row r="32">
          <cell r="N32">
            <v>0.28389524693267348</v>
          </cell>
        </row>
        <row r="34">
          <cell r="N34">
            <v>0.49762797632494465</v>
          </cell>
        </row>
      </sheetData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2709862</v>
          </cell>
          <cell r="G10">
            <v>0</v>
          </cell>
        </row>
        <row r="15">
          <cell r="E15">
            <v>67710</v>
          </cell>
          <cell r="G15">
            <v>0</v>
          </cell>
        </row>
        <row r="21">
          <cell r="E21">
            <v>671299</v>
          </cell>
          <cell r="G21">
            <v>0</v>
          </cell>
        </row>
        <row r="27">
          <cell r="E27">
            <v>89425</v>
          </cell>
          <cell r="G27">
            <v>0</v>
          </cell>
        </row>
        <row r="32">
          <cell r="E32">
            <v>70342</v>
          </cell>
          <cell r="G32">
            <v>0</v>
          </cell>
        </row>
        <row r="37">
          <cell r="E37">
            <v>63902</v>
          </cell>
          <cell r="G37">
            <v>0</v>
          </cell>
        </row>
        <row r="42">
          <cell r="E42">
            <v>128303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5181</v>
          </cell>
          <cell r="G52">
            <v>0</v>
          </cell>
        </row>
        <row r="67">
          <cell r="E67">
            <v>-549731</v>
          </cell>
          <cell r="G67">
            <v>-14433</v>
          </cell>
        </row>
        <row r="85">
          <cell r="C85">
            <v>204.17241379310346</v>
          </cell>
          <cell r="E85">
            <v>204.2</v>
          </cell>
          <cell r="G85">
            <v>204.15584415584416</v>
          </cell>
          <cell r="I85">
            <v>204.15736040609136</v>
          </cell>
        </row>
      </sheetData>
      <sheetData sheetId="6"/>
      <sheetData sheetId="7">
        <row r="10">
          <cell r="D10">
            <v>0</v>
          </cell>
          <cell r="F10">
            <v>108086</v>
          </cell>
        </row>
        <row r="11">
          <cell r="D11">
            <v>0</v>
          </cell>
          <cell r="F11">
            <v>0</v>
          </cell>
        </row>
        <row r="12">
          <cell r="D12">
            <v>192098</v>
          </cell>
          <cell r="F12">
            <v>-108086</v>
          </cell>
        </row>
        <row r="13">
          <cell r="D13">
            <v>41114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162196</v>
          </cell>
          <cell r="F16">
            <v>-463</v>
          </cell>
        </row>
        <row r="17">
          <cell r="D17">
            <v>1121</v>
          </cell>
          <cell r="F17">
            <v>-1121</v>
          </cell>
        </row>
        <row r="18">
          <cell r="D18">
            <v>24083</v>
          </cell>
          <cell r="F18">
            <v>0</v>
          </cell>
        </row>
        <row r="19">
          <cell r="D19">
            <v>6355</v>
          </cell>
          <cell r="F19">
            <v>0</v>
          </cell>
        </row>
        <row r="20">
          <cell r="D20">
            <v>9541</v>
          </cell>
          <cell r="F20">
            <v>0</v>
          </cell>
        </row>
        <row r="21">
          <cell r="D21">
            <v>13780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5483</v>
          </cell>
          <cell r="F23">
            <v>0</v>
          </cell>
        </row>
        <row r="24">
          <cell r="D24">
            <v>10849</v>
          </cell>
          <cell r="F24">
            <v>0</v>
          </cell>
        </row>
        <row r="25">
          <cell r="D25">
            <v>3190</v>
          </cell>
          <cell r="F25">
            <v>0</v>
          </cell>
        </row>
        <row r="26">
          <cell r="D26">
            <v>257497</v>
          </cell>
          <cell r="F26">
            <v>0</v>
          </cell>
        </row>
        <row r="27">
          <cell r="D27">
            <v>13366</v>
          </cell>
          <cell r="F27">
            <v>0</v>
          </cell>
        </row>
        <row r="28">
          <cell r="D28">
            <v>58143</v>
          </cell>
          <cell r="F28">
            <v>-58143</v>
          </cell>
        </row>
        <row r="29">
          <cell r="D29">
            <v>42926</v>
          </cell>
          <cell r="F29">
            <v>-42926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49140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166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26390</v>
          </cell>
          <cell r="F36">
            <v>0</v>
          </cell>
        </row>
        <row r="37">
          <cell r="D37">
            <v>696</v>
          </cell>
          <cell r="F37">
            <v>0</v>
          </cell>
        </row>
        <row r="38">
          <cell r="D38">
            <v>2211</v>
          </cell>
          <cell r="F38">
            <v>-2211</v>
          </cell>
        </row>
        <row r="39">
          <cell r="D39">
            <v>2575</v>
          </cell>
          <cell r="F39">
            <v>0</v>
          </cell>
        </row>
        <row r="40">
          <cell r="D40">
            <v>5025</v>
          </cell>
          <cell r="F40">
            <v>-5025</v>
          </cell>
        </row>
        <row r="41">
          <cell r="D41">
            <v>48483</v>
          </cell>
          <cell r="F41">
            <v>0</v>
          </cell>
        </row>
        <row r="42">
          <cell r="D42">
            <v>1205</v>
          </cell>
          <cell r="F42">
            <v>0</v>
          </cell>
        </row>
        <row r="43">
          <cell r="D43">
            <v>4296</v>
          </cell>
          <cell r="F43">
            <v>-4296</v>
          </cell>
        </row>
        <row r="44">
          <cell r="D44">
            <v>0</v>
          </cell>
          <cell r="F44">
            <v>0</v>
          </cell>
        </row>
        <row r="45">
          <cell r="D45">
            <v>4245</v>
          </cell>
          <cell r="F45">
            <v>-14178</v>
          </cell>
        </row>
        <row r="57">
          <cell r="D57">
            <v>0</v>
          </cell>
          <cell r="F57">
            <v>0</v>
          </cell>
        </row>
        <row r="58">
          <cell r="D58">
            <v>84002</v>
          </cell>
          <cell r="F58">
            <v>0</v>
          </cell>
        </row>
        <row r="59">
          <cell r="D59">
            <v>65405</v>
          </cell>
          <cell r="F59">
            <v>0</v>
          </cell>
        </row>
        <row r="60">
          <cell r="D60">
            <v>10565</v>
          </cell>
          <cell r="F60">
            <v>0</v>
          </cell>
        </row>
        <row r="61">
          <cell r="D61">
            <v>3872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1905</v>
          </cell>
          <cell r="F65">
            <v>0</v>
          </cell>
        </row>
        <row r="66">
          <cell r="D66">
            <v>48220</v>
          </cell>
          <cell r="F66">
            <v>47</v>
          </cell>
        </row>
        <row r="67">
          <cell r="D67">
            <v>28702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3788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40079</v>
          </cell>
          <cell r="F75">
            <v>0</v>
          </cell>
        </row>
        <row r="76">
          <cell r="D76">
            <v>6655</v>
          </cell>
          <cell r="F76">
            <v>0</v>
          </cell>
        </row>
        <row r="77">
          <cell r="D77">
            <v>6536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4666</v>
          </cell>
          <cell r="F79">
            <v>0</v>
          </cell>
        </row>
        <row r="80">
          <cell r="D80">
            <v>10137</v>
          </cell>
          <cell r="F80">
            <v>0</v>
          </cell>
        </row>
        <row r="81">
          <cell r="D81">
            <v>17209</v>
          </cell>
          <cell r="F81">
            <v>0</v>
          </cell>
        </row>
        <row r="82">
          <cell r="D82">
            <v>11196</v>
          </cell>
          <cell r="F82">
            <v>0</v>
          </cell>
        </row>
        <row r="83">
          <cell r="D83">
            <v>6924</v>
          </cell>
          <cell r="F83">
            <v>0</v>
          </cell>
        </row>
        <row r="84">
          <cell r="D84">
            <v>47756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81556</v>
          </cell>
          <cell r="F89">
            <v>0</v>
          </cell>
        </row>
        <row r="90">
          <cell r="D90">
            <v>16363</v>
          </cell>
          <cell r="F90">
            <v>0</v>
          </cell>
        </row>
        <row r="91">
          <cell r="D91">
            <v>113559</v>
          </cell>
          <cell r="F91">
            <v>0</v>
          </cell>
        </row>
        <row r="92">
          <cell r="D92">
            <v>51493</v>
          </cell>
          <cell r="F92">
            <v>-55</v>
          </cell>
        </row>
        <row r="93">
          <cell r="D93">
            <v>7578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45593</v>
          </cell>
          <cell r="F101">
            <v>0</v>
          </cell>
        </row>
        <row r="102">
          <cell r="D102">
            <v>3523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10489</v>
          </cell>
          <cell r="F117">
            <v>0</v>
          </cell>
        </row>
        <row r="118">
          <cell r="D118">
            <v>86541</v>
          </cell>
          <cell r="F118">
            <v>0</v>
          </cell>
        </row>
        <row r="119">
          <cell r="D119">
            <v>114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146391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32259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19927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9702</v>
          </cell>
          <cell r="F134">
            <v>0</v>
          </cell>
        </row>
        <row r="136">
          <cell r="D136">
            <v>329546</v>
          </cell>
          <cell r="F136">
            <v>0</v>
          </cell>
        </row>
        <row r="137">
          <cell r="D137">
            <v>147658</v>
          </cell>
          <cell r="F137">
            <v>0</v>
          </cell>
        </row>
        <row r="138">
          <cell r="D138">
            <v>390635</v>
          </cell>
          <cell r="F138">
            <v>6952</v>
          </cell>
        </row>
        <row r="139">
          <cell r="D139">
            <v>6952</v>
          </cell>
          <cell r="F139">
            <v>-6952</v>
          </cell>
        </row>
        <row r="141">
          <cell r="D141">
            <v>207121</v>
          </cell>
          <cell r="F141">
            <v>-129096</v>
          </cell>
        </row>
        <row r="142">
          <cell r="D142">
            <v>0</v>
          </cell>
          <cell r="F142">
            <v>34960</v>
          </cell>
        </row>
        <row r="143">
          <cell r="D143">
            <v>0</v>
          </cell>
          <cell r="F143">
            <v>94135</v>
          </cell>
        </row>
        <row r="144">
          <cell r="D144">
            <v>0</v>
          </cell>
          <cell r="F144">
            <v>0</v>
          </cell>
        </row>
        <row r="146">
          <cell r="D146">
            <v>17468</v>
          </cell>
          <cell r="F146">
            <v>0</v>
          </cell>
        </row>
        <row r="147">
          <cell r="D147">
            <v>5735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2774</v>
          </cell>
          <cell r="F150">
            <v>0</v>
          </cell>
        </row>
        <row r="151">
          <cell r="D151">
            <v>65459</v>
          </cell>
          <cell r="F151">
            <v>-139</v>
          </cell>
        </row>
        <row r="152">
          <cell r="D152">
            <v>7279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105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2217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15703</v>
          </cell>
          <cell r="F161">
            <v>-92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703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247</v>
          </cell>
          <cell r="F191">
            <v>0</v>
          </cell>
        </row>
        <row r="192">
          <cell r="D192">
            <v>145</v>
          </cell>
          <cell r="F192">
            <v>0</v>
          </cell>
        </row>
        <row r="193">
          <cell r="D193">
            <v>4902</v>
          </cell>
          <cell r="F193">
            <v>0</v>
          </cell>
        </row>
        <row r="194">
          <cell r="D194">
            <v>125010</v>
          </cell>
          <cell r="F194">
            <v>-1688</v>
          </cell>
        </row>
        <row r="195">
          <cell r="D195">
            <v>18838</v>
          </cell>
          <cell r="F195">
            <v>-254</v>
          </cell>
        </row>
        <row r="196">
          <cell r="D196">
            <v>0</v>
          </cell>
          <cell r="F196">
            <v>0</v>
          </cell>
        </row>
        <row r="197">
          <cell r="D197">
            <v>82738</v>
          </cell>
          <cell r="F197">
            <v>-1117</v>
          </cell>
        </row>
        <row r="198">
          <cell r="D198">
            <v>9660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128649</v>
          </cell>
          <cell r="F205">
            <v>-1926</v>
          </cell>
        </row>
        <row r="206">
          <cell r="D206">
            <v>3605</v>
          </cell>
          <cell r="F206">
            <v>0</v>
          </cell>
        </row>
        <row r="207">
          <cell r="D207">
            <v>327</v>
          </cell>
          <cell r="F207">
            <v>0</v>
          </cell>
        </row>
        <row r="211">
          <cell r="D211">
            <v>93665</v>
          </cell>
          <cell r="F211">
            <v>0</v>
          </cell>
        </row>
        <row r="212">
          <cell r="D212">
            <v>58796</v>
          </cell>
          <cell r="F212">
            <v>0</v>
          </cell>
        </row>
        <row r="213">
          <cell r="D213">
            <v>3464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1214</v>
          </cell>
          <cell r="F216">
            <v>0</v>
          </cell>
        </row>
        <row r="221">
          <cell r="D221">
            <v>3739494</v>
          </cell>
        </row>
      </sheetData>
      <sheetData sheetId="8"/>
      <sheetData sheetId="9"/>
      <sheetData sheetId="10">
        <row r="9">
          <cell r="C9">
            <v>12355</v>
          </cell>
          <cell r="D9">
            <v>366</v>
          </cell>
          <cell r="E9">
            <v>1668</v>
          </cell>
          <cell r="F9">
            <v>203</v>
          </cell>
          <cell r="G9">
            <v>339</v>
          </cell>
          <cell r="H9">
            <v>313</v>
          </cell>
          <cell r="I9">
            <v>588</v>
          </cell>
          <cell r="J9">
            <v>0</v>
          </cell>
          <cell r="K9">
            <v>33</v>
          </cell>
        </row>
        <row r="22">
          <cell r="N22">
            <v>80</v>
          </cell>
        </row>
        <row r="24">
          <cell r="N24">
            <v>80</v>
          </cell>
        </row>
        <row r="28">
          <cell r="N28">
            <v>29280</v>
          </cell>
        </row>
        <row r="30">
          <cell r="N30">
            <v>0.54183743169398912</v>
          </cell>
        </row>
        <row r="32">
          <cell r="N32">
            <v>0.4344603825136612</v>
          </cell>
        </row>
        <row r="34">
          <cell r="N34">
            <v>0.80182792310116602</v>
          </cell>
        </row>
      </sheetData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5003218</v>
          </cell>
          <cell r="G10">
            <v>23034</v>
          </cell>
        </row>
        <row r="15">
          <cell r="E15">
            <v>0</v>
          </cell>
          <cell r="G15">
            <v>0</v>
          </cell>
        </row>
        <row r="21">
          <cell r="E21">
            <v>1835215</v>
          </cell>
          <cell r="G21">
            <v>-1620</v>
          </cell>
        </row>
        <row r="27">
          <cell r="E27">
            <v>653808</v>
          </cell>
          <cell r="G27">
            <v>37606</v>
          </cell>
        </row>
        <row r="32">
          <cell r="E32">
            <v>1275896</v>
          </cell>
          <cell r="G32">
            <v>16166</v>
          </cell>
        </row>
        <row r="37">
          <cell r="E37">
            <v>522368</v>
          </cell>
          <cell r="G37">
            <v>-14526</v>
          </cell>
        </row>
        <row r="42">
          <cell r="E42">
            <v>377395</v>
          </cell>
          <cell r="G42">
            <v>184</v>
          </cell>
        </row>
        <row r="47">
          <cell r="E47">
            <v>0</v>
          </cell>
          <cell r="G47">
            <v>0</v>
          </cell>
        </row>
        <row r="52">
          <cell r="E52">
            <v>409497</v>
          </cell>
          <cell r="G52">
            <v>-2511</v>
          </cell>
        </row>
        <row r="67">
          <cell r="E67">
            <v>1535672</v>
          </cell>
          <cell r="G67">
            <v>-1228353</v>
          </cell>
        </row>
      </sheetData>
      <sheetData sheetId="6"/>
      <sheetData sheetId="7">
        <row r="10">
          <cell r="D10">
            <v>105037</v>
          </cell>
          <cell r="F10">
            <v>-44</v>
          </cell>
        </row>
        <row r="11">
          <cell r="D11">
            <v>0</v>
          </cell>
          <cell r="F11"/>
        </row>
        <row r="12">
          <cell r="D12">
            <v>216585</v>
          </cell>
          <cell r="F12">
            <v>44</v>
          </cell>
        </row>
        <row r="13">
          <cell r="D13">
            <v>72902</v>
          </cell>
          <cell r="F13">
            <v>-39793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791030</v>
          </cell>
          <cell r="F16">
            <v>-224787</v>
          </cell>
        </row>
        <row r="17">
          <cell r="D17">
            <v>31922</v>
          </cell>
          <cell r="F17">
            <v>-31922</v>
          </cell>
        </row>
        <row r="18">
          <cell r="D18">
            <v>49629</v>
          </cell>
          <cell r="F18"/>
        </row>
        <row r="19">
          <cell r="D19">
            <v>14295</v>
          </cell>
          <cell r="F19">
            <v>-2798</v>
          </cell>
        </row>
        <row r="20">
          <cell r="D20">
            <v>33783</v>
          </cell>
          <cell r="F20"/>
        </row>
        <row r="21">
          <cell r="D21">
            <v>54086</v>
          </cell>
          <cell r="F21"/>
        </row>
        <row r="22">
          <cell r="D22">
            <v>0</v>
          </cell>
          <cell r="F22"/>
        </row>
        <row r="23">
          <cell r="D23">
            <v>27167</v>
          </cell>
          <cell r="F23"/>
        </row>
        <row r="24">
          <cell r="D24">
            <v>0</v>
          </cell>
          <cell r="F24"/>
        </row>
        <row r="25">
          <cell r="D25">
            <v>0</v>
          </cell>
          <cell r="F25"/>
        </row>
        <row r="26">
          <cell r="D26">
            <v>599980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2724</v>
          </cell>
          <cell r="F29">
            <v>-2724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/>
        </row>
        <row r="32">
          <cell r="D32">
            <v>34036</v>
          </cell>
          <cell r="F32"/>
        </row>
        <row r="33">
          <cell r="D33">
            <v>30</v>
          </cell>
          <cell r="F33">
            <v>-30</v>
          </cell>
        </row>
        <row r="34">
          <cell r="D34">
            <v>5637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12637</v>
          </cell>
          <cell r="F39"/>
        </row>
        <row r="40">
          <cell r="D40">
            <v>0</v>
          </cell>
          <cell r="F40"/>
        </row>
        <row r="41">
          <cell r="D41">
            <v>21416</v>
          </cell>
          <cell r="F41">
            <v>7353</v>
          </cell>
        </row>
        <row r="42">
          <cell r="D42">
            <v>2410</v>
          </cell>
          <cell r="F42"/>
        </row>
        <row r="43">
          <cell r="D43">
            <v>7823</v>
          </cell>
          <cell r="F43">
            <v>-7823</v>
          </cell>
        </row>
        <row r="44">
          <cell r="D44">
            <v>0</v>
          </cell>
          <cell r="F44"/>
        </row>
        <row r="45">
          <cell r="D45">
            <v>950572</v>
          </cell>
          <cell r="F45">
            <v>-853030</v>
          </cell>
        </row>
        <row r="57">
          <cell r="D57">
            <v>453358</v>
          </cell>
          <cell r="F57">
            <v>-453358</v>
          </cell>
        </row>
        <row r="58">
          <cell r="D58">
            <v>0</v>
          </cell>
          <cell r="F58">
            <v>79937</v>
          </cell>
        </row>
        <row r="59">
          <cell r="D59">
            <v>593669</v>
          </cell>
          <cell r="F59">
            <v>-356943</v>
          </cell>
        </row>
        <row r="60">
          <cell r="D60">
            <v>29880</v>
          </cell>
          <cell r="F60"/>
        </row>
        <row r="61">
          <cell r="D61">
            <v>26591</v>
          </cell>
          <cell r="F61">
            <v>-16007</v>
          </cell>
        </row>
        <row r="62">
          <cell r="D62">
            <v>0</v>
          </cell>
          <cell r="F62">
            <v>15501</v>
          </cell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0</v>
          </cell>
          <cell r="F65">
            <v>16007</v>
          </cell>
        </row>
        <row r="66">
          <cell r="D66">
            <v>0</v>
          </cell>
          <cell r="F66"/>
        </row>
        <row r="67">
          <cell r="D67">
            <v>312936</v>
          </cell>
          <cell r="F67">
            <v>-273981</v>
          </cell>
        </row>
        <row r="68">
          <cell r="D68">
            <v>0</v>
          </cell>
          <cell r="F68"/>
        </row>
        <row r="69">
          <cell r="D69">
            <v>0</v>
          </cell>
          <cell r="F69"/>
        </row>
        <row r="70">
          <cell r="D70">
            <v>44890</v>
          </cell>
          <cell r="F70">
            <v>-44890</v>
          </cell>
        </row>
        <row r="71">
          <cell r="D71">
            <v>1049</v>
          </cell>
          <cell r="F71">
            <v>-1049</v>
          </cell>
        </row>
        <row r="75">
          <cell r="D75">
            <v>168729</v>
          </cell>
          <cell r="F75">
            <v>-30795</v>
          </cell>
        </row>
        <row r="76">
          <cell r="D76">
            <v>14847</v>
          </cell>
          <cell r="F76">
            <v>-1304</v>
          </cell>
        </row>
        <row r="77">
          <cell r="D77">
            <v>45523</v>
          </cell>
          <cell r="F77">
            <v>-8308</v>
          </cell>
        </row>
        <row r="78">
          <cell r="D78">
            <v>4272</v>
          </cell>
          <cell r="F78">
            <v>-780</v>
          </cell>
        </row>
        <row r="79">
          <cell r="D79">
            <v>5201</v>
          </cell>
          <cell r="F79">
            <v>-949</v>
          </cell>
        </row>
        <row r="80">
          <cell r="D80">
            <v>8983</v>
          </cell>
          <cell r="F80">
            <v>-1639</v>
          </cell>
        </row>
        <row r="81">
          <cell r="D81">
            <v>24734</v>
          </cell>
          <cell r="F81">
            <v>-4514</v>
          </cell>
        </row>
        <row r="82">
          <cell r="D82">
            <v>0</v>
          </cell>
          <cell r="F82"/>
        </row>
        <row r="83">
          <cell r="D83">
            <v>21017</v>
          </cell>
          <cell r="F83">
            <v>-3836</v>
          </cell>
        </row>
        <row r="84">
          <cell r="D84">
            <v>257084</v>
          </cell>
          <cell r="F84">
            <v>-46920</v>
          </cell>
        </row>
        <row r="85">
          <cell r="D85">
            <v>24361</v>
          </cell>
          <cell r="F85">
            <v>59624</v>
          </cell>
        </row>
        <row r="89">
          <cell r="D89">
            <v>0</v>
          </cell>
          <cell r="F89"/>
        </row>
        <row r="90">
          <cell r="D90">
            <v>0</v>
          </cell>
          <cell r="F90"/>
        </row>
        <row r="91">
          <cell r="D91">
            <v>732590</v>
          </cell>
          <cell r="F91">
            <v>-297122</v>
          </cell>
        </row>
        <row r="92">
          <cell r="D92">
            <v>4452</v>
          </cell>
          <cell r="F92">
            <v>297122</v>
          </cell>
        </row>
        <row r="93">
          <cell r="D93">
            <v>4054</v>
          </cell>
          <cell r="F93"/>
        </row>
        <row r="94">
          <cell r="D94">
            <v>49</v>
          </cell>
          <cell r="F94">
            <v>148</v>
          </cell>
        </row>
        <row r="98">
          <cell r="D98">
            <v>0</v>
          </cell>
          <cell r="F98"/>
        </row>
        <row r="99">
          <cell r="D99">
            <v>0</v>
          </cell>
          <cell r="F99"/>
        </row>
        <row r="100">
          <cell r="D100">
            <v>0</v>
          </cell>
          <cell r="F100"/>
        </row>
        <row r="101">
          <cell r="D101">
            <v>145015</v>
          </cell>
          <cell r="F101"/>
        </row>
        <row r="102">
          <cell r="D102">
            <v>31</v>
          </cell>
          <cell r="F102"/>
        </row>
        <row r="103">
          <cell r="D103">
            <v>0</v>
          </cell>
          <cell r="F103">
            <v>4</v>
          </cell>
        </row>
        <row r="115">
          <cell r="D115">
            <v>0</v>
          </cell>
          <cell r="F115"/>
        </row>
        <row r="116">
          <cell r="D116">
            <v>0</v>
          </cell>
          <cell r="F116"/>
        </row>
        <row r="117">
          <cell r="D117">
            <v>0</v>
          </cell>
          <cell r="F117"/>
        </row>
        <row r="118">
          <cell r="D118">
            <v>217523</v>
          </cell>
          <cell r="F118"/>
        </row>
        <row r="119">
          <cell r="D119">
            <v>0</v>
          </cell>
          <cell r="F119">
            <v>26</v>
          </cell>
        </row>
        <row r="124">
          <cell r="D124">
            <v>0</v>
          </cell>
          <cell r="F124"/>
        </row>
        <row r="125">
          <cell r="D125">
            <v>475934</v>
          </cell>
          <cell r="F125"/>
        </row>
        <row r="126">
          <cell r="D126">
            <v>0</v>
          </cell>
          <cell r="F126"/>
        </row>
        <row r="127">
          <cell r="D127">
            <v>0</v>
          </cell>
          <cell r="F127"/>
        </row>
        <row r="128">
          <cell r="D128">
            <v>104471</v>
          </cell>
          <cell r="F128"/>
        </row>
        <row r="130">
          <cell r="D130">
            <v>0</v>
          </cell>
          <cell r="F130"/>
        </row>
        <row r="131">
          <cell r="D131">
            <v>44932</v>
          </cell>
          <cell r="F131">
            <v>4852</v>
          </cell>
        </row>
        <row r="132">
          <cell r="D132">
            <v>0</v>
          </cell>
          <cell r="F132"/>
        </row>
        <row r="133">
          <cell r="D133">
            <v>0</v>
          </cell>
          <cell r="F133"/>
        </row>
        <row r="134">
          <cell r="D134">
            <v>9754</v>
          </cell>
          <cell r="F134">
            <v>1065</v>
          </cell>
        </row>
        <row r="136">
          <cell r="D136">
            <v>401521</v>
          </cell>
          <cell r="F136">
            <v>12734</v>
          </cell>
        </row>
        <row r="137">
          <cell r="D137">
            <v>732369</v>
          </cell>
          <cell r="F137">
            <v>20689</v>
          </cell>
        </row>
        <row r="138">
          <cell r="D138">
            <v>1154224</v>
          </cell>
          <cell r="F138">
            <v>34179</v>
          </cell>
        </row>
        <row r="139">
          <cell r="D139">
            <v>67602</v>
          </cell>
          <cell r="F139">
            <v>-67602</v>
          </cell>
        </row>
        <row r="141">
          <cell r="D141">
            <v>0</v>
          </cell>
          <cell r="F141">
            <v>44993</v>
          </cell>
        </row>
        <row r="142">
          <cell r="D142">
            <v>0</v>
          </cell>
          <cell r="F142">
            <v>81791</v>
          </cell>
        </row>
        <row r="143">
          <cell r="D143">
            <v>0</v>
          </cell>
          <cell r="F143">
            <v>129074</v>
          </cell>
        </row>
        <row r="144">
          <cell r="D144">
            <v>231841</v>
          </cell>
          <cell r="F144">
            <v>-231841</v>
          </cell>
        </row>
        <row r="146">
          <cell r="D146">
            <v>61602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22774</v>
          </cell>
          <cell r="F150"/>
        </row>
        <row r="151">
          <cell r="D151">
            <v>208413</v>
          </cell>
          <cell r="F151">
            <v>558</v>
          </cell>
        </row>
        <row r="152">
          <cell r="D152">
            <v>1899</v>
          </cell>
          <cell r="F152"/>
        </row>
        <row r="153">
          <cell r="D153">
            <v>43781</v>
          </cell>
          <cell r="F153"/>
        </row>
        <row r="154">
          <cell r="D154">
            <v>793880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>
            <v>0</v>
          </cell>
          <cell r="F160"/>
        </row>
        <row r="161">
          <cell r="D161">
            <v>146233</v>
          </cell>
          <cell r="F161">
            <v>190016</v>
          </cell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0</v>
          </cell>
          <cell r="F177"/>
        </row>
        <row r="178">
          <cell r="D178">
            <v>0</v>
          </cell>
          <cell r="F178"/>
        </row>
        <row r="179">
          <cell r="D179">
            <v>0</v>
          </cell>
          <cell r="F179"/>
        </row>
        <row r="180">
          <cell r="D180">
            <v>0</v>
          </cell>
          <cell r="F180"/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0</v>
          </cell>
          <cell r="F183"/>
        </row>
        <row r="184">
          <cell r="D184">
            <v>0</v>
          </cell>
          <cell r="F184"/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11794</v>
          </cell>
          <cell r="F188">
            <v>18</v>
          </cell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9641</v>
          </cell>
          <cell r="F191"/>
        </row>
        <row r="192">
          <cell r="D192">
            <v>98246</v>
          </cell>
          <cell r="F192"/>
        </row>
        <row r="193">
          <cell r="D193">
            <v>0</v>
          </cell>
          <cell r="F193"/>
        </row>
        <row r="194">
          <cell r="D194">
            <v>362652</v>
          </cell>
          <cell r="F194">
            <v>-151284</v>
          </cell>
        </row>
        <row r="195">
          <cell r="D195">
            <v>199532</v>
          </cell>
          <cell r="F195">
            <v>-14410</v>
          </cell>
        </row>
        <row r="196">
          <cell r="D196">
            <v>0</v>
          </cell>
          <cell r="F196"/>
        </row>
        <row r="197">
          <cell r="D197">
            <v>309207</v>
          </cell>
          <cell r="F197">
            <v>9586</v>
          </cell>
        </row>
        <row r="198">
          <cell r="D198">
            <v>0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550785</v>
          </cell>
          <cell r="F205"/>
        </row>
        <row r="206">
          <cell r="D206">
            <v>0</v>
          </cell>
          <cell r="F206"/>
        </row>
        <row r="207">
          <cell r="D207">
            <v>38424</v>
          </cell>
          <cell r="F207"/>
        </row>
        <row r="211">
          <cell r="D211">
            <v>195539</v>
          </cell>
          <cell r="F211"/>
        </row>
        <row r="212">
          <cell r="D212">
            <v>19113</v>
          </cell>
          <cell r="F212">
            <v>1994</v>
          </cell>
        </row>
        <row r="213">
          <cell r="D213">
            <v>20465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20245</v>
          </cell>
          <cell r="F216">
            <v>9</v>
          </cell>
        </row>
        <row r="221">
          <cell r="D221">
            <v>12511412</v>
          </cell>
        </row>
      </sheetData>
      <sheetData sheetId="8"/>
      <sheetData sheetId="9"/>
      <sheetData sheetId="10"/>
      <sheetData sheetId="11">
        <row r="9">
          <cell r="C9">
            <v>22573</v>
          </cell>
          <cell r="D9">
            <v>0</v>
          </cell>
          <cell r="E9">
            <v>2989</v>
          </cell>
          <cell r="F9">
            <v>1280</v>
          </cell>
          <cell r="G9">
            <v>4031</v>
          </cell>
          <cell r="H9">
            <v>2316</v>
          </cell>
          <cell r="I9">
            <v>2184</v>
          </cell>
          <cell r="J9">
            <v>0</v>
          </cell>
          <cell r="K9">
            <v>1081</v>
          </cell>
        </row>
        <row r="22">
          <cell r="N22">
            <v>176</v>
          </cell>
        </row>
        <row r="24">
          <cell r="N24">
            <v>176</v>
          </cell>
        </row>
        <row r="28">
          <cell r="N28">
            <v>64416</v>
          </cell>
        </row>
        <row r="30">
          <cell r="N30">
            <v>0.56591530054644812</v>
          </cell>
        </row>
        <row r="32">
          <cell r="N32">
            <v>0.35042536015896669</v>
          </cell>
        </row>
        <row r="34">
          <cell r="N34">
            <v>0.6192187414275524</v>
          </cell>
        </row>
      </sheetData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1282796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5585641</v>
          </cell>
          <cell r="G21">
            <v>0</v>
          </cell>
        </row>
        <row r="27">
          <cell r="E27">
            <v>1817175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1195574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187440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33210</v>
          </cell>
          <cell r="G67">
            <v>0</v>
          </cell>
        </row>
        <row r="85">
          <cell r="C85">
            <v>267.96700723205527</v>
          </cell>
          <cell r="E85">
            <v>263.1004623205082</v>
          </cell>
          <cell r="G85">
            <v>258.95201792807939</v>
          </cell>
          <cell r="I85">
            <v>267.2842801926202</v>
          </cell>
        </row>
      </sheetData>
      <sheetData sheetId="6"/>
      <sheetData sheetId="7">
        <row r="10">
          <cell r="D10">
            <v>88945</v>
          </cell>
          <cell r="F10">
            <v>3617</v>
          </cell>
        </row>
        <row r="11">
          <cell r="D11"/>
          <cell r="F11"/>
        </row>
        <row r="12">
          <cell r="D12">
            <v>409722</v>
          </cell>
          <cell r="F12">
            <v>16660</v>
          </cell>
        </row>
        <row r="13">
          <cell r="D13">
            <v>1010742</v>
          </cell>
          <cell r="F13">
            <v>-929128</v>
          </cell>
        </row>
        <row r="14">
          <cell r="D14"/>
          <cell r="F14"/>
        </row>
        <row r="15">
          <cell r="D15"/>
          <cell r="F15"/>
        </row>
        <row r="16">
          <cell r="D16">
            <v>504107</v>
          </cell>
          <cell r="F16">
            <v>82103</v>
          </cell>
        </row>
        <row r="17">
          <cell r="D17">
            <v>8306</v>
          </cell>
          <cell r="F17"/>
        </row>
        <row r="18">
          <cell r="D18">
            <v>19769</v>
          </cell>
          <cell r="F18"/>
        </row>
        <row r="19">
          <cell r="D19">
            <v>15963</v>
          </cell>
          <cell r="F19"/>
        </row>
        <row r="20">
          <cell r="D20">
            <v>45608</v>
          </cell>
          <cell r="F20"/>
        </row>
        <row r="21">
          <cell r="D21">
            <v>73400</v>
          </cell>
          <cell r="F21">
            <v>7675</v>
          </cell>
        </row>
        <row r="22">
          <cell r="D22">
            <v>6000</v>
          </cell>
          <cell r="F22"/>
        </row>
        <row r="23">
          <cell r="D23">
            <v>29662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249217</v>
          </cell>
          <cell r="F26"/>
        </row>
        <row r="27">
          <cell r="D27">
            <v>53719</v>
          </cell>
          <cell r="F27">
            <v>-601</v>
          </cell>
        </row>
        <row r="28">
          <cell r="D28"/>
          <cell r="F28">
            <v>0</v>
          </cell>
        </row>
        <row r="29">
          <cell r="D29">
            <v>100821</v>
          </cell>
          <cell r="F29">
            <v>-100821</v>
          </cell>
        </row>
        <row r="30">
          <cell r="D30"/>
          <cell r="F30">
            <v>0</v>
          </cell>
        </row>
        <row r="31">
          <cell r="D31">
            <v>60801</v>
          </cell>
          <cell r="F31"/>
        </row>
        <row r="32">
          <cell r="D32">
            <v>60712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>
            <v>10584</v>
          </cell>
          <cell r="F35">
            <v>-10584</v>
          </cell>
        </row>
        <row r="36">
          <cell r="D36">
            <v>33051</v>
          </cell>
          <cell r="F36">
            <v>1344</v>
          </cell>
        </row>
        <row r="37">
          <cell r="D37"/>
          <cell r="F37">
            <v>5409</v>
          </cell>
        </row>
        <row r="38">
          <cell r="D38"/>
          <cell r="F38"/>
        </row>
        <row r="39">
          <cell r="D39">
            <v>13251</v>
          </cell>
          <cell r="F39"/>
        </row>
        <row r="40">
          <cell r="D40"/>
          <cell r="F40"/>
        </row>
        <row r="41">
          <cell r="D41">
            <v>91067</v>
          </cell>
          <cell r="F41"/>
        </row>
        <row r="42">
          <cell r="D42">
            <v>9448</v>
          </cell>
          <cell r="F42"/>
        </row>
        <row r="43">
          <cell r="D43">
            <v>16436</v>
          </cell>
          <cell r="F43"/>
        </row>
        <row r="44">
          <cell r="D44"/>
          <cell r="F44"/>
        </row>
        <row r="45">
          <cell r="D45">
            <v>431</v>
          </cell>
          <cell r="F45">
            <v>-10429</v>
          </cell>
        </row>
        <row r="57">
          <cell r="D57">
            <v>1109340</v>
          </cell>
          <cell r="F57">
            <v>-1109340</v>
          </cell>
        </row>
        <row r="58">
          <cell r="D58">
            <v>13975</v>
          </cell>
          <cell r="F58">
            <v>309733</v>
          </cell>
        </row>
        <row r="59">
          <cell r="D59">
            <v>65665</v>
          </cell>
          <cell r="F59">
            <v>24224</v>
          </cell>
        </row>
        <row r="60">
          <cell r="D60">
            <v>33337</v>
          </cell>
          <cell r="F60"/>
        </row>
        <row r="61">
          <cell r="D61">
            <v>20262</v>
          </cell>
          <cell r="F61">
            <v>52235</v>
          </cell>
        </row>
        <row r="62">
          <cell r="D62">
            <v>15099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10710</v>
          </cell>
          <cell r="F65"/>
        </row>
        <row r="66">
          <cell r="D66"/>
          <cell r="F66"/>
        </row>
        <row r="67">
          <cell r="D67">
            <v>60638</v>
          </cell>
          <cell r="F67">
            <v>1163962</v>
          </cell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100199</v>
          </cell>
          <cell r="F75">
            <v>4074</v>
          </cell>
        </row>
        <row r="76">
          <cell r="D76"/>
          <cell r="F76">
            <v>16399</v>
          </cell>
        </row>
        <row r="77">
          <cell r="D77">
            <v>5849</v>
          </cell>
          <cell r="F77"/>
        </row>
        <row r="78">
          <cell r="D78">
            <v>34065</v>
          </cell>
          <cell r="F78"/>
        </row>
        <row r="79">
          <cell r="D79">
            <v>14405</v>
          </cell>
          <cell r="F79"/>
        </row>
        <row r="80">
          <cell r="D80">
            <v>27367</v>
          </cell>
          <cell r="F80"/>
        </row>
        <row r="81">
          <cell r="D81">
            <v>29197</v>
          </cell>
          <cell r="F81"/>
        </row>
        <row r="82">
          <cell r="D82"/>
          <cell r="F82"/>
        </row>
        <row r="83">
          <cell r="D83">
            <v>5961</v>
          </cell>
          <cell r="F83"/>
        </row>
        <row r="84">
          <cell r="D84">
            <v>118122</v>
          </cell>
          <cell r="F84"/>
        </row>
        <row r="85">
          <cell r="D85">
            <v>578</v>
          </cell>
          <cell r="F85"/>
        </row>
        <row r="89">
          <cell r="D89">
            <v>301543</v>
          </cell>
          <cell r="F89">
            <v>12262</v>
          </cell>
        </row>
        <row r="90">
          <cell r="D90"/>
          <cell r="F90">
            <v>49351</v>
          </cell>
        </row>
        <row r="91">
          <cell r="D91">
            <v>15930</v>
          </cell>
          <cell r="F91"/>
        </row>
        <row r="92">
          <cell r="D92">
            <v>190000</v>
          </cell>
          <cell r="F92">
            <v>2144</v>
          </cell>
        </row>
        <row r="93">
          <cell r="D93">
            <v>20412</v>
          </cell>
          <cell r="F93">
            <v>1440</v>
          </cell>
        </row>
        <row r="94">
          <cell r="D94">
            <v>4934</v>
          </cell>
          <cell r="F94">
            <v>-4440</v>
          </cell>
        </row>
        <row r="98">
          <cell r="D98"/>
          <cell r="F98"/>
        </row>
        <row r="99">
          <cell r="D99"/>
          <cell r="F99"/>
        </row>
        <row r="100">
          <cell r="D100">
            <v>312</v>
          </cell>
          <cell r="F100"/>
        </row>
        <row r="101">
          <cell r="D101">
            <v>86729</v>
          </cell>
          <cell r="F101"/>
        </row>
        <row r="102">
          <cell r="D102">
            <v>1272</v>
          </cell>
          <cell r="F102"/>
        </row>
        <row r="103">
          <cell r="D103"/>
          <cell r="F103"/>
        </row>
        <row r="115">
          <cell r="D115"/>
          <cell r="F115"/>
        </row>
        <row r="116">
          <cell r="D116"/>
          <cell r="F116"/>
        </row>
        <row r="117">
          <cell r="D117">
            <v>2209</v>
          </cell>
          <cell r="F117"/>
        </row>
        <row r="118">
          <cell r="D118">
            <v>129912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283851</v>
          </cell>
          <cell r="F125">
            <v>11542</v>
          </cell>
        </row>
        <row r="126">
          <cell r="D126"/>
          <cell r="F126"/>
        </row>
        <row r="127">
          <cell r="D127"/>
          <cell r="F127"/>
        </row>
        <row r="128">
          <cell r="D128">
            <v>128363</v>
          </cell>
          <cell r="F128">
            <v>5220</v>
          </cell>
        </row>
        <row r="130">
          <cell r="D130"/>
          <cell r="F130"/>
        </row>
        <row r="131">
          <cell r="D131"/>
          <cell r="F131">
            <v>46456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21008</v>
          </cell>
        </row>
        <row r="136">
          <cell r="D136">
            <v>867104</v>
          </cell>
          <cell r="F136">
            <v>35259</v>
          </cell>
        </row>
        <row r="137">
          <cell r="D137">
            <v>339837</v>
          </cell>
          <cell r="F137">
            <v>13819</v>
          </cell>
        </row>
        <row r="138">
          <cell r="D138">
            <v>823398</v>
          </cell>
          <cell r="F138">
            <v>33482</v>
          </cell>
        </row>
        <row r="139">
          <cell r="D139"/>
          <cell r="F139"/>
        </row>
        <row r="141">
          <cell r="D141"/>
          <cell r="F141">
            <v>141912</v>
          </cell>
        </row>
        <row r="142">
          <cell r="D142"/>
          <cell r="F142">
            <v>55619</v>
          </cell>
        </row>
        <row r="143">
          <cell r="D143"/>
          <cell r="F143">
            <v>134759</v>
          </cell>
        </row>
        <row r="144">
          <cell r="D144"/>
          <cell r="F144"/>
        </row>
        <row r="146">
          <cell r="D146">
            <v>84400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12395</v>
          </cell>
          <cell r="F150"/>
        </row>
        <row r="151">
          <cell r="D151">
            <v>105938</v>
          </cell>
          <cell r="F151"/>
        </row>
        <row r="152">
          <cell r="D152">
            <v>7217</v>
          </cell>
          <cell r="F152">
            <v>-2416</v>
          </cell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770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798487</v>
          </cell>
          <cell r="F177">
            <v>32469</v>
          </cell>
        </row>
        <row r="178">
          <cell r="D178"/>
          <cell r="F178">
            <v>130682</v>
          </cell>
        </row>
        <row r="179">
          <cell r="D179">
            <v>136091</v>
          </cell>
          <cell r="F179">
            <v>5534</v>
          </cell>
        </row>
        <row r="180">
          <cell r="D180"/>
          <cell r="F180">
            <v>22273</v>
          </cell>
        </row>
        <row r="181">
          <cell r="D181"/>
          <cell r="F181"/>
        </row>
        <row r="182">
          <cell r="D182"/>
          <cell r="F182"/>
        </row>
        <row r="183">
          <cell r="D183">
            <v>536096</v>
          </cell>
          <cell r="F183">
            <v>21799</v>
          </cell>
        </row>
        <row r="184">
          <cell r="D184"/>
          <cell r="F184">
            <v>87739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10637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/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98815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460995</v>
          </cell>
          <cell r="F205"/>
        </row>
        <row r="206">
          <cell r="D206">
            <v>13719</v>
          </cell>
          <cell r="F206"/>
        </row>
        <row r="207">
          <cell r="D207">
            <v>37663</v>
          </cell>
          <cell r="F207"/>
        </row>
        <row r="211">
          <cell r="D211">
            <v>100038</v>
          </cell>
          <cell r="F211"/>
        </row>
        <row r="212">
          <cell r="D212"/>
          <cell r="F212">
            <v>4068</v>
          </cell>
        </row>
        <row r="213">
          <cell r="D213">
            <v>10692</v>
          </cell>
          <cell r="F213">
            <v>16372</v>
          </cell>
        </row>
        <row r="214">
          <cell r="D214"/>
          <cell r="F214"/>
        </row>
        <row r="215">
          <cell r="D215"/>
          <cell r="F215"/>
        </row>
        <row r="216">
          <cell r="D216">
            <v>10450</v>
          </cell>
          <cell r="F216"/>
        </row>
        <row r="221">
          <cell r="D221">
            <v>10196740</v>
          </cell>
        </row>
      </sheetData>
      <sheetData sheetId="8"/>
      <sheetData sheetId="9"/>
      <sheetData sheetId="10">
        <row r="9">
          <cell r="C9">
            <v>7224</v>
          </cell>
          <cell r="D9"/>
          <cell r="E9">
            <v>9997</v>
          </cell>
          <cell r="F9">
            <v>4664</v>
          </cell>
          <cell r="G9"/>
          <cell r="H9">
            <v>4518</v>
          </cell>
          <cell r="I9"/>
          <cell r="J9">
            <v>837</v>
          </cell>
          <cell r="K9"/>
        </row>
        <row r="22">
          <cell r="N22">
            <v>108</v>
          </cell>
        </row>
        <row r="24">
          <cell r="N24">
            <v>95</v>
          </cell>
        </row>
        <row r="28">
          <cell r="N28">
            <v>39528</v>
          </cell>
        </row>
        <row r="30">
          <cell r="N30">
            <v>0.68913175470552523</v>
          </cell>
        </row>
        <row r="32">
          <cell r="N32">
            <v>0.18275652701882211</v>
          </cell>
        </row>
        <row r="34">
          <cell r="N34">
            <v>0.26519823788546254</v>
          </cell>
        </row>
      </sheetData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D"/>
      <sheetName val="Sch C-2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2370580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970818</v>
          </cell>
          <cell r="G21">
            <v>0</v>
          </cell>
        </row>
        <row r="27">
          <cell r="E27">
            <v>504096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651738</v>
          </cell>
          <cell r="G37">
            <v>0</v>
          </cell>
        </row>
        <row r="42">
          <cell r="E42">
            <v>279152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95915</v>
          </cell>
          <cell r="G67">
            <v>-4031</v>
          </cell>
        </row>
        <row r="85">
          <cell r="C85">
            <v>214.50656167979002</v>
          </cell>
          <cell r="E85">
            <v>218.44584382871537</v>
          </cell>
          <cell r="G85">
            <v>278.34464751958222</v>
          </cell>
          <cell r="I85">
            <v>142.13426573426574</v>
          </cell>
        </row>
      </sheetData>
      <sheetData sheetId="6"/>
      <sheetData sheetId="7">
        <row r="10">
          <cell r="D10">
            <v>90543</v>
          </cell>
          <cell r="F10">
            <v>13125.529999999999</v>
          </cell>
        </row>
        <row r="11">
          <cell r="D11"/>
          <cell r="F11"/>
        </row>
        <row r="12">
          <cell r="D12">
            <v>62672</v>
          </cell>
          <cell r="F12"/>
        </row>
        <row r="13">
          <cell r="D13">
            <v>375345</v>
          </cell>
          <cell r="F13">
            <v>-345047.14</v>
          </cell>
        </row>
        <row r="14">
          <cell r="D14"/>
          <cell r="F14"/>
        </row>
        <row r="15">
          <cell r="D15"/>
          <cell r="F15"/>
        </row>
        <row r="16">
          <cell r="D16">
            <v>349571</v>
          </cell>
          <cell r="F16">
            <v>15270</v>
          </cell>
        </row>
        <row r="17">
          <cell r="D17"/>
          <cell r="F17"/>
        </row>
        <row r="18">
          <cell r="D18">
            <v>10887</v>
          </cell>
          <cell r="F18"/>
        </row>
        <row r="19">
          <cell r="D19">
            <v>14164</v>
          </cell>
          <cell r="F19"/>
        </row>
        <row r="20">
          <cell r="D20">
            <v>7861</v>
          </cell>
          <cell r="F20"/>
        </row>
        <row r="21">
          <cell r="D21">
            <v>8814</v>
          </cell>
          <cell r="F21"/>
        </row>
        <row r="22">
          <cell r="D22"/>
          <cell r="F22"/>
        </row>
        <row r="23">
          <cell r="D23">
            <v>3846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338537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336081</v>
          </cell>
          <cell r="F29">
            <v>-336081</v>
          </cell>
        </row>
        <row r="30">
          <cell r="D30"/>
          <cell r="F30">
            <v>0</v>
          </cell>
        </row>
        <row r="31">
          <cell r="D31">
            <v>55118</v>
          </cell>
          <cell r="F31"/>
        </row>
        <row r="32">
          <cell r="D32">
            <v>19851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>
            <v>9</v>
          </cell>
          <cell r="F35">
            <v>-9</v>
          </cell>
        </row>
        <row r="36">
          <cell r="D36">
            <v>26831</v>
          </cell>
          <cell r="F36">
            <v>1610.82</v>
          </cell>
        </row>
        <row r="37">
          <cell r="D37"/>
          <cell r="F37">
            <v>3718.29</v>
          </cell>
        </row>
        <row r="38">
          <cell r="D38"/>
          <cell r="F38"/>
        </row>
        <row r="39">
          <cell r="D39">
            <v>1019</v>
          </cell>
          <cell r="F39"/>
        </row>
        <row r="40">
          <cell r="D40">
            <v>7544</v>
          </cell>
          <cell r="F40">
            <v>-7544</v>
          </cell>
        </row>
        <row r="41">
          <cell r="D41"/>
          <cell r="F41"/>
        </row>
        <row r="42">
          <cell r="D42">
            <v>8663</v>
          </cell>
          <cell r="F42"/>
        </row>
        <row r="43">
          <cell r="D43">
            <v>14506</v>
          </cell>
          <cell r="F43"/>
        </row>
        <row r="44">
          <cell r="D44"/>
          <cell r="F44"/>
        </row>
        <row r="45">
          <cell r="D45">
            <v>63525</v>
          </cell>
          <cell r="F45"/>
        </row>
        <row r="57">
          <cell r="D57">
            <v>251521</v>
          </cell>
          <cell r="F57">
            <v>-251521</v>
          </cell>
        </row>
        <row r="58">
          <cell r="D58"/>
          <cell r="F58">
            <v>67363</v>
          </cell>
        </row>
        <row r="59">
          <cell r="D59"/>
          <cell r="F59">
            <v>112632</v>
          </cell>
        </row>
        <row r="60">
          <cell r="D60"/>
          <cell r="F60"/>
        </row>
        <row r="61">
          <cell r="D61">
            <v>5890</v>
          </cell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6818</v>
          </cell>
          <cell r="F65"/>
        </row>
        <row r="66">
          <cell r="D66"/>
          <cell r="F66"/>
        </row>
        <row r="67">
          <cell r="D67">
            <v>219476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36577</v>
          </cell>
          <cell r="F75">
            <v>2195.9299999999998</v>
          </cell>
        </row>
        <row r="76">
          <cell r="D76"/>
          <cell r="F76">
            <v>5068.8999999999996</v>
          </cell>
        </row>
        <row r="77">
          <cell r="D77">
            <v>21786</v>
          </cell>
          <cell r="F77"/>
        </row>
        <row r="78">
          <cell r="D78"/>
          <cell r="F78"/>
        </row>
        <row r="79">
          <cell r="D79">
            <v>6894</v>
          </cell>
          <cell r="F79"/>
        </row>
        <row r="80">
          <cell r="D80">
            <v>30584</v>
          </cell>
          <cell r="F80"/>
        </row>
        <row r="81">
          <cell r="D81">
            <v>4350</v>
          </cell>
          <cell r="F81"/>
        </row>
        <row r="82">
          <cell r="D82"/>
          <cell r="F82"/>
        </row>
        <row r="83">
          <cell r="D83"/>
          <cell r="F83"/>
        </row>
        <row r="84">
          <cell r="D84">
            <v>66292</v>
          </cell>
          <cell r="F84"/>
        </row>
        <row r="85">
          <cell r="D85"/>
          <cell r="F85"/>
        </row>
        <row r="89">
          <cell r="D89">
            <v>159303</v>
          </cell>
          <cell r="F89">
            <v>9563.89</v>
          </cell>
        </row>
        <row r="90">
          <cell r="D90"/>
          <cell r="F90">
            <v>22076.49</v>
          </cell>
        </row>
        <row r="91">
          <cell r="D91"/>
          <cell r="F91"/>
        </row>
        <row r="92">
          <cell r="D92">
            <v>144639</v>
          </cell>
          <cell r="F92">
            <v>-4031</v>
          </cell>
        </row>
        <row r="93">
          <cell r="D93">
            <v>17296</v>
          </cell>
          <cell r="F93"/>
        </row>
        <row r="94">
          <cell r="D94">
            <v>140</v>
          </cell>
          <cell r="F94"/>
        </row>
        <row r="98">
          <cell r="D98"/>
          <cell r="F98"/>
        </row>
        <row r="99">
          <cell r="D99"/>
          <cell r="F99"/>
        </row>
        <row r="100">
          <cell r="D100"/>
          <cell r="F100"/>
        </row>
        <row r="101">
          <cell r="D101">
            <v>32796</v>
          </cell>
          <cell r="F101"/>
        </row>
        <row r="102">
          <cell r="D102">
            <v>2954</v>
          </cell>
          <cell r="F102"/>
        </row>
        <row r="103">
          <cell r="D103"/>
          <cell r="F103"/>
        </row>
        <row r="115">
          <cell r="D115"/>
          <cell r="F115"/>
        </row>
        <row r="116">
          <cell r="D116"/>
          <cell r="F116"/>
        </row>
        <row r="117">
          <cell r="D117">
            <v>18234</v>
          </cell>
          <cell r="F117"/>
        </row>
        <row r="118">
          <cell r="D118">
            <v>75747</v>
          </cell>
          <cell r="F118"/>
        </row>
        <row r="119">
          <cell r="D119"/>
          <cell r="F119"/>
        </row>
        <row r="124">
          <cell r="D124">
            <v>43200</v>
          </cell>
          <cell r="F124"/>
        </row>
        <row r="125">
          <cell r="D125">
            <v>215373</v>
          </cell>
          <cell r="F125">
            <v>12930.1</v>
          </cell>
        </row>
        <row r="126">
          <cell r="D126"/>
          <cell r="F126"/>
        </row>
        <row r="127">
          <cell r="D127"/>
          <cell r="F127"/>
        </row>
        <row r="128">
          <cell r="D128">
            <v>34228</v>
          </cell>
          <cell r="F128">
            <v>2054.91</v>
          </cell>
        </row>
        <row r="130">
          <cell r="D130"/>
          <cell r="F130"/>
        </row>
        <row r="131">
          <cell r="D131"/>
          <cell r="F131">
            <v>29846.76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4743.38</v>
          </cell>
        </row>
        <row r="136">
          <cell r="D136">
            <v>387653</v>
          </cell>
          <cell r="F136">
            <v>23273.08</v>
          </cell>
        </row>
        <row r="137">
          <cell r="D137">
            <v>135503</v>
          </cell>
          <cell r="F137">
            <v>8135.04</v>
          </cell>
        </row>
        <row r="138">
          <cell r="D138">
            <v>605176</v>
          </cell>
          <cell r="F138">
            <v>36332.269999999997</v>
          </cell>
        </row>
        <row r="139">
          <cell r="D139"/>
          <cell r="F139"/>
        </row>
        <row r="141">
          <cell r="D141"/>
          <cell r="F141">
            <v>53721.63</v>
          </cell>
        </row>
        <row r="142">
          <cell r="D142"/>
          <cell r="F142">
            <v>18778.240000000002</v>
          </cell>
        </row>
        <row r="143">
          <cell r="D143"/>
          <cell r="F143">
            <v>83866.350000000006</v>
          </cell>
        </row>
        <row r="144">
          <cell r="D144"/>
          <cell r="F144"/>
        </row>
        <row r="146">
          <cell r="D146"/>
          <cell r="F146"/>
        </row>
        <row r="147">
          <cell r="D147">
            <v>30639</v>
          </cell>
          <cell r="F147"/>
        </row>
        <row r="148">
          <cell r="D148">
            <v>25484</v>
          </cell>
          <cell r="F148"/>
        </row>
        <row r="149">
          <cell r="D149">
            <v>10958</v>
          </cell>
          <cell r="F149"/>
        </row>
        <row r="150">
          <cell r="D150">
            <v>6175</v>
          </cell>
          <cell r="F150"/>
        </row>
        <row r="151">
          <cell r="D151">
            <v>138388</v>
          </cell>
          <cell r="F151"/>
        </row>
        <row r="152">
          <cell r="D152"/>
          <cell r="F152"/>
        </row>
        <row r="153">
          <cell r="D153">
            <v>4430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3755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297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216485</v>
          </cell>
          <cell r="F194"/>
        </row>
        <row r="195">
          <cell r="D195">
            <v>32025</v>
          </cell>
          <cell r="F195"/>
        </row>
        <row r="196">
          <cell r="D196"/>
          <cell r="F196"/>
        </row>
        <row r="197">
          <cell r="D197">
            <v>110213</v>
          </cell>
          <cell r="F197"/>
        </row>
        <row r="198">
          <cell r="D198">
            <v>27273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192672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135922</v>
          </cell>
          <cell r="F211">
            <v>-61179.57</v>
          </cell>
        </row>
        <row r="212">
          <cell r="D212"/>
          <cell r="F212">
            <v>9772.09</v>
          </cell>
        </row>
        <row r="213">
          <cell r="D213">
            <v>5346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8889</v>
          </cell>
          <cell r="F216">
            <v>-4611</v>
          </cell>
        </row>
        <row r="221">
          <cell r="D221">
            <v>5266768</v>
          </cell>
        </row>
      </sheetData>
      <sheetData sheetId="8"/>
      <sheetData sheetId="9">
        <row r="9">
          <cell r="C9">
            <v>13950</v>
          </cell>
          <cell r="D9"/>
          <cell r="E9">
            <v>1956</v>
          </cell>
          <cell r="F9">
            <v>1478</v>
          </cell>
          <cell r="G9"/>
          <cell r="H9">
            <v>3037</v>
          </cell>
          <cell r="I9">
            <v>1501</v>
          </cell>
          <cell r="J9"/>
          <cell r="K9"/>
        </row>
        <row r="22">
          <cell r="N22">
            <v>82</v>
          </cell>
        </row>
        <row r="24">
          <cell r="N24">
            <v>82</v>
          </cell>
        </row>
        <row r="28">
          <cell r="N28">
            <v>30012</v>
          </cell>
        </row>
        <row r="30">
          <cell r="N30">
            <v>0.73044115687058508</v>
          </cell>
        </row>
        <row r="32">
          <cell r="N32">
            <v>0.46481407437025191</v>
          </cell>
        </row>
        <row r="34">
          <cell r="N34">
            <v>0.63634704862695013</v>
          </cell>
        </row>
      </sheetData>
      <sheetData sheetId="10"/>
      <sheetData sheetId="1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1979829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1114211</v>
          </cell>
          <cell r="G21">
            <v>0</v>
          </cell>
        </row>
        <row r="27">
          <cell r="E27">
            <v>1292864</v>
          </cell>
          <cell r="G27">
            <v>0</v>
          </cell>
        </row>
        <row r="32">
          <cell r="E32">
            <v>440340</v>
          </cell>
          <cell r="G32">
            <v>0</v>
          </cell>
        </row>
        <row r="37">
          <cell r="E37">
            <v>611542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610768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3958</v>
          </cell>
          <cell r="G67">
            <v>0</v>
          </cell>
        </row>
        <row r="85">
          <cell r="C85">
            <v>195.26934984520125</v>
          </cell>
          <cell r="E85">
            <v>187.375</v>
          </cell>
          <cell r="G85">
            <v>200.06728971962616</v>
          </cell>
          <cell r="I85">
            <v>191.93771626297578</v>
          </cell>
        </row>
      </sheetData>
      <sheetData sheetId="7"/>
      <sheetData sheetId="8"/>
      <sheetData sheetId="9">
        <row r="10">
          <cell r="D10">
            <v>83601</v>
          </cell>
          <cell r="F10">
            <v>5225</v>
          </cell>
        </row>
        <row r="11">
          <cell r="D11">
            <v>0</v>
          </cell>
          <cell r="F11"/>
        </row>
        <row r="12">
          <cell r="D12">
            <v>241594</v>
          </cell>
          <cell r="F12">
            <v>15096</v>
          </cell>
        </row>
        <row r="13">
          <cell r="D13">
            <v>616455</v>
          </cell>
          <cell r="F13">
            <v>-574098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299172</v>
          </cell>
          <cell r="F16">
            <v>164751</v>
          </cell>
        </row>
        <row r="17">
          <cell r="D17">
            <v>0</v>
          </cell>
          <cell r="F17"/>
        </row>
        <row r="18">
          <cell r="D18">
            <v>15856</v>
          </cell>
          <cell r="F18"/>
        </row>
        <row r="19">
          <cell r="D19">
            <v>18663</v>
          </cell>
          <cell r="F19">
            <v>-5778</v>
          </cell>
        </row>
        <row r="20">
          <cell r="D20">
            <v>25562</v>
          </cell>
          <cell r="F20"/>
        </row>
        <row r="21">
          <cell r="D21">
            <v>2525</v>
          </cell>
          <cell r="F21"/>
        </row>
        <row r="22">
          <cell r="D22">
            <v>0</v>
          </cell>
          <cell r="F22"/>
        </row>
        <row r="23">
          <cell r="D23">
            <v>12471</v>
          </cell>
          <cell r="F23"/>
        </row>
        <row r="24">
          <cell r="D24">
            <v>45922</v>
          </cell>
          <cell r="F24">
            <v>-10500</v>
          </cell>
        </row>
        <row r="25">
          <cell r="D25">
            <v>0</v>
          </cell>
          <cell r="F25"/>
        </row>
        <row r="26">
          <cell r="D26">
            <v>348179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32634</v>
          </cell>
          <cell r="F29">
            <v>-32634</v>
          </cell>
        </row>
        <row r="30">
          <cell r="D30">
            <v>0</v>
          </cell>
          <cell r="F30">
            <v>0</v>
          </cell>
        </row>
        <row r="31">
          <cell r="D31">
            <v>71789</v>
          </cell>
          <cell r="F31"/>
        </row>
        <row r="32">
          <cell r="D32">
            <v>65363</v>
          </cell>
          <cell r="F32">
            <v>-22340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300</v>
          </cell>
          <cell r="F38">
            <v>-300</v>
          </cell>
        </row>
        <row r="39">
          <cell r="D39">
            <v>8620</v>
          </cell>
          <cell r="F39"/>
        </row>
        <row r="40">
          <cell r="D40">
            <v>7350</v>
          </cell>
          <cell r="F40"/>
        </row>
        <row r="41">
          <cell r="D41">
            <v>12110</v>
          </cell>
          <cell r="F41"/>
        </row>
        <row r="42">
          <cell r="D42">
            <v>4869</v>
          </cell>
          <cell r="F42"/>
        </row>
        <row r="43">
          <cell r="D43">
            <v>6558</v>
          </cell>
          <cell r="F43"/>
        </row>
        <row r="44">
          <cell r="D44">
            <v>17</v>
          </cell>
          <cell r="F44"/>
        </row>
        <row r="45">
          <cell r="D45">
            <v>11796</v>
          </cell>
          <cell r="F45">
            <v>-3541</v>
          </cell>
        </row>
        <row r="57">
          <cell r="D57">
            <v>475000</v>
          </cell>
          <cell r="F57"/>
        </row>
        <row r="58">
          <cell r="D58">
            <v>2522</v>
          </cell>
          <cell r="F58"/>
        </row>
        <row r="59">
          <cell r="D59">
            <v>0</v>
          </cell>
          <cell r="F59">
            <v>155</v>
          </cell>
        </row>
        <row r="60">
          <cell r="D60">
            <v>27832</v>
          </cell>
          <cell r="F60"/>
        </row>
        <row r="61">
          <cell r="D61">
            <v>6364</v>
          </cell>
          <cell r="F61"/>
        </row>
        <row r="62">
          <cell r="D62">
            <v>7838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6948</v>
          </cell>
          <cell r="F65"/>
        </row>
        <row r="66">
          <cell r="D66">
            <v>3845</v>
          </cell>
          <cell r="F66"/>
        </row>
        <row r="67">
          <cell r="D67">
            <v>34626</v>
          </cell>
          <cell r="F67">
            <v>155</v>
          </cell>
        </row>
        <row r="68">
          <cell r="D68">
            <v>0</v>
          </cell>
          <cell r="F68"/>
        </row>
        <row r="69">
          <cell r="D69">
            <v>5067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63315</v>
          </cell>
          <cell r="F75">
            <v>3957</v>
          </cell>
        </row>
        <row r="76">
          <cell r="D76">
            <v>0</v>
          </cell>
          <cell r="F76">
            <v>8100</v>
          </cell>
        </row>
        <row r="77">
          <cell r="D77">
            <v>13588</v>
          </cell>
          <cell r="F77"/>
        </row>
        <row r="78">
          <cell r="D78">
            <v>0</v>
          </cell>
          <cell r="F78"/>
        </row>
        <row r="79">
          <cell r="D79">
            <v>9995</v>
          </cell>
          <cell r="F79"/>
        </row>
        <row r="80">
          <cell r="D80">
            <v>16500</v>
          </cell>
          <cell r="F80"/>
        </row>
        <row r="81">
          <cell r="D81">
            <v>5365</v>
          </cell>
          <cell r="F81"/>
        </row>
        <row r="82">
          <cell r="D82">
            <v>1622</v>
          </cell>
          <cell r="F82"/>
        </row>
        <row r="83">
          <cell r="D83">
            <v>0</v>
          </cell>
          <cell r="F83"/>
        </row>
        <row r="84">
          <cell r="D84">
            <v>76066</v>
          </cell>
          <cell r="F84"/>
        </row>
        <row r="85">
          <cell r="D85">
            <v>0</v>
          </cell>
          <cell r="F85"/>
        </row>
        <row r="89">
          <cell r="D89">
            <v>172812</v>
          </cell>
          <cell r="F89">
            <v>10800</v>
          </cell>
        </row>
        <row r="90">
          <cell r="D90">
            <v>0</v>
          </cell>
          <cell r="F90">
            <v>22107</v>
          </cell>
        </row>
        <row r="91">
          <cell r="D91">
            <v>10342</v>
          </cell>
          <cell r="F91"/>
        </row>
        <row r="92">
          <cell r="D92">
            <v>156939</v>
          </cell>
          <cell r="F92"/>
        </row>
        <row r="93">
          <cell r="D93">
            <v>8985</v>
          </cell>
          <cell r="F93"/>
        </row>
        <row r="94">
          <cell r="D94">
            <v>0</v>
          </cell>
          <cell r="F94"/>
        </row>
        <row r="98">
          <cell r="D98">
            <v>2470</v>
          </cell>
          <cell r="F98">
            <v>154</v>
          </cell>
        </row>
        <row r="99">
          <cell r="D99">
            <v>0</v>
          </cell>
          <cell r="F99">
            <v>316</v>
          </cell>
        </row>
        <row r="100">
          <cell r="D100">
            <v>892</v>
          </cell>
          <cell r="F100"/>
        </row>
        <row r="101">
          <cell r="D101">
            <v>163</v>
          </cell>
          <cell r="F101"/>
        </row>
        <row r="102">
          <cell r="D102">
            <v>3648</v>
          </cell>
          <cell r="F102"/>
        </row>
        <row r="103">
          <cell r="D103">
            <v>1848</v>
          </cell>
          <cell r="F103"/>
        </row>
        <row r="115">
          <cell r="D115">
            <v>92550</v>
          </cell>
          <cell r="F115">
            <v>5784</v>
          </cell>
        </row>
        <row r="116">
          <cell r="D116">
            <v>0</v>
          </cell>
          <cell r="F116">
            <v>11839</v>
          </cell>
        </row>
        <row r="117">
          <cell r="D117">
            <v>19221</v>
          </cell>
          <cell r="F117"/>
        </row>
        <row r="118">
          <cell r="D118">
            <v>2827</v>
          </cell>
          <cell r="F118"/>
        </row>
        <row r="119">
          <cell r="D119">
            <v>258</v>
          </cell>
          <cell r="F119"/>
        </row>
        <row r="124">
          <cell r="D124">
            <v>0</v>
          </cell>
          <cell r="F124"/>
        </row>
        <row r="125">
          <cell r="D125">
            <v>160020</v>
          </cell>
          <cell r="F125">
            <v>10001</v>
          </cell>
        </row>
        <row r="126">
          <cell r="D126">
            <v>54149</v>
          </cell>
          <cell r="F126">
            <v>3384</v>
          </cell>
        </row>
        <row r="127">
          <cell r="D127">
            <v>0</v>
          </cell>
          <cell r="F127"/>
        </row>
        <row r="128">
          <cell r="D128">
            <v>60902</v>
          </cell>
          <cell r="F128">
            <v>3806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20471</v>
          </cell>
        </row>
        <row r="132">
          <cell r="D132">
            <v>0</v>
          </cell>
          <cell r="F132">
            <v>6927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7791</v>
          </cell>
        </row>
        <row r="136">
          <cell r="D136">
            <v>605686</v>
          </cell>
          <cell r="F136">
            <v>37853</v>
          </cell>
        </row>
        <row r="137">
          <cell r="D137">
            <v>142463</v>
          </cell>
          <cell r="F137">
            <v>8903</v>
          </cell>
        </row>
        <row r="138">
          <cell r="D138">
            <v>608094</v>
          </cell>
          <cell r="F138">
            <v>38003</v>
          </cell>
        </row>
        <row r="139">
          <cell r="D139">
            <v>88815</v>
          </cell>
          <cell r="F139">
            <v>5551</v>
          </cell>
        </row>
        <row r="141">
          <cell r="D141">
            <v>0</v>
          </cell>
          <cell r="F141">
            <v>77485</v>
          </cell>
        </row>
        <row r="142">
          <cell r="D142">
            <v>0</v>
          </cell>
          <cell r="F142">
            <v>18225</v>
          </cell>
        </row>
        <row r="143">
          <cell r="D143">
            <v>0</v>
          </cell>
          <cell r="F143">
            <v>77792</v>
          </cell>
        </row>
        <row r="144">
          <cell r="D144">
            <v>0</v>
          </cell>
          <cell r="F144">
            <v>11362</v>
          </cell>
        </row>
        <row r="146">
          <cell r="D146">
            <v>40000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16488</v>
          </cell>
          <cell r="F149"/>
        </row>
        <row r="150">
          <cell r="D150">
            <v>14806</v>
          </cell>
          <cell r="F150"/>
        </row>
        <row r="151">
          <cell r="D151">
            <v>79329</v>
          </cell>
          <cell r="F151"/>
        </row>
        <row r="152">
          <cell r="D152">
            <v>3364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2427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233445</v>
          </cell>
          <cell r="F177">
            <v>14589</v>
          </cell>
        </row>
        <row r="178">
          <cell r="D178">
            <v>0</v>
          </cell>
          <cell r="F178">
            <v>29864</v>
          </cell>
        </row>
        <row r="179">
          <cell r="D179">
            <v>57115</v>
          </cell>
          <cell r="F179">
            <v>3569</v>
          </cell>
        </row>
        <row r="180">
          <cell r="D180">
            <v>0</v>
          </cell>
          <cell r="F180">
            <v>7307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141666</v>
          </cell>
          <cell r="F183">
            <v>8854</v>
          </cell>
        </row>
        <row r="184">
          <cell r="D184">
            <v>0</v>
          </cell>
          <cell r="F184">
            <v>18123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796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23531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160925</v>
          </cell>
          <cell r="F205"/>
        </row>
        <row r="206">
          <cell r="D206">
            <v>2747</v>
          </cell>
          <cell r="F206"/>
        </row>
        <row r="207">
          <cell r="D207">
            <v>27134</v>
          </cell>
          <cell r="F207">
            <v>-84</v>
          </cell>
        </row>
        <row r="211">
          <cell r="D211">
            <v>125657</v>
          </cell>
          <cell r="F211">
            <v>7853</v>
          </cell>
        </row>
        <row r="212">
          <cell r="D212">
            <v>0</v>
          </cell>
          <cell r="F212">
            <v>16075</v>
          </cell>
        </row>
        <row r="213">
          <cell r="D213">
            <v>4109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4995</v>
          </cell>
          <cell r="F216"/>
        </row>
        <row r="221">
          <cell r="D221">
            <v>5819517.3199999994</v>
          </cell>
        </row>
      </sheetData>
      <sheetData sheetId="10"/>
      <sheetData sheetId="11"/>
      <sheetData sheetId="12"/>
      <sheetData sheetId="13"/>
      <sheetData sheetId="14">
        <row r="9">
          <cell r="C9">
            <v>10752</v>
          </cell>
          <cell r="D9"/>
          <cell r="E9">
            <v>2121</v>
          </cell>
          <cell r="F9">
            <v>3211</v>
          </cell>
          <cell r="G9">
            <v>1902</v>
          </cell>
          <cell r="H9">
            <v>3157</v>
          </cell>
          <cell r="I9"/>
          <cell r="J9">
            <v>3188</v>
          </cell>
          <cell r="K9"/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36600</v>
          </cell>
        </row>
        <row r="30">
          <cell r="N30">
            <v>0.66478142076502733</v>
          </cell>
        </row>
        <row r="32">
          <cell r="N32">
            <v>0.29377049180327869</v>
          </cell>
        </row>
        <row r="34">
          <cell r="N34">
            <v>0.44190538818790842</v>
          </cell>
        </row>
      </sheetData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1307312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1079786</v>
          </cell>
          <cell r="G21">
            <v>0</v>
          </cell>
        </row>
        <row r="27">
          <cell r="E27">
            <v>177221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83648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85155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1752</v>
          </cell>
          <cell r="G67">
            <v>0</v>
          </cell>
        </row>
      </sheetData>
      <sheetData sheetId="7"/>
      <sheetData sheetId="8">
        <row r="10">
          <cell r="D10">
            <v>110104</v>
          </cell>
          <cell r="F10">
            <v>4922</v>
          </cell>
        </row>
        <row r="11">
          <cell r="D11">
            <v>0</v>
          </cell>
          <cell r="F11"/>
        </row>
        <row r="12">
          <cell r="D12">
            <v>49977</v>
          </cell>
          <cell r="F12">
            <v>2231</v>
          </cell>
        </row>
        <row r="13">
          <cell r="D13">
            <v>248522</v>
          </cell>
          <cell r="F13">
            <v>-226441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137091</v>
          </cell>
          <cell r="F16">
            <v>50897.526154631283</v>
          </cell>
        </row>
        <row r="17">
          <cell r="D17">
            <v>0</v>
          </cell>
          <cell r="F17"/>
        </row>
        <row r="18">
          <cell r="D18">
            <v>6517</v>
          </cell>
          <cell r="F18"/>
        </row>
        <row r="19">
          <cell r="D19">
            <v>5733</v>
          </cell>
          <cell r="F19">
            <v>-503</v>
          </cell>
        </row>
        <row r="20">
          <cell r="D20">
            <v>10288</v>
          </cell>
          <cell r="F20"/>
        </row>
        <row r="21">
          <cell r="D21">
            <v>1047</v>
          </cell>
          <cell r="F21"/>
        </row>
        <row r="22">
          <cell r="D22">
            <v>0</v>
          </cell>
          <cell r="F22"/>
        </row>
        <row r="23">
          <cell r="D23">
            <v>5012</v>
          </cell>
          <cell r="F23"/>
        </row>
        <row r="24">
          <cell r="D24">
            <v>30048</v>
          </cell>
          <cell r="F24">
            <v>-4800</v>
          </cell>
        </row>
        <row r="25">
          <cell r="D25">
            <v>0</v>
          </cell>
          <cell r="F25"/>
        </row>
        <row r="26">
          <cell r="D26">
            <v>161656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73913</v>
          </cell>
          <cell r="F29">
            <v>-73913</v>
          </cell>
        </row>
        <row r="30">
          <cell r="D30">
            <v>0</v>
          </cell>
          <cell r="F30">
            <v>0</v>
          </cell>
        </row>
        <row r="31">
          <cell r="D31">
            <v>35083</v>
          </cell>
          <cell r="F31"/>
        </row>
        <row r="32">
          <cell r="D32">
            <v>27720</v>
          </cell>
          <cell r="F32">
            <v>-9474.5166666666664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139</v>
          </cell>
          <cell r="F35">
            <v>-139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1930</v>
          </cell>
          <cell r="F39"/>
        </row>
        <row r="40">
          <cell r="D40">
            <v>4878</v>
          </cell>
          <cell r="F40"/>
        </row>
        <row r="41">
          <cell r="D41">
            <v>6854</v>
          </cell>
          <cell r="F41"/>
        </row>
        <row r="42">
          <cell r="D42">
            <v>1417</v>
          </cell>
          <cell r="F42"/>
        </row>
        <row r="43">
          <cell r="D43">
            <v>4969</v>
          </cell>
          <cell r="F43"/>
        </row>
        <row r="44">
          <cell r="D44">
            <v>0</v>
          </cell>
          <cell r="F44"/>
        </row>
        <row r="45">
          <cell r="D45">
            <v>2474</v>
          </cell>
          <cell r="F45">
            <v>-1729</v>
          </cell>
        </row>
        <row r="57">
          <cell r="D57">
            <v>230000</v>
          </cell>
          <cell r="F57"/>
        </row>
        <row r="58">
          <cell r="D58">
            <v>4360</v>
          </cell>
          <cell r="F58"/>
        </row>
        <row r="59">
          <cell r="D59">
            <v>0</v>
          </cell>
          <cell r="F59"/>
        </row>
        <row r="60">
          <cell r="D60">
            <v>11272</v>
          </cell>
          <cell r="F60"/>
        </row>
        <row r="61">
          <cell r="D61">
            <v>3477</v>
          </cell>
          <cell r="F61"/>
        </row>
        <row r="62">
          <cell r="D62">
            <v>722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5656</v>
          </cell>
          <cell r="F65"/>
        </row>
        <row r="66">
          <cell r="D66">
            <v>0</v>
          </cell>
          <cell r="F66"/>
        </row>
        <row r="67">
          <cell r="D67">
            <v>19786</v>
          </cell>
          <cell r="F67"/>
        </row>
        <row r="68">
          <cell r="D68">
            <v>0</v>
          </cell>
          <cell r="F68"/>
        </row>
        <row r="69">
          <cell r="D69">
            <v>1919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34663</v>
          </cell>
          <cell r="F75">
            <v>1550</v>
          </cell>
        </row>
        <row r="76">
          <cell r="D76">
            <v>0</v>
          </cell>
          <cell r="F76">
            <v>4762</v>
          </cell>
        </row>
        <row r="77">
          <cell r="D77">
            <v>7614</v>
          </cell>
          <cell r="F77"/>
        </row>
        <row r="78">
          <cell r="D78">
            <v>0</v>
          </cell>
          <cell r="F78"/>
        </row>
        <row r="79">
          <cell r="D79">
            <v>1927</v>
          </cell>
          <cell r="F79"/>
        </row>
        <row r="80">
          <cell r="D80">
            <v>3105</v>
          </cell>
          <cell r="F80"/>
        </row>
        <row r="81">
          <cell r="D81">
            <v>9962</v>
          </cell>
          <cell r="F81"/>
        </row>
        <row r="82">
          <cell r="D82">
            <v>1555</v>
          </cell>
          <cell r="F82"/>
        </row>
        <row r="83">
          <cell r="D83">
            <v>0</v>
          </cell>
          <cell r="F83"/>
        </row>
        <row r="84">
          <cell r="D84">
            <v>42410</v>
          </cell>
          <cell r="F84"/>
        </row>
        <row r="85">
          <cell r="D85">
            <v>0</v>
          </cell>
          <cell r="F85"/>
        </row>
        <row r="89">
          <cell r="D89">
            <v>72002</v>
          </cell>
          <cell r="F89">
            <v>3219</v>
          </cell>
        </row>
        <row r="90">
          <cell r="D90">
            <v>0</v>
          </cell>
          <cell r="F90">
            <v>9892</v>
          </cell>
        </row>
        <row r="91">
          <cell r="D91">
            <v>4910</v>
          </cell>
          <cell r="F91"/>
        </row>
        <row r="92">
          <cell r="D92">
            <v>62113</v>
          </cell>
          <cell r="F92"/>
        </row>
        <row r="93">
          <cell r="D93">
            <v>7378</v>
          </cell>
          <cell r="F93"/>
        </row>
        <row r="94">
          <cell r="D94">
            <v>0</v>
          </cell>
          <cell r="F94"/>
        </row>
        <row r="98">
          <cell r="D98">
            <v>14859</v>
          </cell>
          <cell r="F98">
            <v>664</v>
          </cell>
        </row>
        <row r="99">
          <cell r="D99">
            <v>0</v>
          </cell>
          <cell r="F99">
            <v>2042</v>
          </cell>
        </row>
        <row r="100">
          <cell r="D100">
            <v>3335</v>
          </cell>
          <cell r="F100"/>
        </row>
        <row r="101">
          <cell r="D101">
            <v>0</v>
          </cell>
          <cell r="F101"/>
        </row>
        <row r="102">
          <cell r="D102">
            <v>1091</v>
          </cell>
          <cell r="F102"/>
        </row>
        <row r="103">
          <cell r="D103">
            <v>0</v>
          </cell>
          <cell r="F103"/>
        </row>
        <row r="115">
          <cell r="D115">
            <v>32106</v>
          </cell>
          <cell r="F115">
            <v>1435</v>
          </cell>
        </row>
        <row r="116">
          <cell r="D116">
            <v>0</v>
          </cell>
          <cell r="F116">
            <v>4410</v>
          </cell>
        </row>
        <row r="117">
          <cell r="D117">
            <v>7822</v>
          </cell>
          <cell r="F117"/>
        </row>
        <row r="118">
          <cell r="D118">
            <v>1512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58005</v>
          </cell>
          <cell r="F125">
            <v>2593</v>
          </cell>
        </row>
        <row r="126">
          <cell r="D126">
            <v>44828</v>
          </cell>
          <cell r="F126">
            <v>2004</v>
          </cell>
        </row>
        <row r="127">
          <cell r="D127">
            <v>0</v>
          </cell>
          <cell r="F127"/>
        </row>
        <row r="128">
          <cell r="D128">
            <v>23367</v>
          </cell>
          <cell r="F128">
            <v>1045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7969</v>
          </cell>
        </row>
        <row r="132">
          <cell r="D132">
            <v>0</v>
          </cell>
          <cell r="F132">
            <v>6159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3210</v>
          </cell>
        </row>
        <row r="136">
          <cell r="D136">
            <v>160339</v>
          </cell>
          <cell r="F136">
            <v>7168</v>
          </cell>
        </row>
        <row r="137">
          <cell r="D137">
            <v>88669</v>
          </cell>
          <cell r="F137">
            <v>3964</v>
          </cell>
        </row>
        <row r="138">
          <cell r="D138">
            <v>194887</v>
          </cell>
          <cell r="F138">
            <v>8712</v>
          </cell>
        </row>
        <row r="139">
          <cell r="D139">
            <v>55552</v>
          </cell>
          <cell r="F139">
            <v>2483</v>
          </cell>
        </row>
        <row r="141">
          <cell r="D141">
            <v>0</v>
          </cell>
          <cell r="F141">
            <v>22027</v>
          </cell>
        </row>
        <row r="142">
          <cell r="D142">
            <v>0</v>
          </cell>
          <cell r="F142">
            <v>12181</v>
          </cell>
        </row>
        <row r="143">
          <cell r="D143">
            <v>0</v>
          </cell>
          <cell r="F143">
            <v>26773</v>
          </cell>
        </row>
        <row r="144">
          <cell r="D144">
            <v>0</v>
          </cell>
          <cell r="F144">
            <v>7631</v>
          </cell>
        </row>
        <row r="146">
          <cell r="D146">
            <v>12000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0</v>
          </cell>
          <cell r="F150"/>
        </row>
        <row r="151">
          <cell r="D151">
            <v>38122</v>
          </cell>
          <cell r="F151"/>
        </row>
        <row r="152">
          <cell r="D152">
            <v>637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1040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127750</v>
          </cell>
          <cell r="F177">
            <v>5711</v>
          </cell>
        </row>
        <row r="178">
          <cell r="D178">
            <v>0</v>
          </cell>
          <cell r="F178">
            <v>17551</v>
          </cell>
        </row>
        <row r="179">
          <cell r="D179">
            <v>9983</v>
          </cell>
          <cell r="F179">
            <v>446</v>
          </cell>
        </row>
        <row r="180">
          <cell r="D180">
            <v>0</v>
          </cell>
          <cell r="F180">
            <v>1372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76316</v>
          </cell>
          <cell r="F183">
            <v>3412</v>
          </cell>
        </row>
        <row r="184">
          <cell r="D184">
            <v>0</v>
          </cell>
          <cell r="F184">
            <v>10485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846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9089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79905</v>
          </cell>
          <cell r="F205"/>
        </row>
        <row r="206">
          <cell r="D206">
            <v>1021</v>
          </cell>
          <cell r="F206"/>
        </row>
        <row r="207">
          <cell r="D207">
            <v>2419</v>
          </cell>
          <cell r="F207">
            <v>-288.19166666666661</v>
          </cell>
        </row>
        <row r="211">
          <cell r="D211">
            <v>55332</v>
          </cell>
          <cell r="F211">
            <v>2474</v>
          </cell>
        </row>
        <row r="212">
          <cell r="D212">
            <v>0</v>
          </cell>
          <cell r="F212">
            <v>7602</v>
          </cell>
        </row>
        <row r="213">
          <cell r="D213">
            <v>1263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3286</v>
          </cell>
          <cell r="F216"/>
        </row>
        <row r="221">
          <cell r="D221">
            <v>2555584</v>
          </cell>
        </row>
      </sheetData>
      <sheetData sheetId="9"/>
      <sheetData sheetId="10"/>
      <sheetData sheetId="11"/>
      <sheetData sheetId="12"/>
      <sheetData sheetId="13">
        <row r="9">
          <cell r="C9">
            <v>7851</v>
          </cell>
          <cell r="D9"/>
          <cell r="E9">
            <v>2198</v>
          </cell>
          <cell r="F9">
            <v>424</v>
          </cell>
          <cell r="G9"/>
          <cell r="H9">
            <v>471</v>
          </cell>
          <cell r="I9"/>
          <cell r="J9">
            <v>502</v>
          </cell>
          <cell r="K9"/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18300</v>
          </cell>
        </row>
        <row r="30">
          <cell r="N30">
            <v>0.62546448087431694</v>
          </cell>
        </row>
        <row r="32">
          <cell r="N32">
            <v>0.42901639344262293</v>
          </cell>
        </row>
        <row r="34">
          <cell r="N34">
            <v>0.68591647737200767</v>
          </cell>
        </row>
      </sheetData>
      <sheetData sheetId="1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896983.82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230712.27000000002</v>
          </cell>
          <cell r="G21">
            <v>0</v>
          </cell>
        </row>
        <row r="27">
          <cell r="E27">
            <v>2538.4399999999996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277719.7</v>
          </cell>
          <cell r="G37">
            <v>0</v>
          </cell>
        </row>
        <row r="42">
          <cell r="E42">
            <v>30899.11</v>
          </cell>
          <cell r="G42">
            <v>0</v>
          </cell>
        </row>
        <row r="47">
          <cell r="E47">
            <v>72214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-7083.5</v>
          </cell>
          <cell r="G67">
            <v>0</v>
          </cell>
        </row>
      </sheetData>
      <sheetData sheetId="6"/>
      <sheetData sheetId="7"/>
      <sheetData sheetId="8">
        <row r="10">
          <cell r="D10"/>
          <cell r="F10"/>
        </row>
        <row r="11">
          <cell r="D11"/>
          <cell r="F11"/>
        </row>
        <row r="12">
          <cell r="D12">
            <v>20771.45</v>
          </cell>
          <cell r="F12"/>
        </row>
        <row r="13">
          <cell r="D13">
            <v>68068.72</v>
          </cell>
          <cell r="F13">
            <v>-66172.330836272566</v>
          </cell>
        </row>
        <row r="14">
          <cell r="D14"/>
          <cell r="F14"/>
        </row>
        <row r="15">
          <cell r="D15">
            <v>4500</v>
          </cell>
          <cell r="F15">
            <v>-4500</v>
          </cell>
        </row>
        <row r="16">
          <cell r="D16"/>
          <cell r="F16">
            <v>57577</v>
          </cell>
        </row>
        <row r="17">
          <cell r="D17">
            <v>196.72</v>
          </cell>
          <cell r="F17">
            <v>-197</v>
          </cell>
        </row>
        <row r="18">
          <cell r="D18">
            <v>9173.39</v>
          </cell>
          <cell r="F18"/>
        </row>
        <row r="19">
          <cell r="D19">
            <v>5084.76</v>
          </cell>
          <cell r="F19"/>
        </row>
        <row r="20">
          <cell r="D20">
            <v>3524.99</v>
          </cell>
          <cell r="F20"/>
        </row>
        <row r="21">
          <cell r="D21">
            <v>4972.6899999999996</v>
          </cell>
          <cell r="F21"/>
        </row>
        <row r="22">
          <cell r="D22"/>
          <cell r="F22"/>
        </row>
        <row r="23">
          <cell r="D23">
            <v>8018.73</v>
          </cell>
          <cell r="F23"/>
        </row>
        <row r="24">
          <cell r="D24">
            <v>31407.89</v>
          </cell>
          <cell r="F24"/>
        </row>
        <row r="25">
          <cell r="D25"/>
          <cell r="F25"/>
        </row>
        <row r="26">
          <cell r="D26">
            <v>148166.89000000001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64393.98</v>
          </cell>
          <cell r="F29">
            <v>-64393.98</v>
          </cell>
        </row>
        <row r="30">
          <cell r="D30"/>
          <cell r="F30">
            <v>0</v>
          </cell>
        </row>
        <row r="31">
          <cell r="D31">
            <v>10560.52</v>
          </cell>
          <cell r="F31"/>
        </row>
        <row r="32">
          <cell r="D32">
            <v>13674.49</v>
          </cell>
          <cell r="F32">
            <v>100</v>
          </cell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>
            <v>292.08999999999997</v>
          </cell>
          <cell r="F38"/>
        </row>
        <row r="39">
          <cell r="D39">
            <v>6690.1</v>
          </cell>
          <cell r="F39"/>
        </row>
        <row r="40">
          <cell r="D40">
            <v>6094.41</v>
          </cell>
          <cell r="F40">
            <v>-6094</v>
          </cell>
        </row>
        <row r="41">
          <cell r="D41"/>
          <cell r="F41"/>
        </row>
        <row r="42">
          <cell r="D42">
            <v>1523.5</v>
          </cell>
          <cell r="F42"/>
        </row>
        <row r="43">
          <cell r="D43">
            <v>4488.33</v>
          </cell>
          <cell r="F43"/>
        </row>
        <row r="44">
          <cell r="D44">
            <v>142.66999999999999</v>
          </cell>
          <cell r="F44"/>
        </row>
        <row r="45">
          <cell r="D45">
            <v>30488.45</v>
          </cell>
          <cell r="F45">
            <v>-30488</v>
          </cell>
        </row>
        <row r="57">
          <cell r="D57">
            <v>37500</v>
          </cell>
          <cell r="F57">
            <v>-37500</v>
          </cell>
        </row>
        <row r="58">
          <cell r="D58"/>
          <cell r="F58">
            <v>7564</v>
          </cell>
        </row>
        <row r="59">
          <cell r="D59"/>
          <cell r="F59">
            <v>8533</v>
          </cell>
        </row>
        <row r="60">
          <cell r="D60"/>
          <cell r="F60"/>
        </row>
        <row r="61">
          <cell r="D61">
            <v>100</v>
          </cell>
          <cell r="F61">
            <v>1522</v>
          </cell>
        </row>
        <row r="62">
          <cell r="D62"/>
          <cell r="F62"/>
        </row>
        <row r="63">
          <cell r="D63">
            <v>1808.82</v>
          </cell>
          <cell r="F63"/>
        </row>
        <row r="64">
          <cell r="D64"/>
          <cell r="F64"/>
        </row>
        <row r="65">
          <cell r="D65">
            <v>4618</v>
          </cell>
          <cell r="F65"/>
        </row>
        <row r="66">
          <cell r="D66">
            <v>6488.04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>
            <v>5500.68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27244.03</v>
          </cell>
          <cell r="F75"/>
        </row>
        <row r="76">
          <cell r="D76"/>
          <cell r="F76">
            <v>2487.3219379612397</v>
          </cell>
        </row>
        <row r="77">
          <cell r="D77">
            <v>6937.63</v>
          </cell>
          <cell r="F77"/>
        </row>
        <row r="78">
          <cell r="D78">
            <v>378.19</v>
          </cell>
          <cell r="F78"/>
        </row>
        <row r="79">
          <cell r="D79">
            <v>210</v>
          </cell>
          <cell r="F79"/>
        </row>
        <row r="80">
          <cell r="D80">
            <v>4205.6499999999996</v>
          </cell>
          <cell r="F80"/>
        </row>
        <row r="81">
          <cell r="D81">
            <v>15022.28</v>
          </cell>
          <cell r="F81"/>
        </row>
        <row r="82">
          <cell r="D82">
            <v>7163.21</v>
          </cell>
          <cell r="F82"/>
        </row>
        <row r="83">
          <cell r="D83">
            <v>15201.77</v>
          </cell>
          <cell r="F83"/>
        </row>
        <row r="84">
          <cell r="D84">
            <v>27054.880000000001</v>
          </cell>
          <cell r="F84"/>
        </row>
        <row r="85">
          <cell r="D85"/>
          <cell r="F85"/>
        </row>
        <row r="89">
          <cell r="D89">
            <v>112678.39</v>
          </cell>
          <cell r="F89"/>
        </row>
        <row r="90">
          <cell r="D90"/>
          <cell r="F90">
            <v>10287.297120916119</v>
          </cell>
        </row>
        <row r="91">
          <cell r="D91">
            <v>3870</v>
          </cell>
          <cell r="F91"/>
        </row>
        <row r="92">
          <cell r="D92">
            <v>96200.63</v>
          </cell>
          <cell r="F92"/>
        </row>
        <row r="93">
          <cell r="D93">
            <v>11244.97</v>
          </cell>
          <cell r="F93"/>
        </row>
        <row r="94">
          <cell r="D94"/>
          <cell r="F94"/>
        </row>
        <row r="98">
          <cell r="D98">
            <v>21561.68</v>
          </cell>
          <cell r="F98"/>
        </row>
        <row r="99">
          <cell r="D99"/>
          <cell r="F99">
            <v>1968.5354803712996</v>
          </cell>
        </row>
        <row r="100">
          <cell r="D100">
            <v>672.24</v>
          </cell>
          <cell r="F100"/>
        </row>
        <row r="101">
          <cell r="D101">
            <v>500</v>
          </cell>
          <cell r="F101"/>
        </row>
        <row r="102">
          <cell r="D102">
            <v>1222.33</v>
          </cell>
          <cell r="F102"/>
        </row>
        <row r="103">
          <cell r="D103">
            <v>50</v>
          </cell>
          <cell r="F103"/>
        </row>
        <row r="115">
          <cell r="D115">
            <v>23786.34</v>
          </cell>
          <cell r="F115"/>
        </row>
        <row r="116">
          <cell r="D116"/>
          <cell r="F116">
            <v>2171.6422021927356</v>
          </cell>
        </row>
        <row r="117">
          <cell r="D117">
            <v>5166.58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54405.08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3269.31</v>
          </cell>
          <cell r="F128"/>
        </row>
        <row r="130">
          <cell r="D130"/>
          <cell r="F130"/>
        </row>
        <row r="131">
          <cell r="D131"/>
          <cell r="F131">
            <v>4967.0679785823268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162377.57999999999</v>
          </cell>
          <cell r="F136"/>
        </row>
        <row r="137">
          <cell r="D137">
            <v>88271.55</v>
          </cell>
          <cell r="F137"/>
        </row>
        <row r="138">
          <cell r="D138">
            <v>206088.44</v>
          </cell>
          <cell r="F138"/>
        </row>
        <row r="139">
          <cell r="D139"/>
          <cell r="F139"/>
        </row>
        <row r="141">
          <cell r="D141"/>
          <cell r="F141">
            <v>14824.727361078967</v>
          </cell>
        </row>
        <row r="142">
          <cell r="D142"/>
          <cell r="F142">
            <v>8059.004589733694</v>
          </cell>
        </row>
        <row r="143">
          <cell r="D143"/>
          <cell r="F143">
            <v>18815.435821066436</v>
          </cell>
        </row>
        <row r="144">
          <cell r="D144"/>
          <cell r="F144"/>
        </row>
        <row r="146">
          <cell r="D146"/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2644.48</v>
          </cell>
          <cell r="F150"/>
        </row>
        <row r="151">
          <cell r="D151">
            <v>41455.11</v>
          </cell>
          <cell r="F151"/>
        </row>
        <row r="152">
          <cell r="D152">
            <v>69.34</v>
          </cell>
          <cell r="F152"/>
        </row>
        <row r="153">
          <cell r="D153">
            <v>3215.41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>
            <v>922</v>
          </cell>
          <cell r="F157"/>
        </row>
        <row r="158">
          <cell r="D158">
            <v>441</v>
          </cell>
          <cell r="F158"/>
        </row>
        <row r="159">
          <cell r="D159">
            <v>20</v>
          </cell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>
            <v>1334</v>
          </cell>
          <cell r="F193"/>
        </row>
        <row r="194">
          <cell r="D194">
            <v>37688.85</v>
          </cell>
          <cell r="F194">
            <v>-18844</v>
          </cell>
        </row>
        <row r="195">
          <cell r="D195">
            <v>1812.25</v>
          </cell>
          <cell r="F195"/>
        </row>
        <row r="196">
          <cell r="D196"/>
          <cell r="F196"/>
        </row>
        <row r="197">
          <cell r="D197">
            <v>29373.119999999999</v>
          </cell>
          <cell r="F197">
            <v>-14687</v>
          </cell>
        </row>
        <row r="198">
          <cell r="D198">
            <v>5812.48</v>
          </cell>
          <cell r="F198"/>
        </row>
        <row r="199">
          <cell r="D199"/>
          <cell r="F199"/>
        </row>
        <row r="200">
          <cell r="D200">
            <v>102</v>
          </cell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13162.01</v>
          </cell>
          <cell r="F205"/>
        </row>
        <row r="206">
          <cell r="D206">
            <v>239.25</v>
          </cell>
          <cell r="F206"/>
        </row>
        <row r="207">
          <cell r="D207"/>
          <cell r="F207"/>
        </row>
        <row r="211">
          <cell r="D211">
            <v>28382.9</v>
          </cell>
          <cell r="F211"/>
        </row>
        <row r="212">
          <cell r="D212"/>
          <cell r="F212">
            <v>2591.2983443697599</v>
          </cell>
        </row>
        <row r="213">
          <cell r="D213">
            <v>640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3301.5</v>
          </cell>
          <cell r="F216"/>
        </row>
        <row r="221">
          <cell r="D221">
            <v>1563648.77</v>
          </cell>
        </row>
      </sheetData>
      <sheetData sheetId="9"/>
      <sheetData sheetId="10"/>
      <sheetData sheetId="11"/>
      <sheetData sheetId="12">
        <row r="9">
          <cell r="C9">
            <v>5431</v>
          </cell>
          <cell r="D9"/>
          <cell r="E9">
            <v>519</v>
          </cell>
          <cell r="F9">
            <v>7</v>
          </cell>
          <cell r="G9"/>
          <cell r="H9">
            <v>2110</v>
          </cell>
          <cell r="I9">
            <v>189</v>
          </cell>
          <cell r="J9">
            <v>573</v>
          </cell>
          <cell r="K9"/>
        </row>
        <row r="22">
          <cell r="N22">
            <v>44</v>
          </cell>
        </row>
        <row r="24">
          <cell r="N24">
            <v>31</v>
          </cell>
        </row>
        <row r="28">
          <cell r="N28">
            <v>16104</v>
          </cell>
        </row>
        <row r="30">
          <cell r="N30">
            <v>0.54824888226527568</v>
          </cell>
        </row>
        <row r="32">
          <cell r="N32">
            <v>0.33724540486835569</v>
          </cell>
        </row>
        <row r="34">
          <cell r="N34">
            <v>0.61513195152338884</v>
          </cell>
        </row>
      </sheetData>
      <sheetData sheetId="13"/>
      <sheetData sheetId="1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- Supp"/>
      <sheetName val="Sch B-1"/>
      <sheetName val="Sch C"/>
      <sheetName val="Sch C - Supp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1424183</v>
          </cell>
          <cell r="G10">
            <v>0</v>
          </cell>
        </row>
        <row r="15">
          <cell r="E15">
            <v>91264</v>
          </cell>
          <cell r="G15">
            <v>0</v>
          </cell>
        </row>
        <row r="21">
          <cell r="E21">
            <v>1149175</v>
          </cell>
          <cell r="G21">
            <v>0</v>
          </cell>
        </row>
        <row r="27">
          <cell r="E27">
            <v>586066</v>
          </cell>
          <cell r="G27">
            <v>0</v>
          </cell>
        </row>
        <row r="32">
          <cell r="E32">
            <v>190704</v>
          </cell>
          <cell r="G32">
            <v>0</v>
          </cell>
        </row>
        <row r="37">
          <cell r="E37">
            <v>296930</v>
          </cell>
          <cell r="G37">
            <v>0</v>
          </cell>
        </row>
        <row r="42">
          <cell r="E42">
            <v>130992</v>
          </cell>
          <cell r="G42">
            <v>0</v>
          </cell>
        </row>
        <row r="47">
          <cell r="E47">
            <v>77700</v>
          </cell>
          <cell r="G47">
            <v>0</v>
          </cell>
        </row>
        <row r="52">
          <cell r="E52">
            <v>123104</v>
          </cell>
          <cell r="G52">
            <v>0</v>
          </cell>
        </row>
        <row r="67">
          <cell r="E67">
            <v>43272</v>
          </cell>
          <cell r="G67">
            <v>-2070</v>
          </cell>
        </row>
        <row r="85">
          <cell r="C85">
            <v>166.96350364963504</v>
          </cell>
          <cell r="E85">
            <v>166.91834319526626</v>
          </cell>
          <cell r="G85">
            <v>167.39516129032259</v>
          </cell>
        </row>
      </sheetData>
      <sheetData sheetId="6"/>
      <sheetData sheetId="7"/>
      <sheetData sheetId="8">
        <row r="10">
          <cell r="D10">
            <v>112124</v>
          </cell>
          <cell r="F10"/>
        </row>
        <row r="11">
          <cell r="D11"/>
          <cell r="F11"/>
        </row>
        <row r="12">
          <cell r="D12">
            <v>26052</v>
          </cell>
          <cell r="F12"/>
        </row>
        <row r="13">
          <cell r="D13">
            <v>25332</v>
          </cell>
          <cell r="F13"/>
        </row>
        <row r="14">
          <cell r="D14"/>
          <cell r="F14"/>
        </row>
        <row r="15">
          <cell r="D15">
            <v>240729</v>
          </cell>
          <cell r="F15">
            <v>-87409</v>
          </cell>
        </row>
        <row r="16">
          <cell r="D16"/>
          <cell r="F16"/>
        </row>
        <row r="17">
          <cell r="D17">
            <v>8940</v>
          </cell>
          <cell r="F17">
            <v>-8008</v>
          </cell>
        </row>
        <row r="18">
          <cell r="D18">
            <v>7503</v>
          </cell>
          <cell r="F18"/>
        </row>
        <row r="19">
          <cell r="D19">
            <v>15266</v>
          </cell>
          <cell r="F19"/>
        </row>
        <row r="20">
          <cell r="D20">
            <v>11584</v>
          </cell>
          <cell r="F20"/>
        </row>
        <row r="21">
          <cell r="D21">
            <v>37616</v>
          </cell>
          <cell r="F21"/>
        </row>
        <row r="22">
          <cell r="D22"/>
          <cell r="F22"/>
        </row>
        <row r="23">
          <cell r="D23">
            <v>2483</v>
          </cell>
          <cell r="F23">
            <v>-214</v>
          </cell>
        </row>
        <row r="24">
          <cell r="D24">
            <v>53271</v>
          </cell>
          <cell r="F24"/>
        </row>
        <row r="25">
          <cell r="D25"/>
          <cell r="F25"/>
        </row>
        <row r="26">
          <cell r="D26">
            <v>210588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57962</v>
          </cell>
          <cell r="F29">
            <v>-57962</v>
          </cell>
        </row>
        <row r="30">
          <cell r="D30">
            <v>136</v>
          </cell>
          <cell r="F30">
            <v>-136</v>
          </cell>
        </row>
        <row r="31">
          <cell r="D31">
            <v>41402</v>
          </cell>
          <cell r="F31"/>
        </row>
        <row r="32">
          <cell r="D32">
            <v>38647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31579</v>
          </cell>
          <cell r="F36"/>
        </row>
        <row r="37">
          <cell r="D37">
            <v>5789</v>
          </cell>
          <cell r="F37"/>
        </row>
        <row r="38">
          <cell r="D38"/>
          <cell r="F38"/>
        </row>
        <row r="39">
          <cell r="D39">
            <v>2306</v>
          </cell>
          <cell r="F39">
            <v>-2306</v>
          </cell>
        </row>
        <row r="40">
          <cell r="D40"/>
          <cell r="F40"/>
        </row>
        <row r="41">
          <cell r="D41"/>
          <cell r="F41"/>
        </row>
        <row r="42">
          <cell r="D42">
            <v>6781</v>
          </cell>
          <cell r="F42"/>
        </row>
        <row r="43">
          <cell r="D43">
            <v>5878</v>
          </cell>
          <cell r="F43"/>
        </row>
        <row r="44">
          <cell r="D44"/>
          <cell r="F44"/>
        </row>
        <row r="45">
          <cell r="D45">
            <v>8878</v>
          </cell>
          <cell r="F45">
            <v>-6428</v>
          </cell>
        </row>
        <row r="57">
          <cell r="D57">
            <v>446702</v>
          </cell>
          <cell r="F57">
            <v>-446702</v>
          </cell>
        </row>
        <row r="58">
          <cell r="D58">
            <v>50064</v>
          </cell>
          <cell r="F58">
            <v>84013</v>
          </cell>
        </row>
        <row r="59">
          <cell r="D59"/>
          <cell r="F59"/>
        </row>
        <row r="60">
          <cell r="D60">
            <v>13314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1512</v>
          </cell>
          <cell r="F65"/>
        </row>
        <row r="66">
          <cell r="D66"/>
          <cell r="F66"/>
        </row>
        <row r="67">
          <cell r="D67"/>
          <cell r="F67">
            <v>26603</v>
          </cell>
        </row>
        <row r="68">
          <cell r="D68"/>
          <cell r="F68"/>
        </row>
        <row r="69">
          <cell r="D69">
            <v>1575</v>
          </cell>
          <cell r="F69">
            <v>-1575</v>
          </cell>
        </row>
        <row r="70">
          <cell r="D70"/>
          <cell r="F70"/>
        </row>
        <row r="71">
          <cell r="D71"/>
          <cell r="F71"/>
        </row>
        <row r="75">
          <cell r="D75">
            <v>30370</v>
          </cell>
          <cell r="F75"/>
        </row>
        <row r="76">
          <cell r="D76">
            <v>5568</v>
          </cell>
          <cell r="F76"/>
        </row>
        <row r="77">
          <cell r="D77">
            <v>21140</v>
          </cell>
          <cell r="F77"/>
        </row>
        <row r="78">
          <cell r="D78">
            <v>5973</v>
          </cell>
          <cell r="F78"/>
        </row>
        <row r="79">
          <cell r="D79">
            <v>6313</v>
          </cell>
          <cell r="F79"/>
        </row>
        <row r="80">
          <cell r="D80">
            <v>3427</v>
          </cell>
          <cell r="F80"/>
        </row>
        <row r="81">
          <cell r="D81">
            <v>7874</v>
          </cell>
          <cell r="F81"/>
        </row>
        <row r="82">
          <cell r="D82">
            <v>3562</v>
          </cell>
          <cell r="F82"/>
        </row>
        <row r="83">
          <cell r="D83">
            <v>662</v>
          </cell>
          <cell r="F83"/>
        </row>
        <row r="84">
          <cell r="D84">
            <v>73784</v>
          </cell>
          <cell r="F84"/>
        </row>
        <row r="85">
          <cell r="D85"/>
          <cell r="F85"/>
        </row>
        <row r="89">
          <cell r="D89">
            <v>129015</v>
          </cell>
          <cell r="F89"/>
        </row>
        <row r="90">
          <cell r="D90">
            <v>23652</v>
          </cell>
          <cell r="F90"/>
        </row>
        <row r="91">
          <cell r="D91">
            <v>4050</v>
          </cell>
          <cell r="F91"/>
        </row>
        <row r="92">
          <cell r="D92">
            <v>104235</v>
          </cell>
          <cell r="F92"/>
        </row>
        <row r="93">
          <cell r="D93">
            <v>10241</v>
          </cell>
          <cell r="F93"/>
        </row>
        <row r="94">
          <cell r="D94">
            <v>398</v>
          </cell>
          <cell r="F94"/>
        </row>
        <row r="98">
          <cell r="D98">
            <v>35887</v>
          </cell>
          <cell r="F98"/>
        </row>
        <row r="99">
          <cell r="D99">
            <v>6579</v>
          </cell>
          <cell r="F99"/>
        </row>
        <row r="100">
          <cell r="D100">
            <v>4474</v>
          </cell>
          <cell r="F100"/>
        </row>
        <row r="101">
          <cell r="D101"/>
          <cell r="F101"/>
        </row>
        <row r="102">
          <cell r="D102">
            <v>4327</v>
          </cell>
          <cell r="F102"/>
        </row>
        <row r="103">
          <cell r="D103"/>
          <cell r="F103"/>
        </row>
        <row r="115">
          <cell r="D115">
            <v>57865</v>
          </cell>
          <cell r="F115"/>
        </row>
        <row r="116">
          <cell r="D116">
            <v>10608</v>
          </cell>
          <cell r="F116"/>
        </row>
        <row r="117">
          <cell r="D117">
            <v>12426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144738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37644</v>
          </cell>
          <cell r="F128"/>
        </row>
        <row r="130">
          <cell r="D130"/>
          <cell r="F130"/>
        </row>
        <row r="131">
          <cell r="D131">
            <v>26534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6901</v>
          </cell>
          <cell r="F134"/>
        </row>
        <row r="136">
          <cell r="D136">
            <v>269042</v>
          </cell>
          <cell r="F136"/>
        </row>
        <row r="137">
          <cell r="D137">
            <v>137316</v>
          </cell>
          <cell r="F137"/>
        </row>
        <row r="138">
          <cell r="D138">
            <v>389468</v>
          </cell>
          <cell r="F138"/>
        </row>
        <row r="139">
          <cell r="D139"/>
          <cell r="F139"/>
        </row>
        <row r="141">
          <cell r="D141">
            <v>49322</v>
          </cell>
          <cell r="F141"/>
        </row>
        <row r="142">
          <cell r="D142">
            <v>25173</v>
          </cell>
          <cell r="F142"/>
        </row>
        <row r="143">
          <cell r="D143">
            <v>71399</v>
          </cell>
          <cell r="F143"/>
        </row>
        <row r="144">
          <cell r="D144"/>
          <cell r="F144"/>
        </row>
        <row r="146">
          <cell r="D146">
            <v>8750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3046</v>
          </cell>
          <cell r="F150"/>
        </row>
        <row r="151">
          <cell r="D151">
            <v>83063</v>
          </cell>
          <cell r="F151"/>
        </row>
        <row r="152">
          <cell r="D152">
            <v>589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3309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3813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242322</v>
          </cell>
          <cell r="F194">
            <v>-6772</v>
          </cell>
        </row>
        <row r="195">
          <cell r="D195">
            <v>56242</v>
          </cell>
          <cell r="F195">
            <v>-1572</v>
          </cell>
        </row>
        <row r="196">
          <cell r="D196"/>
          <cell r="F196"/>
        </row>
        <row r="197">
          <cell r="D197">
            <v>134232</v>
          </cell>
          <cell r="F197">
            <v>-3752</v>
          </cell>
        </row>
        <row r="198">
          <cell r="D198">
            <v>43050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>
            <v>410</v>
          </cell>
          <cell r="F201"/>
        </row>
        <row r="202">
          <cell r="D202"/>
          <cell r="F202"/>
        </row>
        <row r="203">
          <cell r="D203">
            <v>110</v>
          </cell>
          <cell r="F203"/>
        </row>
        <row r="204">
          <cell r="D204"/>
          <cell r="F204"/>
        </row>
        <row r="205">
          <cell r="D205">
            <v>190316</v>
          </cell>
          <cell r="F205"/>
        </row>
        <row r="206">
          <cell r="D206">
            <v>1750</v>
          </cell>
          <cell r="F206"/>
        </row>
        <row r="207">
          <cell r="D207">
            <v>19767</v>
          </cell>
          <cell r="F207"/>
        </row>
        <row r="211">
          <cell r="D211">
            <v>65719</v>
          </cell>
          <cell r="F211"/>
        </row>
        <row r="212">
          <cell r="D212">
            <v>12048</v>
          </cell>
          <cell r="F212"/>
        </row>
        <row r="213">
          <cell r="D213">
            <v>1390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6406</v>
          </cell>
          <cell r="F216"/>
        </row>
        <row r="221">
          <cell r="D221">
            <v>4060312</v>
          </cell>
        </row>
      </sheetData>
      <sheetData sheetId="9"/>
      <sheetData sheetId="10"/>
      <sheetData sheetId="11"/>
      <sheetData sheetId="12">
        <row r="9">
          <cell r="C9">
            <v>7339</v>
          </cell>
          <cell r="D9">
            <v>496</v>
          </cell>
          <cell r="E9">
            <v>2691</v>
          </cell>
          <cell r="F9">
            <v>1053</v>
          </cell>
          <cell r="G9">
            <v>814</v>
          </cell>
          <cell r="H9">
            <v>1778</v>
          </cell>
          <cell r="I9">
            <v>690</v>
          </cell>
          <cell r="J9">
            <v>444</v>
          </cell>
          <cell r="K9">
            <v>114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25800</v>
          </cell>
        </row>
        <row r="30">
          <cell r="N30">
            <v>0.5976356589147287</v>
          </cell>
        </row>
        <row r="32">
          <cell r="N32">
            <v>0.30368217054263563</v>
          </cell>
        </row>
        <row r="34">
          <cell r="N34">
            <v>0.50813930864517798</v>
          </cell>
        </row>
      </sheetData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- Supp"/>
      <sheetName val="Sch B-1"/>
      <sheetName val="Sch C"/>
      <sheetName val="Sch C-Supp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1600553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1471978</v>
          </cell>
          <cell r="G21">
            <v>0</v>
          </cell>
        </row>
        <row r="27">
          <cell r="E27">
            <v>480427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316830</v>
          </cell>
          <cell r="G37">
            <v>0</v>
          </cell>
        </row>
        <row r="42">
          <cell r="E42">
            <v>240167</v>
          </cell>
          <cell r="G42">
            <v>0</v>
          </cell>
        </row>
        <row r="47">
          <cell r="E47">
            <v>173250</v>
          </cell>
          <cell r="G47">
            <v>0</v>
          </cell>
        </row>
        <row r="52">
          <cell r="E52">
            <v>32670</v>
          </cell>
          <cell r="G52">
            <v>0</v>
          </cell>
        </row>
        <row r="67">
          <cell r="E67">
            <v>52322</v>
          </cell>
          <cell r="G67">
            <v>-1190</v>
          </cell>
        </row>
        <row r="85">
          <cell r="C85">
            <v>164.50220264317181</v>
          </cell>
          <cell r="E85">
            <v>164.50125313283209</v>
          </cell>
          <cell r="G85">
            <v>164.50111856823267</v>
          </cell>
        </row>
      </sheetData>
      <sheetData sheetId="6"/>
      <sheetData sheetId="7"/>
      <sheetData sheetId="8">
        <row r="10">
          <cell r="D10">
            <v>49976</v>
          </cell>
          <cell r="F10"/>
        </row>
        <row r="11">
          <cell r="D11"/>
          <cell r="F11"/>
        </row>
        <row r="12">
          <cell r="D12">
            <v>96071</v>
          </cell>
          <cell r="F12">
            <v>-29280</v>
          </cell>
        </row>
        <row r="13">
          <cell r="D13">
            <v>27065</v>
          </cell>
          <cell r="F13">
            <v>-5426</v>
          </cell>
        </row>
        <row r="14">
          <cell r="D14"/>
          <cell r="F14"/>
        </row>
        <row r="15">
          <cell r="D15">
            <v>251170</v>
          </cell>
          <cell r="F15">
            <v>-77568</v>
          </cell>
        </row>
        <row r="16">
          <cell r="D16"/>
          <cell r="F16"/>
        </row>
        <row r="17">
          <cell r="D17">
            <v>21705</v>
          </cell>
          <cell r="F17">
            <v>-14402</v>
          </cell>
        </row>
        <row r="18">
          <cell r="D18">
            <v>13049</v>
          </cell>
          <cell r="F18"/>
        </row>
        <row r="19">
          <cell r="D19">
            <v>5552</v>
          </cell>
          <cell r="F19"/>
        </row>
        <row r="20">
          <cell r="D20">
            <v>10900</v>
          </cell>
          <cell r="F20"/>
        </row>
        <row r="21">
          <cell r="D21">
            <v>47942</v>
          </cell>
          <cell r="F21"/>
        </row>
        <row r="22">
          <cell r="D22"/>
          <cell r="F22"/>
        </row>
        <row r="23">
          <cell r="D23">
            <v>4915</v>
          </cell>
          <cell r="F23">
            <v>-83</v>
          </cell>
        </row>
        <row r="24">
          <cell r="D24">
            <v>57237</v>
          </cell>
          <cell r="F24"/>
        </row>
        <row r="25">
          <cell r="D25"/>
          <cell r="F25"/>
        </row>
        <row r="26">
          <cell r="D26">
            <v>256132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115263</v>
          </cell>
          <cell r="F29">
            <v>-115263</v>
          </cell>
        </row>
        <row r="30">
          <cell r="D30">
            <v>814</v>
          </cell>
          <cell r="F30">
            <v>-814</v>
          </cell>
        </row>
        <row r="31">
          <cell r="D31">
            <v>61254</v>
          </cell>
          <cell r="F31"/>
        </row>
        <row r="32">
          <cell r="D32">
            <v>54256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18958</v>
          </cell>
          <cell r="F36"/>
        </row>
        <row r="37">
          <cell r="D37">
            <v>3513</v>
          </cell>
          <cell r="F37"/>
        </row>
        <row r="38">
          <cell r="D38"/>
          <cell r="F38"/>
        </row>
        <row r="39">
          <cell r="D39">
            <v>6952</v>
          </cell>
          <cell r="F39">
            <v>-6952</v>
          </cell>
        </row>
        <row r="40">
          <cell r="D40"/>
          <cell r="F40"/>
        </row>
        <row r="41">
          <cell r="D41"/>
          <cell r="F41"/>
        </row>
        <row r="42">
          <cell r="D42">
            <v>6101</v>
          </cell>
          <cell r="F42"/>
        </row>
        <row r="43">
          <cell r="D43">
            <v>9128</v>
          </cell>
          <cell r="F43"/>
        </row>
        <row r="44">
          <cell r="D44"/>
          <cell r="F44"/>
        </row>
        <row r="45">
          <cell r="D45">
            <v>6655</v>
          </cell>
          <cell r="F45">
            <v>-3253</v>
          </cell>
        </row>
        <row r="57">
          <cell r="D57">
            <v>616722</v>
          </cell>
          <cell r="F57">
            <v>-616722</v>
          </cell>
        </row>
        <row r="58">
          <cell r="D58">
            <v>40803</v>
          </cell>
          <cell r="F58">
            <v>118264</v>
          </cell>
        </row>
        <row r="59">
          <cell r="D59">
            <v>20766</v>
          </cell>
          <cell r="F59">
            <v>130839</v>
          </cell>
        </row>
        <row r="60">
          <cell r="D60">
            <v>30629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1256</v>
          </cell>
          <cell r="F65"/>
        </row>
        <row r="66">
          <cell r="D66"/>
          <cell r="F66"/>
        </row>
        <row r="67">
          <cell r="D67"/>
          <cell r="F67"/>
        </row>
        <row r="68">
          <cell r="D68"/>
          <cell r="F68">
            <v>52807</v>
          </cell>
        </row>
        <row r="69">
          <cell r="D69">
            <v>2369</v>
          </cell>
          <cell r="F69">
            <v>-2369</v>
          </cell>
        </row>
        <row r="70">
          <cell r="D70"/>
          <cell r="F70"/>
        </row>
        <row r="71">
          <cell r="D71"/>
          <cell r="F71"/>
        </row>
        <row r="75">
          <cell r="D75">
            <v>27180</v>
          </cell>
          <cell r="F75"/>
        </row>
        <row r="76">
          <cell r="D76">
            <v>5037</v>
          </cell>
          <cell r="F76"/>
        </row>
        <row r="77">
          <cell r="D77">
            <v>22185</v>
          </cell>
          <cell r="F77"/>
        </row>
        <row r="78">
          <cell r="D78">
            <v>6897</v>
          </cell>
          <cell r="F78"/>
        </row>
        <row r="79">
          <cell r="D79">
            <v>4046</v>
          </cell>
          <cell r="F79"/>
        </row>
        <row r="80">
          <cell r="D80">
            <v>2592</v>
          </cell>
          <cell r="F80"/>
        </row>
        <row r="81">
          <cell r="D81">
            <v>10338</v>
          </cell>
          <cell r="F81"/>
        </row>
        <row r="82">
          <cell r="D82"/>
          <cell r="F82"/>
        </row>
        <row r="83">
          <cell r="D83">
            <v>4891</v>
          </cell>
          <cell r="F83"/>
        </row>
        <row r="84">
          <cell r="D84">
            <v>88586</v>
          </cell>
          <cell r="F84"/>
        </row>
        <row r="85">
          <cell r="D85"/>
          <cell r="F85"/>
        </row>
        <row r="89">
          <cell r="D89">
            <v>133754</v>
          </cell>
          <cell r="F89"/>
        </row>
        <row r="90">
          <cell r="D90">
            <v>24788</v>
          </cell>
          <cell r="F90"/>
        </row>
        <row r="91">
          <cell r="D91">
            <v>4487</v>
          </cell>
          <cell r="F91"/>
        </row>
        <row r="92">
          <cell r="D92">
            <v>124898</v>
          </cell>
          <cell r="F92"/>
        </row>
        <row r="93">
          <cell r="D93">
            <v>11591</v>
          </cell>
          <cell r="F93"/>
        </row>
        <row r="94">
          <cell r="D94">
            <v>815</v>
          </cell>
          <cell r="F94"/>
        </row>
        <row r="98">
          <cell r="D98">
            <v>28872</v>
          </cell>
          <cell r="F98"/>
        </row>
        <row r="99">
          <cell r="D99">
            <v>5351</v>
          </cell>
          <cell r="F99"/>
        </row>
        <row r="100">
          <cell r="D100">
            <v>6320</v>
          </cell>
          <cell r="F100"/>
        </row>
        <row r="101">
          <cell r="D101"/>
          <cell r="F101"/>
        </row>
        <row r="102">
          <cell r="D102">
            <v>2524</v>
          </cell>
          <cell r="F102"/>
        </row>
        <row r="103">
          <cell r="D103"/>
          <cell r="F103"/>
        </row>
        <row r="115">
          <cell r="D115">
            <v>63145</v>
          </cell>
          <cell r="F115"/>
        </row>
        <row r="116">
          <cell r="D116">
            <v>11702</v>
          </cell>
          <cell r="F116"/>
        </row>
        <row r="117">
          <cell r="D117">
            <v>14421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153181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30767</v>
          </cell>
          <cell r="F128"/>
        </row>
        <row r="130">
          <cell r="D130"/>
          <cell r="F130"/>
        </row>
        <row r="131">
          <cell r="D131">
            <v>28388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5702</v>
          </cell>
          <cell r="F134"/>
        </row>
        <row r="136">
          <cell r="D136">
            <v>371510</v>
          </cell>
          <cell r="F136"/>
        </row>
        <row r="137">
          <cell r="D137">
            <v>235509</v>
          </cell>
          <cell r="F137"/>
        </row>
        <row r="138">
          <cell r="D138">
            <v>421715</v>
          </cell>
          <cell r="F138"/>
        </row>
        <row r="139">
          <cell r="D139"/>
          <cell r="F139"/>
        </row>
        <row r="141">
          <cell r="D141">
            <v>68850</v>
          </cell>
          <cell r="F141"/>
        </row>
        <row r="142">
          <cell r="D142">
            <v>43645</v>
          </cell>
          <cell r="F142"/>
        </row>
        <row r="143">
          <cell r="D143">
            <v>78154</v>
          </cell>
          <cell r="F143"/>
        </row>
        <row r="144">
          <cell r="D144"/>
          <cell r="F144"/>
        </row>
        <row r="146">
          <cell r="D146">
            <v>13000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6112</v>
          </cell>
          <cell r="F150"/>
        </row>
        <row r="151">
          <cell r="D151">
            <v>97148</v>
          </cell>
          <cell r="F151"/>
        </row>
        <row r="152">
          <cell r="D152">
            <v>994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945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81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224962</v>
          </cell>
          <cell r="F194">
            <v>587</v>
          </cell>
        </row>
        <row r="195">
          <cell r="D195">
            <v>34544</v>
          </cell>
          <cell r="F195">
            <v>90</v>
          </cell>
        </row>
        <row r="196">
          <cell r="D196">
            <v>189872</v>
          </cell>
          <cell r="F196">
            <v>496</v>
          </cell>
        </row>
        <row r="197">
          <cell r="D197"/>
          <cell r="F197"/>
        </row>
        <row r="198">
          <cell r="D198">
            <v>32613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>
            <v>2369</v>
          </cell>
          <cell r="F201"/>
        </row>
        <row r="202">
          <cell r="D202"/>
          <cell r="F202"/>
        </row>
        <row r="203">
          <cell r="D203">
            <v>8267</v>
          </cell>
          <cell r="F203"/>
        </row>
        <row r="204">
          <cell r="D204"/>
          <cell r="F204"/>
        </row>
        <row r="205">
          <cell r="D205">
            <v>163768</v>
          </cell>
          <cell r="F205"/>
        </row>
        <row r="206">
          <cell r="D206">
            <v>7247</v>
          </cell>
          <cell r="F206"/>
        </row>
        <row r="207">
          <cell r="D207">
            <v>22653</v>
          </cell>
          <cell r="F207"/>
        </row>
        <row r="211">
          <cell r="D211">
            <v>67674</v>
          </cell>
          <cell r="F211"/>
        </row>
        <row r="212">
          <cell r="D212">
            <v>12542</v>
          </cell>
          <cell r="F212"/>
        </row>
        <row r="213">
          <cell r="D213">
            <v>4714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8624</v>
          </cell>
          <cell r="F216"/>
        </row>
        <row r="221">
          <cell r="D221">
            <v>4777123</v>
          </cell>
        </row>
      </sheetData>
      <sheetData sheetId="9"/>
      <sheetData sheetId="10"/>
      <sheetData sheetId="11"/>
      <sheetData sheetId="12">
        <row r="9">
          <cell r="C9">
            <v>9595</v>
          </cell>
          <cell r="D9">
            <v>5</v>
          </cell>
          <cell r="E9">
            <v>2761</v>
          </cell>
          <cell r="F9">
            <v>893</v>
          </cell>
          <cell r="G9">
            <v>0</v>
          </cell>
          <cell r="H9">
            <v>1926</v>
          </cell>
          <cell r="I9">
            <v>1370</v>
          </cell>
          <cell r="J9">
            <v>990</v>
          </cell>
          <cell r="K9">
            <v>58</v>
          </cell>
        </row>
        <row r="22">
          <cell r="N22">
            <v>180</v>
          </cell>
        </row>
        <row r="24">
          <cell r="N24">
            <v>156</v>
          </cell>
        </row>
        <row r="28">
          <cell r="N28">
            <v>38700</v>
          </cell>
        </row>
        <row r="30">
          <cell r="N30">
            <v>0.45472868217054263</v>
          </cell>
        </row>
        <row r="32">
          <cell r="N32">
            <v>0.24806201550387597</v>
          </cell>
        </row>
        <row r="34">
          <cell r="N34">
            <v>0.54551653596999661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5388497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1609193</v>
          </cell>
          <cell r="G21">
            <v>0</v>
          </cell>
        </row>
        <row r="27">
          <cell r="E27">
            <v>941983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400215</v>
          </cell>
          <cell r="G37">
            <v>0</v>
          </cell>
        </row>
        <row r="42">
          <cell r="E42">
            <v>1078969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237671</v>
          </cell>
          <cell r="G52">
            <v>0</v>
          </cell>
        </row>
        <row r="67">
          <cell r="E67">
            <v>110796</v>
          </cell>
          <cell r="G67">
            <v>-19399</v>
          </cell>
        </row>
        <row r="85">
          <cell r="C85">
            <v>181.17711171662125</v>
          </cell>
          <cell r="E85">
            <v>181.17518248175182</v>
          </cell>
          <cell r="G85">
            <v>181.17224880382776</v>
          </cell>
          <cell r="I85">
            <v>181.17757009345794</v>
          </cell>
        </row>
      </sheetData>
      <sheetData sheetId="6"/>
      <sheetData sheetId="7">
        <row r="10">
          <cell r="D10">
            <v>0</v>
          </cell>
          <cell r="F10">
            <v>115755</v>
          </cell>
        </row>
        <row r="11">
          <cell r="D11">
            <v>0</v>
          </cell>
          <cell r="F11"/>
        </row>
        <row r="12">
          <cell r="D12">
            <v>318719</v>
          </cell>
          <cell r="F12">
            <v>-115755</v>
          </cell>
        </row>
        <row r="13">
          <cell r="D13">
            <v>41005</v>
          </cell>
          <cell r="F13"/>
        </row>
        <row r="14">
          <cell r="D14">
            <v>6000</v>
          </cell>
          <cell r="F14"/>
        </row>
        <row r="15">
          <cell r="D15">
            <v>0</v>
          </cell>
          <cell r="F15">
            <v>585687</v>
          </cell>
        </row>
        <row r="16">
          <cell r="D16">
            <v>585687</v>
          </cell>
          <cell r="F16">
            <v>-585687</v>
          </cell>
        </row>
        <row r="17">
          <cell r="D17">
            <v>407</v>
          </cell>
          <cell r="F17">
            <v>-407</v>
          </cell>
        </row>
        <row r="18">
          <cell r="D18">
            <v>16484</v>
          </cell>
          <cell r="F18"/>
        </row>
        <row r="19">
          <cell r="D19">
            <v>22019</v>
          </cell>
          <cell r="F19"/>
        </row>
        <row r="20">
          <cell r="D20">
            <v>15780</v>
          </cell>
          <cell r="F20"/>
        </row>
        <row r="21">
          <cell r="D21">
            <v>48211</v>
          </cell>
          <cell r="F21">
            <v>15881</v>
          </cell>
        </row>
        <row r="22">
          <cell r="D22">
            <v>0</v>
          </cell>
          <cell r="F22"/>
        </row>
        <row r="23">
          <cell r="D23">
            <v>1800</v>
          </cell>
          <cell r="F23"/>
        </row>
        <row r="24">
          <cell r="D24">
            <v>33870</v>
          </cell>
          <cell r="F24"/>
        </row>
        <row r="25">
          <cell r="D25">
            <v>0</v>
          </cell>
          <cell r="F25">
            <v>12067</v>
          </cell>
        </row>
        <row r="26">
          <cell r="D26">
            <v>677865</v>
          </cell>
          <cell r="F26"/>
        </row>
        <row r="27">
          <cell r="D27">
            <v>939</v>
          </cell>
          <cell r="F27">
            <v>-395</v>
          </cell>
        </row>
        <row r="28">
          <cell r="D28">
            <v>0</v>
          </cell>
          <cell r="F28">
            <v>0</v>
          </cell>
        </row>
        <row r="29">
          <cell r="D29">
            <v>447129</v>
          </cell>
          <cell r="F29">
            <v>-447129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/>
        </row>
        <row r="32">
          <cell r="D32">
            <v>119336</v>
          </cell>
          <cell r="F32"/>
        </row>
        <row r="33">
          <cell r="D33">
            <v>0</v>
          </cell>
          <cell r="F33">
            <v>0</v>
          </cell>
        </row>
        <row r="34">
          <cell r="D34">
            <v>359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50</v>
          </cell>
          <cell r="F38">
            <v>-50</v>
          </cell>
        </row>
        <row r="39">
          <cell r="D39">
            <v>9354</v>
          </cell>
          <cell r="F39"/>
        </row>
        <row r="40">
          <cell r="D40">
            <v>59527</v>
          </cell>
          <cell r="F40">
            <v>-59527</v>
          </cell>
        </row>
        <row r="41">
          <cell r="D41">
            <v>198519</v>
          </cell>
          <cell r="F41"/>
        </row>
        <row r="42">
          <cell r="D42">
            <v>188</v>
          </cell>
          <cell r="F42"/>
        </row>
        <row r="43">
          <cell r="D43">
            <v>6262</v>
          </cell>
          <cell r="F43">
            <v>-6262</v>
          </cell>
        </row>
        <row r="44">
          <cell r="D44">
            <v>0</v>
          </cell>
          <cell r="F44"/>
        </row>
        <row r="45">
          <cell r="D45">
            <v>2599</v>
          </cell>
          <cell r="F45">
            <v>-14722</v>
          </cell>
        </row>
        <row r="57">
          <cell r="D57">
            <v>634243</v>
          </cell>
          <cell r="F57">
            <v>-634243</v>
          </cell>
        </row>
        <row r="58">
          <cell r="D58">
            <v>6148</v>
          </cell>
          <cell r="F58">
            <v>174817</v>
          </cell>
        </row>
        <row r="59">
          <cell r="D59">
            <v>0</v>
          </cell>
          <cell r="F59">
            <v>222536</v>
          </cell>
        </row>
        <row r="60">
          <cell r="D60">
            <v>0</v>
          </cell>
          <cell r="F60">
            <v>60591</v>
          </cell>
        </row>
        <row r="61">
          <cell r="D61">
            <v>0</v>
          </cell>
          <cell r="F61">
            <v>38321</v>
          </cell>
        </row>
        <row r="62">
          <cell r="D62">
            <v>0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0</v>
          </cell>
          <cell r="F65"/>
        </row>
        <row r="66">
          <cell r="D66">
            <v>55150</v>
          </cell>
          <cell r="F66"/>
        </row>
        <row r="67">
          <cell r="D67">
            <v>35191</v>
          </cell>
          <cell r="F67">
            <v>93773</v>
          </cell>
        </row>
        <row r="68">
          <cell r="D68">
            <v>0</v>
          </cell>
          <cell r="F68"/>
        </row>
        <row r="69">
          <cell r="D69">
            <v>6546</v>
          </cell>
          <cell r="F69">
            <v>4072</v>
          </cell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70202</v>
          </cell>
          <cell r="F75"/>
        </row>
        <row r="76">
          <cell r="D76">
            <v>12504</v>
          </cell>
          <cell r="F76"/>
        </row>
        <row r="77">
          <cell r="D77">
            <v>14011</v>
          </cell>
          <cell r="F77"/>
        </row>
        <row r="78">
          <cell r="D78">
            <v>0</v>
          </cell>
          <cell r="F78"/>
        </row>
        <row r="79">
          <cell r="D79">
            <v>5766</v>
          </cell>
          <cell r="F79"/>
        </row>
        <row r="80">
          <cell r="D80">
            <v>23617</v>
          </cell>
          <cell r="F80">
            <v>3800</v>
          </cell>
        </row>
        <row r="81">
          <cell r="D81">
            <v>21027</v>
          </cell>
          <cell r="F81"/>
        </row>
        <row r="82">
          <cell r="D82">
            <v>24369</v>
          </cell>
          <cell r="F82"/>
        </row>
        <row r="83">
          <cell r="D83">
            <v>0</v>
          </cell>
          <cell r="F83"/>
        </row>
        <row r="84">
          <cell r="D84">
            <v>156635</v>
          </cell>
          <cell r="F84"/>
        </row>
        <row r="85">
          <cell r="D85">
            <v>0</v>
          </cell>
          <cell r="F85"/>
        </row>
        <row r="89">
          <cell r="D89">
            <v>188583</v>
          </cell>
          <cell r="F89"/>
        </row>
        <row r="90">
          <cell r="D90">
            <v>36358</v>
          </cell>
          <cell r="F90"/>
        </row>
        <row r="91">
          <cell r="D91">
            <v>477578</v>
          </cell>
          <cell r="F91"/>
        </row>
        <row r="92">
          <cell r="D92">
            <v>132352</v>
          </cell>
          <cell r="F92">
            <v>-3982</v>
          </cell>
        </row>
        <row r="93">
          <cell r="D93">
            <v>21603</v>
          </cell>
          <cell r="F93"/>
        </row>
        <row r="94">
          <cell r="D94">
            <v>0</v>
          </cell>
          <cell r="F94"/>
        </row>
        <row r="98">
          <cell r="D98">
            <v>0</v>
          </cell>
          <cell r="F98"/>
        </row>
        <row r="99">
          <cell r="D99">
            <v>0</v>
          </cell>
          <cell r="F99"/>
        </row>
        <row r="100">
          <cell r="D100">
            <v>214</v>
          </cell>
          <cell r="F100"/>
        </row>
        <row r="101">
          <cell r="D101">
            <v>125718</v>
          </cell>
          <cell r="F101"/>
        </row>
        <row r="102">
          <cell r="D102">
            <v>7511</v>
          </cell>
          <cell r="F102"/>
        </row>
        <row r="103">
          <cell r="D103">
            <v>0</v>
          </cell>
          <cell r="F103"/>
        </row>
        <row r="115">
          <cell r="D115">
            <v>0</v>
          </cell>
          <cell r="F115"/>
        </row>
        <row r="116">
          <cell r="D116">
            <v>0</v>
          </cell>
          <cell r="F116"/>
        </row>
        <row r="117">
          <cell r="D117">
            <v>-1817</v>
          </cell>
          <cell r="F117"/>
        </row>
        <row r="118">
          <cell r="D118">
            <v>187592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316205</v>
          </cell>
          <cell r="F125"/>
        </row>
        <row r="126">
          <cell r="D126">
            <v>0</v>
          </cell>
          <cell r="F126"/>
        </row>
        <row r="127">
          <cell r="D127">
            <v>0</v>
          </cell>
          <cell r="F127"/>
        </row>
        <row r="128">
          <cell r="D128">
            <v>91103</v>
          </cell>
          <cell r="F128"/>
        </row>
        <row r="130">
          <cell r="D130">
            <v>0</v>
          </cell>
          <cell r="F130"/>
        </row>
        <row r="131">
          <cell r="D131">
            <v>65665</v>
          </cell>
          <cell r="F131"/>
        </row>
        <row r="132">
          <cell r="D132">
            <v>0</v>
          </cell>
          <cell r="F132"/>
        </row>
        <row r="133">
          <cell r="D133">
            <v>0</v>
          </cell>
          <cell r="F133"/>
        </row>
        <row r="134">
          <cell r="D134">
            <v>7544</v>
          </cell>
          <cell r="F134"/>
        </row>
        <row r="136">
          <cell r="D136">
            <v>1292787</v>
          </cell>
          <cell r="F136"/>
        </row>
        <row r="137">
          <cell r="D137">
            <v>403827</v>
          </cell>
          <cell r="F137"/>
        </row>
        <row r="138">
          <cell r="D138">
            <v>1084635</v>
          </cell>
          <cell r="F138">
            <v>41713</v>
          </cell>
        </row>
        <row r="139">
          <cell r="D139">
            <v>41713</v>
          </cell>
          <cell r="F139">
            <v>-41713</v>
          </cell>
        </row>
        <row r="141">
          <cell r="D141">
            <v>579595</v>
          </cell>
          <cell r="F141">
            <v>-312775</v>
          </cell>
        </row>
        <row r="142">
          <cell r="D142">
            <v>0</v>
          </cell>
          <cell r="F142">
            <v>83346</v>
          </cell>
        </row>
        <row r="143">
          <cell r="D143">
            <v>116398</v>
          </cell>
          <cell r="F143">
            <v>229428</v>
          </cell>
        </row>
        <row r="144">
          <cell r="D144">
            <v>0</v>
          </cell>
          <cell r="F144"/>
        </row>
        <row r="146">
          <cell r="D146">
            <v>50557</v>
          </cell>
          <cell r="F146"/>
        </row>
        <row r="147">
          <cell r="D147">
            <v>43891</v>
          </cell>
          <cell r="F147"/>
        </row>
        <row r="148">
          <cell r="D148">
            <v>100</v>
          </cell>
          <cell r="F148"/>
        </row>
        <row r="149">
          <cell r="D149">
            <v>0</v>
          </cell>
          <cell r="F149"/>
        </row>
        <row r="150">
          <cell r="D150">
            <v>3189</v>
          </cell>
          <cell r="F150"/>
        </row>
        <row r="151">
          <cell r="D151">
            <v>184472</v>
          </cell>
          <cell r="F151"/>
        </row>
        <row r="152">
          <cell r="D152">
            <v>7524</v>
          </cell>
          <cell r="F152">
            <v>1285</v>
          </cell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1265</v>
          </cell>
          <cell r="F158"/>
        </row>
        <row r="159">
          <cell r="D159">
            <v>0</v>
          </cell>
          <cell r="F159"/>
        </row>
        <row r="160">
          <cell r="D160">
            <v>0</v>
          </cell>
          <cell r="F160"/>
        </row>
        <row r="161">
          <cell r="D161">
            <v>29190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0</v>
          </cell>
          <cell r="F177"/>
        </row>
        <row r="178">
          <cell r="D178">
            <v>0</v>
          </cell>
          <cell r="F178"/>
        </row>
        <row r="179">
          <cell r="D179">
            <v>0</v>
          </cell>
          <cell r="F179"/>
        </row>
        <row r="180">
          <cell r="D180">
            <v>0</v>
          </cell>
          <cell r="F180"/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0</v>
          </cell>
          <cell r="F183"/>
        </row>
        <row r="184">
          <cell r="D184">
            <v>0</v>
          </cell>
          <cell r="F184"/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1595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2157</v>
          </cell>
          <cell r="F193"/>
        </row>
        <row r="194">
          <cell r="D194">
            <v>334805</v>
          </cell>
          <cell r="F194"/>
        </row>
        <row r="195">
          <cell r="D195">
            <v>206753</v>
          </cell>
          <cell r="F195"/>
        </row>
        <row r="196">
          <cell r="D196">
            <v>0</v>
          </cell>
          <cell r="F196"/>
        </row>
        <row r="197">
          <cell r="D197">
            <v>306881</v>
          </cell>
          <cell r="F197"/>
        </row>
        <row r="198">
          <cell r="D198">
            <v>72504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315496</v>
          </cell>
          <cell r="F205"/>
        </row>
        <row r="206">
          <cell r="D206">
            <v>2091</v>
          </cell>
          <cell r="F206"/>
        </row>
        <row r="207">
          <cell r="D207">
            <v>1553</v>
          </cell>
          <cell r="F207"/>
        </row>
        <row r="211">
          <cell r="D211">
            <v>156881</v>
          </cell>
          <cell r="F211"/>
        </row>
        <row r="212">
          <cell r="D212">
            <v>55137</v>
          </cell>
          <cell r="F212"/>
        </row>
        <row r="213">
          <cell r="D213">
            <v>5962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2532</v>
          </cell>
          <cell r="F216"/>
        </row>
        <row r="221">
          <cell r="D221">
            <v>10637217</v>
          </cell>
        </row>
      </sheetData>
      <sheetData sheetId="8"/>
      <sheetData sheetId="9"/>
      <sheetData sheetId="10">
        <row r="9">
          <cell r="C9">
            <v>28525</v>
          </cell>
          <cell r="D9">
            <v>0</v>
          </cell>
          <cell r="E9">
            <v>3118</v>
          </cell>
          <cell r="F9">
            <v>2254</v>
          </cell>
          <cell r="G9">
            <v>0</v>
          </cell>
          <cell r="H9">
            <v>2209</v>
          </cell>
          <cell r="I9">
            <v>5725</v>
          </cell>
          <cell r="J9">
            <v>0</v>
          </cell>
          <cell r="K9">
            <v>682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51240</v>
          </cell>
        </row>
        <row r="30">
          <cell r="N30">
            <v>0.82968384074941448</v>
          </cell>
        </row>
        <row r="32">
          <cell r="N32">
            <v>0.55669398907103829</v>
          </cell>
        </row>
        <row r="34">
          <cell r="N34">
            <v>0.67097123232893474</v>
          </cell>
        </row>
      </sheetData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B-1-2"/>
      <sheetName val="Sch C"/>
      <sheetName val="Sch C-1"/>
      <sheetName val="Sch C-1-2"/>
      <sheetName val="Sch C-1-3"/>
      <sheetName val="Sch C-1-4"/>
      <sheetName val="Sch C-1-5"/>
      <sheetName val="Sch C-1-6"/>
      <sheetName val="Sch C-1-7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1819468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2349909</v>
          </cell>
          <cell r="G21">
            <v>0</v>
          </cell>
        </row>
        <row r="27">
          <cell r="E27">
            <v>230677</v>
          </cell>
          <cell r="G27">
            <v>289086.72609695443</v>
          </cell>
        </row>
        <row r="32">
          <cell r="E32">
            <v>0</v>
          </cell>
          <cell r="G32">
            <v>0</v>
          </cell>
        </row>
        <row r="37">
          <cell r="E37">
            <v>878366</v>
          </cell>
          <cell r="G37">
            <v>0</v>
          </cell>
        </row>
        <row r="42">
          <cell r="E42">
            <v>106493</v>
          </cell>
          <cell r="G42">
            <v>89108.661048333481</v>
          </cell>
        </row>
        <row r="47">
          <cell r="E47">
            <v>0</v>
          </cell>
          <cell r="G47">
            <v>1487.4651030291518</v>
          </cell>
        </row>
        <row r="52">
          <cell r="E52">
            <v>652658</v>
          </cell>
          <cell r="G52">
            <v>-379682.8522483171</v>
          </cell>
        </row>
        <row r="67">
          <cell r="E67">
            <v>-200455</v>
          </cell>
          <cell r="G67">
            <v>173128</v>
          </cell>
        </row>
        <row r="85">
          <cell r="C85">
            <v>191.66211604095562</v>
          </cell>
          <cell r="E85">
            <v>187.40245051837888</v>
          </cell>
          <cell r="G85">
            <v>186.86724137931034</v>
          </cell>
          <cell r="I85">
            <v>262.55567805953694</v>
          </cell>
        </row>
      </sheetData>
      <sheetData sheetId="6"/>
      <sheetData sheetId="7"/>
      <sheetData sheetId="8">
        <row r="10">
          <cell r="D10">
            <v>92160</v>
          </cell>
          <cell r="F10">
            <v>-12206.47</v>
          </cell>
        </row>
        <row r="11">
          <cell r="D11">
            <v>0</v>
          </cell>
          <cell r="F11">
            <v>0</v>
          </cell>
        </row>
        <row r="12">
          <cell r="D12">
            <v>184544</v>
          </cell>
          <cell r="F12">
            <v>23079.170881533748</v>
          </cell>
        </row>
        <row r="13">
          <cell r="D13">
            <v>290286</v>
          </cell>
          <cell r="F13">
            <v>-268160.38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230683.05623399999</v>
          </cell>
        </row>
        <row r="16">
          <cell r="D16">
            <v>0</v>
          </cell>
          <cell r="F16">
            <v>0</v>
          </cell>
        </row>
        <row r="17">
          <cell r="D17">
            <v>0</v>
          </cell>
          <cell r="F17">
            <v>0</v>
          </cell>
        </row>
        <row r="18">
          <cell r="D18">
            <v>28118</v>
          </cell>
          <cell r="F18">
            <v>0</v>
          </cell>
        </row>
        <row r="19">
          <cell r="D19">
            <v>25720</v>
          </cell>
          <cell r="F19">
            <v>-3151</v>
          </cell>
        </row>
        <row r="20">
          <cell r="D20">
            <v>26029</v>
          </cell>
          <cell r="F20">
            <v>-93.88</v>
          </cell>
        </row>
        <row r="21">
          <cell r="D21">
            <v>3024</v>
          </cell>
          <cell r="F21">
            <v>90</v>
          </cell>
        </row>
        <row r="22">
          <cell r="D22">
            <v>0</v>
          </cell>
          <cell r="F22">
            <v>0</v>
          </cell>
        </row>
        <row r="23">
          <cell r="D23">
            <v>21598</v>
          </cell>
          <cell r="F23">
            <v>-3272.8500000000004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300478</v>
          </cell>
          <cell r="F26">
            <v>1325</v>
          </cell>
        </row>
        <row r="27">
          <cell r="D27">
            <v>2776</v>
          </cell>
          <cell r="F27">
            <v>-2776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42618</v>
          </cell>
          <cell r="F31">
            <v>-42618</v>
          </cell>
        </row>
        <row r="32">
          <cell r="D32">
            <v>65011</v>
          </cell>
          <cell r="F32">
            <v>-13754</v>
          </cell>
        </row>
        <row r="33">
          <cell r="D33">
            <v>7286</v>
          </cell>
          <cell r="F33">
            <v>-7286</v>
          </cell>
        </row>
        <row r="34">
          <cell r="D34">
            <v>1397</v>
          </cell>
          <cell r="F34"/>
        </row>
        <row r="35">
          <cell r="D35">
            <v>102</v>
          </cell>
          <cell r="F35">
            <v>-102</v>
          </cell>
        </row>
        <row r="36">
          <cell r="D36">
            <v>0</v>
          </cell>
          <cell r="F36">
            <v>47451.133500000004</v>
          </cell>
        </row>
        <row r="37">
          <cell r="D37">
            <v>0</v>
          </cell>
          <cell r="F37">
            <v>7857.8808421995873</v>
          </cell>
        </row>
        <row r="38">
          <cell r="D38">
            <v>-464</v>
          </cell>
          <cell r="F38">
            <v>0</v>
          </cell>
        </row>
        <row r="39">
          <cell r="D39">
            <v>5216</v>
          </cell>
          <cell r="F39">
            <v>0</v>
          </cell>
        </row>
        <row r="40">
          <cell r="D40">
            <v>144987</v>
          </cell>
          <cell r="F40">
            <v>-144987</v>
          </cell>
        </row>
        <row r="41">
          <cell r="D41">
            <v>40438</v>
          </cell>
          <cell r="F41">
            <v>0</v>
          </cell>
        </row>
        <row r="42">
          <cell r="D42">
            <v>14825</v>
          </cell>
          <cell r="F42">
            <v>0</v>
          </cell>
        </row>
        <row r="43">
          <cell r="D43">
            <v>11544</v>
          </cell>
          <cell r="F43">
            <v>0</v>
          </cell>
        </row>
        <row r="44">
          <cell r="D44">
            <v>382</v>
          </cell>
          <cell r="F44">
            <v>0</v>
          </cell>
        </row>
        <row r="45">
          <cell r="D45">
            <v>33855</v>
          </cell>
          <cell r="F45">
            <v>-4942</v>
          </cell>
        </row>
        <row r="57">
          <cell r="D57">
            <v>248129</v>
          </cell>
          <cell r="F57">
            <v>-243449</v>
          </cell>
        </row>
        <row r="58">
          <cell r="D58">
            <v>0</v>
          </cell>
          <cell r="F58">
            <v>352956.01</v>
          </cell>
        </row>
        <row r="59">
          <cell r="D59">
            <v>0</v>
          </cell>
          <cell r="F59">
            <v>0</v>
          </cell>
        </row>
        <row r="60">
          <cell r="D60">
            <v>28298</v>
          </cell>
          <cell r="F60">
            <v>0</v>
          </cell>
        </row>
        <row r="61">
          <cell r="D61">
            <v>14374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4043</v>
          </cell>
          <cell r="F65">
            <v>-2627</v>
          </cell>
        </row>
        <row r="66">
          <cell r="D66">
            <v>1858</v>
          </cell>
          <cell r="F66">
            <v>0</v>
          </cell>
        </row>
        <row r="67">
          <cell r="D67">
            <v>89642</v>
          </cell>
          <cell r="F67">
            <v>35063.060000000005</v>
          </cell>
        </row>
        <row r="68">
          <cell r="D68">
            <v>952</v>
          </cell>
          <cell r="F68">
            <v>-179</v>
          </cell>
        </row>
        <row r="69">
          <cell r="D69">
            <v>3460</v>
          </cell>
          <cell r="F69">
            <v>2333</v>
          </cell>
        </row>
        <row r="70">
          <cell r="D70">
            <v>1234</v>
          </cell>
          <cell r="F70">
            <v>-1234</v>
          </cell>
        </row>
        <row r="71">
          <cell r="D71">
            <v>0</v>
          </cell>
          <cell r="F71">
            <v>0</v>
          </cell>
        </row>
        <row r="75">
          <cell r="D75">
            <v>121508</v>
          </cell>
          <cell r="F75">
            <v>-39240.09106330802</v>
          </cell>
        </row>
        <row r="76">
          <cell r="D76">
            <v>10166</v>
          </cell>
          <cell r="F76">
            <v>-3389.7411428571431</v>
          </cell>
        </row>
        <row r="77">
          <cell r="D77">
            <v>13607</v>
          </cell>
          <cell r="F77">
            <v>-60.58</v>
          </cell>
        </row>
        <row r="78">
          <cell r="D78">
            <v>0</v>
          </cell>
          <cell r="F78">
            <v>0</v>
          </cell>
        </row>
        <row r="79">
          <cell r="D79">
            <v>51595</v>
          </cell>
          <cell r="F79">
            <v>-35816.769999999997</v>
          </cell>
        </row>
        <row r="80">
          <cell r="D80">
            <v>47357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40935</v>
          </cell>
          <cell r="F82">
            <v>-3569.78</v>
          </cell>
        </row>
        <row r="83">
          <cell r="D83">
            <v>8306</v>
          </cell>
          <cell r="F83">
            <v>0</v>
          </cell>
        </row>
        <row r="84">
          <cell r="D84">
            <v>105500</v>
          </cell>
          <cell r="F84">
            <v>0</v>
          </cell>
        </row>
        <row r="85">
          <cell r="D85">
            <v>489</v>
          </cell>
          <cell r="F85">
            <v>0</v>
          </cell>
        </row>
        <row r="89">
          <cell r="D89">
            <v>245703</v>
          </cell>
          <cell r="F89">
            <v>22298.337695162743</v>
          </cell>
        </row>
        <row r="90">
          <cell r="D90">
            <v>18487</v>
          </cell>
          <cell r="F90">
            <v>326.58</v>
          </cell>
        </row>
        <row r="91">
          <cell r="D91">
            <v>29142</v>
          </cell>
          <cell r="F91">
            <v>0</v>
          </cell>
        </row>
        <row r="92">
          <cell r="D92">
            <v>167187</v>
          </cell>
          <cell r="F92">
            <v>-5904.6</v>
          </cell>
        </row>
        <row r="93">
          <cell r="D93">
            <v>16594</v>
          </cell>
          <cell r="F93">
            <v>-322.13</v>
          </cell>
        </row>
        <row r="94">
          <cell r="D94">
            <v>0</v>
          </cell>
          <cell r="F94">
            <v>0</v>
          </cell>
        </row>
        <row r="98">
          <cell r="D98">
            <v>45227</v>
          </cell>
          <cell r="F98">
            <v>4170.152749800186</v>
          </cell>
        </row>
        <row r="99">
          <cell r="D99">
            <v>3647</v>
          </cell>
          <cell r="F99">
            <v>0</v>
          </cell>
        </row>
        <row r="100">
          <cell r="D100">
            <v>3764</v>
          </cell>
          <cell r="F100">
            <v>-49</v>
          </cell>
        </row>
        <row r="101">
          <cell r="D101">
            <v>0</v>
          </cell>
          <cell r="F101">
            <v>0</v>
          </cell>
        </row>
        <row r="102">
          <cell r="D102">
            <v>10170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90850</v>
          </cell>
          <cell r="F115">
            <v>8376.8186552136303</v>
          </cell>
        </row>
        <row r="116">
          <cell r="D116">
            <v>6989</v>
          </cell>
          <cell r="F116">
            <v>0</v>
          </cell>
        </row>
        <row r="117">
          <cell r="D117">
            <v>17492</v>
          </cell>
          <cell r="F117">
            <v>-15.21</v>
          </cell>
        </row>
        <row r="118">
          <cell r="D118">
            <v>3330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/>
          <cell r="F124"/>
        </row>
        <row r="125">
          <cell r="D125"/>
          <cell r="F125">
            <v>285085.05557955254</v>
          </cell>
        </row>
        <row r="126">
          <cell r="D126"/>
          <cell r="F126">
            <v>43523.743606755786</v>
          </cell>
        </row>
        <row r="127">
          <cell r="D127"/>
          <cell r="F127">
            <v>18956.200813691685</v>
          </cell>
        </row>
        <row r="128">
          <cell r="D128">
            <v>427593</v>
          </cell>
          <cell r="F128">
            <v>-347565</v>
          </cell>
        </row>
        <row r="130">
          <cell r="D130"/>
          <cell r="F130"/>
        </row>
        <row r="131">
          <cell r="D131"/>
          <cell r="F131">
            <v>51117.759097654009</v>
          </cell>
        </row>
        <row r="132">
          <cell r="D132"/>
          <cell r="F132">
            <v>7820.2830936589353</v>
          </cell>
        </row>
        <row r="133">
          <cell r="D133"/>
          <cell r="F133">
            <v>3511.9326547310711</v>
          </cell>
        </row>
        <row r="134">
          <cell r="D134">
            <v>37487</v>
          </cell>
          <cell r="F134">
            <v>-23014.023188338619</v>
          </cell>
        </row>
        <row r="136">
          <cell r="D136"/>
          <cell r="F136">
            <v>517321.53210119792</v>
          </cell>
        </row>
        <row r="137">
          <cell r="D137"/>
          <cell r="F137">
            <v>397548.68985584466</v>
          </cell>
        </row>
        <row r="138">
          <cell r="D138"/>
          <cell r="F138">
            <v>714041.16474735108</v>
          </cell>
        </row>
        <row r="139">
          <cell r="D139">
            <v>1630610</v>
          </cell>
          <cell r="F139">
            <v>-1628911.3867043937</v>
          </cell>
        </row>
        <row r="141">
          <cell r="D141"/>
          <cell r="F141">
            <v>92150.708670795168</v>
          </cell>
        </row>
        <row r="142">
          <cell r="D142"/>
          <cell r="F142">
            <v>70815.520383551062</v>
          </cell>
        </row>
        <row r="143">
          <cell r="D143"/>
          <cell r="F143">
            <v>127192.46207350366</v>
          </cell>
        </row>
        <row r="144">
          <cell r="D144">
            <v>140118</v>
          </cell>
          <cell r="F144">
            <v>-139815.42527763732</v>
          </cell>
        </row>
        <row r="146">
          <cell r="D146"/>
          <cell r="F146">
            <v>38400</v>
          </cell>
        </row>
        <row r="147">
          <cell r="D147"/>
          <cell r="F147">
            <v>0</v>
          </cell>
        </row>
        <row r="148">
          <cell r="D148"/>
          <cell r="F148">
            <v>0</v>
          </cell>
        </row>
        <row r="149">
          <cell r="D149"/>
          <cell r="F149">
            <v>0</v>
          </cell>
        </row>
        <row r="150">
          <cell r="D150">
            <v>39150</v>
          </cell>
          <cell r="F150">
            <v>-38400</v>
          </cell>
        </row>
        <row r="151">
          <cell r="D151">
            <v>161933</v>
          </cell>
          <cell r="F151">
            <v>-917.92</v>
          </cell>
        </row>
        <row r="152">
          <cell r="D152">
            <v>5224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0</v>
          </cell>
          <cell r="F160"/>
        </row>
        <row r="161">
          <cell r="D161">
            <v>4953</v>
          </cell>
          <cell r="F161"/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284944</v>
          </cell>
          <cell r="F177">
            <v>26273.243972385171</v>
          </cell>
        </row>
        <row r="178">
          <cell r="D178">
            <v>22310</v>
          </cell>
          <cell r="F178">
            <v>0</v>
          </cell>
        </row>
        <row r="179">
          <cell r="D179">
            <v>72516</v>
          </cell>
          <cell r="F179">
            <v>6540.1962935102265</v>
          </cell>
        </row>
        <row r="180">
          <cell r="D180">
            <v>5618</v>
          </cell>
          <cell r="F180">
            <v>133.80000000000001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325510</v>
          </cell>
          <cell r="F183">
            <v>29974.506723328115</v>
          </cell>
        </row>
        <row r="184">
          <cell r="D184">
            <v>24525</v>
          </cell>
          <cell r="F184">
            <v>35.82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12365</v>
          </cell>
          <cell r="F188">
            <v>0</v>
          </cell>
        </row>
        <row r="189">
          <cell r="D189">
            <v>118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1543</v>
          </cell>
          <cell r="F191">
            <v>0</v>
          </cell>
        </row>
        <row r="192">
          <cell r="D192">
            <v>192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0</v>
          </cell>
          <cell r="F194">
            <v>0</v>
          </cell>
        </row>
        <row r="195">
          <cell r="D195">
            <v>-834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36950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172827</v>
          </cell>
          <cell r="F205">
            <v>0</v>
          </cell>
        </row>
        <row r="206">
          <cell r="D206">
            <v>19938</v>
          </cell>
          <cell r="F206">
            <v>0</v>
          </cell>
        </row>
        <row r="207">
          <cell r="D207">
            <v>11132</v>
          </cell>
          <cell r="F207">
            <v>-3542.75</v>
          </cell>
        </row>
        <row r="211">
          <cell r="D211">
            <v>119826</v>
          </cell>
          <cell r="F211">
            <v>9603.8890106615054</v>
          </cell>
        </row>
        <row r="212">
          <cell r="D212">
            <v>9783</v>
          </cell>
          <cell r="F212">
            <v>-36.120857142857155</v>
          </cell>
        </row>
        <row r="213">
          <cell r="D213">
            <v>17231</v>
          </cell>
          <cell r="F213">
            <v>-217.5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7866</v>
          </cell>
          <cell r="F216">
            <v>3542.75</v>
          </cell>
        </row>
        <row r="221">
          <cell r="D221">
            <v>6383393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C9">
            <v>10444</v>
          </cell>
          <cell r="D9"/>
          <cell r="E9">
            <v>4430</v>
          </cell>
          <cell r="F9">
            <v>1310</v>
          </cell>
          <cell r="G9">
            <v>0</v>
          </cell>
          <cell r="H9">
            <v>4300</v>
          </cell>
          <cell r="I9">
            <v>1052</v>
          </cell>
          <cell r="J9">
            <v>8</v>
          </cell>
          <cell r="K9">
            <v>688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36600</v>
          </cell>
        </row>
        <row r="30">
          <cell r="N30">
            <v>0.60743169398907104</v>
          </cell>
        </row>
        <row r="32">
          <cell r="N32">
            <v>0.28535519125683062</v>
          </cell>
        </row>
        <row r="34">
          <cell r="N34">
            <v>0.46977329974811088</v>
          </cell>
        </row>
      </sheetData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B-1-2"/>
      <sheetName val="Sch C"/>
      <sheetName val="Sch C-1"/>
      <sheetName val="Sch C-1-2"/>
      <sheetName val="Sch C-1-3"/>
      <sheetName val="Sch C-1-4"/>
      <sheetName val="Sch C-1-5"/>
      <sheetName val="Sch C-1-6"/>
      <sheetName val="Sch C-1-7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46942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1415689</v>
          </cell>
          <cell r="G21">
            <v>0</v>
          </cell>
        </row>
        <row r="27">
          <cell r="E27">
            <v>929979</v>
          </cell>
          <cell r="G27">
            <v>-31013.479502396523</v>
          </cell>
        </row>
        <row r="32">
          <cell r="E32">
            <v>0</v>
          </cell>
          <cell r="G32">
            <v>0</v>
          </cell>
        </row>
        <row r="37">
          <cell r="E37">
            <v>1243869</v>
          </cell>
          <cell r="G37">
            <v>0</v>
          </cell>
        </row>
        <row r="42">
          <cell r="E42">
            <v>36611</v>
          </cell>
          <cell r="G42">
            <v>-1410.9443039808439</v>
          </cell>
        </row>
        <row r="47">
          <cell r="E47">
            <v>0</v>
          </cell>
          <cell r="G47">
            <v>936.17169404306253</v>
          </cell>
        </row>
        <row r="52">
          <cell r="E52">
            <v>217708</v>
          </cell>
          <cell r="G52">
            <v>31488.252112334168</v>
          </cell>
        </row>
        <row r="67">
          <cell r="E67">
            <v>-26810</v>
          </cell>
          <cell r="G67">
            <v>6754</v>
          </cell>
        </row>
        <row r="85">
          <cell r="C85" t="str">
            <v/>
          </cell>
          <cell r="E85" t="str">
            <v/>
          </cell>
          <cell r="G85">
            <v>205.13692810457516</v>
          </cell>
          <cell r="I85">
            <v>205.65754339118826</v>
          </cell>
        </row>
      </sheetData>
      <sheetData sheetId="6"/>
      <sheetData sheetId="7"/>
      <sheetData sheetId="8">
        <row r="10">
          <cell r="D10">
            <v>60726</v>
          </cell>
          <cell r="F10">
            <v>-4482</v>
          </cell>
        </row>
        <row r="11">
          <cell r="D11">
            <v>0</v>
          </cell>
          <cell r="F11">
            <v>0</v>
          </cell>
        </row>
        <row r="12">
          <cell r="D12">
            <v>96570</v>
          </cell>
          <cell r="F12">
            <v>10273.090473422415</v>
          </cell>
        </row>
        <row r="13">
          <cell r="D13">
            <v>201794</v>
          </cell>
          <cell r="F13">
            <v>-190344.91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137662.83236999999</v>
          </cell>
        </row>
        <row r="16">
          <cell r="D16">
            <v>0</v>
          </cell>
          <cell r="F16">
            <v>0</v>
          </cell>
        </row>
        <row r="17">
          <cell r="D17">
            <v>0</v>
          </cell>
          <cell r="F17">
            <v>0</v>
          </cell>
        </row>
        <row r="18">
          <cell r="D18">
            <v>10302</v>
          </cell>
          <cell r="F18">
            <v>0</v>
          </cell>
        </row>
        <row r="19">
          <cell r="D19">
            <v>12530</v>
          </cell>
          <cell r="F19">
            <v>-913</v>
          </cell>
        </row>
        <row r="20">
          <cell r="D20">
            <v>10080</v>
          </cell>
          <cell r="F20">
            <v>-29</v>
          </cell>
        </row>
        <row r="21">
          <cell r="D21">
            <v>1904</v>
          </cell>
          <cell r="F21">
            <v>2930</v>
          </cell>
        </row>
        <row r="22">
          <cell r="D22">
            <v>0</v>
          </cell>
          <cell r="F22">
            <v>0</v>
          </cell>
        </row>
        <row r="23">
          <cell r="D23">
            <v>8842</v>
          </cell>
          <cell r="F23">
            <v>-3634.2700000000004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129174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21606</v>
          </cell>
          <cell r="F31">
            <v>-21606</v>
          </cell>
        </row>
        <row r="32">
          <cell r="D32">
            <v>28293</v>
          </cell>
          <cell r="F32">
            <v>-2965.5</v>
          </cell>
        </row>
        <row r="33">
          <cell r="D33">
            <v>0</v>
          </cell>
          <cell r="F33">
            <v>0</v>
          </cell>
        </row>
        <row r="34">
          <cell r="D34">
            <v>3456</v>
          </cell>
          <cell r="F34">
            <v>0</v>
          </cell>
        </row>
        <row r="35">
          <cell r="D35">
            <v>249</v>
          </cell>
          <cell r="F35">
            <v>-249</v>
          </cell>
        </row>
        <row r="36">
          <cell r="D36">
            <v>0</v>
          </cell>
          <cell r="F36">
            <v>18217.435728571429</v>
          </cell>
        </row>
        <row r="37">
          <cell r="D37">
            <v>0</v>
          </cell>
          <cell r="F37">
            <v>3244.1698733877106</v>
          </cell>
        </row>
        <row r="38">
          <cell r="D38">
            <v>0</v>
          </cell>
          <cell r="F38">
            <v>0</v>
          </cell>
        </row>
        <row r="39">
          <cell r="D39">
            <v>2509</v>
          </cell>
          <cell r="F39">
            <v>0</v>
          </cell>
        </row>
        <row r="40">
          <cell r="D40">
            <v>72807</v>
          </cell>
          <cell r="F40">
            <v>-72807</v>
          </cell>
        </row>
        <row r="41">
          <cell r="D41">
            <v>22140</v>
          </cell>
          <cell r="F41">
            <v>0</v>
          </cell>
        </row>
        <row r="42">
          <cell r="D42">
            <v>32046</v>
          </cell>
          <cell r="F42">
            <v>0</v>
          </cell>
        </row>
        <row r="43">
          <cell r="D43">
            <v>4558</v>
          </cell>
          <cell r="F43">
            <v>0</v>
          </cell>
        </row>
        <row r="44">
          <cell r="D44">
            <v>0</v>
          </cell>
          <cell r="F44">
            <v>-191</v>
          </cell>
        </row>
        <row r="45">
          <cell r="D45">
            <v>18341</v>
          </cell>
          <cell r="F45">
            <v>-1898</v>
          </cell>
        </row>
        <row r="57">
          <cell r="D57">
            <v>266309</v>
          </cell>
          <cell r="F57">
            <v>-266309</v>
          </cell>
        </row>
        <row r="58">
          <cell r="D58">
            <v>0</v>
          </cell>
          <cell r="F58">
            <v>122670.23</v>
          </cell>
        </row>
        <row r="59">
          <cell r="D59">
            <v>0</v>
          </cell>
          <cell r="F59">
            <v>0</v>
          </cell>
        </row>
        <row r="60">
          <cell r="D60">
            <v>47211</v>
          </cell>
          <cell r="F60">
            <v>51944</v>
          </cell>
        </row>
        <row r="61">
          <cell r="D61">
            <v>9912</v>
          </cell>
          <cell r="F61">
            <v>28994</v>
          </cell>
        </row>
        <row r="62">
          <cell r="D62">
            <v>6429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1587</v>
          </cell>
          <cell r="F65">
            <v>-1034</v>
          </cell>
        </row>
        <row r="66">
          <cell r="D66">
            <v>2840</v>
          </cell>
          <cell r="F66">
            <v>0</v>
          </cell>
        </row>
        <row r="67">
          <cell r="D67">
            <v>1539</v>
          </cell>
          <cell r="F67">
            <v>42279.360000000001</v>
          </cell>
        </row>
        <row r="68">
          <cell r="D68">
            <v>288</v>
          </cell>
          <cell r="F68">
            <v>79342</v>
          </cell>
        </row>
        <row r="69">
          <cell r="D69">
            <v>663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56714</v>
          </cell>
          <cell r="F75">
            <v>-14065.586403383326</v>
          </cell>
        </row>
        <row r="76">
          <cell r="D76">
            <v>4241</v>
          </cell>
          <cell r="F76">
            <v>-1328.9976000000001</v>
          </cell>
        </row>
        <row r="77">
          <cell r="D77">
            <v>5050</v>
          </cell>
          <cell r="F77">
            <v>-9</v>
          </cell>
        </row>
        <row r="78">
          <cell r="D78">
            <v>0</v>
          </cell>
          <cell r="F78">
            <v>0</v>
          </cell>
        </row>
        <row r="79">
          <cell r="D79">
            <v>6629</v>
          </cell>
          <cell r="F79">
            <v>0</v>
          </cell>
        </row>
        <row r="80">
          <cell r="D80">
            <v>40652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14954</v>
          </cell>
          <cell r="F82">
            <v>0</v>
          </cell>
        </row>
        <row r="83">
          <cell r="D83">
            <v>4014</v>
          </cell>
          <cell r="F83">
            <v>0</v>
          </cell>
        </row>
        <row r="84">
          <cell r="D84">
            <v>47649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104646</v>
          </cell>
          <cell r="F89">
            <v>11275.054754025718</v>
          </cell>
        </row>
        <row r="90">
          <cell r="D90">
            <v>9269</v>
          </cell>
          <cell r="F90">
            <v>-288.63</v>
          </cell>
        </row>
        <row r="91">
          <cell r="D91">
            <v>19534</v>
          </cell>
          <cell r="F91">
            <v>0</v>
          </cell>
        </row>
        <row r="92">
          <cell r="D92">
            <v>82032</v>
          </cell>
          <cell r="F92">
            <v>-2155</v>
          </cell>
        </row>
        <row r="93">
          <cell r="D93">
            <v>11284</v>
          </cell>
          <cell r="F93">
            <v>-63</v>
          </cell>
        </row>
        <row r="94">
          <cell r="D94">
            <v>0</v>
          </cell>
          <cell r="F94">
            <v>0</v>
          </cell>
        </row>
        <row r="98">
          <cell r="D98">
            <v>17742</v>
          </cell>
          <cell r="F98">
            <v>1857.5483421052161</v>
          </cell>
        </row>
        <row r="99">
          <cell r="D99">
            <v>1503</v>
          </cell>
          <cell r="F99">
            <v>0</v>
          </cell>
        </row>
        <row r="100">
          <cell r="D100">
            <v>1653</v>
          </cell>
          <cell r="F100">
            <v>-17.5</v>
          </cell>
        </row>
        <row r="101">
          <cell r="D101">
            <v>0</v>
          </cell>
          <cell r="F101">
            <v>0</v>
          </cell>
        </row>
        <row r="102">
          <cell r="D102">
            <v>5639</v>
          </cell>
          <cell r="F102">
            <v>0</v>
          </cell>
        </row>
        <row r="103">
          <cell r="D103">
            <v>5</v>
          </cell>
          <cell r="F103">
            <v>0</v>
          </cell>
        </row>
        <row r="115">
          <cell r="D115">
            <v>66024</v>
          </cell>
          <cell r="F115">
            <v>6912.5674523252619</v>
          </cell>
        </row>
        <row r="116">
          <cell r="D116">
            <v>5541</v>
          </cell>
          <cell r="F116">
            <v>0</v>
          </cell>
        </row>
        <row r="117">
          <cell r="D117">
            <v>7550</v>
          </cell>
          <cell r="F117">
            <v>-51.5</v>
          </cell>
        </row>
        <row r="118">
          <cell r="D118">
            <v>264</v>
          </cell>
          <cell r="F118">
            <v>0</v>
          </cell>
        </row>
        <row r="119">
          <cell r="D119">
            <v>16</v>
          </cell>
          <cell r="F119">
            <v>0</v>
          </cell>
        </row>
        <row r="124">
          <cell r="D124"/>
          <cell r="F124"/>
        </row>
        <row r="125">
          <cell r="D125"/>
          <cell r="F125">
            <v>150609.8061422637</v>
          </cell>
        </row>
        <row r="126">
          <cell r="D126"/>
          <cell r="F126">
            <v>35381.80528630771</v>
          </cell>
        </row>
        <row r="127">
          <cell r="D127"/>
          <cell r="F127">
            <v>0</v>
          </cell>
        </row>
        <row r="128">
          <cell r="D128">
            <v>232554</v>
          </cell>
          <cell r="F128">
            <v>-189853</v>
          </cell>
        </row>
        <row r="130">
          <cell r="D130"/>
          <cell r="F130"/>
        </row>
        <row r="131">
          <cell r="D131"/>
          <cell r="F131">
            <v>27347.267900856674</v>
          </cell>
        </row>
        <row r="132">
          <cell r="D132"/>
          <cell r="F132">
            <v>6263.9232497295916</v>
          </cell>
        </row>
        <row r="133">
          <cell r="D133"/>
          <cell r="F133">
            <v>0</v>
          </cell>
        </row>
        <row r="134">
          <cell r="D134">
            <v>16958</v>
          </cell>
          <cell r="F134">
            <v>-9263.2993035602049</v>
          </cell>
        </row>
        <row r="136">
          <cell r="D136"/>
          <cell r="F136">
            <v>311660.35875927715</v>
          </cell>
        </row>
        <row r="137">
          <cell r="D137"/>
          <cell r="F137">
            <v>239503.20954457379</v>
          </cell>
        </row>
        <row r="138">
          <cell r="D138"/>
          <cell r="F138">
            <v>430174.1021104817</v>
          </cell>
        </row>
        <row r="139">
          <cell r="D139">
            <v>982361</v>
          </cell>
          <cell r="F139">
            <v>-981337.67041433265</v>
          </cell>
        </row>
        <row r="141">
          <cell r="D141"/>
          <cell r="F141">
            <v>70464.82793370515</v>
          </cell>
        </row>
        <row r="142">
          <cell r="D142"/>
          <cell r="F142">
            <v>36743.105681738045</v>
          </cell>
        </row>
        <row r="143">
          <cell r="D143"/>
          <cell r="F143">
            <v>73583.12013141661</v>
          </cell>
        </row>
        <row r="144">
          <cell r="D144">
            <v>78219</v>
          </cell>
          <cell r="F144">
            <v>-77940.019652686518</v>
          </cell>
        </row>
        <row r="146">
          <cell r="D146"/>
          <cell r="F146">
            <v>21000</v>
          </cell>
        </row>
        <row r="147">
          <cell r="D147"/>
          <cell r="F147">
            <v>0</v>
          </cell>
        </row>
        <row r="148">
          <cell r="D148"/>
          <cell r="F148">
            <v>0</v>
          </cell>
        </row>
        <row r="149">
          <cell r="D149"/>
          <cell r="F149">
            <v>0</v>
          </cell>
        </row>
        <row r="150">
          <cell r="D150">
            <v>21390</v>
          </cell>
          <cell r="F150">
            <v>-21000</v>
          </cell>
        </row>
        <row r="151">
          <cell r="D151">
            <v>63158</v>
          </cell>
          <cell r="F151">
            <v>-227.5</v>
          </cell>
        </row>
        <row r="152">
          <cell r="D152">
            <v>4691</v>
          </cell>
          <cell r="F152">
            <v>-15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/>
          <cell r="F156"/>
        </row>
        <row r="157">
          <cell r="D157"/>
          <cell r="F157">
            <v>3861.3885714285716</v>
          </cell>
        </row>
        <row r="158">
          <cell r="D158"/>
          <cell r="F158"/>
        </row>
        <row r="159">
          <cell r="D159"/>
          <cell r="F159"/>
        </row>
        <row r="160">
          <cell r="D160">
            <v>0</v>
          </cell>
          <cell r="F160">
            <v>-1750</v>
          </cell>
        </row>
        <row r="161">
          <cell r="D161">
            <v>2142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193882</v>
          </cell>
          <cell r="F177">
            <v>20299.018580996704</v>
          </cell>
        </row>
        <row r="178">
          <cell r="D178">
            <v>16051</v>
          </cell>
          <cell r="F178">
            <v>0</v>
          </cell>
        </row>
        <row r="179">
          <cell r="D179">
            <v>48973</v>
          </cell>
          <cell r="F179">
            <v>5243.170759250459</v>
          </cell>
        </row>
        <row r="180">
          <cell r="D180">
            <v>4384</v>
          </cell>
          <cell r="F180">
            <v>-104.83000000000001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224345</v>
          </cell>
          <cell r="F183">
            <v>23488.427618622183</v>
          </cell>
        </row>
        <row r="184">
          <cell r="D184">
            <v>17125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6150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652</v>
          </cell>
          <cell r="F191">
            <v>0</v>
          </cell>
        </row>
        <row r="192">
          <cell r="D192">
            <v>251</v>
          </cell>
          <cell r="F192">
            <v>0</v>
          </cell>
        </row>
        <row r="193">
          <cell r="D193">
            <v>2310</v>
          </cell>
          <cell r="F193">
            <v>0</v>
          </cell>
        </row>
        <row r="194">
          <cell r="D194">
            <v>5750</v>
          </cell>
          <cell r="F194">
            <v>0</v>
          </cell>
        </row>
        <row r="195">
          <cell r="D195">
            <v>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24518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162956</v>
          </cell>
          <cell r="F205">
            <v>0</v>
          </cell>
        </row>
        <row r="206">
          <cell r="D206">
            <v>10973</v>
          </cell>
          <cell r="F206">
            <v>0</v>
          </cell>
        </row>
        <row r="207">
          <cell r="D207">
            <v>5385</v>
          </cell>
          <cell r="F207">
            <v>0</v>
          </cell>
        </row>
        <row r="211">
          <cell r="D211">
            <v>78495</v>
          </cell>
          <cell r="F211">
            <v>6740.6945111354371</v>
          </cell>
        </row>
        <row r="212">
          <cell r="D212">
            <v>7436</v>
          </cell>
          <cell r="F212">
            <v>-98.16685714285714</v>
          </cell>
        </row>
        <row r="213">
          <cell r="D213">
            <v>9041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1905</v>
          </cell>
          <cell r="F216">
            <v>0</v>
          </cell>
        </row>
        <row r="221">
          <cell r="D221">
            <v>3809365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C9">
            <v>297</v>
          </cell>
          <cell r="D9"/>
          <cell r="E9">
            <v>2829</v>
          </cell>
          <cell r="F9">
            <v>2068</v>
          </cell>
          <cell r="G9">
            <v>0</v>
          </cell>
          <cell r="H9">
            <v>6056</v>
          </cell>
          <cell r="I9">
            <v>192</v>
          </cell>
          <cell r="J9">
            <v>5</v>
          </cell>
          <cell r="K9">
            <v>561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18200</v>
          </cell>
        </row>
        <row r="30">
          <cell r="N30">
            <v>0.65978021978021983</v>
          </cell>
        </row>
        <row r="32">
          <cell r="N32">
            <v>1.6318681318681319E-2</v>
          </cell>
        </row>
        <row r="34">
          <cell r="N34">
            <v>2.4733510992671549E-2</v>
          </cell>
        </row>
      </sheetData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1046428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723619</v>
          </cell>
          <cell r="G21">
            <v>0</v>
          </cell>
        </row>
        <row r="27">
          <cell r="E27">
            <v>135032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283551</v>
          </cell>
          <cell r="G37">
            <v>-137002.68</v>
          </cell>
        </row>
        <row r="42">
          <cell r="E42">
            <v>229866</v>
          </cell>
          <cell r="G42">
            <v>0</v>
          </cell>
        </row>
        <row r="47">
          <cell r="E47">
            <v>0</v>
          </cell>
          <cell r="G47">
            <v>137003</v>
          </cell>
        </row>
        <row r="52">
          <cell r="E52">
            <v>100207</v>
          </cell>
          <cell r="G52">
            <v>0</v>
          </cell>
        </row>
        <row r="67">
          <cell r="E67">
            <v>700</v>
          </cell>
          <cell r="G67">
            <v>-88</v>
          </cell>
        </row>
      </sheetData>
      <sheetData sheetId="6"/>
      <sheetData sheetId="7">
        <row r="10">
          <cell r="D10">
            <v>54991</v>
          </cell>
          <cell r="F10"/>
        </row>
        <row r="11">
          <cell r="D11"/>
          <cell r="F11"/>
        </row>
        <row r="12">
          <cell r="D12">
            <v>117782</v>
          </cell>
          <cell r="F12"/>
        </row>
        <row r="13">
          <cell r="D13">
            <v>23652</v>
          </cell>
          <cell r="F13">
            <v>-1098</v>
          </cell>
        </row>
        <row r="14">
          <cell r="D14"/>
          <cell r="F14"/>
        </row>
        <row r="15">
          <cell r="D15"/>
          <cell r="F15"/>
        </row>
        <row r="16">
          <cell r="D16">
            <v>75585</v>
          </cell>
          <cell r="F16">
            <v>8116</v>
          </cell>
        </row>
        <row r="17">
          <cell r="D17">
            <v>8716</v>
          </cell>
          <cell r="F17">
            <v>-1642</v>
          </cell>
        </row>
        <row r="18">
          <cell r="D18">
            <v>16148</v>
          </cell>
          <cell r="F18"/>
        </row>
        <row r="19">
          <cell r="D19">
            <v>9882</v>
          </cell>
          <cell r="F19"/>
        </row>
        <row r="20">
          <cell r="D20">
            <v>23099</v>
          </cell>
          <cell r="F20"/>
        </row>
        <row r="21">
          <cell r="D21">
            <v>17104</v>
          </cell>
          <cell r="F21"/>
        </row>
        <row r="22">
          <cell r="D22"/>
          <cell r="F22"/>
        </row>
        <row r="23">
          <cell r="D23">
            <v>650</v>
          </cell>
          <cell r="F23"/>
        </row>
        <row r="24">
          <cell r="D24">
            <v>4350</v>
          </cell>
          <cell r="F24"/>
        </row>
        <row r="25">
          <cell r="D25"/>
          <cell r="F25"/>
        </row>
        <row r="26">
          <cell r="D26">
            <v>165127</v>
          </cell>
          <cell r="F26"/>
        </row>
        <row r="27">
          <cell r="D27">
            <v>-65</v>
          </cell>
          <cell r="F27">
            <v>65</v>
          </cell>
        </row>
        <row r="28">
          <cell r="D28"/>
          <cell r="F28">
            <v>0</v>
          </cell>
        </row>
        <row r="29">
          <cell r="D29">
            <v>131672</v>
          </cell>
          <cell r="F29">
            <v>-131672</v>
          </cell>
        </row>
        <row r="30">
          <cell r="D30"/>
          <cell r="F30">
            <v>0</v>
          </cell>
        </row>
        <row r="31">
          <cell r="D31"/>
          <cell r="F31">
            <v>13828</v>
          </cell>
        </row>
        <row r="32">
          <cell r="D32">
            <v>5647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769</v>
          </cell>
          <cell r="F39"/>
        </row>
        <row r="40">
          <cell r="D40"/>
          <cell r="F40"/>
        </row>
        <row r="41">
          <cell r="D41">
            <v>1984</v>
          </cell>
          <cell r="F41"/>
        </row>
        <row r="42">
          <cell r="D42"/>
          <cell r="F42"/>
        </row>
        <row r="43">
          <cell r="D43">
            <v>1593</v>
          </cell>
          <cell r="F43"/>
        </row>
        <row r="44">
          <cell r="D44">
            <v>1204</v>
          </cell>
          <cell r="F44"/>
        </row>
        <row r="45">
          <cell r="D45">
            <v>7091</v>
          </cell>
          <cell r="F45"/>
        </row>
        <row r="57">
          <cell r="D57"/>
          <cell r="F57"/>
        </row>
        <row r="58">
          <cell r="D58">
            <v>14559</v>
          </cell>
          <cell r="F58">
            <v>217383</v>
          </cell>
        </row>
        <row r="59">
          <cell r="D59">
            <v>233487</v>
          </cell>
          <cell r="F59">
            <v>-184520</v>
          </cell>
        </row>
        <row r="60">
          <cell r="D60">
            <v>18264</v>
          </cell>
          <cell r="F60">
            <v>26299</v>
          </cell>
        </row>
        <row r="61">
          <cell r="D61">
            <v>1187</v>
          </cell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6350</v>
          </cell>
          <cell r="F67">
            <v>78745</v>
          </cell>
        </row>
        <row r="68">
          <cell r="D68"/>
          <cell r="F68"/>
        </row>
        <row r="69">
          <cell r="D69">
            <v>2760</v>
          </cell>
          <cell r="F69">
            <v>-2760</v>
          </cell>
        </row>
        <row r="70">
          <cell r="D70"/>
          <cell r="F70"/>
        </row>
        <row r="71">
          <cell r="D71"/>
          <cell r="F71"/>
        </row>
        <row r="75">
          <cell r="D75">
            <v>16206</v>
          </cell>
          <cell r="F75"/>
        </row>
        <row r="76">
          <cell r="D76">
            <v>3426</v>
          </cell>
          <cell r="F76">
            <v>-165</v>
          </cell>
        </row>
        <row r="77">
          <cell r="D77">
            <v>8876</v>
          </cell>
          <cell r="F77">
            <v>-88</v>
          </cell>
        </row>
        <row r="78">
          <cell r="D78">
            <v>15045</v>
          </cell>
          <cell r="F78"/>
        </row>
        <row r="79">
          <cell r="D79"/>
          <cell r="F79"/>
        </row>
        <row r="80">
          <cell r="D80">
            <v>15903</v>
          </cell>
          <cell r="F80"/>
        </row>
        <row r="81">
          <cell r="D81"/>
          <cell r="F81"/>
        </row>
        <row r="82">
          <cell r="D82">
            <v>10972</v>
          </cell>
          <cell r="F82"/>
        </row>
        <row r="83">
          <cell r="D83"/>
          <cell r="F83"/>
        </row>
        <row r="84">
          <cell r="D84">
            <v>45089</v>
          </cell>
          <cell r="F84"/>
        </row>
        <row r="85">
          <cell r="D85"/>
          <cell r="F85"/>
        </row>
        <row r="89">
          <cell r="D89">
            <v>114171</v>
          </cell>
          <cell r="F89"/>
        </row>
        <row r="90">
          <cell r="D90">
            <v>24283</v>
          </cell>
          <cell r="F90">
            <v>-1161</v>
          </cell>
        </row>
        <row r="91">
          <cell r="D91"/>
          <cell r="F91"/>
        </row>
        <row r="92">
          <cell r="D92">
            <v>89926</v>
          </cell>
          <cell r="F92"/>
        </row>
        <row r="93">
          <cell r="D93">
            <v>6124</v>
          </cell>
          <cell r="F93"/>
        </row>
        <row r="94">
          <cell r="D94"/>
          <cell r="F94"/>
        </row>
        <row r="98">
          <cell r="D98">
            <v>11026</v>
          </cell>
          <cell r="F98"/>
        </row>
        <row r="99">
          <cell r="D99">
            <v>2340</v>
          </cell>
          <cell r="F99">
            <v>-112</v>
          </cell>
        </row>
        <row r="100">
          <cell r="D100">
            <v>2516</v>
          </cell>
          <cell r="F100"/>
        </row>
        <row r="101">
          <cell r="D101"/>
          <cell r="F101"/>
        </row>
        <row r="102">
          <cell r="D102">
            <v>2093</v>
          </cell>
          <cell r="F102"/>
        </row>
        <row r="103">
          <cell r="D103"/>
          <cell r="F103"/>
        </row>
        <row r="115">
          <cell r="D115">
            <v>58708</v>
          </cell>
          <cell r="F115"/>
        </row>
        <row r="116">
          <cell r="D116">
            <v>12439</v>
          </cell>
          <cell r="F116">
            <v>-597</v>
          </cell>
        </row>
        <row r="117">
          <cell r="D117">
            <v>6050</v>
          </cell>
          <cell r="F117"/>
        </row>
        <row r="118">
          <cell r="D118">
            <v>458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75402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9512</v>
          </cell>
          <cell r="F128"/>
        </row>
        <row r="130">
          <cell r="D130"/>
          <cell r="F130"/>
        </row>
        <row r="131">
          <cell r="D131"/>
          <cell r="F131">
            <v>15183</v>
          </cell>
        </row>
        <row r="132">
          <cell r="D132"/>
          <cell r="F132"/>
        </row>
        <row r="133">
          <cell r="D133"/>
          <cell r="F133"/>
        </row>
        <row r="134">
          <cell r="D134">
            <v>2038</v>
          </cell>
          <cell r="F134"/>
        </row>
        <row r="136">
          <cell r="D136">
            <v>314801</v>
          </cell>
          <cell r="F136">
            <v>7251</v>
          </cell>
        </row>
        <row r="137">
          <cell r="D137">
            <v>84443</v>
          </cell>
          <cell r="F137">
            <v>3862</v>
          </cell>
        </row>
        <row r="138">
          <cell r="D138">
            <v>296824</v>
          </cell>
          <cell r="F138">
            <v>5311</v>
          </cell>
        </row>
        <row r="139">
          <cell r="D139">
            <v>16424</v>
          </cell>
          <cell r="F139">
            <v>-16424</v>
          </cell>
        </row>
        <row r="141">
          <cell r="D141"/>
          <cell r="F141">
            <v>70485</v>
          </cell>
        </row>
        <row r="142">
          <cell r="D142"/>
          <cell r="F142">
            <v>17970</v>
          </cell>
        </row>
        <row r="143">
          <cell r="D143"/>
          <cell r="F143">
            <v>55604</v>
          </cell>
        </row>
        <row r="144">
          <cell r="D144">
            <v>167349</v>
          </cell>
          <cell r="F144">
            <v>-167349</v>
          </cell>
        </row>
        <row r="146">
          <cell r="D146">
            <v>20916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/>
          <cell r="F150"/>
        </row>
        <row r="151">
          <cell r="D151">
            <v>78660</v>
          </cell>
          <cell r="F151"/>
        </row>
        <row r="152">
          <cell r="D152">
            <v>446</v>
          </cell>
          <cell r="F152"/>
        </row>
        <row r="153">
          <cell r="D153">
            <v>8194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3468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74884</v>
          </cell>
          <cell r="F177"/>
        </row>
        <row r="178">
          <cell r="D178">
            <v>14580</v>
          </cell>
          <cell r="F178">
            <v>-701</v>
          </cell>
        </row>
        <row r="179">
          <cell r="D179">
            <v>22877</v>
          </cell>
          <cell r="F179"/>
        </row>
        <row r="180">
          <cell r="D180">
            <v>4866</v>
          </cell>
          <cell r="F180">
            <v>-233</v>
          </cell>
        </row>
        <row r="181">
          <cell r="D181"/>
          <cell r="F181"/>
        </row>
        <row r="182">
          <cell r="D182"/>
          <cell r="F182"/>
        </row>
        <row r="183">
          <cell r="D183">
            <v>78573</v>
          </cell>
          <cell r="F183"/>
        </row>
        <row r="184">
          <cell r="D184">
            <v>16602</v>
          </cell>
          <cell r="F184">
            <v>-799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6077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36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1899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>
            <v>-743</v>
          </cell>
          <cell r="F197"/>
        </row>
        <row r="198">
          <cell r="D198">
            <v>14380</v>
          </cell>
          <cell r="F198"/>
        </row>
        <row r="199">
          <cell r="D199">
            <v>1354</v>
          </cell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56936</v>
          </cell>
          <cell r="F205"/>
        </row>
        <row r="206">
          <cell r="D206">
            <v>204</v>
          </cell>
          <cell r="F206"/>
        </row>
        <row r="207">
          <cell r="D207"/>
          <cell r="F207"/>
        </row>
        <row r="211">
          <cell r="D211">
            <v>84144</v>
          </cell>
          <cell r="F211"/>
        </row>
        <row r="212">
          <cell r="D212">
            <v>17855</v>
          </cell>
          <cell r="F212">
            <v>-855</v>
          </cell>
        </row>
        <row r="213">
          <cell r="D213">
            <v>1685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2864</v>
          </cell>
          <cell r="F216"/>
        </row>
        <row r="221">
          <cell r="D221">
            <v>2866789</v>
          </cell>
        </row>
      </sheetData>
      <sheetData sheetId="8"/>
      <sheetData sheetId="9"/>
      <sheetData sheetId="10">
        <row r="9">
          <cell r="C9">
            <v>6373</v>
          </cell>
          <cell r="D9"/>
          <cell r="E9">
            <v>1324</v>
          </cell>
          <cell r="F9">
            <v>402</v>
          </cell>
          <cell r="G9"/>
          <cell r="H9">
            <v>510</v>
          </cell>
          <cell r="I9">
            <v>1297</v>
          </cell>
          <cell r="J9">
            <v>664</v>
          </cell>
          <cell r="K9">
            <v>141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17500</v>
          </cell>
        </row>
        <row r="30">
          <cell r="N30">
            <v>0.61205714285714286</v>
          </cell>
        </row>
        <row r="32">
          <cell r="N32">
            <v>0.36417142857142859</v>
          </cell>
        </row>
        <row r="34">
          <cell r="N34">
            <v>0.59499579871160491</v>
          </cell>
        </row>
      </sheetData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1046428</v>
          </cell>
        </row>
        <row r="85">
          <cell r="C85">
            <v>244.48367952522256</v>
          </cell>
          <cell r="E85">
            <v>370.84971098265896</v>
          </cell>
        </row>
      </sheetData>
      <sheetData sheetId="6"/>
      <sheetData sheetId="7">
        <row r="10">
          <cell r="D10">
            <v>54991</v>
          </cell>
        </row>
      </sheetData>
      <sheetData sheetId="8"/>
      <sheetData sheetId="9"/>
      <sheetData sheetId="10">
        <row r="9">
          <cell r="C9">
            <v>6373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85">
          <cell r="G85">
            <v>260.58854296388546</v>
          </cell>
          <cell r="I85">
            <v>269.6838227848101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601981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303300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40367</v>
          </cell>
          <cell r="G37">
            <v>0</v>
          </cell>
        </row>
        <row r="42">
          <cell r="E42">
            <v>103863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7283</v>
          </cell>
          <cell r="G67">
            <v>0</v>
          </cell>
        </row>
      </sheetData>
      <sheetData sheetId="6"/>
      <sheetData sheetId="7">
        <row r="10">
          <cell r="D10">
            <v>39568</v>
          </cell>
          <cell r="F10"/>
        </row>
        <row r="11">
          <cell r="D11"/>
          <cell r="F11"/>
        </row>
        <row r="12">
          <cell r="D12">
            <v>20627</v>
          </cell>
          <cell r="F12"/>
        </row>
        <row r="13">
          <cell r="D13">
            <v>3650</v>
          </cell>
          <cell r="F13"/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/>
          <cell r="F17"/>
        </row>
        <row r="18">
          <cell r="D18">
            <v>3588</v>
          </cell>
          <cell r="F18"/>
        </row>
        <row r="19">
          <cell r="D19">
            <v>7169</v>
          </cell>
          <cell r="F19"/>
        </row>
        <row r="20">
          <cell r="D20">
            <v>2423</v>
          </cell>
          <cell r="F20"/>
        </row>
        <row r="21">
          <cell r="D21">
            <v>13872</v>
          </cell>
          <cell r="F21"/>
        </row>
        <row r="22">
          <cell r="D22"/>
          <cell r="F22"/>
        </row>
        <row r="23">
          <cell r="D23">
            <v>3480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75094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/>
          <cell r="F29">
            <v>0</v>
          </cell>
        </row>
        <row r="30">
          <cell r="D30"/>
          <cell r="F30">
            <v>0</v>
          </cell>
        </row>
        <row r="31">
          <cell r="D31">
            <v>7675</v>
          </cell>
          <cell r="F31"/>
        </row>
        <row r="32">
          <cell r="D32">
            <v>7269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754</v>
          </cell>
          <cell r="F39"/>
        </row>
        <row r="40">
          <cell r="D40">
            <v>165</v>
          </cell>
          <cell r="F40"/>
        </row>
        <row r="41">
          <cell r="D41">
            <v>14126</v>
          </cell>
          <cell r="F41"/>
        </row>
        <row r="42">
          <cell r="D42"/>
          <cell r="F42"/>
        </row>
        <row r="43">
          <cell r="D43">
            <v>2488</v>
          </cell>
          <cell r="F43">
            <v>-2488</v>
          </cell>
        </row>
        <row r="44">
          <cell r="D44"/>
          <cell r="F44"/>
        </row>
        <row r="45">
          <cell r="D45">
            <v>1471</v>
          </cell>
          <cell r="F45"/>
        </row>
        <row r="57">
          <cell r="D57">
            <v>58055</v>
          </cell>
          <cell r="F57"/>
        </row>
        <row r="58">
          <cell r="D58"/>
          <cell r="F58"/>
        </row>
        <row r="59">
          <cell r="D59"/>
          <cell r="F59"/>
        </row>
        <row r="60">
          <cell r="D60">
            <v>10812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2039</v>
          </cell>
          <cell r="F65"/>
        </row>
        <row r="66">
          <cell r="D66"/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11250</v>
          </cell>
          <cell r="F75"/>
        </row>
        <row r="76">
          <cell r="D76">
            <v>999</v>
          </cell>
          <cell r="F76"/>
        </row>
        <row r="77">
          <cell r="D77">
            <v>2429</v>
          </cell>
          <cell r="F77"/>
        </row>
        <row r="78">
          <cell r="D78">
            <v>49</v>
          </cell>
          <cell r="F78"/>
        </row>
        <row r="79">
          <cell r="D79"/>
          <cell r="F79"/>
        </row>
        <row r="80">
          <cell r="D80">
            <v>5819</v>
          </cell>
          <cell r="F80"/>
        </row>
        <row r="81">
          <cell r="D81"/>
          <cell r="F81"/>
        </row>
        <row r="82">
          <cell r="D82">
            <v>391</v>
          </cell>
          <cell r="F82"/>
        </row>
        <row r="83">
          <cell r="D83"/>
          <cell r="F83"/>
        </row>
        <row r="84">
          <cell r="D84">
            <v>13351</v>
          </cell>
          <cell r="F84"/>
        </row>
        <row r="85">
          <cell r="D85">
            <v>1210</v>
          </cell>
          <cell r="F85"/>
        </row>
        <row r="89">
          <cell r="D89">
            <v>41847</v>
          </cell>
          <cell r="F89"/>
        </row>
        <row r="90">
          <cell r="D90">
            <v>3594</v>
          </cell>
          <cell r="F90"/>
        </row>
        <row r="91">
          <cell r="D91">
            <v>800</v>
          </cell>
          <cell r="F91"/>
        </row>
        <row r="92">
          <cell r="D92">
            <v>25796</v>
          </cell>
          <cell r="F92"/>
        </row>
        <row r="93">
          <cell r="D93">
            <v>2427</v>
          </cell>
          <cell r="F93"/>
        </row>
        <row r="94">
          <cell r="D94"/>
          <cell r="F94"/>
        </row>
        <row r="98">
          <cell r="D98">
            <v>6207</v>
          </cell>
          <cell r="F98"/>
        </row>
        <row r="99">
          <cell r="D99">
            <v>533</v>
          </cell>
          <cell r="F99"/>
        </row>
        <row r="100">
          <cell r="D100">
            <v>1136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>
            <v>11</v>
          </cell>
          <cell r="F103"/>
        </row>
        <row r="115">
          <cell r="D115">
            <v>10755</v>
          </cell>
          <cell r="F115"/>
        </row>
        <row r="116">
          <cell r="D116">
            <v>944</v>
          </cell>
          <cell r="F116"/>
        </row>
        <row r="117">
          <cell r="D117">
            <v>1957</v>
          </cell>
          <cell r="F117"/>
        </row>
        <row r="118">
          <cell r="D118">
            <v>370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24584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/>
          <cell r="F128"/>
        </row>
        <row r="130">
          <cell r="D130"/>
          <cell r="F130"/>
        </row>
        <row r="131">
          <cell r="D131"/>
          <cell r="F131">
            <v>2054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94067</v>
          </cell>
          <cell r="F136">
            <v>3376</v>
          </cell>
        </row>
        <row r="137">
          <cell r="D137">
            <v>29174</v>
          </cell>
          <cell r="F137">
            <v>-3376</v>
          </cell>
        </row>
        <row r="138">
          <cell r="D138">
            <v>98828</v>
          </cell>
          <cell r="F138"/>
        </row>
        <row r="139">
          <cell r="D139"/>
          <cell r="F139"/>
        </row>
        <row r="141">
          <cell r="D141"/>
          <cell r="F141">
            <v>7861</v>
          </cell>
        </row>
        <row r="142">
          <cell r="D142">
            <v>12353</v>
          </cell>
          <cell r="F142">
            <v>-9915</v>
          </cell>
        </row>
        <row r="143">
          <cell r="D143">
            <v>8645</v>
          </cell>
          <cell r="F143"/>
        </row>
        <row r="144">
          <cell r="D144"/>
          <cell r="F144"/>
        </row>
        <row r="146">
          <cell r="D146">
            <v>4000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1418</v>
          </cell>
          <cell r="F150"/>
        </row>
        <row r="151">
          <cell r="D151">
            <v>15859</v>
          </cell>
          <cell r="F151"/>
        </row>
        <row r="152">
          <cell r="D152">
            <v>7259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635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42734</v>
          </cell>
          <cell r="F194"/>
        </row>
        <row r="195">
          <cell r="D195">
            <v>16892</v>
          </cell>
          <cell r="F195"/>
        </row>
        <row r="196">
          <cell r="D196"/>
          <cell r="F196"/>
        </row>
        <row r="197">
          <cell r="D197">
            <v>35847</v>
          </cell>
          <cell r="F197"/>
        </row>
        <row r="198">
          <cell r="D198">
            <v>4453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34647</v>
          </cell>
          <cell r="F205"/>
        </row>
        <row r="206">
          <cell r="D206">
            <v>378</v>
          </cell>
          <cell r="F206"/>
        </row>
        <row r="207">
          <cell r="D207"/>
          <cell r="F207"/>
        </row>
        <row r="211">
          <cell r="D211">
            <v>31751</v>
          </cell>
          <cell r="F211"/>
        </row>
        <row r="212">
          <cell r="D212">
            <v>2773</v>
          </cell>
          <cell r="F212"/>
        </row>
        <row r="213">
          <cell r="D213">
            <v>3361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1240</v>
          </cell>
          <cell r="F216"/>
        </row>
        <row r="221">
          <cell r="D221">
            <v>877098</v>
          </cell>
        </row>
      </sheetData>
      <sheetData sheetId="8"/>
      <sheetData sheetId="9"/>
      <sheetData sheetId="10">
        <row r="9">
          <cell r="C9">
            <v>3298</v>
          </cell>
          <cell r="D9"/>
          <cell r="E9">
            <v>700</v>
          </cell>
          <cell r="F9"/>
          <cell r="G9"/>
          <cell r="H9">
            <v>245</v>
          </cell>
          <cell r="I9">
            <v>557</v>
          </cell>
          <cell r="J9"/>
          <cell r="K9"/>
        </row>
        <row r="22">
          <cell r="N22">
            <v>41</v>
          </cell>
        </row>
        <row r="24">
          <cell r="N24">
            <v>41</v>
          </cell>
        </row>
        <row r="28">
          <cell r="N28">
            <v>5043</v>
          </cell>
        </row>
        <row r="30">
          <cell r="N30">
            <v>0.95181439619274244</v>
          </cell>
        </row>
        <row r="32">
          <cell r="N32">
            <v>0.65397580805076339</v>
          </cell>
        </row>
        <row r="34">
          <cell r="N34">
            <v>0.68708333333333327</v>
          </cell>
        </row>
      </sheetData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3793397</v>
          </cell>
          <cell r="G10">
            <v>0</v>
          </cell>
        </row>
        <row r="15">
          <cell r="E15">
            <v>489666</v>
          </cell>
          <cell r="G15">
            <v>0</v>
          </cell>
        </row>
        <row r="21">
          <cell r="E21">
            <v>566433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971509</v>
          </cell>
          <cell r="G32">
            <v>0</v>
          </cell>
        </row>
        <row r="37">
          <cell r="E37">
            <v>252764</v>
          </cell>
          <cell r="G37">
            <v>0</v>
          </cell>
        </row>
        <row r="42">
          <cell r="E42">
            <v>289717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51365</v>
          </cell>
          <cell r="G67">
            <v>0</v>
          </cell>
        </row>
        <row r="85">
          <cell r="C85">
            <v>279.78350515463916</v>
          </cell>
          <cell r="E85">
            <v>292</v>
          </cell>
          <cell r="G85">
            <v>267.3435114503817</v>
          </cell>
          <cell r="I85">
            <v>262.15438596491231</v>
          </cell>
        </row>
      </sheetData>
      <sheetData sheetId="6"/>
      <sheetData sheetId="7">
        <row r="10">
          <cell r="D10">
            <v>132940</v>
          </cell>
          <cell r="F10"/>
        </row>
        <row r="11">
          <cell r="D11">
            <v>71062</v>
          </cell>
          <cell r="F11"/>
        </row>
        <row r="12">
          <cell r="D12">
            <v>101143</v>
          </cell>
          <cell r="F12"/>
        </row>
        <row r="13">
          <cell r="D13">
            <v>31263</v>
          </cell>
          <cell r="F13"/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>
            <v>7284</v>
          </cell>
          <cell r="F17"/>
        </row>
        <row r="18">
          <cell r="D18">
            <v>16087</v>
          </cell>
          <cell r="F18"/>
        </row>
        <row r="19">
          <cell r="D19">
            <v>13994</v>
          </cell>
          <cell r="F19"/>
        </row>
        <row r="20">
          <cell r="D20">
            <v>39684</v>
          </cell>
          <cell r="F20"/>
        </row>
        <row r="21">
          <cell r="D21">
            <v>5407</v>
          </cell>
          <cell r="F21"/>
        </row>
        <row r="22">
          <cell r="D22"/>
          <cell r="F22"/>
        </row>
        <row r="23">
          <cell r="D23">
            <v>26491</v>
          </cell>
          <cell r="F23">
            <v>-18603</v>
          </cell>
        </row>
        <row r="24">
          <cell r="D24">
            <v>16898</v>
          </cell>
          <cell r="F24"/>
        </row>
        <row r="25">
          <cell r="D25"/>
          <cell r="F25"/>
        </row>
        <row r="26">
          <cell r="D26">
            <v>513674</v>
          </cell>
          <cell r="F26"/>
        </row>
        <row r="27">
          <cell r="D27">
            <v>16997</v>
          </cell>
          <cell r="F27"/>
        </row>
        <row r="28">
          <cell r="D28"/>
          <cell r="F28">
            <v>0</v>
          </cell>
        </row>
        <row r="29">
          <cell r="D29">
            <v>69946</v>
          </cell>
          <cell r="F29">
            <v>-69946</v>
          </cell>
        </row>
        <row r="30">
          <cell r="D30"/>
          <cell r="F30">
            <v>0</v>
          </cell>
        </row>
        <row r="31">
          <cell r="D31">
            <v>32638</v>
          </cell>
          <cell r="F31"/>
        </row>
        <row r="32">
          <cell r="D32">
            <v>65101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57573</v>
          </cell>
          <cell r="F36"/>
        </row>
        <row r="37">
          <cell r="D37">
            <v>5898</v>
          </cell>
          <cell r="F37"/>
        </row>
        <row r="38">
          <cell r="D38"/>
          <cell r="F38"/>
        </row>
        <row r="39">
          <cell r="D39">
            <v>3649</v>
          </cell>
          <cell r="F39"/>
        </row>
        <row r="40">
          <cell r="D40">
            <v>4545</v>
          </cell>
          <cell r="F40"/>
        </row>
        <row r="41">
          <cell r="D41">
            <v>739</v>
          </cell>
          <cell r="F41"/>
        </row>
        <row r="42">
          <cell r="D42"/>
          <cell r="F42"/>
        </row>
        <row r="43">
          <cell r="D43"/>
          <cell r="F43"/>
        </row>
        <row r="44">
          <cell r="D44"/>
          <cell r="F44"/>
        </row>
        <row r="45">
          <cell r="D45"/>
          <cell r="F45"/>
        </row>
        <row r="57">
          <cell r="D57">
            <v>280968</v>
          </cell>
          <cell r="F57">
            <v>-280968</v>
          </cell>
        </row>
        <row r="58">
          <cell r="D58">
            <v>9558</v>
          </cell>
          <cell r="F58">
            <v>76408</v>
          </cell>
        </row>
        <row r="59">
          <cell r="D59"/>
          <cell r="F59">
            <v>164152</v>
          </cell>
        </row>
        <row r="60">
          <cell r="D60"/>
          <cell r="F60">
            <v>24893</v>
          </cell>
        </row>
        <row r="61">
          <cell r="D61"/>
          <cell r="F61"/>
        </row>
        <row r="62">
          <cell r="D62">
            <v>5025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12596</v>
          </cell>
          <cell r="F65"/>
        </row>
        <row r="66">
          <cell r="D66">
            <v>6891</v>
          </cell>
          <cell r="F66"/>
        </row>
        <row r="67">
          <cell r="D67">
            <v>57605</v>
          </cell>
          <cell r="F67"/>
        </row>
        <row r="68">
          <cell r="D68">
            <v>42078</v>
          </cell>
          <cell r="F68">
            <v>-42078</v>
          </cell>
        </row>
        <row r="69">
          <cell r="D69">
            <v>2193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146421</v>
          </cell>
          <cell r="F75"/>
        </row>
        <row r="76">
          <cell r="D76">
            <v>15001</v>
          </cell>
          <cell r="F76"/>
        </row>
        <row r="77">
          <cell r="D77">
            <v>42321</v>
          </cell>
          <cell r="F77"/>
        </row>
        <row r="78">
          <cell r="D78">
            <v>8122</v>
          </cell>
          <cell r="F78"/>
        </row>
        <row r="79">
          <cell r="D79"/>
          <cell r="F79"/>
        </row>
        <row r="80">
          <cell r="D80">
            <v>30982</v>
          </cell>
          <cell r="F80"/>
        </row>
        <row r="81">
          <cell r="D81"/>
          <cell r="F81"/>
        </row>
        <row r="82">
          <cell r="D82"/>
          <cell r="F82"/>
        </row>
        <row r="83">
          <cell r="D83">
            <v>17858</v>
          </cell>
          <cell r="F83"/>
        </row>
        <row r="84">
          <cell r="D84">
            <v>90669</v>
          </cell>
          <cell r="F84"/>
        </row>
        <row r="85">
          <cell r="D85"/>
          <cell r="F85"/>
        </row>
        <row r="89">
          <cell r="D89">
            <v>254869</v>
          </cell>
          <cell r="F89"/>
        </row>
        <row r="90">
          <cell r="D90">
            <v>26111</v>
          </cell>
          <cell r="F90"/>
        </row>
        <row r="91">
          <cell r="D91">
            <v>13092</v>
          </cell>
          <cell r="F91"/>
        </row>
        <row r="92">
          <cell r="D92">
            <v>291961</v>
          </cell>
          <cell r="F92"/>
        </row>
        <row r="93">
          <cell r="D93">
            <v>536</v>
          </cell>
          <cell r="F93"/>
        </row>
        <row r="94">
          <cell r="D94"/>
          <cell r="F94"/>
        </row>
        <row r="98">
          <cell r="D98">
            <v>84563</v>
          </cell>
          <cell r="F98"/>
        </row>
        <row r="99">
          <cell r="D99">
            <v>8663</v>
          </cell>
          <cell r="F99"/>
        </row>
        <row r="100">
          <cell r="D100">
            <v>9379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172276</v>
          </cell>
          <cell r="F115"/>
        </row>
        <row r="116">
          <cell r="D116">
            <v>17650</v>
          </cell>
          <cell r="F116"/>
        </row>
        <row r="117">
          <cell r="D117">
            <v>40219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95174</v>
          </cell>
          <cell r="F125"/>
        </row>
        <row r="126">
          <cell r="D126">
            <v>85154</v>
          </cell>
          <cell r="F126"/>
        </row>
        <row r="127">
          <cell r="D127"/>
          <cell r="F127"/>
        </row>
        <row r="128">
          <cell r="D128">
            <v>181055</v>
          </cell>
          <cell r="F128">
            <v>-51133</v>
          </cell>
        </row>
        <row r="130">
          <cell r="D130"/>
          <cell r="F130"/>
        </row>
        <row r="131">
          <cell r="D131">
            <v>9751</v>
          </cell>
          <cell r="F131"/>
        </row>
        <row r="132">
          <cell r="D132">
            <v>8724</v>
          </cell>
          <cell r="F132"/>
        </row>
        <row r="133">
          <cell r="D133"/>
          <cell r="F133"/>
        </row>
        <row r="134">
          <cell r="D134">
            <v>13310</v>
          </cell>
          <cell r="F134"/>
        </row>
        <row r="136">
          <cell r="D136">
            <v>571366</v>
          </cell>
          <cell r="F136"/>
        </row>
        <row r="137">
          <cell r="D137">
            <v>179633</v>
          </cell>
          <cell r="F137"/>
        </row>
        <row r="138">
          <cell r="D138">
            <v>1190862</v>
          </cell>
          <cell r="F138"/>
        </row>
        <row r="139">
          <cell r="D139"/>
          <cell r="F139"/>
        </row>
        <row r="141">
          <cell r="D141">
            <v>58536</v>
          </cell>
          <cell r="F141"/>
        </row>
        <row r="142">
          <cell r="D142">
            <v>18403</v>
          </cell>
          <cell r="F142"/>
        </row>
        <row r="143">
          <cell r="D143">
            <v>122004</v>
          </cell>
          <cell r="F143"/>
        </row>
        <row r="144">
          <cell r="D144"/>
          <cell r="F144"/>
        </row>
        <row r="146">
          <cell r="D146">
            <v>26725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7550</v>
          </cell>
          <cell r="F150"/>
        </row>
        <row r="151">
          <cell r="D151">
            <v>123909</v>
          </cell>
          <cell r="F151"/>
        </row>
        <row r="152">
          <cell r="D152">
            <v>858</v>
          </cell>
          <cell r="F152"/>
        </row>
        <row r="153">
          <cell r="D153"/>
          <cell r="F153"/>
        </row>
        <row r="154">
          <cell r="D154">
            <v>2807</v>
          </cell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17929</v>
          </cell>
          <cell r="F183"/>
        </row>
        <row r="184">
          <cell r="D184">
            <v>1837</v>
          </cell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90339</v>
          </cell>
          <cell r="F194"/>
        </row>
        <row r="195">
          <cell r="D195">
            <v>28482</v>
          </cell>
          <cell r="F195"/>
        </row>
        <row r="196">
          <cell r="D196"/>
          <cell r="F196"/>
        </row>
        <row r="197">
          <cell r="D197">
            <v>42620</v>
          </cell>
          <cell r="F197"/>
        </row>
        <row r="198">
          <cell r="D198">
            <v>39841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104354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224726</v>
          </cell>
          <cell r="F211"/>
        </row>
        <row r="212">
          <cell r="D212">
            <v>23023</v>
          </cell>
          <cell r="F212"/>
        </row>
        <row r="213">
          <cell r="D213">
            <v>21633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232386</v>
          </cell>
          <cell r="F216">
            <v>-167855</v>
          </cell>
        </row>
        <row r="221">
          <cell r="D221">
            <v>6443611</v>
          </cell>
        </row>
      </sheetData>
      <sheetData sheetId="8"/>
      <sheetData sheetId="9"/>
      <sheetData sheetId="10">
        <row r="9">
          <cell r="C9">
            <v>18749</v>
          </cell>
          <cell r="D9">
            <v>2550</v>
          </cell>
          <cell r="E9">
            <v>972</v>
          </cell>
          <cell r="F9">
            <v>0</v>
          </cell>
          <cell r="G9">
            <v>4349</v>
          </cell>
          <cell r="H9">
            <v>925</v>
          </cell>
          <cell r="I9">
            <v>1432</v>
          </cell>
          <cell r="J9"/>
          <cell r="K9"/>
        </row>
        <row r="22">
          <cell r="N22">
            <v>82</v>
          </cell>
        </row>
        <row r="24">
          <cell r="N24">
            <v>78</v>
          </cell>
        </row>
        <row r="28">
          <cell r="N28">
            <v>30012</v>
          </cell>
        </row>
        <row r="30">
          <cell r="N30">
            <v>0.96551379448220709</v>
          </cell>
        </row>
        <row r="32">
          <cell r="N32">
            <v>0.70968279354924702</v>
          </cell>
        </row>
        <row r="34">
          <cell r="N34">
            <v>0.7350312316664942</v>
          </cell>
        </row>
      </sheetData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85">
          <cell r="C85">
            <v>136.20203769140164</v>
          </cell>
          <cell r="E85">
            <v>153.87094017094017</v>
          </cell>
          <cell r="G85">
            <v>149.19229323308269</v>
          </cell>
          <cell r="I85">
            <v>168.17013964784454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806886.85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591610.79</v>
          </cell>
          <cell r="G21">
            <v>0</v>
          </cell>
        </row>
        <row r="27">
          <cell r="E27">
            <v>217690.28999999998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494278.38</v>
          </cell>
          <cell r="G37">
            <v>0</v>
          </cell>
        </row>
        <row r="42">
          <cell r="E42">
            <v>112326.83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10277.219999999999</v>
          </cell>
          <cell r="G67">
            <v>-1027.21</v>
          </cell>
        </row>
        <row r="85">
          <cell r="C85">
            <v>168.45925925925926</v>
          </cell>
          <cell r="E85">
            <v>168.524765729585</v>
          </cell>
          <cell r="G85">
            <v>173.61315789473684</v>
          </cell>
          <cell r="I85">
            <v>175.69565217391303</v>
          </cell>
        </row>
      </sheetData>
      <sheetData sheetId="6"/>
      <sheetData sheetId="7">
        <row r="10">
          <cell r="D10">
            <v>73249.84</v>
          </cell>
          <cell r="F10"/>
        </row>
        <row r="11">
          <cell r="D11"/>
          <cell r="F11"/>
        </row>
        <row r="12">
          <cell r="D12">
            <v>38458.800000000003</v>
          </cell>
          <cell r="F12"/>
        </row>
        <row r="13">
          <cell r="D13">
            <v>227523.37</v>
          </cell>
          <cell r="F13">
            <v>-201249.37</v>
          </cell>
        </row>
        <row r="14">
          <cell r="D14"/>
          <cell r="F14"/>
        </row>
        <row r="15">
          <cell r="D15"/>
          <cell r="F15">
            <v>0</v>
          </cell>
        </row>
        <row r="16">
          <cell r="D16"/>
          <cell r="F16">
            <v>160675.64000000001</v>
          </cell>
        </row>
        <row r="17">
          <cell r="D17"/>
          <cell r="F17"/>
        </row>
        <row r="18">
          <cell r="D18">
            <v>15676.71</v>
          </cell>
          <cell r="F18"/>
        </row>
        <row r="19">
          <cell r="D19">
            <v>7486.56</v>
          </cell>
          <cell r="F19"/>
        </row>
        <row r="20">
          <cell r="D20">
            <v>3486.5099999999998</v>
          </cell>
          <cell r="F20">
            <v>-399.21</v>
          </cell>
        </row>
        <row r="21">
          <cell r="D21">
            <v>16530.5</v>
          </cell>
          <cell r="F21"/>
        </row>
        <row r="22">
          <cell r="D22"/>
          <cell r="F22"/>
        </row>
        <row r="23">
          <cell r="D23">
            <v>9262.17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130639.92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67226.13</v>
          </cell>
          <cell r="F29">
            <v>-67226.13</v>
          </cell>
        </row>
        <row r="30">
          <cell r="D30"/>
          <cell r="F30">
            <v>0</v>
          </cell>
        </row>
        <row r="31">
          <cell r="D31"/>
          <cell r="F31"/>
        </row>
        <row r="32">
          <cell r="D32">
            <v>15439.84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1648.09</v>
          </cell>
          <cell r="F39"/>
        </row>
        <row r="40">
          <cell r="D40">
            <v>8669.93</v>
          </cell>
          <cell r="F40">
            <v>-8670</v>
          </cell>
        </row>
        <row r="41">
          <cell r="D41"/>
          <cell r="F41"/>
        </row>
        <row r="42">
          <cell r="D42">
            <v>3252.5</v>
          </cell>
          <cell r="F42"/>
        </row>
        <row r="43">
          <cell r="D43">
            <v>7422.2</v>
          </cell>
          <cell r="F43"/>
        </row>
        <row r="44">
          <cell r="D44"/>
          <cell r="F44"/>
        </row>
        <row r="45">
          <cell r="D45">
            <v>36312.71</v>
          </cell>
          <cell r="F45"/>
        </row>
        <row r="57">
          <cell r="D57">
            <v>90316.65</v>
          </cell>
          <cell r="F57">
            <v>-90317</v>
          </cell>
        </row>
        <row r="58">
          <cell r="D58"/>
          <cell r="F58">
            <v>99108</v>
          </cell>
        </row>
        <row r="59">
          <cell r="D59"/>
          <cell r="F59">
            <v>33220</v>
          </cell>
        </row>
        <row r="60">
          <cell r="D60"/>
          <cell r="F60"/>
        </row>
        <row r="61">
          <cell r="D61">
            <v>5800.09</v>
          </cell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3898.42</v>
          </cell>
          <cell r="F65"/>
        </row>
        <row r="66">
          <cell r="D66"/>
          <cell r="F66"/>
        </row>
        <row r="67">
          <cell r="D67">
            <v>327.13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33169.949999999997</v>
          </cell>
          <cell r="F75"/>
        </row>
        <row r="76">
          <cell r="D76"/>
          <cell r="F76">
            <v>7801.61</v>
          </cell>
        </row>
        <row r="77">
          <cell r="D77">
            <v>15434.86</v>
          </cell>
          <cell r="F77"/>
        </row>
        <row r="78">
          <cell r="D78"/>
          <cell r="F78"/>
        </row>
        <row r="79">
          <cell r="D79">
            <v>867.74</v>
          </cell>
          <cell r="F79"/>
        </row>
        <row r="80">
          <cell r="D80">
            <v>24216.83</v>
          </cell>
          <cell r="F80"/>
        </row>
        <row r="81">
          <cell r="D81"/>
          <cell r="F81"/>
        </row>
        <row r="82">
          <cell r="D82"/>
          <cell r="F82"/>
        </row>
        <row r="83">
          <cell r="D83"/>
          <cell r="F83"/>
        </row>
        <row r="84">
          <cell r="D84">
            <v>64637.909999999996</v>
          </cell>
          <cell r="F84"/>
        </row>
        <row r="85">
          <cell r="D85"/>
          <cell r="F85"/>
        </row>
        <row r="89">
          <cell r="D89">
            <v>91451.99</v>
          </cell>
          <cell r="F89"/>
        </row>
        <row r="90">
          <cell r="D90"/>
          <cell r="F90">
            <v>21509.61</v>
          </cell>
        </row>
        <row r="91">
          <cell r="D91"/>
          <cell r="F91"/>
        </row>
        <row r="92">
          <cell r="D92">
            <v>56535.26</v>
          </cell>
          <cell r="F92">
            <v>-628</v>
          </cell>
        </row>
        <row r="93">
          <cell r="D93">
            <v>8521.1299999999992</v>
          </cell>
          <cell r="F93"/>
        </row>
        <row r="94">
          <cell r="D94">
            <v>2062.69</v>
          </cell>
          <cell r="F94"/>
        </row>
        <row r="98">
          <cell r="D98">
            <v>25554.92</v>
          </cell>
          <cell r="F98"/>
        </row>
        <row r="99">
          <cell r="D99"/>
          <cell r="F99">
            <v>6010.55</v>
          </cell>
        </row>
        <row r="100">
          <cell r="D100">
            <v>2809.92</v>
          </cell>
          <cell r="F100"/>
        </row>
        <row r="101">
          <cell r="D101"/>
          <cell r="F101"/>
        </row>
        <row r="102">
          <cell r="D102">
            <v>810.63</v>
          </cell>
          <cell r="F102"/>
        </row>
        <row r="103">
          <cell r="D103"/>
          <cell r="F103"/>
        </row>
        <row r="115">
          <cell r="D115">
            <v>23436.36</v>
          </cell>
          <cell r="F115"/>
        </row>
        <row r="116">
          <cell r="D116"/>
          <cell r="F116">
            <v>5512.26</v>
          </cell>
        </row>
        <row r="117">
          <cell r="D117">
            <v>8996.99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>
            <v>8400</v>
          </cell>
          <cell r="F124"/>
        </row>
        <row r="125">
          <cell r="D125">
            <v>110933.16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1599.25</v>
          </cell>
          <cell r="F128"/>
        </row>
        <row r="130">
          <cell r="D130"/>
          <cell r="F130"/>
        </row>
        <row r="131">
          <cell r="D131"/>
          <cell r="F131">
            <v>26091.599999999999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376.15</v>
          </cell>
        </row>
        <row r="136">
          <cell r="D136">
            <v>115452.12</v>
          </cell>
          <cell r="F136"/>
        </row>
        <row r="137">
          <cell r="D137">
            <v>114645.16</v>
          </cell>
          <cell r="F137"/>
        </row>
        <row r="138">
          <cell r="D138">
            <v>293096.99</v>
          </cell>
          <cell r="F138"/>
        </row>
        <row r="139">
          <cell r="D139"/>
          <cell r="F139"/>
        </row>
        <row r="141">
          <cell r="D141"/>
          <cell r="F141">
            <v>27154.47</v>
          </cell>
        </row>
        <row r="142">
          <cell r="D142"/>
          <cell r="F142">
            <v>26964.67</v>
          </cell>
        </row>
        <row r="143">
          <cell r="D143"/>
          <cell r="F143">
            <v>68936.740000000005</v>
          </cell>
        </row>
        <row r="144">
          <cell r="D144"/>
          <cell r="F144"/>
        </row>
        <row r="146">
          <cell r="D146"/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4485.74</v>
          </cell>
          <cell r="F150"/>
        </row>
        <row r="151">
          <cell r="D151">
            <v>55606.66</v>
          </cell>
          <cell r="F151"/>
        </row>
        <row r="152">
          <cell r="D152"/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2776.1800000000003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1497.03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119583.62</v>
          </cell>
          <cell r="F194"/>
        </row>
        <row r="195">
          <cell r="D195">
            <v>9536.36</v>
          </cell>
          <cell r="F195"/>
        </row>
        <row r="196">
          <cell r="D196">
            <v>0</v>
          </cell>
          <cell r="F196"/>
        </row>
        <row r="197">
          <cell r="D197">
            <v>74987.320000000007</v>
          </cell>
          <cell r="F197"/>
        </row>
        <row r="198">
          <cell r="D198">
            <v>6350.84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74845.41</v>
          </cell>
          <cell r="F205"/>
        </row>
        <row r="206">
          <cell r="D206">
            <v>852</v>
          </cell>
          <cell r="F206"/>
        </row>
        <row r="207">
          <cell r="D207"/>
          <cell r="F207"/>
        </row>
        <row r="211">
          <cell r="D211">
            <v>46308.15</v>
          </cell>
          <cell r="F211"/>
        </row>
        <row r="212">
          <cell r="D212"/>
          <cell r="F212">
            <v>10891.73</v>
          </cell>
        </row>
        <row r="213">
          <cell r="D213">
            <v>2882.88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554.86</v>
          </cell>
          <cell r="F216"/>
        </row>
        <row r="221">
          <cell r="D221">
            <v>2165529.29</v>
          </cell>
        </row>
      </sheetData>
      <sheetData sheetId="8"/>
      <sheetData sheetId="9"/>
      <sheetData sheetId="10">
        <row r="9">
          <cell r="C9">
            <v>3537</v>
          </cell>
          <cell r="D9"/>
          <cell r="E9">
            <v>1243</v>
          </cell>
          <cell r="F9">
            <v>796</v>
          </cell>
          <cell r="G9"/>
          <cell r="H9">
            <v>2873</v>
          </cell>
          <cell r="I9">
            <v>694</v>
          </cell>
          <cell r="J9"/>
          <cell r="K9"/>
        </row>
        <row r="22">
          <cell r="N22">
            <v>38</v>
          </cell>
        </row>
        <row r="24">
          <cell r="N24">
            <v>38</v>
          </cell>
        </row>
        <row r="28">
          <cell r="N28">
            <v>13908</v>
          </cell>
        </row>
        <row r="30">
          <cell r="N30">
            <v>0.65739142939315498</v>
          </cell>
        </row>
        <row r="32">
          <cell r="N32">
            <v>0.25431406384814498</v>
          </cell>
        </row>
        <row r="34">
          <cell r="N34">
            <v>0.38685333041671233</v>
          </cell>
        </row>
      </sheetData>
      <sheetData sheetId="1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2491387.5699999998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507012.57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335593.70000000007</v>
          </cell>
          <cell r="G37">
            <v>0</v>
          </cell>
        </row>
        <row r="42">
          <cell r="E42">
            <v>55391.89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473864.22000000003</v>
          </cell>
          <cell r="G67">
            <v>-447264.32</v>
          </cell>
        </row>
        <row r="85">
          <cell r="C85">
            <v>142.28597122302159</v>
          </cell>
          <cell r="E85">
            <v>217.58</v>
          </cell>
          <cell r="G85">
            <v>183.22358722358723</v>
          </cell>
          <cell r="I85">
            <v>172.45518867924528</v>
          </cell>
        </row>
      </sheetData>
      <sheetData sheetId="6"/>
      <sheetData sheetId="7">
        <row r="10">
          <cell r="D10">
            <v>85864.68</v>
          </cell>
          <cell r="F10">
            <v>-24288</v>
          </cell>
        </row>
        <row r="11">
          <cell r="D11"/>
          <cell r="F11"/>
        </row>
        <row r="12">
          <cell r="D12">
            <v>31337</v>
          </cell>
          <cell r="F12">
            <v>-8864</v>
          </cell>
        </row>
        <row r="13">
          <cell r="D13">
            <v>333039.71999999997</v>
          </cell>
          <cell r="F13">
            <v>-307747.19</v>
          </cell>
        </row>
        <row r="14">
          <cell r="D14"/>
          <cell r="F14"/>
        </row>
        <row r="15">
          <cell r="D15">
            <v>455687.2</v>
          </cell>
          <cell r="F15">
            <v>-259518</v>
          </cell>
        </row>
        <row r="16">
          <cell r="D16"/>
          <cell r="F16"/>
        </row>
        <row r="17">
          <cell r="D17"/>
          <cell r="F17"/>
        </row>
        <row r="18">
          <cell r="D18">
            <v>19963.68</v>
          </cell>
          <cell r="F18">
            <v>-2307</v>
          </cell>
        </row>
        <row r="19">
          <cell r="D19">
            <v>5363.63</v>
          </cell>
          <cell r="F19">
            <v>-620</v>
          </cell>
        </row>
        <row r="20">
          <cell r="D20">
            <v>6787.37</v>
          </cell>
          <cell r="F20">
            <v>-784</v>
          </cell>
        </row>
        <row r="21">
          <cell r="D21">
            <v>18228.599999999999</v>
          </cell>
          <cell r="F21">
            <v>-2106</v>
          </cell>
        </row>
        <row r="22">
          <cell r="D22"/>
          <cell r="F22"/>
        </row>
        <row r="23">
          <cell r="D23">
            <v>4348.0999999999995</v>
          </cell>
          <cell r="F23">
            <v>-502</v>
          </cell>
        </row>
        <row r="24">
          <cell r="D24"/>
          <cell r="F24"/>
        </row>
        <row r="25">
          <cell r="D25"/>
          <cell r="F25"/>
        </row>
        <row r="26">
          <cell r="D26">
            <v>210492.36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152040.94</v>
          </cell>
          <cell r="F29">
            <v>-152040.94</v>
          </cell>
        </row>
        <row r="30">
          <cell r="D30"/>
          <cell r="F30">
            <v>0</v>
          </cell>
        </row>
        <row r="31">
          <cell r="D31"/>
          <cell r="F31"/>
        </row>
        <row r="32">
          <cell r="D32">
            <v>40613.72</v>
          </cell>
          <cell r="F32">
            <v>-4693</v>
          </cell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6949.5099999999993</v>
          </cell>
          <cell r="F39">
            <v>-803</v>
          </cell>
        </row>
        <row r="40">
          <cell r="D40">
            <v>17560.91</v>
          </cell>
          <cell r="F40">
            <v>-17561</v>
          </cell>
        </row>
        <row r="41">
          <cell r="D41"/>
          <cell r="F41"/>
        </row>
        <row r="42">
          <cell r="D42">
            <v>4971.7</v>
          </cell>
          <cell r="F42">
            <v>-575</v>
          </cell>
        </row>
        <row r="43">
          <cell r="D43">
            <v>14540.03</v>
          </cell>
          <cell r="F43">
            <v>-1680</v>
          </cell>
        </row>
        <row r="44">
          <cell r="D44"/>
          <cell r="F44"/>
        </row>
        <row r="45">
          <cell r="D45">
            <v>124056.21</v>
          </cell>
          <cell r="F45">
            <v>-97086</v>
          </cell>
        </row>
        <row r="57">
          <cell r="D57">
            <v>341618.16</v>
          </cell>
          <cell r="F57">
            <v>-341618</v>
          </cell>
        </row>
        <row r="58">
          <cell r="D58"/>
          <cell r="F58">
            <v>88554.16</v>
          </cell>
        </row>
        <row r="59">
          <cell r="D59"/>
          <cell r="F59"/>
        </row>
        <row r="60">
          <cell r="D60"/>
          <cell r="F60"/>
        </row>
        <row r="61">
          <cell r="D61">
            <v>3120.4</v>
          </cell>
          <cell r="F61">
            <v>-918</v>
          </cell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1814.8</v>
          </cell>
          <cell r="F67">
            <v>-534</v>
          </cell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39917.46</v>
          </cell>
          <cell r="F75">
            <v>-11745</v>
          </cell>
        </row>
        <row r="76">
          <cell r="D76"/>
          <cell r="F76">
            <v>8444.44</v>
          </cell>
        </row>
        <row r="77">
          <cell r="D77">
            <v>8522</v>
          </cell>
          <cell r="F77">
            <v>-2508</v>
          </cell>
        </row>
        <row r="78">
          <cell r="D78"/>
          <cell r="F78"/>
        </row>
        <row r="79">
          <cell r="D79">
            <v>5707.98</v>
          </cell>
          <cell r="F79"/>
        </row>
        <row r="80">
          <cell r="D80">
            <v>35809.230000000003</v>
          </cell>
          <cell r="F80">
            <v>-10536</v>
          </cell>
        </row>
        <row r="81">
          <cell r="D81"/>
          <cell r="F81"/>
        </row>
        <row r="82">
          <cell r="D82">
            <v>70.5</v>
          </cell>
          <cell r="F82"/>
        </row>
        <row r="83">
          <cell r="D83"/>
          <cell r="F83"/>
        </row>
        <row r="84">
          <cell r="D84">
            <v>51951.319999999992</v>
          </cell>
          <cell r="F84">
            <v>-15286</v>
          </cell>
        </row>
        <row r="85">
          <cell r="D85">
            <v>0</v>
          </cell>
          <cell r="F85"/>
        </row>
        <row r="89">
          <cell r="D89">
            <v>146766.97</v>
          </cell>
          <cell r="F89">
            <v>-41095</v>
          </cell>
        </row>
        <row r="90">
          <cell r="D90"/>
          <cell r="F90">
            <v>31673.4</v>
          </cell>
        </row>
        <row r="91">
          <cell r="D91"/>
          <cell r="F91"/>
        </row>
        <row r="92">
          <cell r="D92">
            <v>104457.03</v>
          </cell>
          <cell r="F92">
            <v>-29878</v>
          </cell>
        </row>
        <row r="93">
          <cell r="D93">
            <v>10585.849999999999</v>
          </cell>
          <cell r="F93">
            <v>-2964</v>
          </cell>
        </row>
        <row r="94">
          <cell r="D94"/>
          <cell r="F94"/>
        </row>
        <row r="98">
          <cell r="D98">
            <v>26837.35</v>
          </cell>
          <cell r="F98"/>
        </row>
        <row r="99">
          <cell r="D99"/>
          <cell r="F99">
            <v>8043.95</v>
          </cell>
        </row>
        <row r="100">
          <cell r="D100">
            <v>3085.1</v>
          </cell>
          <cell r="F100"/>
        </row>
        <row r="101">
          <cell r="D101"/>
          <cell r="F101"/>
        </row>
        <row r="102">
          <cell r="D102">
            <v>1523.78</v>
          </cell>
          <cell r="F102"/>
        </row>
        <row r="103">
          <cell r="D103"/>
          <cell r="F103"/>
        </row>
        <row r="115">
          <cell r="D115">
            <v>22753.74</v>
          </cell>
          <cell r="F115"/>
        </row>
        <row r="116">
          <cell r="D116"/>
          <cell r="F116">
            <v>6819.97</v>
          </cell>
        </row>
        <row r="117">
          <cell r="D117">
            <v>10643.54</v>
          </cell>
          <cell r="F117"/>
        </row>
        <row r="118">
          <cell r="D118">
            <v>43.69</v>
          </cell>
          <cell r="F118"/>
        </row>
        <row r="119">
          <cell r="D119"/>
          <cell r="F119"/>
        </row>
        <row r="124">
          <cell r="D124">
            <v>18000</v>
          </cell>
          <cell r="F124"/>
        </row>
        <row r="125">
          <cell r="D125">
            <v>96660.290000000008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18896.46</v>
          </cell>
          <cell r="F128">
            <v>3395.83</v>
          </cell>
        </row>
        <row r="130">
          <cell r="D130"/>
          <cell r="F130"/>
        </row>
        <row r="131">
          <cell r="D131"/>
          <cell r="F131">
            <v>28971.95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122652.59</v>
          </cell>
          <cell r="F136"/>
        </row>
        <row r="137">
          <cell r="D137">
            <v>149187.64000000001</v>
          </cell>
          <cell r="F137"/>
        </row>
        <row r="138">
          <cell r="D138">
            <v>306890.99</v>
          </cell>
          <cell r="F138"/>
        </row>
        <row r="139">
          <cell r="D139"/>
          <cell r="F139"/>
        </row>
        <row r="141">
          <cell r="D141"/>
          <cell r="F141">
            <v>36762.61</v>
          </cell>
        </row>
        <row r="142">
          <cell r="D142"/>
          <cell r="F142">
            <v>44715.95</v>
          </cell>
        </row>
        <row r="143">
          <cell r="D143"/>
          <cell r="F143">
            <v>91984.31</v>
          </cell>
        </row>
        <row r="144">
          <cell r="D144"/>
          <cell r="F144"/>
        </row>
        <row r="146">
          <cell r="D146"/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1711.51</v>
          </cell>
          <cell r="F150"/>
        </row>
        <row r="151">
          <cell r="D151">
            <v>66009.87</v>
          </cell>
          <cell r="F151">
            <v>-388</v>
          </cell>
        </row>
        <row r="152">
          <cell r="D152"/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1207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390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>
            <v>19683.22</v>
          </cell>
          <cell r="F192"/>
        </row>
        <row r="193">
          <cell r="D193"/>
          <cell r="F193"/>
        </row>
        <row r="194">
          <cell r="D194">
            <v>44402.8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>
            <v>44210.48</v>
          </cell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>
            <v>649</v>
          </cell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47463.409999999996</v>
          </cell>
          <cell r="F205"/>
        </row>
        <row r="206">
          <cell r="D206">
            <v>551.82000000000005</v>
          </cell>
          <cell r="F206"/>
        </row>
        <row r="207">
          <cell r="D207">
            <v>173163.47999999998</v>
          </cell>
          <cell r="F207">
            <v>-173163</v>
          </cell>
        </row>
        <row r="211">
          <cell r="D211">
            <v>49690.04</v>
          </cell>
          <cell r="F211">
            <v>13853.279999999999</v>
          </cell>
        </row>
        <row r="212">
          <cell r="D212"/>
          <cell r="F212"/>
        </row>
        <row r="213">
          <cell r="D213">
            <v>28577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3380.5</v>
          </cell>
          <cell r="F216">
            <v>0</v>
          </cell>
        </row>
        <row r="221">
          <cell r="D221">
            <v>3540452.43</v>
          </cell>
        </row>
      </sheetData>
      <sheetData sheetId="8"/>
      <sheetData sheetId="9"/>
      <sheetData sheetId="10">
        <row r="9">
          <cell r="C9">
            <v>9741</v>
          </cell>
          <cell r="D9"/>
          <cell r="E9">
            <v>1262</v>
          </cell>
          <cell r="F9"/>
          <cell r="G9"/>
          <cell r="H9">
            <v>1887</v>
          </cell>
          <cell r="I9">
            <v>332</v>
          </cell>
          <cell r="J9"/>
          <cell r="K9"/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16836</v>
          </cell>
        </row>
        <row r="30">
          <cell r="N30">
            <v>0.78534093608933242</v>
          </cell>
        </row>
        <row r="32">
          <cell r="N32">
            <v>0.57858161083392734</v>
          </cell>
        </row>
        <row r="34">
          <cell r="N34">
            <v>0.73672666767508699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3061861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1640995</v>
          </cell>
          <cell r="G21">
            <v>0</v>
          </cell>
        </row>
        <row r="27">
          <cell r="E27">
            <v>1860379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476497</v>
          </cell>
          <cell r="G37">
            <v>0</v>
          </cell>
        </row>
        <row r="42">
          <cell r="E42">
            <v>898235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386342</v>
          </cell>
          <cell r="G52">
            <v>0</v>
          </cell>
        </row>
        <row r="67">
          <cell r="E67">
            <v>96859</v>
          </cell>
          <cell r="G67">
            <v>-25511</v>
          </cell>
        </row>
        <row r="85">
          <cell r="C85">
            <v>207.80505887483648</v>
          </cell>
          <cell r="E85">
            <v>207.80505887483645</v>
          </cell>
          <cell r="G85">
            <v>207.80505887483645</v>
          </cell>
          <cell r="I85">
            <v>207.80505887483648</v>
          </cell>
        </row>
      </sheetData>
      <sheetData sheetId="6"/>
      <sheetData sheetId="7">
        <row r="10">
          <cell r="D10">
            <v>0</v>
          </cell>
          <cell r="F10">
            <v>131130</v>
          </cell>
        </row>
        <row r="11">
          <cell r="D11">
            <v>0</v>
          </cell>
          <cell r="F11">
            <v>0</v>
          </cell>
        </row>
        <row r="12">
          <cell r="D12">
            <v>382140</v>
          </cell>
          <cell r="F12">
            <v>-131130</v>
          </cell>
        </row>
        <row r="13">
          <cell r="D13">
            <v>52809</v>
          </cell>
          <cell r="F13">
            <v>-9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420318</v>
          </cell>
          <cell r="F16">
            <v>9193</v>
          </cell>
        </row>
        <row r="17">
          <cell r="D17">
            <v>407</v>
          </cell>
          <cell r="F17">
            <v>-407</v>
          </cell>
        </row>
        <row r="18">
          <cell r="D18">
            <v>17673</v>
          </cell>
          <cell r="F18">
            <v>0</v>
          </cell>
        </row>
        <row r="19">
          <cell r="D19">
            <v>13885</v>
          </cell>
          <cell r="F19">
            <v>0</v>
          </cell>
        </row>
        <row r="20">
          <cell r="D20">
            <v>24596</v>
          </cell>
          <cell r="F20">
            <v>0</v>
          </cell>
        </row>
        <row r="21">
          <cell r="D21">
            <v>16548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5016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2493</v>
          </cell>
          <cell r="F25">
            <v>0</v>
          </cell>
        </row>
        <row r="26">
          <cell r="D26">
            <v>479001</v>
          </cell>
          <cell r="F26">
            <v>0</v>
          </cell>
        </row>
        <row r="27">
          <cell r="D27">
            <v>46736</v>
          </cell>
          <cell r="F27">
            <v>-263</v>
          </cell>
        </row>
        <row r="28">
          <cell r="D28">
            <v>0</v>
          </cell>
          <cell r="F28">
            <v>0</v>
          </cell>
        </row>
        <row r="29">
          <cell r="D29">
            <v>396102</v>
          </cell>
          <cell r="F29">
            <v>-396102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86217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1115</v>
          </cell>
          <cell r="F34">
            <v>0</v>
          </cell>
        </row>
        <row r="35">
          <cell r="D35">
            <v>414</v>
          </cell>
          <cell r="F35">
            <v>-414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13</v>
          </cell>
          <cell r="F38">
            <v>-13</v>
          </cell>
        </row>
        <row r="39">
          <cell r="D39">
            <v>5183</v>
          </cell>
          <cell r="F39">
            <v>0</v>
          </cell>
        </row>
        <row r="40">
          <cell r="D40">
            <v>4962</v>
          </cell>
          <cell r="F40">
            <v>-4962</v>
          </cell>
        </row>
        <row r="41">
          <cell r="D41">
            <v>196184</v>
          </cell>
          <cell r="F41">
            <v>-2647</v>
          </cell>
        </row>
        <row r="42">
          <cell r="D42">
            <v>552</v>
          </cell>
          <cell r="F42">
            <v>0</v>
          </cell>
        </row>
        <row r="43">
          <cell r="D43">
            <v>18423</v>
          </cell>
          <cell r="F43">
            <v>-18423</v>
          </cell>
        </row>
        <row r="44">
          <cell r="D44">
            <v>0</v>
          </cell>
          <cell r="F44">
            <v>0</v>
          </cell>
        </row>
        <row r="45">
          <cell r="D45">
            <v>6659</v>
          </cell>
          <cell r="F45">
            <v>-11232</v>
          </cell>
        </row>
        <row r="57">
          <cell r="D57">
            <v>857104</v>
          </cell>
          <cell r="F57">
            <v>0</v>
          </cell>
        </row>
        <row r="58">
          <cell r="D58">
            <v>29247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26884</v>
          </cell>
          <cell r="F60">
            <v>0</v>
          </cell>
        </row>
        <row r="61">
          <cell r="D61">
            <v>5982</v>
          </cell>
          <cell r="F61">
            <v>0</v>
          </cell>
        </row>
        <row r="62">
          <cell r="D62">
            <v>702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482</v>
          </cell>
          <cell r="F65">
            <v>0</v>
          </cell>
        </row>
        <row r="66">
          <cell r="D66">
            <v>94886</v>
          </cell>
          <cell r="F66">
            <v>192</v>
          </cell>
        </row>
        <row r="67">
          <cell r="D67">
            <v>50745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4186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61393</v>
          </cell>
          <cell r="F75">
            <v>0</v>
          </cell>
        </row>
        <row r="76">
          <cell r="D76">
            <v>27979</v>
          </cell>
          <cell r="F76">
            <v>0</v>
          </cell>
        </row>
        <row r="77">
          <cell r="D77">
            <v>11244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1260</v>
          </cell>
          <cell r="F79">
            <v>0</v>
          </cell>
        </row>
        <row r="80">
          <cell r="D80">
            <v>21968</v>
          </cell>
          <cell r="F80">
            <v>0</v>
          </cell>
        </row>
        <row r="81">
          <cell r="D81">
            <v>29224</v>
          </cell>
          <cell r="F81">
            <v>0</v>
          </cell>
        </row>
        <row r="82">
          <cell r="D82">
            <v>21487</v>
          </cell>
          <cell r="F82">
            <v>0</v>
          </cell>
        </row>
        <row r="83">
          <cell r="D83">
            <v>956</v>
          </cell>
          <cell r="F83">
            <v>0</v>
          </cell>
        </row>
        <row r="84">
          <cell r="D84">
            <v>151296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138432</v>
          </cell>
          <cell r="F89">
            <v>0</v>
          </cell>
        </row>
        <row r="90">
          <cell r="D90">
            <v>35733</v>
          </cell>
          <cell r="F90">
            <v>0</v>
          </cell>
        </row>
        <row r="91">
          <cell r="D91">
            <v>354576</v>
          </cell>
          <cell r="F91">
            <v>0</v>
          </cell>
        </row>
        <row r="92">
          <cell r="D92">
            <v>99213</v>
          </cell>
          <cell r="F92">
            <v>-13816</v>
          </cell>
        </row>
        <row r="93">
          <cell r="D93">
            <v>13946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2318</v>
          </cell>
          <cell r="F100">
            <v>0</v>
          </cell>
        </row>
        <row r="101">
          <cell r="D101">
            <v>94417</v>
          </cell>
          <cell r="F101">
            <v>0</v>
          </cell>
        </row>
        <row r="102">
          <cell r="D102">
            <v>8411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17662</v>
          </cell>
          <cell r="F117">
            <v>0</v>
          </cell>
        </row>
        <row r="118">
          <cell r="D118">
            <v>141625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243644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87727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34063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26382</v>
          </cell>
          <cell r="F134">
            <v>0</v>
          </cell>
        </row>
        <row r="136">
          <cell r="D136">
            <v>1035158</v>
          </cell>
          <cell r="F136">
            <v>0</v>
          </cell>
        </row>
        <row r="137">
          <cell r="D137">
            <v>227035</v>
          </cell>
          <cell r="F137">
            <v>0</v>
          </cell>
        </row>
        <row r="138">
          <cell r="D138">
            <v>831014</v>
          </cell>
          <cell r="F138">
            <v>26903</v>
          </cell>
        </row>
        <row r="139">
          <cell r="D139">
            <v>26903</v>
          </cell>
          <cell r="F139">
            <v>-26903</v>
          </cell>
        </row>
        <row r="141">
          <cell r="D141">
            <v>467082</v>
          </cell>
          <cell r="F141">
            <v>-238940</v>
          </cell>
        </row>
        <row r="142">
          <cell r="D142">
            <v>0</v>
          </cell>
          <cell r="F142">
            <v>50037</v>
          </cell>
        </row>
        <row r="143">
          <cell r="D143">
            <v>0</v>
          </cell>
          <cell r="F143">
            <v>188903</v>
          </cell>
        </row>
        <row r="144">
          <cell r="D144">
            <v>0</v>
          </cell>
          <cell r="F144">
            <v>0</v>
          </cell>
        </row>
        <row r="146">
          <cell r="D146">
            <v>50257</v>
          </cell>
          <cell r="F146">
            <v>0</v>
          </cell>
        </row>
        <row r="147">
          <cell r="D147">
            <v>60783</v>
          </cell>
          <cell r="F147">
            <v>0</v>
          </cell>
        </row>
        <row r="148">
          <cell r="D148">
            <v>17452</v>
          </cell>
          <cell r="F148">
            <v>0</v>
          </cell>
        </row>
        <row r="149">
          <cell r="D149">
            <v>68459</v>
          </cell>
          <cell r="F149">
            <v>0</v>
          </cell>
        </row>
        <row r="150">
          <cell r="D150">
            <v>2537</v>
          </cell>
          <cell r="F150">
            <v>0</v>
          </cell>
        </row>
        <row r="151">
          <cell r="D151">
            <v>269987</v>
          </cell>
          <cell r="F151">
            <v>-2963</v>
          </cell>
        </row>
        <row r="152">
          <cell r="D152">
            <v>3944</v>
          </cell>
          <cell r="F152">
            <v>-17</v>
          </cell>
        </row>
        <row r="153">
          <cell r="D153">
            <v>0</v>
          </cell>
          <cell r="F153">
            <v>0</v>
          </cell>
        </row>
        <row r="154">
          <cell r="D154">
            <v>248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1890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22562</v>
          </cell>
          <cell r="F161">
            <v>-199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1629</v>
          </cell>
          <cell r="F192">
            <v>0</v>
          </cell>
        </row>
        <row r="193">
          <cell r="D193">
            <v>1466</v>
          </cell>
          <cell r="F193">
            <v>0</v>
          </cell>
        </row>
        <row r="194">
          <cell r="D194">
            <v>454588</v>
          </cell>
          <cell r="F194">
            <v>-6137</v>
          </cell>
        </row>
        <row r="195">
          <cell r="D195">
            <v>176379</v>
          </cell>
          <cell r="F195">
            <v>-2381</v>
          </cell>
        </row>
        <row r="196">
          <cell r="D196">
            <v>0</v>
          </cell>
          <cell r="F196">
            <v>0</v>
          </cell>
        </row>
        <row r="197">
          <cell r="D197">
            <v>440608</v>
          </cell>
          <cell r="F197">
            <v>-5948</v>
          </cell>
        </row>
        <row r="198">
          <cell r="D198">
            <v>96163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422058</v>
          </cell>
          <cell r="F205">
            <v>-6483</v>
          </cell>
        </row>
        <row r="206">
          <cell r="D206">
            <v>5961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151989</v>
          </cell>
          <cell r="F211">
            <v>0</v>
          </cell>
        </row>
        <row r="212">
          <cell r="D212">
            <v>30922</v>
          </cell>
          <cell r="F212">
            <v>0</v>
          </cell>
        </row>
        <row r="213">
          <cell r="D213">
            <v>12607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1768</v>
          </cell>
          <cell r="F216">
            <v>0</v>
          </cell>
        </row>
        <row r="221">
          <cell r="D221">
            <v>9754069</v>
          </cell>
        </row>
      </sheetData>
      <sheetData sheetId="8"/>
      <sheetData sheetId="9"/>
      <sheetData sheetId="10">
        <row r="9">
          <cell r="C9">
            <v>17594</v>
          </cell>
          <cell r="D9">
            <v>0</v>
          </cell>
          <cell r="E9">
            <v>2854</v>
          </cell>
          <cell r="F9">
            <v>4626</v>
          </cell>
          <cell r="G9">
            <v>0</v>
          </cell>
          <cell r="H9">
            <v>2293</v>
          </cell>
          <cell r="I9">
            <v>5141</v>
          </cell>
          <cell r="J9">
            <v>0</v>
          </cell>
          <cell r="K9">
            <v>1120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43920</v>
          </cell>
        </row>
        <row r="30">
          <cell r="N30">
            <v>0.7656648451730419</v>
          </cell>
        </row>
        <row r="32">
          <cell r="N32">
            <v>0.40059198542805102</v>
          </cell>
        </row>
        <row r="34">
          <cell r="N34">
            <v>0.52319495658379922</v>
          </cell>
        </row>
      </sheetData>
      <sheetData sheetId="1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2709729.23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167078</v>
          </cell>
          <cell r="G21">
            <v>0</v>
          </cell>
        </row>
        <row r="27">
          <cell r="E27">
            <v>17136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355893</v>
          </cell>
          <cell r="G37">
            <v>0</v>
          </cell>
        </row>
        <row r="42">
          <cell r="E42">
            <v>128678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90325</v>
          </cell>
          <cell r="G67">
            <v>0</v>
          </cell>
        </row>
        <row r="85">
          <cell r="C85">
            <v>190.91499999999999</v>
          </cell>
          <cell r="E85">
            <v>191.05769230769232</v>
          </cell>
          <cell r="G85">
            <v>193.75</v>
          </cell>
          <cell r="I85">
            <v>191.32367149758454</v>
          </cell>
        </row>
      </sheetData>
      <sheetData sheetId="6"/>
      <sheetData sheetId="7">
        <row r="10">
          <cell r="D10">
            <v>60942</v>
          </cell>
          <cell r="F10"/>
        </row>
        <row r="11">
          <cell r="D11"/>
          <cell r="F11"/>
        </row>
        <row r="12">
          <cell r="D12">
            <v>99791</v>
          </cell>
          <cell r="F12"/>
        </row>
        <row r="13">
          <cell r="D13">
            <v>25705</v>
          </cell>
          <cell r="F13"/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>
            <v>44755</v>
          </cell>
          <cell r="F17"/>
        </row>
        <row r="18">
          <cell r="D18">
            <v>8610.7800000000007</v>
          </cell>
          <cell r="F18"/>
        </row>
        <row r="19">
          <cell r="D19">
            <v>9396</v>
          </cell>
          <cell r="F19"/>
        </row>
        <row r="20">
          <cell r="D20">
            <v>26803</v>
          </cell>
          <cell r="F20"/>
        </row>
        <row r="21">
          <cell r="D21">
            <v>8461</v>
          </cell>
          <cell r="F21"/>
        </row>
        <row r="22">
          <cell r="D22"/>
          <cell r="F22"/>
        </row>
        <row r="23">
          <cell r="D23">
            <v>2634</v>
          </cell>
          <cell r="F23"/>
        </row>
        <row r="24">
          <cell r="D24">
            <v>7167</v>
          </cell>
          <cell r="F24"/>
        </row>
        <row r="25">
          <cell r="D25"/>
          <cell r="F25"/>
        </row>
        <row r="26">
          <cell r="D26">
            <v>360060</v>
          </cell>
          <cell r="F26"/>
        </row>
        <row r="27">
          <cell r="D27"/>
          <cell r="F27"/>
        </row>
        <row r="28">
          <cell r="D28">
            <v>208796</v>
          </cell>
          <cell r="F28">
            <v>-208796</v>
          </cell>
        </row>
        <row r="29">
          <cell r="D29"/>
          <cell r="F29">
            <v>0</v>
          </cell>
        </row>
        <row r="30">
          <cell r="D30">
            <v>100</v>
          </cell>
          <cell r="F30">
            <v>-100</v>
          </cell>
        </row>
        <row r="31">
          <cell r="D31">
            <v>23572</v>
          </cell>
          <cell r="F31"/>
        </row>
        <row r="32">
          <cell r="D32">
            <v>36333</v>
          </cell>
          <cell r="F32"/>
        </row>
        <row r="33">
          <cell r="D33">
            <v>15210</v>
          </cell>
          <cell r="F33">
            <v>-15210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/>
          <cell r="F39"/>
        </row>
        <row r="40">
          <cell r="D40">
            <v>625.79999999999995</v>
          </cell>
          <cell r="F40"/>
        </row>
        <row r="41">
          <cell r="D41">
            <v>4181</v>
          </cell>
          <cell r="F41"/>
        </row>
        <row r="42">
          <cell r="D42"/>
          <cell r="F42"/>
        </row>
        <row r="43">
          <cell r="D43"/>
          <cell r="F43"/>
        </row>
        <row r="44">
          <cell r="D44"/>
          <cell r="F44"/>
        </row>
        <row r="45">
          <cell r="D45">
            <v>7</v>
          </cell>
          <cell r="F45"/>
        </row>
        <row r="57">
          <cell r="D57">
            <v>300000</v>
          </cell>
          <cell r="F57">
            <v>-300000</v>
          </cell>
        </row>
        <row r="58">
          <cell r="D58">
            <v>20304.54</v>
          </cell>
          <cell r="F58"/>
        </row>
        <row r="59">
          <cell r="D59"/>
          <cell r="F59"/>
        </row>
        <row r="60">
          <cell r="D60">
            <v>27528</v>
          </cell>
          <cell r="F60"/>
        </row>
        <row r="61">
          <cell r="D61"/>
          <cell r="F61"/>
        </row>
        <row r="62">
          <cell r="D62">
            <v>31885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4176</v>
          </cell>
          <cell r="F65"/>
        </row>
        <row r="66">
          <cell r="D66"/>
          <cell r="F66"/>
        </row>
        <row r="67">
          <cell r="D67">
            <v>63422.5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38331.58</v>
          </cell>
          <cell r="F75"/>
        </row>
        <row r="76">
          <cell r="D76">
            <v>3216.65</v>
          </cell>
          <cell r="F76"/>
        </row>
        <row r="77">
          <cell r="D77">
            <v>1872</v>
          </cell>
          <cell r="F77"/>
        </row>
        <row r="78">
          <cell r="D78">
            <v>1077</v>
          </cell>
          <cell r="F78"/>
        </row>
        <row r="79">
          <cell r="D79"/>
          <cell r="F79"/>
        </row>
        <row r="80">
          <cell r="D80">
            <v>23449</v>
          </cell>
          <cell r="F80"/>
        </row>
        <row r="81">
          <cell r="D81">
            <v>25487</v>
          </cell>
          <cell r="F81"/>
        </row>
        <row r="82">
          <cell r="D82">
            <v>11532</v>
          </cell>
          <cell r="F82"/>
        </row>
        <row r="83">
          <cell r="D83">
            <v>9184.9599999999991</v>
          </cell>
          <cell r="F83"/>
        </row>
        <row r="84">
          <cell r="D84">
            <v>80895.570000000007</v>
          </cell>
          <cell r="F84"/>
        </row>
        <row r="85">
          <cell r="D85"/>
          <cell r="F85"/>
        </row>
        <row r="89">
          <cell r="D89">
            <v>121621</v>
          </cell>
          <cell r="F89"/>
        </row>
        <row r="90">
          <cell r="D90">
            <v>10121</v>
          </cell>
          <cell r="F90"/>
        </row>
        <row r="91">
          <cell r="D91">
            <v>2371</v>
          </cell>
          <cell r="F91"/>
        </row>
        <row r="92">
          <cell r="D92">
            <v>167891</v>
          </cell>
          <cell r="F92"/>
        </row>
        <row r="93">
          <cell r="D93">
            <v>34400.980000000003</v>
          </cell>
          <cell r="F93"/>
        </row>
        <row r="94">
          <cell r="D94">
            <v>531.44000000000005</v>
          </cell>
          <cell r="F94"/>
        </row>
        <row r="98">
          <cell r="D98">
            <v>18899.84</v>
          </cell>
          <cell r="F98"/>
        </row>
        <row r="99">
          <cell r="D99">
            <v>1553.68</v>
          </cell>
          <cell r="F99"/>
        </row>
        <row r="100">
          <cell r="D100">
            <v>1445.59</v>
          </cell>
          <cell r="F100"/>
        </row>
        <row r="101">
          <cell r="D101">
            <v>1416</v>
          </cell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48413</v>
          </cell>
          <cell r="F115"/>
        </row>
        <row r="116">
          <cell r="D116">
            <v>4065</v>
          </cell>
          <cell r="F116"/>
        </row>
        <row r="117">
          <cell r="D117">
            <v>26510.58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34832</v>
          </cell>
          <cell r="F125"/>
        </row>
        <row r="126">
          <cell r="D126">
            <v>0</v>
          </cell>
          <cell r="F126"/>
        </row>
        <row r="127">
          <cell r="D127">
            <v>0</v>
          </cell>
          <cell r="F127"/>
        </row>
        <row r="128">
          <cell r="D128">
            <v>19813.599999999999</v>
          </cell>
          <cell r="F128"/>
        </row>
        <row r="130">
          <cell r="D130"/>
          <cell r="F130"/>
        </row>
        <row r="131">
          <cell r="D131">
            <v>3744.58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319567</v>
          </cell>
          <cell r="F136"/>
        </row>
        <row r="137">
          <cell r="D137">
            <v>75343</v>
          </cell>
          <cell r="F137"/>
        </row>
        <row r="138">
          <cell r="D138">
            <v>394605</v>
          </cell>
          <cell r="F138"/>
        </row>
        <row r="139">
          <cell r="D139"/>
          <cell r="F139"/>
        </row>
        <row r="141">
          <cell r="D141">
            <v>26699.9</v>
          </cell>
          <cell r="F141"/>
        </row>
        <row r="142">
          <cell r="D142">
            <v>6329.48</v>
          </cell>
          <cell r="F142"/>
        </row>
        <row r="143">
          <cell r="D143">
            <v>33399.589999999997</v>
          </cell>
          <cell r="F143"/>
        </row>
        <row r="144">
          <cell r="D144"/>
          <cell r="F144"/>
        </row>
        <row r="146">
          <cell r="D146">
            <v>16500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/>
          <cell r="F150"/>
        </row>
        <row r="151">
          <cell r="D151">
            <v>74013</v>
          </cell>
          <cell r="F151"/>
        </row>
        <row r="152">
          <cell r="D152">
            <v>14639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28291</v>
          </cell>
          <cell r="F194"/>
        </row>
        <row r="195">
          <cell r="D195">
            <v>11824</v>
          </cell>
          <cell r="F195"/>
        </row>
        <row r="196">
          <cell r="D196"/>
          <cell r="F196"/>
        </row>
        <row r="197">
          <cell r="D197">
            <v>25631.57</v>
          </cell>
          <cell r="F197"/>
        </row>
        <row r="198">
          <cell r="D198">
            <v>1590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22141.21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35101</v>
          </cell>
          <cell r="F211"/>
        </row>
        <row r="212">
          <cell r="D212">
            <v>2952.87</v>
          </cell>
          <cell r="F212"/>
        </row>
        <row r="213">
          <cell r="D213">
            <v>15496</v>
          </cell>
          <cell r="F213"/>
        </row>
        <row r="214">
          <cell r="D214">
            <v>5400.67</v>
          </cell>
          <cell r="F214"/>
        </row>
        <row r="215">
          <cell r="D215"/>
          <cell r="F215"/>
        </row>
        <row r="216">
          <cell r="D216"/>
          <cell r="F216"/>
        </row>
        <row r="221">
          <cell r="D221">
            <v>3192666</v>
          </cell>
        </row>
      </sheetData>
      <sheetData sheetId="8"/>
      <sheetData sheetId="9"/>
      <sheetData sheetId="10">
        <row r="9">
          <cell r="C9">
            <v>16734</v>
          </cell>
          <cell r="D9"/>
          <cell r="E9">
            <v>318</v>
          </cell>
          <cell r="F9">
            <v>56</v>
          </cell>
          <cell r="G9"/>
          <cell r="H9">
            <v>1857</v>
          </cell>
          <cell r="I9">
            <v>797</v>
          </cell>
          <cell r="J9"/>
          <cell r="K9"/>
        </row>
        <row r="22">
          <cell r="N22">
            <v>155</v>
          </cell>
        </row>
        <row r="24">
          <cell r="N24">
            <v>155</v>
          </cell>
        </row>
        <row r="28">
          <cell r="N28">
            <v>56730</v>
          </cell>
        </row>
        <row r="30">
          <cell r="N30">
            <v>0.34835184205887537</v>
          </cell>
        </row>
        <row r="32">
          <cell r="N32">
            <v>0.29497620306716021</v>
          </cell>
        </row>
        <row r="34">
          <cell r="N34">
            <v>0.84677664204027925</v>
          </cell>
        </row>
      </sheetData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1824303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1356867</v>
          </cell>
          <cell r="G21">
            <v>0</v>
          </cell>
        </row>
        <row r="27">
          <cell r="E27">
            <v>1335965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483105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252959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89984</v>
          </cell>
          <cell r="G67">
            <v>0</v>
          </cell>
        </row>
      </sheetData>
      <sheetData sheetId="7"/>
      <sheetData sheetId="8"/>
      <sheetData sheetId="9">
        <row r="10">
          <cell r="D10">
            <v>142423</v>
          </cell>
          <cell r="F10">
            <v>9040</v>
          </cell>
        </row>
        <row r="11">
          <cell r="D11">
            <v>0</v>
          </cell>
          <cell r="F11"/>
        </row>
        <row r="12">
          <cell r="D12">
            <v>230852</v>
          </cell>
          <cell r="F12">
            <v>14649</v>
          </cell>
        </row>
        <row r="13">
          <cell r="D13">
            <v>489789</v>
          </cell>
          <cell r="F13">
            <v>-443341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267637</v>
          </cell>
          <cell r="F16">
            <v>120071.13926418754</v>
          </cell>
        </row>
        <row r="17">
          <cell r="D17">
            <v>0</v>
          </cell>
          <cell r="F17"/>
        </row>
        <row r="18">
          <cell r="D18">
            <v>10129</v>
          </cell>
          <cell r="F18"/>
        </row>
        <row r="19">
          <cell r="D19">
            <v>18479</v>
          </cell>
          <cell r="F19">
            <v>-2784.85</v>
          </cell>
        </row>
        <row r="20">
          <cell r="D20">
            <v>14441</v>
          </cell>
          <cell r="F20"/>
        </row>
        <row r="21">
          <cell r="D21">
            <v>1325</v>
          </cell>
          <cell r="F21"/>
        </row>
        <row r="22">
          <cell r="D22">
            <v>0</v>
          </cell>
          <cell r="F22"/>
        </row>
        <row r="23">
          <cell r="D23">
            <v>4785</v>
          </cell>
          <cell r="F23"/>
        </row>
        <row r="24">
          <cell r="D24">
            <v>38632</v>
          </cell>
          <cell r="F24">
            <v>-10800</v>
          </cell>
        </row>
        <row r="25">
          <cell r="D25">
            <v>0</v>
          </cell>
          <cell r="F25"/>
        </row>
        <row r="26">
          <cell r="D26">
            <v>241055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111215</v>
          </cell>
          <cell r="F29">
            <v>-111215</v>
          </cell>
        </row>
        <row r="30">
          <cell r="D30">
            <v>0</v>
          </cell>
          <cell r="F30">
            <v>0</v>
          </cell>
        </row>
        <row r="31">
          <cell r="D31">
            <v>58049</v>
          </cell>
          <cell r="F31"/>
        </row>
        <row r="32">
          <cell r="D32">
            <v>81630</v>
          </cell>
          <cell r="F32">
            <v>-27900.600000000002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276</v>
          </cell>
          <cell r="F35">
            <v>-276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5918</v>
          </cell>
          <cell r="F39"/>
        </row>
        <row r="40">
          <cell r="D40">
            <v>4327</v>
          </cell>
          <cell r="F40"/>
        </row>
        <row r="41">
          <cell r="D41">
            <v>14082</v>
          </cell>
          <cell r="F41"/>
        </row>
        <row r="42">
          <cell r="D42">
            <v>2104</v>
          </cell>
          <cell r="F42"/>
        </row>
        <row r="43">
          <cell r="D43">
            <v>3378</v>
          </cell>
          <cell r="F43"/>
        </row>
        <row r="44">
          <cell r="D44">
            <v>1250</v>
          </cell>
          <cell r="F44"/>
        </row>
        <row r="45">
          <cell r="D45">
            <v>5617</v>
          </cell>
          <cell r="F45">
            <v>-87808</v>
          </cell>
        </row>
        <row r="57">
          <cell r="D57">
            <v>417630</v>
          </cell>
          <cell r="F57">
            <v>-417630</v>
          </cell>
        </row>
        <row r="58">
          <cell r="D58">
            <v>43096</v>
          </cell>
          <cell r="F58">
            <v>152080</v>
          </cell>
        </row>
        <row r="59">
          <cell r="D59">
            <v>0</v>
          </cell>
          <cell r="F59"/>
        </row>
        <row r="60">
          <cell r="D60">
            <v>28058</v>
          </cell>
          <cell r="F60"/>
        </row>
        <row r="61">
          <cell r="D61">
            <v>6453</v>
          </cell>
          <cell r="F61"/>
        </row>
        <row r="62">
          <cell r="D62">
            <v>521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3811</v>
          </cell>
          <cell r="F65"/>
        </row>
        <row r="66">
          <cell r="D66">
            <v>18487</v>
          </cell>
          <cell r="F66"/>
        </row>
        <row r="67">
          <cell r="D67">
            <v>57377</v>
          </cell>
          <cell r="F67">
            <v>33843</v>
          </cell>
        </row>
        <row r="68">
          <cell r="D68">
            <v>0</v>
          </cell>
          <cell r="F68"/>
        </row>
        <row r="69">
          <cell r="D69">
            <v>5019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27965</v>
          </cell>
          <cell r="F75">
            <v>1775</v>
          </cell>
        </row>
        <row r="76">
          <cell r="D76">
            <v>0</v>
          </cell>
          <cell r="F76">
            <v>3539</v>
          </cell>
        </row>
        <row r="77">
          <cell r="D77">
            <v>15729</v>
          </cell>
          <cell r="F77"/>
        </row>
        <row r="78">
          <cell r="D78">
            <v>0</v>
          </cell>
          <cell r="F78"/>
        </row>
        <row r="79">
          <cell r="D79">
            <v>5208</v>
          </cell>
          <cell r="F79"/>
        </row>
        <row r="80">
          <cell r="D80">
            <v>15398</v>
          </cell>
          <cell r="F80"/>
        </row>
        <row r="81">
          <cell r="D81">
            <v>2192</v>
          </cell>
          <cell r="F81"/>
        </row>
        <row r="82">
          <cell r="D82">
            <v>561</v>
          </cell>
          <cell r="F82"/>
        </row>
        <row r="83">
          <cell r="D83">
            <v>0</v>
          </cell>
          <cell r="F83"/>
        </row>
        <row r="84">
          <cell r="D84">
            <v>98638</v>
          </cell>
          <cell r="F84"/>
        </row>
        <row r="85">
          <cell r="D85">
            <v>0</v>
          </cell>
          <cell r="F85"/>
        </row>
        <row r="89">
          <cell r="D89">
            <v>124241</v>
          </cell>
          <cell r="F89">
            <v>7886</v>
          </cell>
        </row>
        <row r="90">
          <cell r="D90">
            <v>0</v>
          </cell>
          <cell r="F90">
            <v>15723</v>
          </cell>
        </row>
        <row r="91">
          <cell r="D91">
            <v>18909</v>
          </cell>
          <cell r="F91"/>
        </row>
        <row r="92">
          <cell r="D92">
            <v>110942</v>
          </cell>
          <cell r="F92"/>
        </row>
        <row r="93">
          <cell r="D93">
            <v>10810</v>
          </cell>
          <cell r="F93"/>
        </row>
        <row r="94">
          <cell r="D94">
            <v>0</v>
          </cell>
          <cell r="F94"/>
        </row>
        <row r="98">
          <cell r="D98">
            <v>0</v>
          </cell>
          <cell r="F98"/>
        </row>
        <row r="99">
          <cell r="D99">
            <v>0</v>
          </cell>
          <cell r="F99"/>
        </row>
        <row r="100">
          <cell r="D100">
            <v>298</v>
          </cell>
          <cell r="F100"/>
        </row>
        <row r="101">
          <cell r="D101">
            <v>48477</v>
          </cell>
          <cell r="F101"/>
        </row>
        <row r="102">
          <cell r="D102">
            <v>750</v>
          </cell>
          <cell r="F102"/>
        </row>
        <row r="103">
          <cell r="D103">
            <v>0</v>
          </cell>
          <cell r="F103"/>
        </row>
        <row r="115">
          <cell r="D115">
            <v>0</v>
          </cell>
          <cell r="F115"/>
        </row>
        <row r="116">
          <cell r="D116">
            <v>0</v>
          </cell>
          <cell r="F116"/>
        </row>
        <row r="117">
          <cell r="D117">
            <v>2644</v>
          </cell>
          <cell r="F117"/>
        </row>
        <row r="118">
          <cell r="D118">
            <v>73840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148253</v>
          </cell>
          <cell r="F125">
            <v>9410</v>
          </cell>
        </row>
        <row r="126">
          <cell r="D126">
            <v>49452</v>
          </cell>
          <cell r="F126">
            <v>3139</v>
          </cell>
        </row>
        <row r="127">
          <cell r="D127">
            <v>0</v>
          </cell>
          <cell r="F127"/>
        </row>
        <row r="128">
          <cell r="D128">
            <v>20261</v>
          </cell>
          <cell r="F128">
            <v>1286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18762</v>
          </cell>
        </row>
        <row r="132">
          <cell r="D132">
            <v>0</v>
          </cell>
          <cell r="F132">
            <v>6258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2564</v>
          </cell>
        </row>
        <row r="136">
          <cell r="D136">
            <v>262760</v>
          </cell>
          <cell r="F136">
            <v>16677</v>
          </cell>
        </row>
        <row r="137">
          <cell r="D137">
            <v>248862</v>
          </cell>
          <cell r="F137">
            <v>15795</v>
          </cell>
        </row>
        <row r="138">
          <cell r="D138">
            <v>541019</v>
          </cell>
          <cell r="F138">
            <v>34338</v>
          </cell>
        </row>
        <row r="139">
          <cell r="D139">
            <v>40568</v>
          </cell>
          <cell r="F139">
            <v>2575</v>
          </cell>
        </row>
        <row r="141">
          <cell r="D141">
            <v>0</v>
          </cell>
          <cell r="F141">
            <v>33254</v>
          </cell>
        </row>
        <row r="142">
          <cell r="D142">
            <v>0</v>
          </cell>
          <cell r="F142">
            <v>31494</v>
          </cell>
        </row>
        <row r="143">
          <cell r="D143">
            <v>0</v>
          </cell>
          <cell r="F143">
            <v>68468</v>
          </cell>
        </row>
        <row r="144">
          <cell r="D144">
            <v>0</v>
          </cell>
          <cell r="F144">
            <v>5134</v>
          </cell>
        </row>
        <row r="146">
          <cell r="D146">
            <v>61500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4347</v>
          </cell>
          <cell r="F150"/>
        </row>
        <row r="151">
          <cell r="D151">
            <v>70152</v>
          </cell>
          <cell r="F151"/>
        </row>
        <row r="152">
          <cell r="D152">
            <v>1112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275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269632</v>
          </cell>
          <cell r="F177">
            <v>17114</v>
          </cell>
        </row>
        <row r="178">
          <cell r="D178">
            <v>0</v>
          </cell>
          <cell r="F178">
            <v>34123</v>
          </cell>
        </row>
        <row r="179">
          <cell r="D179">
            <v>46548</v>
          </cell>
          <cell r="F179">
            <v>2954</v>
          </cell>
        </row>
        <row r="180">
          <cell r="D180">
            <v>0</v>
          </cell>
          <cell r="F180">
            <v>5891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132591</v>
          </cell>
          <cell r="F183">
            <v>8416</v>
          </cell>
        </row>
        <row r="184">
          <cell r="D184">
            <v>0</v>
          </cell>
          <cell r="F184">
            <v>16780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1987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342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62450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183948</v>
          </cell>
          <cell r="F205"/>
        </row>
        <row r="206">
          <cell r="D206">
            <v>3932</v>
          </cell>
          <cell r="F206"/>
        </row>
        <row r="207">
          <cell r="D207">
            <v>20533</v>
          </cell>
          <cell r="F207">
            <v>-295</v>
          </cell>
        </row>
        <row r="211">
          <cell r="D211">
            <v>62622</v>
          </cell>
          <cell r="F211">
            <v>3975</v>
          </cell>
        </row>
        <row r="212">
          <cell r="D212">
            <v>0</v>
          </cell>
          <cell r="F212">
            <v>7925</v>
          </cell>
        </row>
        <row r="213">
          <cell r="D213">
            <v>3412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4181</v>
          </cell>
          <cell r="F216"/>
        </row>
        <row r="221">
          <cell r="D221">
            <v>5125186</v>
          </cell>
        </row>
      </sheetData>
      <sheetData sheetId="10"/>
      <sheetData sheetId="11"/>
      <sheetData sheetId="12"/>
      <sheetData sheetId="13"/>
      <sheetData sheetId="14">
        <row r="9">
          <cell r="C9">
            <v>9490</v>
          </cell>
          <cell r="D9"/>
          <cell r="E9">
            <v>2460</v>
          </cell>
          <cell r="F9">
            <v>3099</v>
          </cell>
          <cell r="G9"/>
          <cell r="H9">
            <v>2312</v>
          </cell>
          <cell r="I9"/>
          <cell r="J9">
            <v>1350</v>
          </cell>
          <cell r="K9">
            <v>6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32940</v>
          </cell>
        </row>
        <row r="30">
          <cell r="N30">
            <v>0.56821493624772312</v>
          </cell>
        </row>
        <row r="32">
          <cell r="N32">
            <v>0.28809957498482086</v>
          </cell>
        </row>
        <row r="34">
          <cell r="N34">
            <v>0.50702569856280388</v>
          </cell>
        </row>
      </sheetData>
      <sheetData sheetId="1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3388942.05</v>
          </cell>
          <cell r="G10">
            <v>0</v>
          </cell>
        </row>
        <row r="15">
          <cell r="E15">
            <v>27020</v>
          </cell>
          <cell r="G15">
            <v>0</v>
          </cell>
        </row>
        <row r="21">
          <cell r="E21">
            <v>1564035.5899999999</v>
          </cell>
          <cell r="G21">
            <v>0</v>
          </cell>
        </row>
        <row r="27">
          <cell r="E27">
            <v>316048.90000000002</v>
          </cell>
          <cell r="G27">
            <v>0</v>
          </cell>
        </row>
        <row r="32">
          <cell r="E32">
            <v>1547417.3499999999</v>
          </cell>
          <cell r="G32">
            <v>0</v>
          </cell>
        </row>
        <row r="37">
          <cell r="E37">
            <v>510872.55000000005</v>
          </cell>
          <cell r="G37">
            <v>0</v>
          </cell>
        </row>
        <row r="42">
          <cell r="E42">
            <v>276808.67000000004</v>
          </cell>
          <cell r="G42">
            <v>0</v>
          </cell>
        </row>
        <row r="47">
          <cell r="E47">
            <v>10024.970000000001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49154.46</v>
          </cell>
          <cell r="G67">
            <v>-391.64</v>
          </cell>
        </row>
        <row r="85">
          <cell r="C85">
            <v>211.18302259887002</v>
          </cell>
          <cell r="E85">
            <v>198.82122905027933</v>
          </cell>
          <cell r="G85">
            <v>131.66189054726368</v>
          </cell>
          <cell r="I85">
            <v>271.06001470588234</v>
          </cell>
        </row>
      </sheetData>
      <sheetData sheetId="6"/>
      <sheetData sheetId="7">
        <row r="10">
          <cell r="D10">
            <v>117846.82</v>
          </cell>
          <cell r="F10"/>
        </row>
        <row r="11">
          <cell r="D11"/>
          <cell r="F11"/>
        </row>
        <row r="12">
          <cell r="D12">
            <v>252824.34</v>
          </cell>
          <cell r="F12">
            <v>-105743</v>
          </cell>
        </row>
        <row r="13">
          <cell r="D13">
            <v>111615.53</v>
          </cell>
          <cell r="F13">
            <v>-29618</v>
          </cell>
        </row>
        <row r="14">
          <cell r="D14"/>
          <cell r="F14"/>
        </row>
        <row r="15">
          <cell r="D15">
            <v>518286.7</v>
          </cell>
          <cell r="F15">
            <v>-518286.7</v>
          </cell>
        </row>
        <row r="16">
          <cell r="D16"/>
          <cell r="F16">
            <v>272619</v>
          </cell>
        </row>
        <row r="17">
          <cell r="D17"/>
          <cell r="F17"/>
        </row>
        <row r="18">
          <cell r="D18">
            <v>20598.52</v>
          </cell>
          <cell r="F18"/>
        </row>
        <row r="19">
          <cell r="D19">
            <v>13340.91</v>
          </cell>
          <cell r="F19"/>
        </row>
        <row r="20">
          <cell r="D20">
            <v>23680.65</v>
          </cell>
          <cell r="F20"/>
        </row>
        <row r="21">
          <cell r="D21">
            <v>54027.05</v>
          </cell>
          <cell r="F21">
            <v>52892</v>
          </cell>
        </row>
        <row r="22">
          <cell r="D22"/>
          <cell r="F22"/>
        </row>
        <row r="23">
          <cell r="D23">
            <v>29419.63</v>
          </cell>
          <cell r="F23">
            <v>41953</v>
          </cell>
        </row>
        <row r="24">
          <cell r="D24">
            <v>50676.09</v>
          </cell>
          <cell r="F24"/>
        </row>
        <row r="25">
          <cell r="D25"/>
          <cell r="F25"/>
        </row>
        <row r="26">
          <cell r="D26">
            <v>422116.68</v>
          </cell>
          <cell r="F26">
            <v>-463.56</v>
          </cell>
        </row>
        <row r="27">
          <cell r="D27">
            <v>4546.3999999999996</v>
          </cell>
          <cell r="F27">
            <v>10985.36</v>
          </cell>
        </row>
        <row r="28">
          <cell r="D28"/>
          <cell r="F28">
            <v>0</v>
          </cell>
        </row>
        <row r="29">
          <cell r="D29">
            <v>203111.58</v>
          </cell>
          <cell r="F29">
            <v>-203111.58</v>
          </cell>
        </row>
        <row r="30">
          <cell r="D30">
            <v>500</v>
          </cell>
          <cell r="F30">
            <v>-500</v>
          </cell>
        </row>
        <row r="31">
          <cell r="D31">
            <v>6098.5</v>
          </cell>
          <cell r="F31"/>
        </row>
        <row r="32">
          <cell r="D32">
            <v>131830.69</v>
          </cell>
          <cell r="F32"/>
        </row>
        <row r="33">
          <cell r="D33"/>
          <cell r="F33">
            <v>0</v>
          </cell>
        </row>
        <row r="34">
          <cell r="D34"/>
          <cell r="F34">
            <v>1560</v>
          </cell>
        </row>
        <row r="35">
          <cell r="D35">
            <v>20199.14</v>
          </cell>
          <cell r="F35">
            <v>-20199.14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16397.22</v>
          </cell>
          <cell r="F39">
            <v>4594</v>
          </cell>
        </row>
        <row r="40">
          <cell r="D40">
            <v>12357.19</v>
          </cell>
          <cell r="F40">
            <v>-12357</v>
          </cell>
        </row>
        <row r="41">
          <cell r="D41">
            <v>16037.12</v>
          </cell>
          <cell r="F41"/>
        </row>
        <row r="42">
          <cell r="D42">
            <v>65</v>
          </cell>
          <cell r="F42">
            <v>4578</v>
          </cell>
        </row>
        <row r="43">
          <cell r="D43"/>
          <cell r="F43"/>
        </row>
        <row r="44">
          <cell r="D44">
            <v>600</v>
          </cell>
          <cell r="F44"/>
        </row>
        <row r="45">
          <cell r="D45">
            <v>8920.7099999999991</v>
          </cell>
          <cell r="F45">
            <v>5607</v>
          </cell>
        </row>
        <row r="57">
          <cell r="D57">
            <v>859209.96</v>
          </cell>
          <cell r="F57">
            <v>-859210</v>
          </cell>
        </row>
        <row r="58">
          <cell r="D58">
            <v>12479.76</v>
          </cell>
          <cell r="F58">
            <v>138462</v>
          </cell>
        </row>
        <row r="59">
          <cell r="D59"/>
          <cell r="F59">
            <v>323471.65000000002</v>
          </cell>
        </row>
        <row r="60">
          <cell r="D60">
            <v>45907.39</v>
          </cell>
          <cell r="F60">
            <v>-6791.5</v>
          </cell>
        </row>
        <row r="61">
          <cell r="D61">
            <v>18960.95</v>
          </cell>
          <cell r="F61">
            <v>861</v>
          </cell>
        </row>
        <row r="62">
          <cell r="D62">
            <v>3723.8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14522.82</v>
          </cell>
          <cell r="F67">
            <v>16571.68</v>
          </cell>
        </row>
        <row r="68">
          <cell r="D68"/>
          <cell r="F68"/>
        </row>
        <row r="69">
          <cell r="D69"/>
          <cell r="F69">
            <v>6747.59</v>
          </cell>
        </row>
        <row r="70">
          <cell r="D70"/>
          <cell r="F70"/>
        </row>
        <row r="71">
          <cell r="D71"/>
          <cell r="F71"/>
        </row>
        <row r="75">
          <cell r="D75">
            <v>41869.760000000002</v>
          </cell>
          <cell r="F75"/>
        </row>
        <row r="76">
          <cell r="D76">
            <v>10986.07</v>
          </cell>
          <cell r="F76"/>
        </row>
        <row r="77">
          <cell r="D77">
            <v>13171.83</v>
          </cell>
          <cell r="F77"/>
        </row>
        <row r="78">
          <cell r="D78">
            <v>41993.01</v>
          </cell>
          <cell r="F78">
            <v>1118</v>
          </cell>
        </row>
        <row r="79">
          <cell r="D79">
            <v>40048.720000000001</v>
          </cell>
          <cell r="F79"/>
        </row>
        <row r="80">
          <cell r="D80">
            <v>55993.68</v>
          </cell>
          <cell r="F80"/>
        </row>
        <row r="81">
          <cell r="D81">
            <v>281.67</v>
          </cell>
          <cell r="F81"/>
        </row>
        <row r="82">
          <cell r="D82">
            <v>8046.6</v>
          </cell>
          <cell r="F82"/>
        </row>
        <row r="83">
          <cell r="D83"/>
          <cell r="F83"/>
        </row>
        <row r="84">
          <cell r="D84">
            <v>158560.06</v>
          </cell>
          <cell r="F84">
            <v>1258</v>
          </cell>
        </row>
        <row r="85">
          <cell r="D85">
            <v>131.87</v>
          </cell>
          <cell r="F85"/>
        </row>
        <row r="89">
          <cell r="D89">
            <v>223236.32</v>
          </cell>
          <cell r="F89"/>
        </row>
        <row r="90">
          <cell r="D90">
            <v>55465.24</v>
          </cell>
          <cell r="F90"/>
        </row>
        <row r="91">
          <cell r="D91">
            <v>15152.77</v>
          </cell>
          <cell r="F91"/>
        </row>
        <row r="92">
          <cell r="D92">
            <v>200969.71</v>
          </cell>
          <cell r="F92"/>
        </row>
        <row r="93">
          <cell r="D93">
            <v>13308.33</v>
          </cell>
          <cell r="F93"/>
        </row>
        <row r="94">
          <cell r="D94">
            <v>6028.27</v>
          </cell>
          <cell r="F94"/>
        </row>
        <row r="98">
          <cell r="D98">
            <v>35526.25</v>
          </cell>
          <cell r="F98"/>
        </row>
        <row r="99">
          <cell r="D99">
            <v>10647</v>
          </cell>
          <cell r="F99"/>
        </row>
        <row r="100">
          <cell r="D100">
            <v>3471.58</v>
          </cell>
          <cell r="F100"/>
        </row>
        <row r="101">
          <cell r="D101">
            <v>269.7</v>
          </cell>
          <cell r="F101"/>
        </row>
        <row r="102">
          <cell r="D102">
            <v>4933.3100000000004</v>
          </cell>
          <cell r="F102"/>
        </row>
        <row r="103">
          <cell r="D103"/>
          <cell r="F103"/>
        </row>
        <row r="115">
          <cell r="D115">
            <v>91610.15</v>
          </cell>
          <cell r="F115"/>
        </row>
        <row r="116">
          <cell r="D116">
            <v>28930.93</v>
          </cell>
          <cell r="F116"/>
        </row>
        <row r="117">
          <cell r="D117">
            <v>18120.45</v>
          </cell>
          <cell r="F117"/>
        </row>
        <row r="118">
          <cell r="D118">
            <v>1925.01</v>
          </cell>
          <cell r="F118"/>
        </row>
        <row r="119">
          <cell r="D119">
            <v>511</v>
          </cell>
          <cell r="F119"/>
        </row>
        <row r="124">
          <cell r="D124">
            <v>165903</v>
          </cell>
          <cell r="F124"/>
        </row>
        <row r="125">
          <cell r="D125">
            <v>112069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79661</v>
          </cell>
          <cell r="F128">
            <v>-30</v>
          </cell>
        </row>
        <row r="130">
          <cell r="D130">
            <v>41293</v>
          </cell>
          <cell r="F130"/>
        </row>
        <row r="131">
          <cell r="D131">
            <v>27894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17865</v>
          </cell>
          <cell r="F134"/>
        </row>
        <row r="136">
          <cell r="D136">
            <v>562604.80000000005</v>
          </cell>
          <cell r="F136"/>
        </row>
        <row r="137">
          <cell r="D137">
            <v>408698.28</v>
          </cell>
          <cell r="F137"/>
        </row>
        <row r="138">
          <cell r="D138">
            <v>611022</v>
          </cell>
          <cell r="F138"/>
        </row>
        <row r="139">
          <cell r="D139">
            <v>148261</v>
          </cell>
          <cell r="F139"/>
        </row>
        <row r="141">
          <cell r="D141">
            <v>140033</v>
          </cell>
          <cell r="F141"/>
        </row>
        <row r="142">
          <cell r="D142">
            <v>101726</v>
          </cell>
          <cell r="F142"/>
        </row>
        <row r="143">
          <cell r="D143">
            <v>152085</v>
          </cell>
          <cell r="F143"/>
        </row>
        <row r="144">
          <cell r="D144">
            <v>36902</v>
          </cell>
          <cell r="F144"/>
        </row>
        <row r="146">
          <cell r="D146">
            <v>55616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>
            <v>35343</v>
          </cell>
          <cell r="F149"/>
        </row>
        <row r="150">
          <cell r="D150">
            <v>51454.22</v>
          </cell>
          <cell r="F150">
            <v>42777</v>
          </cell>
        </row>
        <row r="151">
          <cell r="D151">
            <v>127517.52</v>
          </cell>
          <cell r="F151"/>
        </row>
        <row r="152">
          <cell r="D152">
            <v>3911.02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3726.17</v>
          </cell>
          <cell r="F160"/>
        </row>
        <row r="161">
          <cell r="D161">
            <v>11022.51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333363.51</v>
          </cell>
          <cell r="F177"/>
        </row>
        <row r="178">
          <cell r="D178">
            <v>85432.11</v>
          </cell>
          <cell r="F178"/>
        </row>
        <row r="179">
          <cell r="D179">
            <v>132818.57</v>
          </cell>
          <cell r="F179"/>
        </row>
        <row r="180">
          <cell r="D180">
            <v>37395.379999999997</v>
          </cell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115960.96000000001</v>
          </cell>
          <cell r="F183"/>
        </row>
        <row r="184">
          <cell r="D184">
            <v>28790.44</v>
          </cell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10523.22</v>
          </cell>
          <cell r="F188"/>
        </row>
        <row r="189">
          <cell r="D189">
            <v>1775.7</v>
          </cell>
          <cell r="F189"/>
        </row>
        <row r="190">
          <cell r="D190"/>
          <cell r="F190"/>
        </row>
        <row r="191">
          <cell r="D191">
            <v>302.24</v>
          </cell>
          <cell r="F191"/>
        </row>
        <row r="192">
          <cell r="D192">
            <v>50424.87</v>
          </cell>
          <cell r="F192"/>
        </row>
        <row r="193">
          <cell r="D193"/>
          <cell r="F193"/>
        </row>
        <row r="194">
          <cell r="D194"/>
          <cell r="F194">
            <v>13905</v>
          </cell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>
            <v>16076.05</v>
          </cell>
          <cell r="F203"/>
        </row>
        <row r="204">
          <cell r="D204"/>
          <cell r="F204"/>
        </row>
        <row r="205">
          <cell r="D205">
            <v>251439.52</v>
          </cell>
          <cell r="F205"/>
        </row>
        <row r="206">
          <cell r="D206">
            <v>1865.95</v>
          </cell>
          <cell r="F206"/>
        </row>
        <row r="207">
          <cell r="D207">
            <v>43129.17</v>
          </cell>
          <cell r="F207"/>
        </row>
        <row r="211">
          <cell r="D211">
            <v>139048.37</v>
          </cell>
          <cell r="F211"/>
        </row>
        <row r="212">
          <cell r="D212">
            <v>32817.629999999997</v>
          </cell>
          <cell r="F212"/>
        </row>
        <row r="213">
          <cell r="D213">
            <v>9191.0499999999993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78481.91</v>
          </cell>
          <cell r="F216"/>
        </row>
        <row r="221">
          <cell r="D221">
            <v>8334534.6900000004</v>
          </cell>
        </row>
      </sheetData>
      <sheetData sheetId="8"/>
      <sheetData sheetId="9"/>
      <sheetData sheetId="10">
        <row r="9">
          <cell r="C9">
            <v>12628</v>
          </cell>
          <cell r="D9">
            <v>116</v>
          </cell>
          <cell r="E9">
            <v>2793</v>
          </cell>
          <cell r="F9">
            <v>796</v>
          </cell>
          <cell r="G9">
            <v>6344</v>
          </cell>
          <cell r="H9">
            <v>2550</v>
          </cell>
          <cell r="I9">
            <v>1370</v>
          </cell>
          <cell r="J9">
            <v>53</v>
          </cell>
          <cell r="K9">
            <v>0</v>
          </cell>
        </row>
        <row r="22">
          <cell r="N22">
            <v>107</v>
          </cell>
        </row>
        <row r="24">
          <cell r="N24">
            <v>107</v>
          </cell>
        </row>
        <row r="28">
          <cell r="N28">
            <v>39162</v>
          </cell>
        </row>
        <row r="30">
          <cell r="N30">
            <v>0.68050661355395536</v>
          </cell>
        </row>
        <row r="32">
          <cell r="N32">
            <v>0.32541749655278074</v>
          </cell>
        </row>
        <row r="34">
          <cell r="N34">
            <v>0.47819887429643526</v>
          </cell>
        </row>
      </sheetData>
      <sheetData sheetId="1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2038483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1177010</v>
          </cell>
          <cell r="G21">
            <v>0</v>
          </cell>
        </row>
        <row r="27">
          <cell r="E27">
            <v>435062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852304</v>
          </cell>
          <cell r="G37">
            <v>0</v>
          </cell>
        </row>
        <row r="42">
          <cell r="E42">
            <v>192098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104561</v>
          </cell>
          <cell r="G52">
            <v>0</v>
          </cell>
        </row>
        <row r="67">
          <cell r="E67">
            <v>63413</v>
          </cell>
          <cell r="G67">
            <v>-13750</v>
          </cell>
        </row>
        <row r="85">
          <cell r="C85">
            <v>210.81011235955057</v>
          </cell>
          <cell r="E85">
            <v>210.80939226519337</v>
          </cell>
          <cell r="G85">
            <v>210.80935569285083</v>
          </cell>
          <cell r="I85">
            <v>210.81049250535332</v>
          </cell>
        </row>
      </sheetData>
      <sheetData sheetId="6"/>
      <sheetData sheetId="7">
        <row r="10">
          <cell r="D10">
            <v>0</v>
          </cell>
          <cell r="F10">
            <v>121216</v>
          </cell>
        </row>
        <row r="11">
          <cell r="D11">
            <v>0</v>
          </cell>
          <cell r="F11">
            <v>0</v>
          </cell>
        </row>
        <row r="12">
          <cell r="D12">
            <v>250421</v>
          </cell>
          <cell r="F12">
            <v>-121216</v>
          </cell>
        </row>
        <row r="13">
          <cell r="D13">
            <v>30150</v>
          </cell>
          <cell r="F13">
            <v>-32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239941</v>
          </cell>
          <cell r="F16">
            <v>-22987</v>
          </cell>
        </row>
        <row r="17">
          <cell r="D17">
            <v>407</v>
          </cell>
          <cell r="F17">
            <v>-407</v>
          </cell>
        </row>
        <row r="18">
          <cell r="D18">
            <v>19268</v>
          </cell>
          <cell r="F18">
            <v>0</v>
          </cell>
        </row>
        <row r="19">
          <cell r="D19">
            <v>12414</v>
          </cell>
          <cell r="F19">
            <v>0</v>
          </cell>
        </row>
        <row r="20">
          <cell r="D20">
            <v>10933</v>
          </cell>
          <cell r="F20">
            <v>-90</v>
          </cell>
        </row>
        <row r="21">
          <cell r="D21">
            <v>7211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6154</v>
          </cell>
          <cell r="F23">
            <v>0</v>
          </cell>
        </row>
        <row r="24">
          <cell r="D24">
            <v>10766</v>
          </cell>
          <cell r="F24">
            <v>0</v>
          </cell>
        </row>
        <row r="25">
          <cell r="D25">
            <v>765</v>
          </cell>
          <cell r="F25">
            <v>0</v>
          </cell>
        </row>
        <row r="26">
          <cell r="D26">
            <v>315177</v>
          </cell>
          <cell r="F26">
            <v>0</v>
          </cell>
        </row>
        <row r="27">
          <cell r="D27">
            <v>14946</v>
          </cell>
          <cell r="F27">
            <v>-101</v>
          </cell>
        </row>
        <row r="28">
          <cell r="D28">
            <v>0</v>
          </cell>
          <cell r="F28">
            <v>0</v>
          </cell>
        </row>
        <row r="29">
          <cell r="D29">
            <v>21798</v>
          </cell>
          <cell r="F29">
            <v>-21798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55940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370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5785</v>
          </cell>
          <cell r="F39">
            <v>0</v>
          </cell>
        </row>
        <row r="40">
          <cell r="D40">
            <v>3747</v>
          </cell>
          <cell r="F40">
            <v>-3747</v>
          </cell>
        </row>
        <row r="41">
          <cell r="D41">
            <v>120468</v>
          </cell>
          <cell r="F41">
            <v>-1533</v>
          </cell>
        </row>
        <row r="42">
          <cell r="D42">
            <v>188</v>
          </cell>
          <cell r="F42">
            <v>0</v>
          </cell>
        </row>
        <row r="43">
          <cell r="D43">
            <v>7619</v>
          </cell>
          <cell r="F43">
            <v>-7619</v>
          </cell>
        </row>
        <row r="44">
          <cell r="D44">
            <v>97</v>
          </cell>
          <cell r="F44">
            <v>0</v>
          </cell>
        </row>
        <row r="45">
          <cell r="D45">
            <v>4383</v>
          </cell>
          <cell r="F45">
            <v>-11508</v>
          </cell>
        </row>
        <row r="57">
          <cell r="D57">
            <v>275241</v>
          </cell>
          <cell r="F57">
            <v>0</v>
          </cell>
        </row>
        <row r="58">
          <cell r="D58">
            <v>17457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28801</v>
          </cell>
          <cell r="F60">
            <v>0</v>
          </cell>
        </row>
        <row r="61">
          <cell r="D61">
            <v>15260</v>
          </cell>
          <cell r="F61">
            <v>0</v>
          </cell>
        </row>
        <row r="62">
          <cell r="D62">
            <v>745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52115</v>
          </cell>
          <cell r="F66">
            <v>105</v>
          </cell>
        </row>
        <row r="67">
          <cell r="D67">
            <v>40087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4666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55735</v>
          </cell>
          <cell r="F75">
            <v>0</v>
          </cell>
        </row>
        <row r="76">
          <cell r="D76">
            <v>22056</v>
          </cell>
          <cell r="F76">
            <v>0</v>
          </cell>
        </row>
        <row r="77">
          <cell r="D77">
            <v>18009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5506</v>
          </cell>
          <cell r="F79">
            <v>0</v>
          </cell>
        </row>
        <row r="80">
          <cell r="D80">
            <v>14923</v>
          </cell>
          <cell r="F80">
            <v>0</v>
          </cell>
        </row>
        <row r="81">
          <cell r="D81">
            <v>19977</v>
          </cell>
          <cell r="F81">
            <v>0</v>
          </cell>
        </row>
        <row r="82">
          <cell r="D82">
            <v>15244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97775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104089</v>
          </cell>
          <cell r="F89">
            <v>0</v>
          </cell>
        </row>
        <row r="90">
          <cell r="D90">
            <v>10582</v>
          </cell>
          <cell r="F90">
            <v>0</v>
          </cell>
        </row>
        <row r="91">
          <cell r="D91">
            <v>174908</v>
          </cell>
          <cell r="F91">
            <v>0</v>
          </cell>
        </row>
        <row r="92">
          <cell r="D92">
            <v>81133</v>
          </cell>
          <cell r="F92">
            <v>-1941</v>
          </cell>
        </row>
        <row r="93">
          <cell r="D93">
            <v>9897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-48</v>
          </cell>
          <cell r="F100">
            <v>0</v>
          </cell>
        </row>
        <row r="101">
          <cell r="D101">
            <v>33319</v>
          </cell>
          <cell r="F101">
            <v>-516</v>
          </cell>
        </row>
        <row r="102">
          <cell r="D102">
            <v>6851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10388</v>
          </cell>
          <cell r="F117">
            <v>0</v>
          </cell>
        </row>
        <row r="118">
          <cell r="D118">
            <v>77040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160009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42903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30563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7217</v>
          </cell>
          <cell r="F134">
            <v>0</v>
          </cell>
        </row>
        <row r="136">
          <cell r="D136">
            <v>455950</v>
          </cell>
          <cell r="F136">
            <v>0</v>
          </cell>
        </row>
        <row r="137">
          <cell r="D137">
            <v>170296</v>
          </cell>
          <cell r="F137">
            <v>0</v>
          </cell>
        </row>
        <row r="138">
          <cell r="D138">
            <v>587175</v>
          </cell>
          <cell r="F138">
            <v>14146</v>
          </cell>
        </row>
        <row r="139">
          <cell r="D139">
            <v>14146</v>
          </cell>
          <cell r="F139">
            <v>-14146</v>
          </cell>
        </row>
        <row r="141">
          <cell r="D141">
            <v>267206</v>
          </cell>
          <cell r="F141">
            <v>-167959</v>
          </cell>
        </row>
        <row r="142">
          <cell r="D142">
            <v>0</v>
          </cell>
          <cell r="F142">
            <v>37069</v>
          </cell>
        </row>
        <row r="143">
          <cell r="D143">
            <v>0</v>
          </cell>
          <cell r="F143">
            <v>130890</v>
          </cell>
        </row>
        <row r="144">
          <cell r="D144">
            <v>0</v>
          </cell>
          <cell r="F144">
            <v>0</v>
          </cell>
        </row>
        <row r="146">
          <cell r="D146">
            <v>52832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894</v>
          </cell>
          <cell r="F150">
            <v>0</v>
          </cell>
        </row>
        <row r="151">
          <cell r="D151">
            <v>95716</v>
          </cell>
          <cell r="F151">
            <v>-478</v>
          </cell>
        </row>
        <row r="152">
          <cell r="D152">
            <v>6381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11504</v>
          </cell>
          <cell r="F161">
            <v>-108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8641</v>
          </cell>
          <cell r="F193">
            <v>0</v>
          </cell>
        </row>
        <row r="194">
          <cell r="D194">
            <v>165236</v>
          </cell>
          <cell r="F194">
            <v>-2231</v>
          </cell>
        </row>
        <row r="195">
          <cell r="D195">
            <v>96524</v>
          </cell>
          <cell r="F195">
            <v>-1303</v>
          </cell>
        </row>
        <row r="196">
          <cell r="D196">
            <v>0</v>
          </cell>
          <cell r="F196">
            <v>0</v>
          </cell>
        </row>
        <row r="197">
          <cell r="D197">
            <v>137984</v>
          </cell>
          <cell r="F197">
            <v>-1863</v>
          </cell>
        </row>
        <row r="198">
          <cell r="D198">
            <v>31560</v>
          </cell>
          <cell r="F198">
            <v>-201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171741</v>
          </cell>
          <cell r="F205">
            <v>-2639</v>
          </cell>
        </row>
        <row r="206">
          <cell r="D206">
            <v>1923</v>
          </cell>
          <cell r="F206">
            <v>0</v>
          </cell>
        </row>
        <row r="207">
          <cell r="D207">
            <v>10983</v>
          </cell>
          <cell r="F207">
            <v>-170</v>
          </cell>
        </row>
        <row r="211">
          <cell r="D211">
            <v>87245</v>
          </cell>
          <cell r="F211">
            <v>0</v>
          </cell>
        </row>
        <row r="212">
          <cell r="D212">
            <v>22230</v>
          </cell>
          <cell r="F212">
            <v>0</v>
          </cell>
        </row>
        <row r="213">
          <cell r="D213">
            <v>10254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2912</v>
          </cell>
          <cell r="F216">
            <v>0</v>
          </cell>
        </row>
        <row r="221">
          <cell r="D221">
            <v>4980729</v>
          </cell>
        </row>
      </sheetData>
      <sheetData sheetId="8"/>
      <sheetData sheetId="9"/>
      <sheetData sheetId="10">
        <row r="9">
          <cell r="C9">
            <v>11595</v>
          </cell>
          <cell r="D9">
            <v>0</v>
          </cell>
          <cell r="E9">
            <v>2155</v>
          </cell>
          <cell r="F9">
            <v>956</v>
          </cell>
          <cell r="G9">
            <v>0</v>
          </cell>
          <cell r="H9">
            <v>4043</v>
          </cell>
          <cell r="I9">
            <v>1086</v>
          </cell>
          <cell r="J9">
            <v>0</v>
          </cell>
          <cell r="K9">
            <v>472</v>
          </cell>
        </row>
        <row r="22">
          <cell r="N22">
            <v>102</v>
          </cell>
        </row>
        <row r="24">
          <cell r="N24">
            <v>102</v>
          </cell>
        </row>
        <row r="28">
          <cell r="N28">
            <v>37332</v>
          </cell>
        </row>
        <row r="30">
          <cell r="N30">
            <v>0.54395692703310827</v>
          </cell>
        </row>
        <row r="32">
          <cell r="N32">
            <v>0.31059144969463193</v>
          </cell>
        </row>
        <row r="34">
          <cell r="N34">
            <v>0.57098537450140352</v>
          </cell>
        </row>
      </sheetData>
      <sheetData sheetId="1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499073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1658850</v>
          </cell>
          <cell r="G21">
            <v>0</v>
          </cell>
        </row>
        <row r="27">
          <cell r="E27">
            <v>352792</v>
          </cell>
          <cell r="G27">
            <v>0</v>
          </cell>
        </row>
        <row r="32">
          <cell r="E32">
            <v>6655324</v>
          </cell>
          <cell r="G32">
            <v>-2706590</v>
          </cell>
        </row>
        <row r="37">
          <cell r="E37">
            <v>1905730</v>
          </cell>
          <cell r="G37">
            <v>2706590</v>
          </cell>
        </row>
        <row r="42">
          <cell r="E42">
            <v>127849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17583</v>
          </cell>
          <cell r="G52">
            <v>0</v>
          </cell>
        </row>
        <row r="67">
          <cell r="E67">
            <v>20734</v>
          </cell>
          <cell r="G67">
            <v>-27471</v>
          </cell>
        </row>
        <row r="85">
          <cell r="C85">
            <v>187.19593649629752</v>
          </cell>
          <cell r="E85">
            <v>187.19584577462729</v>
          </cell>
          <cell r="G85">
            <v>187.19599840336812</v>
          </cell>
          <cell r="I85">
            <v>187.19585914499001</v>
          </cell>
        </row>
      </sheetData>
      <sheetData sheetId="6"/>
      <sheetData sheetId="7">
        <row r="10">
          <cell r="D10">
            <v>0</v>
          </cell>
          <cell r="F10">
            <v>132958</v>
          </cell>
        </row>
        <row r="11">
          <cell r="D11">
            <v>0</v>
          </cell>
          <cell r="F11">
            <v>0</v>
          </cell>
        </row>
        <row r="12">
          <cell r="D12">
            <v>343382</v>
          </cell>
          <cell r="F12">
            <v>-132958</v>
          </cell>
        </row>
        <row r="13">
          <cell r="D13">
            <v>73747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644711</v>
          </cell>
        </row>
        <row r="16">
          <cell r="D16">
            <v>644711</v>
          </cell>
          <cell r="F16">
            <v>-644711</v>
          </cell>
        </row>
        <row r="17">
          <cell r="D17">
            <v>1636</v>
          </cell>
          <cell r="F17">
            <v>-1636</v>
          </cell>
        </row>
        <row r="18">
          <cell r="D18">
            <v>76318</v>
          </cell>
          <cell r="F18">
            <v>0</v>
          </cell>
        </row>
        <row r="19">
          <cell r="D19">
            <v>16504</v>
          </cell>
          <cell r="F19">
            <v>0</v>
          </cell>
        </row>
        <row r="20">
          <cell r="D20">
            <v>42797</v>
          </cell>
          <cell r="F20">
            <v>0</v>
          </cell>
        </row>
        <row r="21">
          <cell r="D21">
            <v>5745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25420</v>
          </cell>
          <cell r="F23">
            <v>0</v>
          </cell>
        </row>
        <row r="24">
          <cell r="D24">
            <v>10633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1088</v>
          </cell>
          <cell r="F27">
            <v>-29</v>
          </cell>
        </row>
        <row r="28">
          <cell r="D28">
            <v>0</v>
          </cell>
          <cell r="F28">
            <v>0</v>
          </cell>
        </row>
        <row r="29">
          <cell r="D29">
            <v>21911</v>
          </cell>
          <cell r="F29">
            <v>-21911</v>
          </cell>
        </row>
        <row r="30">
          <cell r="D30">
            <v>400</v>
          </cell>
          <cell r="F30">
            <v>-400</v>
          </cell>
        </row>
        <row r="31">
          <cell r="D31">
            <v>0</v>
          </cell>
          <cell r="F31">
            <v>0</v>
          </cell>
        </row>
        <row r="32">
          <cell r="D32">
            <v>93720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7756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44242</v>
          </cell>
          <cell r="F36">
            <v>0</v>
          </cell>
        </row>
        <row r="37">
          <cell r="D37">
            <v>8421</v>
          </cell>
          <cell r="F37">
            <v>0</v>
          </cell>
        </row>
        <row r="38">
          <cell r="D38">
            <v>24267</v>
          </cell>
          <cell r="F38">
            <v>-24267</v>
          </cell>
        </row>
        <row r="39">
          <cell r="D39">
            <v>9703</v>
          </cell>
          <cell r="F39">
            <v>0</v>
          </cell>
        </row>
        <row r="40">
          <cell r="D40">
            <v>25953</v>
          </cell>
          <cell r="F40">
            <v>-25953</v>
          </cell>
        </row>
        <row r="41">
          <cell r="D41">
            <v>64828</v>
          </cell>
          <cell r="F41">
            <v>0</v>
          </cell>
        </row>
        <row r="42">
          <cell r="D42">
            <v>524</v>
          </cell>
          <cell r="F42">
            <v>0</v>
          </cell>
        </row>
        <row r="43">
          <cell r="D43">
            <v>18059</v>
          </cell>
          <cell r="F43">
            <v>-18059</v>
          </cell>
        </row>
        <row r="44">
          <cell r="D44">
            <v>0</v>
          </cell>
          <cell r="F44">
            <v>0</v>
          </cell>
        </row>
        <row r="45">
          <cell r="D45">
            <v>447284</v>
          </cell>
          <cell r="F45">
            <v>-437514</v>
          </cell>
        </row>
        <row r="57">
          <cell r="D57">
            <v>0</v>
          </cell>
          <cell r="F57">
            <v>0</v>
          </cell>
        </row>
        <row r="58">
          <cell r="D58">
            <v>6302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872</v>
          </cell>
          <cell r="F60">
            <v>0</v>
          </cell>
        </row>
        <row r="61">
          <cell r="D61">
            <v>22368</v>
          </cell>
          <cell r="F61">
            <v>0</v>
          </cell>
        </row>
        <row r="62">
          <cell r="D62">
            <v>18780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7492</v>
          </cell>
          <cell r="F65">
            <v>0</v>
          </cell>
        </row>
        <row r="66">
          <cell r="D66">
            <v>62179</v>
          </cell>
          <cell r="F66">
            <v>0</v>
          </cell>
        </row>
        <row r="67">
          <cell r="D67">
            <v>24834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3082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109807</v>
          </cell>
          <cell r="F75">
            <v>0</v>
          </cell>
        </row>
        <row r="76">
          <cell r="D76">
            <v>38943</v>
          </cell>
          <cell r="F76">
            <v>0</v>
          </cell>
        </row>
        <row r="77">
          <cell r="D77">
            <v>31669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14121</v>
          </cell>
          <cell r="F79">
            <v>0</v>
          </cell>
        </row>
        <row r="80">
          <cell r="D80">
            <v>44832</v>
          </cell>
          <cell r="F80">
            <v>0</v>
          </cell>
        </row>
        <row r="81">
          <cell r="D81">
            <v>63180</v>
          </cell>
          <cell r="F81">
            <v>0</v>
          </cell>
        </row>
        <row r="82">
          <cell r="D82">
            <v>55816</v>
          </cell>
          <cell r="F82">
            <v>0</v>
          </cell>
        </row>
        <row r="83">
          <cell r="D83">
            <v>39344</v>
          </cell>
          <cell r="F83">
            <v>0</v>
          </cell>
        </row>
        <row r="84">
          <cell r="D84">
            <v>192558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469020</v>
          </cell>
          <cell r="F89">
            <v>0</v>
          </cell>
        </row>
        <row r="90">
          <cell r="D90">
            <v>89558</v>
          </cell>
          <cell r="F90">
            <v>0</v>
          </cell>
        </row>
        <row r="91">
          <cell r="D91">
            <v>16723</v>
          </cell>
          <cell r="F91">
            <v>0</v>
          </cell>
        </row>
        <row r="92">
          <cell r="D92">
            <v>354679</v>
          </cell>
          <cell r="F92">
            <v>-9628</v>
          </cell>
        </row>
        <row r="93">
          <cell r="D93">
            <v>48660</v>
          </cell>
          <cell r="F93">
            <v>0</v>
          </cell>
        </row>
        <row r="94">
          <cell r="D94">
            <v>1198</v>
          </cell>
          <cell r="F94">
            <v>0</v>
          </cell>
        </row>
        <row r="98">
          <cell r="D98">
            <v>78326</v>
          </cell>
          <cell r="F98">
            <v>0</v>
          </cell>
        </row>
        <row r="99">
          <cell r="D99">
            <v>21343</v>
          </cell>
          <cell r="F99">
            <v>0</v>
          </cell>
        </row>
        <row r="100">
          <cell r="D100">
            <v>3137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17629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248600</v>
          </cell>
          <cell r="F115">
            <v>0</v>
          </cell>
        </row>
        <row r="116">
          <cell r="D116">
            <v>75352</v>
          </cell>
          <cell r="F116">
            <v>0</v>
          </cell>
        </row>
        <row r="117">
          <cell r="D117">
            <v>78895</v>
          </cell>
          <cell r="F117">
            <v>0</v>
          </cell>
        </row>
        <row r="118">
          <cell r="D118">
            <v>351</v>
          </cell>
          <cell r="F118">
            <v>0</v>
          </cell>
        </row>
        <row r="119">
          <cell r="D119">
            <v>141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616481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86136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168024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26971</v>
          </cell>
          <cell r="F134">
            <v>0</v>
          </cell>
        </row>
        <row r="136">
          <cell r="D136">
            <v>861747</v>
          </cell>
          <cell r="F136">
            <v>0</v>
          </cell>
        </row>
        <row r="137">
          <cell r="D137">
            <v>607348</v>
          </cell>
          <cell r="F137">
            <v>0</v>
          </cell>
        </row>
        <row r="138">
          <cell r="D138">
            <v>1659159</v>
          </cell>
          <cell r="F138">
            <v>79775</v>
          </cell>
        </row>
        <row r="139">
          <cell r="D139">
            <v>79775</v>
          </cell>
          <cell r="F139">
            <v>-79775</v>
          </cell>
        </row>
        <row r="141">
          <cell r="D141">
            <v>640289</v>
          </cell>
          <cell r="F141">
            <v>-468293</v>
          </cell>
        </row>
        <row r="142">
          <cell r="D142">
            <v>0</v>
          </cell>
          <cell r="F142">
            <v>121220</v>
          </cell>
        </row>
        <row r="143">
          <cell r="D143">
            <v>0</v>
          </cell>
          <cell r="F143">
            <v>347073</v>
          </cell>
        </row>
        <row r="144">
          <cell r="D144">
            <v>0</v>
          </cell>
          <cell r="F144">
            <v>0</v>
          </cell>
        </row>
        <row r="146">
          <cell r="D146">
            <v>52825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555</v>
          </cell>
          <cell r="F150">
            <v>0</v>
          </cell>
        </row>
        <row r="151">
          <cell r="D151">
            <v>205656</v>
          </cell>
          <cell r="F151">
            <v>0</v>
          </cell>
        </row>
        <row r="152">
          <cell r="D152">
            <v>49323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35328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164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26953</v>
          </cell>
          <cell r="F193">
            <v>0</v>
          </cell>
        </row>
        <row r="194">
          <cell r="D194">
            <v>317268</v>
          </cell>
          <cell r="F194">
            <v>0</v>
          </cell>
        </row>
        <row r="195">
          <cell r="D195">
            <v>76065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313787</v>
          </cell>
          <cell r="F197">
            <v>0</v>
          </cell>
        </row>
        <row r="198">
          <cell r="D198">
            <v>75986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304431</v>
          </cell>
          <cell r="F205">
            <v>0</v>
          </cell>
        </row>
        <row r="206">
          <cell r="D206">
            <v>10572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292425</v>
          </cell>
          <cell r="F211">
            <v>0</v>
          </cell>
        </row>
        <row r="212">
          <cell r="D212">
            <v>97195</v>
          </cell>
          <cell r="F212">
            <v>0</v>
          </cell>
        </row>
        <row r="213">
          <cell r="D213">
            <v>17330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29748</v>
          </cell>
          <cell r="F216">
            <v>0</v>
          </cell>
        </row>
        <row r="221">
          <cell r="D221">
            <v>10900381</v>
          </cell>
        </row>
      </sheetData>
      <sheetData sheetId="8"/>
      <sheetData sheetId="9"/>
      <sheetData sheetId="10">
        <row r="9">
          <cell r="C9">
            <v>2837</v>
          </cell>
          <cell r="D9">
            <v>0</v>
          </cell>
          <cell r="E9">
            <v>2777</v>
          </cell>
          <cell r="F9">
            <v>815</v>
          </cell>
          <cell r="G9">
            <v>10172</v>
          </cell>
          <cell r="H9">
            <v>24639</v>
          </cell>
          <cell r="I9">
            <v>709</v>
          </cell>
          <cell r="J9">
            <v>0</v>
          </cell>
          <cell r="K9">
            <v>93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43920</v>
          </cell>
        </row>
        <row r="30">
          <cell r="N30">
            <v>0.95724043715846996</v>
          </cell>
        </row>
        <row r="32">
          <cell r="N32">
            <v>6.4594717668488164E-2</v>
          </cell>
        </row>
        <row r="34">
          <cell r="N34">
            <v>6.7480138908710338E-2</v>
          </cell>
        </row>
      </sheetData>
      <sheetData sheetId="1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1623275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1237195</v>
          </cell>
          <cell r="G21">
            <v>0</v>
          </cell>
        </row>
        <row r="27">
          <cell r="E27">
            <v>1054291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256539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157977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5541</v>
          </cell>
          <cell r="G67">
            <v>0</v>
          </cell>
        </row>
        <row r="85">
          <cell r="C85">
            <v>215.86607142857142</v>
          </cell>
          <cell r="E85">
            <v>186.80222841225626</v>
          </cell>
          <cell r="G85">
            <v>190.16346153846155</v>
          </cell>
          <cell r="I85">
            <v>208.05882352941177</v>
          </cell>
        </row>
      </sheetData>
      <sheetData sheetId="7"/>
      <sheetData sheetId="8"/>
      <sheetData sheetId="9">
        <row r="10">
          <cell r="D10">
            <v>71263</v>
          </cell>
          <cell r="F10">
            <v>4478</v>
          </cell>
        </row>
        <row r="11">
          <cell r="D11">
            <v>0</v>
          </cell>
          <cell r="F11"/>
        </row>
        <row r="12">
          <cell r="D12">
            <v>150914</v>
          </cell>
          <cell r="F12">
            <v>9479</v>
          </cell>
        </row>
        <row r="13">
          <cell r="D13">
            <v>386263</v>
          </cell>
          <cell r="F13">
            <v>-357066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214391</v>
          </cell>
          <cell r="F16">
            <v>109385</v>
          </cell>
        </row>
        <row r="17">
          <cell r="D17">
            <v>0</v>
          </cell>
          <cell r="F17"/>
        </row>
        <row r="18">
          <cell r="D18">
            <v>9320</v>
          </cell>
          <cell r="F18"/>
        </row>
        <row r="19">
          <cell r="D19">
            <v>16194</v>
          </cell>
          <cell r="F19">
            <v>-3624</v>
          </cell>
        </row>
        <row r="20">
          <cell r="D20">
            <v>13239</v>
          </cell>
          <cell r="F20"/>
        </row>
        <row r="21">
          <cell r="D21">
            <v>1037</v>
          </cell>
          <cell r="F21"/>
        </row>
        <row r="22">
          <cell r="D22">
            <v>0</v>
          </cell>
          <cell r="F22"/>
        </row>
        <row r="23">
          <cell r="D23">
            <v>6621</v>
          </cell>
          <cell r="F23"/>
        </row>
        <row r="24">
          <cell r="D24">
            <v>43320</v>
          </cell>
          <cell r="F24">
            <v>-11400</v>
          </cell>
        </row>
        <row r="25">
          <cell r="D25">
            <v>0</v>
          </cell>
          <cell r="F25"/>
        </row>
        <row r="26">
          <cell r="D26">
            <v>189374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129614</v>
          </cell>
          <cell r="F29">
            <v>-129614</v>
          </cell>
        </row>
        <row r="30">
          <cell r="D30">
            <v>0</v>
          </cell>
          <cell r="F30">
            <v>0</v>
          </cell>
        </row>
        <row r="31">
          <cell r="D31">
            <v>61384</v>
          </cell>
          <cell r="F31"/>
        </row>
        <row r="32">
          <cell r="D32">
            <v>91200</v>
          </cell>
          <cell r="F32">
            <v>-31172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23</v>
          </cell>
          <cell r="F35">
            <v>-23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3162</v>
          </cell>
          <cell r="F39"/>
        </row>
        <row r="40">
          <cell r="D40">
            <v>5497</v>
          </cell>
          <cell r="F40"/>
        </row>
        <row r="41">
          <cell r="D41">
            <v>23509</v>
          </cell>
          <cell r="F41"/>
        </row>
        <row r="42">
          <cell r="D42">
            <v>9046</v>
          </cell>
          <cell r="F42"/>
        </row>
        <row r="43">
          <cell r="D43">
            <v>6804</v>
          </cell>
          <cell r="F43"/>
        </row>
        <row r="44">
          <cell r="D44">
            <v>0</v>
          </cell>
          <cell r="F44"/>
        </row>
        <row r="45">
          <cell r="D45">
            <v>12739</v>
          </cell>
          <cell r="F45">
            <v>-5286</v>
          </cell>
        </row>
        <row r="57">
          <cell r="D57">
            <v>595000</v>
          </cell>
          <cell r="F57"/>
        </row>
        <row r="58">
          <cell r="D58">
            <v>12092</v>
          </cell>
          <cell r="F58"/>
        </row>
        <row r="59">
          <cell r="D59">
            <v>0</v>
          </cell>
          <cell r="F59"/>
        </row>
        <row r="60">
          <cell r="D60">
            <v>15361</v>
          </cell>
          <cell r="F60"/>
        </row>
        <row r="61">
          <cell r="D61">
            <v>5393</v>
          </cell>
          <cell r="F61"/>
        </row>
        <row r="62">
          <cell r="D62">
            <v>1801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3688</v>
          </cell>
          <cell r="F65"/>
        </row>
        <row r="66">
          <cell r="D66">
            <v>4208</v>
          </cell>
          <cell r="F66"/>
        </row>
        <row r="67">
          <cell r="D67">
            <v>62204</v>
          </cell>
          <cell r="F67"/>
        </row>
        <row r="68">
          <cell r="D68">
            <v>0</v>
          </cell>
          <cell r="F68"/>
        </row>
        <row r="69">
          <cell r="D69">
            <v>5178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32021</v>
          </cell>
          <cell r="F75">
            <v>2012</v>
          </cell>
        </row>
        <row r="76">
          <cell r="D76">
            <v>0</v>
          </cell>
          <cell r="F76">
            <v>3810</v>
          </cell>
        </row>
        <row r="77">
          <cell r="D77">
            <v>10172</v>
          </cell>
          <cell r="F77"/>
        </row>
        <row r="78">
          <cell r="D78">
            <v>0</v>
          </cell>
          <cell r="F78"/>
        </row>
        <row r="79">
          <cell r="D79">
            <v>4348</v>
          </cell>
          <cell r="F79"/>
        </row>
        <row r="80">
          <cell r="D80">
            <v>24759</v>
          </cell>
          <cell r="F80"/>
        </row>
        <row r="81">
          <cell r="D81">
            <v>3547</v>
          </cell>
          <cell r="F81"/>
        </row>
        <row r="82">
          <cell r="D82">
            <v>402</v>
          </cell>
          <cell r="F82"/>
        </row>
        <row r="83">
          <cell r="D83">
            <v>0</v>
          </cell>
          <cell r="F83"/>
        </row>
        <row r="84">
          <cell r="D84">
            <v>65895</v>
          </cell>
          <cell r="F84"/>
        </row>
        <row r="85">
          <cell r="D85">
            <v>0</v>
          </cell>
          <cell r="F85"/>
        </row>
        <row r="89">
          <cell r="D89">
            <v>119938</v>
          </cell>
          <cell r="F89">
            <v>7536</v>
          </cell>
        </row>
        <row r="90">
          <cell r="D90">
            <v>0</v>
          </cell>
          <cell r="F90">
            <v>14271</v>
          </cell>
        </row>
        <row r="91">
          <cell r="D91">
            <v>14969</v>
          </cell>
          <cell r="F91"/>
        </row>
        <row r="92">
          <cell r="D92">
            <v>91036</v>
          </cell>
          <cell r="F92"/>
        </row>
        <row r="93">
          <cell r="D93">
            <v>7248</v>
          </cell>
          <cell r="F93"/>
        </row>
        <row r="94">
          <cell r="D94">
            <v>531</v>
          </cell>
          <cell r="F94"/>
        </row>
        <row r="98">
          <cell r="D98">
            <v>11464</v>
          </cell>
          <cell r="F98">
            <v>720</v>
          </cell>
        </row>
        <row r="99">
          <cell r="D99">
            <v>0</v>
          </cell>
          <cell r="F99">
            <v>1364</v>
          </cell>
        </row>
        <row r="100">
          <cell r="D100">
            <v>697</v>
          </cell>
          <cell r="F100"/>
        </row>
        <row r="101">
          <cell r="D101">
            <v>23912</v>
          </cell>
          <cell r="F101"/>
        </row>
        <row r="102">
          <cell r="D102">
            <v>3724</v>
          </cell>
          <cell r="F102"/>
        </row>
        <row r="103">
          <cell r="D103">
            <v>0</v>
          </cell>
          <cell r="F103"/>
        </row>
        <row r="115">
          <cell r="D115">
            <v>26177</v>
          </cell>
          <cell r="F115">
            <v>1645</v>
          </cell>
        </row>
        <row r="116">
          <cell r="D116">
            <v>0</v>
          </cell>
          <cell r="F116">
            <v>3114</v>
          </cell>
        </row>
        <row r="117">
          <cell r="D117">
            <v>5565</v>
          </cell>
          <cell r="F117"/>
        </row>
        <row r="118">
          <cell r="D118">
            <v>38344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136319</v>
          </cell>
          <cell r="F125">
            <v>8565</v>
          </cell>
        </row>
        <row r="126">
          <cell r="D126">
            <v>11984</v>
          </cell>
          <cell r="F126">
            <v>753</v>
          </cell>
        </row>
        <row r="127">
          <cell r="D127">
            <v>0</v>
          </cell>
          <cell r="F127"/>
        </row>
        <row r="128">
          <cell r="D128">
            <v>44742</v>
          </cell>
          <cell r="F128">
            <v>2811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16220</v>
          </cell>
        </row>
        <row r="132">
          <cell r="D132">
            <v>0</v>
          </cell>
          <cell r="F132">
            <v>1426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5324</v>
          </cell>
        </row>
        <row r="136">
          <cell r="D136">
            <v>178195</v>
          </cell>
          <cell r="F136">
            <v>11196</v>
          </cell>
        </row>
        <row r="137">
          <cell r="D137">
            <v>216783</v>
          </cell>
          <cell r="F137">
            <v>13621</v>
          </cell>
        </row>
        <row r="138">
          <cell r="D138">
            <v>349909</v>
          </cell>
          <cell r="F138">
            <v>21985</v>
          </cell>
        </row>
        <row r="139">
          <cell r="D139">
            <v>63302</v>
          </cell>
          <cell r="F139">
            <v>3977</v>
          </cell>
        </row>
        <row r="141">
          <cell r="D141">
            <v>0</v>
          </cell>
          <cell r="F141">
            <v>21202</v>
          </cell>
        </row>
        <row r="142">
          <cell r="D142">
            <v>0</v>
          </cell>
          <cell r="F142">
            <v>25794</v>
          </cell>
        </row>
        <row r="143">
          <cell r="D143">
            <v>0</v>
          </cell>
          <cell r="F143">
            <v>41634</v>
          </cell>
        </row>
        <row r="144">
          <cell r="D144">
            <v>0</v>
          </cell>
          <cell r="F144">
            <v>7532</v>
          </cell>
        </row>
        <row r="146">
          <cell r="D146">
            <v>29500</v>
          </cell>
          <cell r="F146"/>
        </row>
        <row r="147">
          <cell r="D147">
            <v>971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11107</v>
          </cell>
          <cell r="F150"/>
        </row>
        <row r="151">
          <cell r="D151">
            <v>68305</v>
          </cell>
          <cell r="F151"/>
        </row>
        <row r="152">
          <cell r="D152">
            <v>627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5219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253850</v>
          </cell>
          <cell r="F177">
            <v>15950</v>
          </cell>
        </row>
        <row r="178">
          <cell r="D178">
            <v>0</v>
          </cell>
          <cell r="F178">
            <v>30203</v>
          </cell>
        </row>
        <row r="179">
          <cell r="D179">
            <v>31881</v>
          </cell>
          <cell r="F179">
            <v>2003</v>
          </cell>
        </row>
        <row r="180">
          <cell r="D180">
            <v>0</v>
          </cell>
          <cell r="F180">
            <v>3793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153213</v>
          </cell>
          <cell r="F183">
            <v>9627</v>
          </cell>
        </row>
        <row r="184">
          <cell r="D184">
            <v>0</v>
          </cell>
          <cell r="F184">
            <v>18230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1146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1581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36515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184244</v>
          </cell>
          <cell r="F205"/>
        </row>
        <row r="206">
          <cell r="D206">
            <v>4621</v>
          </cell>
          <cell r="F206"/>
        </row>
        <row r="207">
          <cell r="D207">
            <v>60810</v>
          </cell>
          <cell r="F207">
            <v>-503</v>
          </cell>
        </row>
        <row r="211">
          <cell r="D211">
            <v>57731</v>
          </cell>
          <cell r="F211">
            <v>3627</v>
          </cell>
        </row>
        <row r="212">
          <cell r="D212">
            <v>0</v>
          </cell>
          <cell r="F212">
            <v>6869</v>
          </cell>
        </row>
        <row r="213">
          <cell r="D213">
            <v>562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3068</v>
          </cell>
          <cell r="F216"/>
        </row>
        <row r="221">
          <cell r="D221">
            <v>4540773.4400000004</v>
          </cell>
        </row>
      </sheetData>
      <sheetData sheetId="10"/>
      <sheetData sheetId="11"/>
      <sheetData sheetId="12"/>
      <sheetData sheetId="13"/>
      <sheetData sheetId="14">
        <row r="9">
          <cell r="C9">
            <v>8168</v>
          </cell>
          <cell r="D9"/>
          <cell r="E9">
            <v>2161</v>
          </cell>
          <cell r="F9">
            <v>2298</v>
          </cell>
          <cell r="G9"/>
          <cell r="H9">
            <v>1329</v>
          </cell>
          <cell r="I9"/>
          <cell r="J9">
            <v>840</v>
          </cell>
          <cell r="K9"/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36600</v>
          </cell>
        </row>
        <row r="30">
          <cell r="N30">
            <v>0.4042622950819672</v>
          </cell>
        </row>
        <row r="32">
          <cell r="N32">
            <v>0.22316939890710383</v>
          </cell>
        </row>
        <row r="34">
          <cell r="N34">
            <v>0.55204109218707764</v>
          </cell>
        </row>
      </sheetData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2299049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560545</v>
          </cell>
          <cell r="G21">
            <v>0</v>
          </cell>
        </row>
        <row r="27">
          <cell r="E27">
            <v>516332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135407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219590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2202</v>
          </cell>
          <cell r="G67">
            <v>0</v>
          </cell>
        </row>
      </sheetData>
      <sheetData sheetId="7"/>
      <sheetData sheetId="8">
        <row r="10">
          <cell r="D10">
            <v>85148</v>
          </cell>
          <cell r="F10">
            <v>4857</v>
          </cell>
        </row>
        <row r="11">
          <cell r="D11">
            <v>0</v>
          </cell>
          <cell r="F11"/>
        </row>
        <row r="12">
          <cell r="D12">
            <v>162073</v>
          </cell>
          <cell r="F12">
            <v>9242</v>
          </cell>
        </row>
        <row r="13">
          <cell r="D13">
            <v>385145</v>
          </cell>
          <cell r="F13">
            <v>-352206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185593</v>
          </cell>
          <cell r="F16">
            <v>86250</v>
          </cell>
        </row>
        <row r="17">
          <cell r="D17">
            <v>0</v>
          </cell>
          <cell r="F17"/>
        </row>
        <row r="18">
          <cell r="D18">
            <v>9449</v>
          </cell>
          <cell r="F18"/>
        </row>
        <row r="19">
          <cell r="D19">
            <v>10714</v>
          </cell>
          <cell r="F19">
            <v>-2211</v>
          </cell>
        </row>
        <row r="20">
          <cell r="D20">
            <v>11323</v>
          </cell>
          <cell r="F20"/>
        </row>
        <row r="21">
          <cell r="D21">
            <v>1279</v>
          </cell>
          <cell r="F21"/>
        </row>
        <row r="22">
          <cell r="D22">
            <v>0</v>
          </cell>
          <cell r="F22"/>
        </row>
        <row r="23">
          <cell r="D23">
            <v>6940</v>
          </cell>
          <cell r="F23"/>
        </row>
        <row r="24">
          <cell r="D24">
            <v>38714</v>
          </cell>
          <cell r="F24">
            <v>-8500</v>
          </cell>
        </row>
        <row r="25">
          <cell r="D25">
            <v>0</v>
          </cell>
          <cell r="F25"/>
        </row>
        <row r="26">
          <cell r="D26">
            <v>268358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28977</v>
          </cell>
          <cell r="F29">
            <v>-28977</v>
          </cell>
        </row>
        <row r="30">
          <cell r="D30">
            <v>0</v>
          </cell>
          <cell r="F30">
            <v>0</v>
          </cell>
        </row>
        <row r="31">
          <cell r="D31">
            <v>33572</v>
          </cell>
          <cell r="F31"/>
        </row>
        <row r="32">
          <cell r="D32">
            <v>71754</v>
          </cell>
          <cell r="F32">
            <v>-24525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1622</v>
          </cell>
          <cell r="F35">
            <v>-1622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4710</v>
          </cell>
          <cell r="F39"/>
        </row>
        <row r="40">
          <cell r="D40">
            <v>5149</v>
          </cell>
          <cell r="F40"/>
        </row>
        <row r="41">
          <cell r="D41">
            <v>15367</v>
          </cell>
          <cell r="F41"/>
        </row>
        <row r="42">
          <cell r="D42">
            <v>5029</v>
          </cell>
          <cell r="F42"/>
        </row>
        <row r="43">
          <cell r="D43">
            <v>4268</v>
          </cell>
          <cell r="F43"/>
        </row>
        <row r="44">
          <cell r="D44">
            <v>0</v>
          </cell>
          <cell r="F44"/>
        </row>
        <row r="45">
          <cell r="D45">
            <v>16263</v>
          </cell>
          <cell r="F45">
            <v>-2172</v>
          </cell>
        </row>
        <row r="57">
          <cell r="D57">
            <v>230000</v>
          </cell>
          <cell r="F57"/>
        </row>
        <row r="58">
          <cell r="D58">
            <v>548</v>
          </cell>
          <cell r="F58"/>
        </row>
        <row r="59">
          <cell r="D59">
            <v>0</v>
          </cell>
          <cell r="F59"/>
        </row>
        <row r="60">
          <cell r="D60">
            <v>18612</v>
          </cell>
          <cell r="F60"/>
        </row>
        <row r="61">
          <cell r="D61">
            <v>4803</v>
          </cell>
          <cell r="F61"/>
        </row>
        <row r="62">
          <cell r="D62">
            <v>632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6886</v>
          </cell>
          <cell r="F65"/>
        </row>
        <row r="66">
          <cell r="D66">
            <v>3642</v>
          </cell>
          <cell r="F66"/>
        </row>
        <row r="67">
          <cell r="D67">
            <v>49181</v>
          </cell>
          <cell r="F67"/>
        </row>
        <row r="68">
          <cell r="D68">
            <v>0</v>
          </cell>
          <cell r="F68"/>
        </row>
        <row r="69">
          <cell r="D69">
            <v>7686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30733</v>
          </cell>
          <cell r="F75">
            <v>1753</v>
          </cell>
        </row>
        <row r="76">
          <cell r="D76">
            <v>0</v>
          </cell>
          <cell r="F76">
            <v>4089</v>
          </cell>
        </row>
        <row r="77">
          <cell r="D77">
            <v>6162</v>
          </cell>
          <cell r="F77"/>
        </row>
        <row r="78">
          <cell r="D78">
            <v>0</v>
          </cell>
          <cell r="F78"/>
        </row>
        <row r="79">
          <cell r="D79">
            <v>2539</v>
          </cell>
          <cell r="F79"/>
        </row>
        <row r="80">
          <cell r="D80">
            <v>17960</v>
          </cell>
          <cell r="F80"/>
        </row>
        <row r="81">
          <cell r="D81">
            <v>6956</v>
          </cell>
          <cell r="F81"/>
        </row>
        <row r="82">
          <cell r="D82">
            <v>1114</v>
          </cell>
          <cell r="F82"/>
        </row>
        <row r="83">
          <cell r="D83">
            <v>0</v>
          </cell>
          <cell r="F83"/>
        </row>
        <row r="84">
          <cell r="D84">
            <v>44595</v>
          </cell>
          <cell r="F84"/>
        </row>
        <row r="85">
          <cell r="D85">
            <v>0</v>
          </cell>
          <cell r="F85"/>
        </row>
        <row r="89">
          <cell r="D89">
            <v>113050</v>
          </cell>
          <cell r="F89">
            <v>6449</v>
          </cell>
        </row>
        <row r="90">
          <cell r="D90">
            <v>0</v>
          </cell>
          <cell r="F90">
            <v>15038</v>
          </cell>
        </row>
        <row r="91">
          <cell r="D91">
            <v>9109</v>
          </cell>
          <cell r="F91"/>
        </row>
        <row r="92">
          <cell r="D92">
            <v>104982</v>
          </cell>
          <cell r="F92"/>
        </row>
        <row r="93">
          <cell r="D93">
            <v>10339</v>
          </cell>
          <cell r="F93"/>
        </row>
        <row r="94">
          <cell r="D94">
            <v>0</v>
          </cell>
          <cell r="F94"/>
        </row>
        <row r="98">
          <cell r="D98">
            <v>18447</v>
          </cell>
          <cell r="F98">
            <v>1052</v>
          </cell>
        </row>
        <row r="99">
          <cell r="D99">
            <v>0</v>
          </cell>
          <cell r="F99">
            <v>2454</v>
          </cell>
        </row>
        <row r="100">
          <cell r="D100">
            <v>1859</v>
          </cell>
          <cell r="F100"/>
        </row>
        <row r="101">
          <cell r="D101">
            <v>1994</v>
          </cell>
          <cell r="F101"/>
        </row>
        <row r="102">
          <cell r="D102">
            <v>2281</v>
          </cell>
          <cell r="F102"/>
        </row>
        <row r="103">
          <cell r="D103">
            <v>0</v>
          </cell>
          <cell r="F103"/>
        </row>
        <row r="115">
          <cell r="D115">
            <v>60729</v>
          </cell>
          <cell r="F115">
            <v>3464</v>
          </cell>
        </row>
        <row r="116">
          <cell r="D116">
            <v>0</v>
          </cell>
          <cell r="F116">
            <v>8079</v>
          </cell>
        </row>
        <row r="117">
          <cell r="D117">
            <v>15405</v>
          </cell>
          <cell r="F117"/>
        </row>
        <row r="118">
          <cell r="D118">
            <v>120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124175</v>
          </cell>
          <cell r="F125">
            <v>7084</v>
          </cell>
        </row>
        <row r="126">
          <cell r="D126">
            <v>54434</v>
          </cell>
          <cell r="F126">
            <v>3105</v>
          </cell>
        </row>
        <row r="127">
          <cell r="D127">
            <v>0</v>
          </cell>
          <cell r="F127"/>
        </row>
        <row r="128">
          <cell r="D128">
            <v>26457</v>
          </cell>
          <cell r="F128">
            <v>1509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16518</v>
          </cell>
        </row>
        <row r="132">
          <cell r="D132">
            <v>0</v>
          </cell>
          <cell r="F132">
            <v>7241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3519</v>
          </cell>
        </row>
        <row r="136">
          <cell r="D136">
            <v>338737</v>
          </cell>
          <cell r="F136">
            <v>19323</v>
          </cell>
        </row>
        <row r="137">
          <cell r="D137">
            <v>113000</v>
          </cell>
          <cell r="F137">
            <v>6446</v>
          </cell>
        </row>
        <row r="138">
          <cell r="D138">
            <v>371188</v>
          </cell>
          <cell r="F138">
            <v>21174</v>
          </cell>
        </row>
        <row r="139">
          <cell r="D139">
            <v>25931</v>
          </cell>
          <cell r="F139">
            <v>1479</v>
          </cell>
        </row>
        <row r="141">
          <cell r="D141">
            <v>0</v>
          </cell>
          <cell r="F141">
            <v>45059</v>
          </cell>
        </row>
        <row r="142">
          <cell r="D142">
            <v>0</v>
          </cell>
          <cell r="F142">
            <v>15031</v>
          </cell>
        </row>
        <row r="143">
          <cell r="D143">
            <v>0</v>
          </cell>
          <cell r="F143">
            <v>49376</v>
          </cell>
        </row>
        <row r="144">
          <cell r="D144">
            <v>0</v>
          </cell>
          <cell r="F144">
            <v>3449</v>
          </cell>
        </row>
        <row r="146">
          <cell r="D146">
            <v>12500</v>
          </cell>
          <cell r="F146"/>
        </row>
        <row r="147">
          <cell r="D147">
            <v>8343</v>
          </cell>
          <cell r="F147"/>
        </row>
        <row r="148">
          <cell r="D148">
            <v>1779</v>
          </cell>
          <cell r="F148"/>
        </row>
        <row r="149">
          <cell r="D149">
            <v>7475</v>
          </cell>
          <cell r="F149"/>
        </row>
        <row r="150">
          <cell r="D150">
            <v>23708</v>
          </cell>
          <cell r="F150"/>
        </row>
        <row r="151">
          <cell r="D151">
            <v>61670</v>
          </cell>
          <cell r="F151"/>
        </row>
        <row r="152">
          <cell r="D152">
            <v>3680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668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102173</v>
          </cell>
          <cell r="F177">
            <v>5828</v>
          </cell>
        </row>
        <row r="178">
          <cell r="D178">
            <v>0</v>
          </cell>
          <cell r="F178">
            <v>13591</v>
          </cell>
        </row>
        <row r="179">
          <cell r="D179">
            <v>19312</v>
          </cell>
          <cell r="F179">
            <v>1102</v>
          </cell>
        </row>
        <row r="180">
          <cell r="D180">
            <v>0</v>
          </cell>
          <cell r="F180">
            <v>2569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99552</v>
          </cell>
          <cell r="F183">
            <v>5679</v>
          </cell>
        </row>
        <row r="184">
          <cell r="D184">
            <v>0</v>
          </cell>
          <cell r="F184">
            <v>13243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1075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18451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83084</v>
          </cell>
          <cell r="F205"/>
        </row>
        <row r="206">
          <cell r="D206">
            <v>303</v>
          </cell>
          <cell r="F206"/>
        </row>
        <row r="207">
          <cell r="D207">
            <v>28559</v>
          </cell>
          <cell r="F207">
            <v>-461</v>
          </cell>
        </row>
        <row r="211">
          <cell r="D211">
            <v>92129</v>
          </cell>
          <cell r="F211">
            <v>5255</v>
          </cell>
        </row>
        <row r="212">
          <cell r="D212">
            <v>0</v>
          </cell>
          <cell r="F212">
            <v>12255</v>
          </cell>
        </row>
        <row r="213">
          <cell r="D213">
            <v>1765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1755</v>
          </cell>
          <cell r="F216"/>
        </row>
        <row r="221">
          <cell r="D221">
            <v>3743713.99</v>
          </cell>
        </row>
      </sheetData>
      <sheetData sheetId="9"/>
      <sheetData sheetId="10"/>
      <sheetData sheetId="11"/>
      <sheetData sheetId="12"/>
      <sheetData sheetId="13">
        <row r="9">
          <cell r="C9">
            <v>12722</v>
          </cell>
          <cell r="D9"/>
          <cell r="E9">
            <v>927</v>
          </cell>
          <cell r="F9">
            <v>1162</v>
          </cell>
          <cell r="G9"/>
          <cell r="H9">
            <v>625</v>
          </cell>
          <cell r="I9"/>
          <cell r="J9">
            <v>1257</v>
          </cell>
          <cell r="K9"/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30195</v>
          </cell>
        </row>
        <row r="30">
          <cell r="N30">
            <v>0.55283987415134961</v>
          </cell>
        </row>
        <row r="32">
          <cell r="N32">
            <v>0.42132803444278855</v>
          </cell>
        </row>
        <row r="34">
          <cell r="N34">
            <v>0.76211585694602524</v>
          </cell>
        </row>
      </sheetData>
      <sheetData sheetId="1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1796207.5899999999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1634658.7699999998</v>
          </cell>
          <cell r="G21">
            <v>0</v>
          </cell>
        </row>
        <row r="27">
          <cell r="E27">
            <v>66421.289999999994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177196.27000000002</v>
          </cell>
          <cell r="G37">
            <v>0</v>
          </cell>
        </row>
        <row r="42">
          <cell r="E42">
            <v>104674.87</v>
          </cell>
          <cell r="G42">
            <v>0</v>
          </cell>
        </row>
        <row r="47">
          <cell r="E47">
            <v>2881.23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11680.5</v>
          </cell>
          <cell r="G67">
            <v>-554.12</v>
          </cell>
        </row>
      </sheetData>
      <sheetData sheetId="6"/>
      <sheetData sheetId="7">
        <row r="10">
          <cell r="D10">
            <v>144351.85999999999</v>
          </cell>
          <cell r="F10"/>
        </row>
        <row r="11">
          <cell r="D11"/>
          <cell r="F11"/>
        </row>
        <row r="12">
          <cell r="D12">
            <v>57128.44</v>
          </cell>
          <cell r="F12"/>
        </row>
        <row r="13">
          <cell r="D13">
            <v>56439.859999999993</v>
          </cell>
          <cell r="F13"/>
        </row>
        <row r="14">
          <cell r="D14"/>
          <cell r="F14"/>
        </row>
        <row r="15">
          <cell r="D15">
            <v>311543.59000000003</v>
          </cell>
          <cell r="F15">
            <v>-311543.59000000003</v>
          </cell>
        </row>
        <row r="16">
          <cell r="D16"/>
          <cell r="F16">
            <v>135514</v>
          </cell>
        </row>
        <row r="17">
          <cell r="D17"/>
          <cell r="F17"/>
        </row>
        <row r="18">
          <cell r="D18">
            <v>19448.8</v>
          </cell>
          <cell r="F18"/>
        </row>
        <row r="19">
          <cell r="D19">
            <v>8721.24</v>
          </cell>
          <cell r="F19">
            <v>776</v>
          </cell>
        </row>
        <row r="20">
          <cell r="D20">
            <v>10959.82</v>
          </cell>
          <cell r="F20"/>
        </row>
        <row r="21">
          <cell r="D21">
            <v>44819.72</v>
          </cell>
          <cell r="F21">
            <v>23040</v>
          </cell>
        </row>
        <row r="22">
          <cell r="D22"/>
          <cell r="F22"/>
        </row>
        <row r="23">
          <cell r="D23">
            <v>16118.45</v>
          </cell>
          <cell r="F23">
            <v>20854</v>
          </cell>
        </row>
        <row r="24">
          <cell r="D24">
            <v>42740.520000000004</v>
          </cell>
          <cell r="F24"/>
        </row>
        <row r="25">
          <cell r="D25"/>
          <cell r="F25"/>
        </row>
        <row r="26">
          <cell r="D26">
            <v>160381.24</v>
          </cell>
          <cell r="F26">
            <v>138.6</v>
          </cell>
        </row>
        <row r="27">
          <cell r="D27">
            <v>2186.33</v>
          </cell>
          <cell r="F27">
            <v>5619.53</v>
          </cell>
        </row>
        <row r="28">
          <cell r="D28"/>
          <cell r="F28">
            <v>0</v>
          </cell>
        </row>
        <row r="29">
          <cell r="D29">
            <v>-9340.0199999999932</v>
          </cell>
          <cell r="F29">
            <v>9340.0199999999932</v>
          </cell>
        </row>
        <row r="30">
          <cell r="D30">
            <v>535.49</v>
          </cell>
          <cell r="F30">
            <v>-535.49</v>
          </cell>
        </row>
        <row r="31">
          <cell r="D31"/>
          <cell r="F31"/>
        </row>
        <row r="32">
          <cell r="D32">
            <v>71368.5</v>
          </cell>
          <cell r="F32">
            <v>3132</v>
          </cell>
        </row>
        <row r="33">
          <cell r="D33">
            <v>0</v>
          </cell>
          <cell r="F33">
            <v>0</v>
          </cell>
        </row>
        <row r="34">
          <cell r="D34"/>
          <cell r="F34"/>
        </row>
        <row r="35">
          <cell r="D35">
            <v>13700</v>
          </cell>
          <cell r="F35">
            <v>-13700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18503.919999999998</v>
          </cell>
          <cell r="F39">
            <v>2553</v>
          </cell>
        </row>
        <row r="40">
          <cell r="D40">
            <v>17799.18</v>
          </cell>
          <cell r="F40">
            <v>-17799.18</v>
          </cell>
        </row>
        <row r="41">
          <cell r="D41">
            <v>20848.34</v>
          </cell>
          <cell r="F41">
            <v>14257</v>
          </cell>
        </row>
        <row r="42">
          <cell r="D42">
            <v>737</v>
          </cell>
          <cell r="F42">
            <v>2276</v>
          </cell>
        </row>
        <row r="43">
          <cell r="D43"/>
          <cell r="F43"/>
        </row>
        <row r="44">
          <cell r="D44">
            <v>16</v>
          </cell>
          <cell r="F44"/>
        </row>
        <row r="45">
          <cell r="D45">
            <v>717.51</v>
          </cell>
          <cell r="F45">
            <v>98</v>
          </cell>
        </row>
        <row r="57">
          <cell r="D57">
            <v>381060</v>
          </cell>
          <cell r="F57">
            <v>-381060</v>
          </cell>
        </row>
        <row r="58">
          <cell r="D58">
            <v>1026.6599999999999</v>
          </cell>
          <cell r="F58">
            <v>27924</v>
          </cell>
        </row>
        <row r="59">
          <cell r="D59"/>
          <cell r="F59">
            <v>66803.92</v>
          </cell>
        </row>
        <row r="60">
          <cell r="D60">
            <v>17025.310000000001</v>
          </cell>
          <cell r="F60">
            <v>-3921.79</v>
          </cell>
        </row>
        <row r="61">
          <cell r="D61">
            <v>10677.36</v>
          </cell>
          <cell r="F61">
            <v>428</v>
          </cell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831.58</v>
          </cell>
          <cell r="F67">
            <v>28316.093541666665</v>
          </cell>
        </row>
        <row r="68">
          <cell r="D68"/>
          <cell r="F68"/>
        </row>
        <row r="69">
          <cell r="D69"/>
          <cell r="F69">
            <v>2762.13</v>
          </cell>
        </row>
        <row r="70">
          <cell r="D70"/>
          <cell r="F70"/>
        </row>
        <row r="71">
          <cell r="D71"/>
          <cell r="F71"/>
        </row>
        <row r="75">
          <cell r="D75">
            <v>34241.020000000004</v>
          </cell>
          <cell r="F75"/>
        </row>
        <row r="76">
          <cell r="D76">
            <v>10146.93</v>
          </cell>
          <cell r="F76"/>
        </row>
        <row r="77">
          <cell r="D77">
            <v>21225.79</v>
          </cell>
          <cell r="F77"/>
        </row>
        <row r="78">
          <cell r="D78">
            <v>11220.08</v>
          </cell>
          <cell r="F78">
            <v>1108</v>
          </cell>
        </row>
        <row r="79">
          <cell r="D79">
            <v>14790.7</v>
          </cell>
          <cell r="F79"/>
        </row>
        <row r="80">
          <cell r="D80">
            <v>25522.63</v>
          </cell>
          <cell r="F80"/>
        </row>
        <row r="81">
          <cell r="D81">
            <v>8771.81</v>
          </cell>
          <cell r="F81"/>
        </row>
        <row r="82">
          <cell r="D82"/>
          <cell r="F82"/>
        </row>
        <row r="83">
          <cell r="D83"/>
          <cell r="F83"/>
        </row>
        <row r="84">
          <cell r="D84">
            <v>65942.13</v>
          </cell>
          <cell r="F84">
            <v>625</v>
          </cell>
        </row>
        <row r="85">
          <cell r="D85">
            <v>1224.21</v>
          </cell>
          <cell r="F85"/>
        </row>
        <row r="89">
          <cell r="D89">
            <v>101246.62</v>
          </cell>
          <cell r="F89"/>
        </row>
        <row r="90">
          <cell r="D90">
            <v>32286.970000000005</v>
          </cell>
          <cell r="F90"/>
        </row>
        <row r="91">
          <cell r="D91">
            <v>14357.050000000001</v>
          </cell>
          <cell r="F91"/>
        </row>
        <row r="92">
          <cell r="D92">
            <v>90757.93</v>
          </cell>
          <cell r="F92">
            <v>-533.65</v>
          </cell>
        </row>
        <row r="93">
          <cell r="D93">
            <v>3439.52</v>
          </cell>
          <cell r="F93"/>
        </row>
        <row r="94">
          <cell r="D94">
            <v>6080.85</v>
          </cell>
          <cell r="F94"/>
        </row>
        <row r="98">
          <cell r="D98">
            <v>27879.500000000004</v>
          </cell>
          <cell r="F98"/>
        </row>
        <row r="99">
          <cell r="D99">
            <v>8658.76</v>
          </cell>
          <cell r="F99"/>
        </row>
        <row r="100">
          <cell r="D100">
            <v>1410.92</v>
          </cell>
          <cell r="F100"/>
        </row>
        <row r="101">
          <cell r="D101">
            <v>3577.6400000000003</v>
          </cell>
          <cell r="F101"/>
        </row>
        <row r="102">
          <cell r="D102">
            <v>932.15000000000009</v>
          </cell>
          <cell r="F102"/>
        </row>
        <row r="103">
          <cell r="D103">
            <v>54.75</v>
          </cell>
          <cell r="F103"/>
        </row>
        <row r="115">
          <cell r="D115">
            <v>28769.339999999997</v>
          </cell>
          <cell r="F115"/>
        </row>
        <row r="116">
          <cell r="D116">
            <v>8738.99</v>
          </cell>
          <cell r="F116"/>
        </row>
        <row r="117">
          <cell r="D117">
            <v>9491.01</v>
          </cell>
          <cell r="F117"/>
        </row>
        <row r="118">
          <cell r="D118">
            <v>299.05</v>
          </cell>
          <cell r="F118"/>
        </row>
        <row r="119">
          <cell r="D119">
            <v>689.5</v>
          </cell>
          <cell r="F119"/>
        </row>
        <row r="124">
          <cell r="D124">
            <v>66794.64</v>
          </cell>
          <cell r="F124"/>
        </row>
        <row r="125">
          <cell r="D125">
            <v>63281.720000000008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28873.199999999997</v>
          </cell>
          <cell r="F128">
            <v>21263</v>
          </cell>
        </row>
        <row r="130">
          <cell r="D130">
            <v>17098.949266300177</v>
          </cell>
          <cell r="F130"/>
        </row>
        <row r="131">
          <cell r="D131">
            <v>16199.666915851532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6157.369999999999</v>
          </cell>
          <cell r="F134"/>
        </row>
        <row r="136">
          <cell r="D136">
            <v>257583.26000000004</v>
          </cell>
          <cell r="F136"/>
        </row>
        <row r="137">
          <cell r="D137">
            <v>92091.02</v>
          </cell>
          <cell r="F137"/>
        </row>
        <row r="138">
          <cell r="D138">
            <v>189599.47000000003</v>
          </cell>
          <cell r="F138"/>
        </row>
        <row r="139">
          <cell r="D139">
            <v>93239.279999999984</v>
          </cell>
          <cell r="F139"/>
        </row>
        <row r="141">
          <cell r="D141">
            <v>65939.469014103655</v>
          </cell>
          <cell r="F141"/>
        </row>
        <row r="142">
          <cell r="D142">
            <v>23574.64130148519</v>
          </cell>
          <cell r="F142"/>
        </row>
        <row r="143">
          <cell r="D143">
            <v>48536.105867887047</v>
          </cell>
          <cell r="F143"/>
        </row>
        <row r="144">
          <cell r="D144">
            <v>23868.587634372405</v>
          </cell>
          <cell r="F144"/>
        </row>
        <row r="146">
          <cell r="D146">
            <v>24967.760000000002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1259.7</v>
          </cell>
          <cell r="F150"/>
        </row>
        <row r="151">
          <cell r="D151">
            <v>77154.64</v>
          </cell>
          <cell r="F151"/>
        </row>
        <row r="152">
          <cell r="D152">
            <v>558.38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20.78</v>
          </cell>
          <cell r="F160"/>
        </row>
        <row r="161">
          <cell r="D161">
            <v>5127.18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202279.17</v>
          </cell>
          <cell r="F177">
            <v>6912</v>
          </cell>
        </row>
        <row r="178">
          <cell r="D178">
            <v>54269.45</v>
          </cell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58878.2</v>
          </cell>
          <cell r="F183"/>
        </row>
        <row r="184">
          <cell r="D184">
            <v>12497.63</v>
          </cell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>
            <v>17836.12</v>
          </cell>
          <cell r="F192"/>
        </row>
        <row r="193">
          <cell r="D193"/>
          <cell r="F193"/>
        </row>
        <row r="194">
          <cell r="D194">
            <v>16681.5</v>
          </cell>
          <cell r="F194"/>
        </row>
        <row r="195">
          <cell r="D195">
            <v>6419</v>
          </cell>
          <cell r="F195"/>
        </row>
        <row r="196">
          <cell r="D196"/>
          <cell r="F196"/>
        </row>
        <row r="197">
          <cell r="D197">
            <v>112.5</v>
          </cell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>
            <v>13709.44</v>
          </cell>
          <cell r="F203"/>
        </row>
        <row r="204">
          <cell r="D204"/>
          <cell r="F204"/>
        </row>
        <row r="205">
          <cell r="D205">
            <v>77741.310000000012</v>
          </cell>
          <cell r="F205"/>
        </row>
        <row r="206">
          <cell r="D206">
            <v>11600.28</v>
          </cell>
          <cell r="F206"/>
        </row>
        <row r="207">
          <cell r="D207">
            <v>2635.78</v>
          </cell>
          <cell r="F207"/>
        </row>
        <row r="211">
          <cell r="D211">
            <v>87065.32</v>
          </cell>
          <cell r="F211"/>
        </row>
        <row r="212">
          <cell r="D212">
            <v>28723.360000000001</v>
          </cell>
          <cell r="F212"/>
        </row>
        <row r="213">
          <cell r="D213">
            <v>9663.5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7830.4299999999994</v>
          </cell>
          <cell r="F216"/>
        </row>
        <row r="221">
          <cell r="D221">
            <v>3661971.3600000008</v>
          </cell>
        </row>
      </sheetData>
      <sheetData sheetId="8"/>
      <sheetData sheetId="9"/>
      <sheetData sheetId="10">
        <row r="9">
          <cell r="C9">
            <v>6867</v>
          </cell>
          <cell r="D9">
            <v>0</v>
          </cell>
          <cell r="E9">
            <v>3066</v>
          </cell>
          <cell r="F9">
            <v>174</v>
          </cell>
          <cell r="G9">
            <v>0</v>
          </cell>
          <cell r="H9">
            <v>1342</v>
          </cell>
          <cell r="I9">
            <v>570</v>
          </cell>
          <cell r="J9">
            <v>21</v>
          </cell>
          <cell r="K9">
            <v>0</v>
          </cell>
        </row>
        <row r="22">
          <cell r="N22">
            <v>58</v>
          </cell>
        </row>
        <row r="24">
          <cell r="N24">
            <v>58</v>
          </cell>
        </row>
        <row r="28">
          <cell r="N28">
            <v>21228</v>
          </cell>
        </row>
        <row r="30">
          <cell r="N30">
            <v>0.56717542867910309</v>
          </cell>
        </row>
        <row r="32">
          <cell r="N32">
            <v>0.323487846240814</v>
          </cell>
        </row>
        <row r="34">
          <cell r="N34">
            <v>0.5703488372093023</v>
          </cell>
        </row>
      </sheetData>
      <sheetData sheetId="1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1635633.8499999999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1481515.07</v>
          </cell>
          <cell r="G21">
            <v>0</v>
          </cell>
        </row>
        <row r="27">
          <cell r="E27">
            <v>757557.92999999993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394770.43</v>
          </cell>
          <cell r="G37">
            <v>0</v>
          </cell>
        </row>
        <row r="42">
          <cell r="E42">
            <v>99068.6</v>
          </cell>
          <cell r="G42">
            <v>0</v>
          </cell>
        </row>
        <row r="47">
          <cell r="E47">
            <v>26375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13882.919999999998</v>
          </cell>
          <cell r="G67">
            <v>0</v>
          </cell>
        </row>
      </sheetData>
      <sheetData sheetId="6"/>
      <sheetData sheetId="7"/>
      <sheetData sheetId="8">
        <row r="10">
          <cell r="D10">
            <v>81513.119999999995</v>
          </cell>
          <cell r="F10"/>
        </row>
        <row r="11">
          <cell r="D11"/>
          <cell r="F11"/>
        </row>
        <row r="12">
          <cell r="D12">
            <v>110106.16</v>
          </cell>
          <cell r="F12"/>
        </row>
        <row r="13">
          <cell r="D13">
            <v>306366.2</v>
          </cell>
          <cell r="F13">
            <v>-277264.50199253368</v>
          </cell>
        </row>
        <row r="14">
          <cell r="D14"/>
          <cell r="F14"/>
        </row>
        <row r="15">
          <cell r="D15">
            <v>100000</v>
          </cell>
          <cell r="F15">
            <v>-100000</v>
          </cell>
        </row>
        <row r="16">
          <cell r="D16"/>
          <cell r="F16">
            <v>123421</v>
          </cell>
        </row>
        <row r="17">
          <cell r="D17">
            <v>9193.7199999999993</v>
          </cell>
          <cell r="F17">
            <v>-9194</v>
          </cell>
        </row>
        <row r="18">
          <cell r="D18">
            <v>25892.46</v>
          </cell>
          <cell r="F18"/>
        </row>
        <row r="19">
          <cell r="D19">
            <v>11095.6</v>
          </cell>
          <cell r="F19"/>
        </row>
        <row r="20">
          <cell r="D20">
            <v>13723.99</v>
          </cell>
          <cell r="F20"/>
        </row>
        <row r="21">
          <cell r="D21">
            <v>22868.95</v>
          </cell>
          <cell r="F21">
            <v>5325</v>
          </cell>
        </row>
        <row r="22">
          <cell r="D22"/>
          <cell r="F22"/>
        </row>
        <row r="23">
          <cell r="D23">
            <v>18138.46</v>
          </cell>
          <cell r="F23"/>
        </row>
        <row r="24">
          <cell r="D24">
            <v>54705.13</v>
          </cell>
          <cell r="F24"/>
        </row>
        <row r="25">
          <cell r="D25"/>
          <cell r="F25"/>
        </row>
        <row r="26">
          <cell r="D26">
            <v>237347.48</v>
          </cell>
          <cell r="F26"/>
        </row>
        <row r="27">
          <cell r="D27">
            <v>2823.53</v>
          </cell>
          <cell r="F27"/>
        </row>
        <row r="28">
          <cell r="D28"/>
          <cell r="F28">
            <v>0</v>
          </cell>
        </row>
        <row r="29">
          <cell r="D29">
            <v>39245.730000000003</v>
          </cell>
          <cell r="F29">
            <v>-39245.730000000003</v>
          </cell>
        </row>
        <row r="30">
          <cell r="D30"/>
          <cell r="F30">
            <v>0</v>
          </cell>
        </row>
        <row r="31">
          <cell r="D31">
            <v>36991.35</v>
          </cell>
          <cell r="F31"/>
        </row>
        <row r="32">
          <cell r="D32"/>
          <cell r="F32"/>
        </row>
        <row r="33">
          <cell r="D33">
            <v>0</v>
          </cell>
          <cell r="F33">
            <v>0</v>
          </cell>
        </row>
        <row r="34">
          <cell r="D34"/>
          <cell r="F34"/>
        </row>
        <row r="35">
          <cell r="D35">
            <v>488</v>
          </cell>
          <cell r="F35">
            <v>-488</v>
          </cell>
        </row>
        <row r="36">
          <cell r="D36">
            <v>25568.81</v>
          </cell>
          <cell r="F36"/>
        </row>
        <row r="37">
          <cell r="D37"/>
          <cell r="F37">
            <v>3883.1989507020685</v>
          </cell>
        </row>
        <row r="38">
          <cell r="D38">
            <v>486.78</v>
          </cell>
          <cell r="F38"/>
        </row>
        <row r="39">
          <cell r="D39">
            <v>3098.86</v>
          </cell>
          <cell r="F39"/>
        </row>
        <row r="40">
          <cell r="D40">
            <v>4413.24</v>
          </cell>
          <cell r="F40">
            <v>-4413</v>
          </cell>
        </row>
        <row r="41">
          <cell r="D41">
            <v>3293.93</v>
          </cell>
          <cell r="F41"/>
        </row>
        <row r="42">
          <cell r="D42">
            <v>3639.49</v>
          </cell>
          <cell r="F42"/>
        </row>
        <row r="43">
          <cell r="D43">
            <v>8233.33</v>
          </cell>
          <cell r="F43"/>
        </row>
        <row r="44">
          <cell r="D44">
            <v>210.91</v>
          </cell>
          <cell r="F44"/>
        </row>
        <row r="45">
          <cell r="D45">
            <v>2262.39</v>
          </cell>
          <cell r="F45">
            <v>-2262</v>
          </cell>
        </row>
        <row r="57">
          <cell r="D57">
            <v>600000</v>
          </cell>
          <cell r="F57">
            <v>-600000</v>
          </cell>
        </row>
        <row r="58">
          <cell r="D58"/>
          <cell r="F58">
            <v>222961</v>
          </cell>
        </row>
        <row r="59">
          <cell r="D59"/>
          <cell r="F59">
            <v>370464</v>
          </cell>
        </row>
        <row r="60">
          <cell r="D60"/>
          <cell r="F60">
            <v>29686</v>
          </cell>
        </row>
        <row r="61">
          <cell r="D61">
            <v>100</v>
          </cell>
          <cell r="F61">
            <v>65655</v>
          </cell>
        </row>
        <row r="62">
          <cell r="D62">
            <v>3478.82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8005</v>
          </cell>
          <cell r="F65"/>
        </row>
        <row r="66">
          <cell r="D66">
            <v>8310</v>
          </cell>
          <cell r="F66"/>
        </row>
        <row r="67">
          <cell r="D67">
            <v>132631.04999999999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35091.839999999997</v>
          </cell>
          <cell r="F75"/>
        </row>
        <row r="76">
          <cell r="D76"/>
          <cell r="F76">
            <v>5329.4852699912462</v>
          </cell>
        </row>
        <row r="77">
          <cell r="D77">
            <v>8808.2000000000007</v>
          </cell>
          <cell r="F77"/>
        </row>
        <row r="78">
          <cell r="D78">
            <v>290</v>
          </cell>
          <cell r="F78"/>
        </row>
        <row r="79">
          <cell r="D79">
            <v>13.49</v>
          </cell>
          <cell r="F79"/>
        </row>
        <row r="80">
          <cell r="D80">
            <v>5506.99</v>
          </cell>
          <cell r="F80"/>
        </row>
        <row r="81">
          <cell r="D81">
            <v>18347.580000000002</v>
          </cell>
          <cell r="F81"/>
        </row>
        <row r="82">
          <cell r="D82">
            <v>7529.67</v>
          </cell>
          <cell r="F82"/>
        </row>
        <row r="83">
          <cell r="D83">
            <v>11161.5</v>
          </cell>
          <cell r="F83"/>
        </row>
        <row r="84">
          <cell r="D84">
            <v>79779.289999999994</v>
          </cell>
          <cell r="F84"/>
        </row>
        <row r="85">
          <cell r="D85">
            <v>93.1</v>
          </cell>
          <cell r="F85"/>
        </row>
        <row r="89">
          <cell r="D89">
            <v>137978.66</v>
          </cell>
          <cell r="F89"/>
        </row>
        <row r="90">
          <cell r="D90"/>
          <cell r="F90">
            <v>20955.163252856804</v>
          </cell>
        </row>
        <row r="91">
          <cell r="D91">
            <v>11304.5</v>
          </cell>
          <cell r="F91"/>
        </row>
        <row r="92">
          <cell r="D92">
            <v>125045.07</v>
          </cell>
          <cell r="F92"/>
        </row>
        <row r="93">
          <cell r="D93">
            <v>7080.42</v>
          </cell>
          <cell r="F93"/>
        </row>
        <row r="94">
          <cell r="D94"/>
          <cell r="F94"/>
        </row>
        <row r="98">
          <cell r="D98">
            <v>131.25</v>
          </cell>
          <cell r="F98"/>
        </row>
        <row r="99">
          <cell r="D99"/>
          <cell r="F99"/>
        </row>
        <row r="100">
          <cell r="D100">
            <v>4487.6099999999997</v>
          </cell>
          <cell r="F100"/>
        </row>
        <row r="101">
          <cell r="D101">
            <v>2712.59</v>
          </cell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155504.19</v>
          </cell>
          <cell r="F115"/>
        </row>
        <row r="116">
          <cell r="D116"/>
          <cell r="F116">
            <v>23616.80920769387</v>
          </cell>
        </row>
        <row r="117">
          <cell r="D117">
            <v>39345.99</v>
          </cell>
          <cell r="F117"/>
        </row>
        <row r="118">
          <cell r="D118">
            <v>154.72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62833.15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33304.199999999997</v>
          </cell>
          <cell r="F128"/>
        </row>
        <row r="130">
          <cell r="D130"/>
          <cell r="F130"/>
        </row>
        <row r="131">
          <cell r="D131"/>
          <cell r="F131">
            <v>9542.6272145362145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5057.9919243004197</v>
          </cell>
        </row>
        <row r="136">
          <cell r="D136">
            <v>498581.33</v>
          </cell>
          <cell r="F136"/>
        </row>
        <row r="137">
          <cell r="D137">
            <v>234858.31</v>
          </cell>
          <cell r="F137"/>
        </row>
        <row r="138">
          <cell r="D138">
            <v>579281.49</v>
          </cell>
          <cell r="F138"/>
        </row>
        <row r="139">
          <cell r="D139"/>
          <cell r="F139"/>
        </row>
        <row r="141">
          <cell r="D141"/>
          <cell r="F141">
            <v>75720.79019303761</v>
          </cell>
        </row>
        <row r="142">
          <cell r="D142"/>
          <cell r="F142">
            <v>35668.517344204178</v>
          </cell>
        </row>
        <row r="143">
          <cell r="D143"/>
          <cell r="F143">
            <v>87976.924781760696</v>
          </cell>
        </row>
        <row r="144">
          <cell r="D144"/>
          <cell r="F144"/>
        </row>
        <row r="146">
          <cell r="D146">
            <v>28800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4092.36</v>
          </cell>
          <cell r="F150"/>
        </row>
        <row r="151">
          <cell r="D151">
            <v>101004.17</v>
          </cell>
          <cell r="F151"/>
        </row>
        <row r="152">
          <cell r="D152"/>
          <cell r="F152"/>
        </row>
        <row r="153">
          <cell r="D153">
            <v>250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>
            <v>75</v>
          </cell>
          <cell r="F157"/>
        </row>
        <row r="158">
          <cell r="D158">
            <v>75</v>
          </cell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1391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>
            <v>1564.17</v>
          </cell>
          <cell r="F193"/>
        </row>
        <row r="194">
          <cell r="D194">
            <v>358487.38</v>
          </cell>
          <cell r="F194"/>
        </row>
        <row r="195">
          <cell r="D195">
            <v>62233.31</v>
          </cell>
          <cell r="F195"/>
        </row>
        <row r="196">
          <cell r="D196"/>
          <cell r="F196"/>
        </row>
        <row r="197">
          <cell r="D197">
            <v>101867.81</v>
          </cell>
          <cell r="F197"/>
        </row>
        <row r="198">
          <cell r="D198">
            <v>27833.97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218554.95</v>
          </cell>
          <cell r="F205"/>
        </row>
        <row r="206">
          <cell r="D206">
            <v>777.91</v>
          </cell>
          <cell r="F206"/>
        </row>
        <row r="207">
          <cell r="D207">
            <v>106.43</v>
          </cell>
          <cell r="F207"/>
        </row>
        <row r="211">
          <cell r="D211">
            <v>62638.03</v>
          </cell>
          <cell r="F211"/>
        </row>
        <row r="212">
          <cell r="D212"/>
          <cell r="F212">
            <v>9512.99385345054</v>
          </cell>
        </row>
        <row r="213">
          <cell r="D213">
            <v>18342.8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3032.75</v>
          </cell>
          <cell r="F216"/>
        </row>
        <row r="221">
          <cell r="D221">
            <v>4924584.9400000004</v>
          </cell>
        </row>
      </sheetData>
      <sheetData sheetId="9"/>
      <sheetData sheetId="10"/>
      <sheetData sheetId="11"/>
      <sheetData sheetId="12">
        <row r="9">
          <cell r="C9">
            <v>9445</v>
          </cell>
          <cell r="D9"/>
          <cell r="E9">
            <v>2582</v>
          </cell>
          <cell r="F9">
            <v>2081</v>
          </cell>
          <cell r="G9"/>
          <cell r="H9">
            <v>2499</v>
          </cell>
          <cell r="I9">
            <v>613</v>
          </cell>
          <cell r="J9">
            <v>161</v>
          </cell>
          <cell r="K9"/>
        </row>
        <row r="22">
          <cell r="N22">
            <v>76</v>
          </cell>
        </row>
        <row r="24">
          <cell r="N24">
            <v>52</v>
          </cell>
        </row>
        <row r="28">
          <cell r="N28">
            <v>27816</v>
          </cell>
        </row>
        <row r="30">
          <cell r="N30">
            <v>0.62485619787172852</v>
          </cell>
        </row>
        <row r="32">
          <cell r="N32">
            <v>0.33955277538107564</v>
          </cell>
        </row>
        <row r="34">
          <cell r="N34">
            <v>0.54340947011104079</v>
          </cell>
        </row>
      </sheetData>
      <sheetData sheetId="13"/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85">
          <cell r="C85">
            <v>81.412182254196637</v>
          </cell>
          <cell r="E85">
            <v>217.73060643564358</v>
          </cell>
          <cell r="G85">
            <v>219.46373443983401</v>
          </cell>
          <cell r="I85">
            <v>120.43952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3032544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879055</v>
          </cell>
          <cell r="G21">
            <v>0</v>
          </cell>
        </row>
        <row r="27">
          <cell r="E27">
            <v>316925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205408</v>
          </cell>
          <cell r="G37">
            <v>0</v>
          </cell>
        </row>
        <row r="42">
          <cell r="E42">
            <v>776064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57219</v>
          </cell>
          <cell r="G52">
            <v>0</v>
          </cell>
        </row>
        <row r="67">
          <cell r="E67">
            <v>54671</v>
          </cell>
          <cell r="G67">
            <v>-9321</v>
          </cell>
        </row>
        <row r="85">
          <cell r="C85">
            <v>125.096</v>
          </cell>
          <cell r="E85">
            <v>125.09628610729024</v>
          </cell>
          <cell r="G85">
            <v>125.09779179810725</v>
          </cell>
          <cell r="I85">
            <v>125.09417040358744</v>
          </cell>
        </row>
      </sheetData>
      <sheetData sheetId="6"/>
      <sheetData sheetId="7">
        <row r="10">
          <cell r="D10">
            <v>0</v>
          </cell>
          <cell r="F10">
            <v>93046</v>
          </cell>
        </row>
        <row r="11">
          <cell r="D11">
            <v>0</v>
          </cell>
          <cell r="F11">
            <v>0</v>
          </cell>
        </row>
        <row r="12">
          <cell r="D12">
            <v>240794</v>
          </cell>
          <cell r="F12">
            <v>-93046</v>
          </cell>
        </row>
        <row r="13">
          <cell r="D13">
            <v>32526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166871</v>
          </cell>
          <cell r="F16">
            <v>75583</v>
          </cell>
        </row>
        <row r="17">
          <cell r="D17">
            <v>407</v>
          </cell>
          <cell r="F17">
            <v>-407</v>
          </cell>
        </row>
        <row r="18">
          <cell r="D18">
            <v>8840</v>
          </cell>
          <cell r="F18">
            <v>0</v>
          </cell>
        </row>
        <row r="19">
          <cell r="D19">
            <v>13411</v>
          </cell>
          <cell r="F19">
            <v>0</v>
          </cell>
        </row>
        <row r="20">
          <cell r="D20">
            <v>19754</v>
          </cell>
          <cell r="F20">
            <v>0</v>
          </cell>
        </row>
        <row r="21">
          <cell r="D21">
            <v>40424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22369</v>
          </cell>
          <cell r="F23">
            <v>0</v>
          </cell>
        </row>
        <row r="24">
          <cell r="D24">
            <v>13979</v>
          </cell>
          <cell r="F24">
            <v>0</v>
          </cell>
        </row>
        <row r="25">
          <cell r="D25">
            <v>2659</v>
          </cell>
          <cell r="F25">
            <v>0</v>
          </cell>
        </row>
        <row r="26">
          <cell r="D26">
            <v>438626</v>
          </cell>
          <cell r="F26">
            <v>0</v>
          </cell>
        </row>
        <row r="27">
          <cell r="D27">
            <v>11651</v>
          </cell>
          <cell r="F27">
            <v>-121</v>
          </cell>
        </row>
        <row r="28">
          <cell r="D28">
            <v>2723</v>
          </cell>
          <cell r="F28">
            <v>-2723</v>
          </cell>
        </row>
        <row r="29">
          <cell r="D29">
            <v>267809</v>
          </cell>
          <cell r="F29">
            <v>-267809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65633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532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30</v>
          </cell>
          <cell r="F38">
            <v>-30</v>
          </cell>
        </row>
        <row r="39">
          <cell r="D39">
            <v>10267</v>
          </cell>
          <cell r="F39">
            <v>0</v>
          </cell>
        </row>
        <row r="40">
          <cell r="D40">
            <v>3630</v>
          </cell>
          <cell r="F40">
            <v>-3630</v>
          </cell>
        </row>
        <row r="41">
          <cell r="D41">
            <v>92110</v>
          </cell>
          <cell r="F41">
            <v>-1327</v>
          </cell>
        </row>
        <row r="42">
          <cell r="D42">
            <v>214</v>
          </cell>
          <cell r="F42">
            <v>0</v>
          </cell>
        </row>
        <row r="43">
          <cell r="D43">
            <v>9018</v>
          </cell>
          <cell r="F43">
            <v>-9018</v>
          </cell>
        </row>
        <row r="44">
          <cell r="D44">
            <v>0</v>
          </cell>
          <cell r="F44">
            <v>0</v>
          </cell>
        </row>
        <row r="45">
          <cell r="D45">
            <v>14460</v>
          </cell>
          <cell r="F45">
            <v>-7309</v>
          </cell>
        </row>
        <row r="57">
          <cell r="D57">
            <v>0</v>
          </cell>
          <cell r="F57">
            <v>0</v>
          </cell>
        </row>
        <row r="58">
          <cell r="D58">
            <v>84365</v>
          </cell>
          <cell r="F58">
            <v>0</v>
          </cell>
        </row>
        <row r="59">
          <cell r="D59">
            <v>80823</v>
          </cell>
          <cell r="F59">
            <v>0</v>
          </cell>
        </row>
        <row r="60">
          <cell r="D60">
            <v>41008</v>
          </cell>
          <cell r="F60">
            <v>0</v>
          </cell>
        </row>
        <row r="61">
          <cell r="D61">
            <v>20029</v>
          </cell>
          <cell r="F61">
            <v>0</v>
          </cell>
        </row>
        <row r="62">
          <cell r="D62">
            <v>387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30131</v>
          </cell>
          <cell r="F66">
            <v>26</v>
          </cell>
        </row>
        <row r="67">
          <cell r="D67">
            <v>51878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3372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46257</v>
          </cell>
          <cell r="F75">
            <v>0</v>
          </cell>
        </row>
        <row r="76">
          <cell r="D76">
            <v>12846</v>
          </cell>
          <cell r="F76">
            <v>0</v>
          </cell>
        </row>
        <row r="77">
          <cell r="D77">
            <v>7714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6479</v>
          </cell>
          <cell r="F79">
            <v>0</v>
          </cell>
        </row>
        <row r="80">
          <cell r="D80">
            <v>30433</v>
          </cell>
          <cell r="F80">
            <v>0</v>
          </cell>
        </row>
        <row r="81">
          <cell r="D81">
            <v>28171</v>
          </cell>
          <cell r="F81">
            <v>0</v>
          </cell>
        </row>
        <row r="82">
          <cell r="D82">
            <v>21459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81189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116565</v>
          </cell>
          <cell r="F89">
            <v>0</v>
          </cell>
        </row>
        <row r="90">
          <cell r="D90">
            <v>33755</v>
          </cell>
          <cell r="F90">
            <v>0</v>
          </cell>
        </row>
        <row r="91">
          <cell r="D91">
            <v>178920</v>
          </cell>
          <cell r="F91">
            <v>0</v>
          </cell>
        </row>
        <row r="92">
          <cell r="D92">
            <v>93016</v>
          </cell>
          <cell r="F92">
            <v>-1791</v>
          </cell>
        </row>
        <row r="93">
          <cell r="D93">
            <v>14338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51983</v>
          </cell>
          <cell r="F101">
            <v>0</v>
          </cell>
        </row>
        <row r="102">
          <cell r="D102">
            <v>5195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11376</v>
          </cell>
          <cell r="F117">
            <v>0</v>
          </cell>
        </row>
        <row r="118">
          <cell r="D118">
            <v>102312</v>
          </cell>
          <cell r="F118">
            <v>0</v>
          </cell>
        </row>
        <row r="119">
          <cell r="D119">
            <v>65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205798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52036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31231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6190</v>
          </cell>
          <cell r="F134">
            <v>0</v>
          </cell>
        </row>
        <row r="136">
          <cell r="D136">
            <v>512714</v>
          </cell>
          <cell r="F136">
            <v>0</v>
          </cell>
        </row>
        <row r="137">
          <cell r="D137">
            <v>354967</v>
          </cell>
          <cell r="F137">
            <v>0</v>
          </cell>
        </row>
        <row r="138">
          <cell r="D138">
            <v>636853</v>
          </cell>
          <cell r="F138">
            <v>25508</v>
          </cell>
        </row>
        <row r="139">
          <cell r="D139">
            <v>25508</v>
          </cell>
          <cell r="F139">
            <v>-25508</v>
          </cell>
        </row>
        <row r="141">
          <cell r="D141">
            <v>348085</v>
          </cell>
          <cell r="F141">
            <v>-231442</v>
          </cell>
        </row>
        <row r="142">
          <cell r="D142">
            <v>0</v>
          </cell>
          <cell r="F142">
            <v>80755</v>
          </cell>
        </row>
        <row r="143">
          <cell r="D143">
            <v>0</v>
          </cell>
          <cell r="F143">
            <v>150687</v>
          </cell>
        </row>
        <row r="144">
          <cell r="D144">
            <v>0</v>
          </cell>
          <cell r="F144">
            <v>0</v>
          </cell>
        </row>
        <row r="146">
          <cell r="D146">
            <v>39457</v>
          </cell>
          <cell r="F146">
            <v>0</v>
          </cell>
        </row>
        <row r="147">
          <cell r="D147">
            <v>31466</v>
          </cell>
          <cell r="F147">
            <v>0</v>
          </cell>
        </row>
        <row r="148">
          <cell r="D148">
            <v>15944</v>
          </cell>
          <cell r="F148">
            <v>0</v>
          </cell>
        </row>
        <row r="149">
          <cell r="D149">
            <v>104649</v>
          </cell>
          <cell r="F149">
            <v>0</v>
          </cell>
        </row>
        <row r="150">
          <cell r="D150">
            <v>2971</v>
          </cell>
          <cell r="F150">
            <v>0</v>
          </cell>
        </row>
        <row r="151">
          <cell r="D151">
            <v>77581</v>
          </cell>
          <cell r="F151">
            <v>-282</v>
          </cell>
        </row>
        <row r="152">
          <cell r="D152">
            <v>6155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3470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18721</v>
          </cell>
          <cell r="F161">
            <v>-161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144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105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580</v>
          </cell>
          <cell r="F193">
            <v>0</v>
          </cell>
        </row>
        <row r="194">
          <cell r="D194">
            <v>154496</v>
          </cell>
          <cell r="F194">
            <v>-2086</v>
          </cell>
        </row>
        <row r="195">
          <cell r="D195">
            <v>110114</v>
          </cell>
          <cell r="F195">
            <v>-1487</v>
          </cell>
        </row>
        <row r="196">
          <cell r="D196">
            <v>0</v>
          </cell>
          <cell r="F196">
            <v>0</v>
          </cell>
        </row>
        <row r="197">
          <cell r="D197">
            <v>107551</v>
          </cell>
          <cell r="F197">
            <v>-1452</v>
          </cell>
        </row>
        <row r="198">
          <cell r="D198">
            <v>21310</v>
          </cell>
          <cell r="F198">
            <v>-253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119959</v>
          </cell>
          <cell r="F205">
            <v>-1843</v>
          </cell>
        </row>
        <row r="206">
          <cell r="D206">
            <v>919</v>
          </cell>
          <cell r="F206">
            <v>0</v>
          </cell>
        </row>
        <row r="207">
          <cell r="D207">
            <v>2238</v>
          </cell>
          <cell r="F207">
            <v>-35</v>
          </cell>
        </row>
        <row r="211">
          <cell r="D211">
            <v>150413</v>
          </cell>
          <cell r="F211">
            <v>0</v>
          </cell>
        </row>
        <row r="212">
          <cell r="D212">
            <v>46878</v>
          </cell>
          <cell r="F212">
            <v>0</v>
          </cell>
        </row>
        <row r="213">
          <cell r="D213">
            <v>8258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2434</v>
          </cell>
          <cell r="F216">
            <v>0</v>
          </cell>
        </row>
        <row r="221">
          <cell r="D221">
            <v>5831998</v>
          </cell>
        </row>
      </sheetData>
      <sheetData sheetId="8"/>
      <sheetData sheetId="9"/>
      <sheetData sheetId="10">
        <row r="9">
          <cell r="C9">
            <v>17422</v>
          </cell>
          <cell r="D9">
            <v>0</v>
          </cell>
          <cell r="E9">
            <v>1549</v>
          </cell>
          <cell r="F9">
            <v>641</v>
          </cell>
          <cell r="G9">
            <v>0</v>
          </cell>
          <cell r="H9">
            <v>1642</v>
          </cell>
          <cell r="I9">
            <v>4543</v>
          </cell>
          <cell r="J9">
            <v>0</v>
          </cell>
          <cell r="K9">
            <v>240</v>
          </cell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32940</v>
          </cell>
        </row>
        <row r="30">
          <cell r="N30">
            <v>0.79043715846994533</v>
          </cell>
        </row>
        <row r="32">
          <cell r="N32">
            <v>0.52890103217972073</v>
          </cell>
        </row>
        <row r="34">
          <cell r="N34">
            <v>0.66912470714752093</v>
          </cell>
        </row>
      </sheetData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737871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40515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14747</v>
          </cell>
          <cell r="G67">
            <v>0</v>
          </cell>
        </row>
      </sheetData>
      <sheetData sheetId="6"/>
      <sheetData sheetId="7">
        <row r="10">
          <cell r="D10">
            <v>35339</v>
          </cell>
          <cell r="F10"/>
        </row>
        <row r="11">
          <cell r="D11"/>
          <cell r="F11"/>
        </row>
        <row r="12">
          <cell r="D12">
            <v>19845</v>
          </cell>
          <cell r="F12"/>
        </row>
        <row r="13">
          <cell r="D13">
            <v>3442</v>
          </cell>
          <cell r="F13"/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/>
          <cell r="F17"/>
        </row>
        <row r="18">
          <cell r="D18">
            <v>707</v>
          </cell>
          <cell r="F18"/>
        </row>
        <row r="19">
          <cell r="D19">
            <v>8656</v>
          </cell>
          <cell r="F19"/>
        </row>
        <row r="20">
          <cell r="D20">
            <v>4083</v>
          </cell>
          <cell r="F20"/>
        </row>
        <row r="21">
          <cell r="D21">
            <v>9931</v>
          </cell>
          <cell r="F21"/>
        </row>
        <row r="22">
          <cell r="D22"/>
          <cell r="F22"/>
        </row>
        <row r="23">
          <cell r="D23">
            <v>2614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75222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/>
          <cell r="F29">
            <v>0</v>
          </cell>
        </row>
        <row r="30">
          <cell r="D30"/>
          <cell r="F30">
            <v>0</v>
          </cell>
        </row>
        <row r="31">
          <cell r="D31">
            <v>6926</v>
          </cell>
          <cell r="F31"/>
        </row>
        <row r="32">
          <cell r="D32">
            <v>5528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255</v>
          </cell>
          <cell r="F39"/>
        </row>
        <row r="40">
          <cell r="D40"/>
          <cell r="F40"/>
        </row>
        <row r="41">
          <cell r="D41">
            <v>14707</v>
          </cell>
          <cell r="F41"/>
        </row>
        <row r="42">
          <cell r="D42">
            <v>75</v>
          </cell>
          <cell r="F42"/>
        </row>
        <row r="43">
          <cell r="D43">
            <v>908</v>
          </cell>
          <cell r="F43">
            <v>-908</v>
          </cell>
        </row>
        <row r="44">
          <cell r="D44"/>
          <cell r="F44"/>
        </row>
        <row r="45">
          <cell r="D45">
            <v>1982</v>
          </cell>
          <cell r="F45"/>
        </row>
        <row r="57">
          <cell r="D57">
            <v>55340</v>
          </cell>
          <cell r="F57"/>
        </row>
        <row r="58">
          <cell r="D58"/>
          <cell r="F58"/>
        </row>
        <row r="59">
          <cell r="D59"/>
          <cell r="F59"/>
        </row>
        <row r="60">
          <cell r="D60">
            <v>5707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298</v>
          </cell>
          <cell r="F75"/>
        </row>
        <row r="76">
          <cell r="D76">
            <v>29</v>
          </cell>
          <cell r="F76"/>
        </row>
        <row r="77">
          <cell r="D77">
            <v>2371</v>
          </cell>
          <cell r="F77"/>
        </row>
        <row r="78">
          <cell r="D78">
            <v>2718</v>
          </cell>
          <cell r="F78"/>
        </row>
        <row r="79">
          <cell r="D79"/>
          <cell r="F79"/>
        </row>
        <row r="80">
          <cell r="D80">
            <v>5793</v>
          </cell>
          <cell r="F80"/>
        </row>
        <row r="81">
          <cell r="D81">
            <v>24333</v>
          </cell>
          <cell r="F81">
            <v>-24333</v>
          </cell>
        </row>
        <row r="82">
          <cell r="D82">
            <v>643</v>
          </cell>
          <cell r="F82"/>
        </row>
        <row r="83">
          <cell r="D83"/>
          <cell r="F83"/>
        </row>
        <row r="84">
          <cell r="D84">
            <v>9272</v>
          </cell>
          <cell r="F84"/>
        </row>
        <row r="85">
          <cell r="D85">
            <v>700</v>
          </cell>
          <cell r="F85"/>
        </row>
        <row r="89">
          <cell r="D89">
            <v>41067</v>
          </cell>
          <cell r="F89"/>
        </row>
        <row r="90">
          <cell r="D90">
            <v>3860</v>
          </cell>
          <cell r="F90"/>
        </row>
        <row r="91">
          <cell r="D91">
            <v>4998</v>
          </cell>
          <cell r="F91"/>
        </row>
        <row r="92">
          <cell r="D92">
            <v>20954</v>
          </cell>
          <cell r="F92"/>
        </row>
        <row r="93">
          <cell r="D93">
            <v>5515</v>
          </cell>
          <cell r="F93"/>
        </row>
        <row r="94">
          <cell r="D94"/>
          <cell r="F94"/>
        </row>
        <row r="98">
          <cell r="D98">
            <v>2982</v>
          </cell>
          <cell r="F98"/>
        </row>
        <row r="99">
          <cell r="D99">
            <v>294</v>
          </cell>
          <cell r="F99"/>
        </row>
        <row r="100">
          <cell r="D100">
            <v>2025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>
            <v>469</v>
          </cell>
          <cell r="F103"/>
        </row>
        <row r="115">
          <cell r="D115">
            <v>13471</v>
          </cell>
          <cell r="F115"/>
        </row>
        <row r="116">
          <cell r="D116">
            <v>1279</v>
          </cell>
          <cell r="F116"/>
        </row>
        <row r="117">
          <cell r="D117">
            <v>2219</v>
          </cell>
          <cell r="F117"/>
        </row>
        <row r="118">
          <cell r="D118">
            <v>280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22188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/>
          <cell r="F128"/>
        </row>
        <row r="130">
          <cell r="D130"/>
          <cell r="F130"/>
        </row>
        <row r="131">
          <cell r="D131"/>
          <cell r="F131">
            <v>1889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12530</v>
          </cell>
          <cell r="F136">
            <v>1384</v>
          </cell>
        </row>
        <row r="137">
          <cell r="D137">
            <v>62230</v>
          </cell>
          <cell r="F137">
            <v>-1384</v>
          </cell>
        </row>
        <row r="138">
          <cell r="D138">
            <v>89532</v>
          </cell>
          <cell r="F138"/>
        </row>
        <row r="139">
          <cell r="D139"/>
          <cell r="F139"/>
        </row>
        <row r="141">
          <cell r="D141"/>
          <cell r="F141"/>
        </row>
        <row r="142">
          <cell r="D142">
            <v>8255</v>
          </cell>
          <cell r="F142">
            <v>1067</v>
          </cell>
        </row>
        <row r="143">
          <cell r="D143">
            <v>8413</v>
          </cell>
          <cell r="F143">
            <v>-2956</v>
          </cell>
        </row>
        <row r="144">
          <cell r="D144"/>
          <cell r="F144"/>
        </row>
        <row r="146">
          <cell r="D146">
            <v>4000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805</v>
          </cell>
          <cell r="F150"/>
        </row>
        <row r="151">
          <cell r="D151">
            <v>11123</v>
          </cell>
          <cell r="F151"/>
        </row>
        <row r="152">
          <cell r="D152">
            <v>16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362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2202</v>
          </cell>
          <cell r="F194"/>
        </row>
        <row r="195">
          <cell r="D195">
            <v>1080</v>
          </cell>
          <cell r="F195"/>
        </row>
        <row r="196">
          <cell r="D196"/>
          <cell r="F196"/>
        </row>
        <row r="197">
          <cell r="D197">
            <v>444</v>
          </cell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2485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30599</v>
          </cell>
          <cell r="F211"/>
        </row>
        <row r="212">
          <cell r="D212">
            <v>2533</v>
          </cell>
          <cell r="F212"/>
        </row>
        <row r="213">
          <cell r="D213">
            <v>5237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1182</v>
          </cell>
          <cell r="F216"/>
        </row>
        <row r="221">
          <cell r="D221">
            <v>662053</v>
          </cell>
        </row>
      </sheetData>
      <sheetData sheetId="8"/>
      <sheetData sheetId="9"/>
      <sheetData sheetId="10">
        <row r="9">
          <cell r="C9">
            <v>3899</v>
          </cell>
          <cell r="D9"/>
          <cell r="E9"/>
          <cell r="F9"/>
          <cell r="G9"/>
          <cell r="H9">
            <v>207</v>
          </cell>
          <cell r="I9"/>
          <cell r="J9"/>
          <cell r="K9"/>
        </row>
        <row r="22">
          <cell r="N22">
            <v>34</v>
          </cell>
        </row>
        <row r="24">
          <cell r="N24">
            <v>34</v>
          </cell>
        </row>
        <row r="28">
          <cell r="N28">
            <v>4182</v>
          </cell>
        </row>
        <row r="30">
          <cell r="N30">
            <v>0.98182687709230032</v>
          </cell>
        </row>
        <row r="32">
          <cell r="N32">
            <v>0.93232902917264471</v>
          </cell>
        </row>
        <row r="34">
          <cell r="N34">
            <v>0.94958597174866055</v>
          </cell>
        </row>
      </sheetData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1408116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1209477</v>
          </cell>
          <cell r="G21">
            <v>0</v>
          </cell>
        </row>
        <row r="27">
          <cell r="E27">
            <v>54205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442438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10208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7190</v>
          </cell>
          <cell r="G67">
            <v>0</v>
          </cell>
        </row>
      </sheetData>
      <sheetData sheetId="7"/>
      <sheetData sheetId="8"/>
      <sheetData sheetId="9">
        <row r="10">
          <cell r="D10">
            <v>97575</v>
          </cell>
          <cell r="F10">
            <v>5825</v>
          </cell>
        </row>
        <row r="11">
          <cell r="D11">
            <v>0</v>
          </cell>
          <cell r="F11"/>
        </row>
        <row r="12">
          <cell r="D12">
            <v>83266</v>
          </cell>
          <cell r="F12">
            <v>4968</v>
          </cell>
        </row>
        <row r="13">
          <cell r="D13">
            <v>289067</v>
          </cell>
          <cell r="F13">
            <v>-258879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155071</v>
          </cell>
          <cell r="F16">
            <v>200291</v>
          </cell>
        </row>
        <row r="17">
          <cell r="D17">
            <v>0</v>
          </cell>
          <cell r="F17"/>
        </row>
        <row r="18">
          <cell r="D18">
            <v>4411</v>
          </cell>
          <cell r="F18"/>
        </row>
        <row r="19">
          <cell r="D19">
            <v>10494</v>
          </cell>
          <cell r="F19">
            <v>-2422</v>
          </cell>
        </row>
        <row r="20">
          <cell r="D20">
            <v>16214</v>
          </cell>
          <cell r="F20"/>
        </row>
        <row r="21">
          <cell r="D21">
            <v>2005</v>
          </cell>
          <cell r="F21"/>
        </row>
        <row r="22">
          <cell r="D22">
            <v>0</v>
          </cell>
          <cell r="F22"/>
        </row>
        <row r="23">
          <cell r="D23">
            <v>24920</v>
          </cell>
          <cell r="F23"/>
        </row>
        <row r="24">
          <cell r="D24">
            <v>55128</v>
          </cell>
          <cell r="F24">
            <v>-8000</v>
          </cell>
        </row>
        <row r="25">
          <cell r="D25">
            <v>0</v>
          </cell>
          <cell r="F25"/>
        </row>
        <row r="26">
          <cell r="D26">
            <v>197178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18894</v>
          </cell>
          <cell r="F29">
            <v>-18894</v>
          </cell>
        </row>
        <row r="30">
          <cell r="D30">
            <v>0</v>
          </cell>
          <cell r="F30">
            <v>0</v>
          </cell>
        </row>
        <row r="31">
          <cell r="D31">
            <v>44577</v>
          </cell>
          <cell r="F31"/>
        </row>
        <row r="32">
          <cell r="D32">
            <v>53333</v>
          </cell>
          <cell r="F32">
            <v>-18229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101</v>
          </cell>
          <cell r="F35">
            <v>-101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409</v>
          </cell>
          <cell r="F38">
            <v>-409</v>
          </cell>
        </row>
        <row r="39">
          <cell r="D39">
            <v>1106</v>
          </cell>
          <cell r="F39"/>
        </row>
        <row r="40">
          <cell r="D40">
            <v>10818</v>
          </cell>
          <cell r="F40"/>
        </row>
        <row r="41">
          <cell r="D41">
            <v>6349</v>
          </cell>
          <cell r="F41"/>
        </row>
        <row r="42">
          <cell r="D42">
            <v>5330</v>
          </cell>
          <cell r="F42"/>
        </row>
        <row r="43">
          <cell r="D43">
            <v>40</v>
          </cell>
          <cell r="F43"/>
        </row>
        <row r="44">
          <cell r="D44">
            <v>0</v>
          </cell>
          <cell r="F44"/>
        </row>
        <row r="45">
          <cell r="D45">
            <v>2322</v>
          </cell>
          <cell r="F45">
            <v>-7198</v>
          </cell>
        </row>
        <row r="57">
          <cell r="D57">
            <v>275000</v>
          </cell>
          <cell r="F57"/>
        </row>
        <row r="58">
          <cell r="D58">
            <v>1318</v>
          </cell>
          <cell r="F58"/>
        </row>
        <row r="59">
          <cell r="D59">
            <v>0</v>
          </cell>
          <cell r="F59"/>
        </row>
        <row r="60">
          <cell r="D60">
            <v>9731</v>
          </cell>
          <cell r="F60"/>
        </row>
        <row r="61">
          <cell r="D61">
            <v>4838</v>
          </cell>
          <cell r="F61"/>
        </row>
        <row r="62">
          <cell r="D62">
            <v>6681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7215</v>
          </cell>
          <cell r="F65"/>
        </row>
        <row r="66">
          <cell r="D66">
            <v>4152</v>
          </cell>
          <cell r="F66"/>
        </row>
        <row r="67">
          <cell r="D67">
            <v>25303</v>
          </cell>
          <cell r="F67">
            <v>-43</v>
          </cell>
        </row>
        <row r="68">
          <cell r="D68">
            <v>0</v>
          </cell>
          <cell r="F68"/>
        </row>
        <row r="69">
          <cell r="D69">
            <v>2096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24201</v>
          </cell>
          <cell r="F75">
            <v>1445</v>
          </cell>
        </row>
        <row r="76">
          <cell r="D76">
            <v>0</v>
          </cell>
          <cell r="F76">
            <v>3215</v>
          </cell>
        </row>
        <row r="77">
          <cell r="D77">
            <v>8481</v>
          </cell>
          <cell r="F77"/>
        </row>
        <row r="78">
          <cell r="D78">
            <v>0</v>
          </cell>
          <cell r="F78"/>
        </row>
        <row r="79">
          <cell r="D79">
            <v>3387</v>
          </cell>
          <cell r="F79"/>
        </row>
        <row r="80">
          <cell r="D80">
            <v>6578</v>
          </cell>
          <cell r="F80"/>
        </row>
        <row r="81">
          <cell r="D81">
            <v>133</v>
          </cell>
          <cell r="F81"/>
        </row>
        <row r="82">
          <cell r="D82">
            <v>1419</v>
          </cell>
          <cell r="F82"/>
        </row>
        <row r="83">
          <cell r="D83">
            <v>0</v>
          </cell>
          <cell r="F83"/>
        </row>
        <row r="84">
          <cell r="D84">
            <v>64042</v>
          </cell>
          <cell r="F84"/>
        </row>
        <row r="85">
          <cell r="D85">
            <v>0</v>
          </cell>
          <cell r="F85"/>
        </row>
        <row r="89">
          <cell r="D89">
            <v>83236</v>
          </cell>
          <cell r="F89">
            <v>4969</v>
          </cell>
        </row>
        <row r="90">
          <cell r="D90">
            <v>0</v>
          </cell>
          <cell r="F90">
            <v>11058</v>
          </cell>
        </row>
        <row r="91">
          <cell r="D91">
            <v>11501</v>
          </cell>
          <cell r="F91"/>
        </row>
        <row r="92">
          <cell r="D92">
            <v>88676</v>
          </cell>
          <cell r="F92"/>
        </row>
        <row r="93">
          <cell r="D93">
            <v>7970</v>
          </cell>
          <cell r="F93"/>
        </row>
        <row r="94">
          <cell r="D94">
            <v>0</v>
          </cell>
          <cell r="F94"/>
        </row>
        <row r="98">
          <cell r="D98">
            <v>0</v>
          </cell>
          <cell r="F98"/>
        </row>
        <row r="99">
          <cell r="D99">
            <v>0</v>
          </cell>
          <cell r="F99"/>
        </row>
        <row r="100">
          <cell r="D100">
            <v>100</v>
          </cell>
          <cell r="F100"/>
        </row>
        <row r="101">
          <cell r="D101">
            <v>0</v>
          </cell>
          <cell r="F101"/>
        </row>
        <row r="102">
          <cell r="D102">
            <v>0</v>
          </cell>
          <cell r="F102"/>
        </row>
        <row r="103">
          <cell r="D103">
            <v>0</v>
          </cell>
          <cell r="F103"/>
        </row>
        <row r="115">
          <cell r="D115">
            <v>48312</v>
          </cell>
          <cell r="F115">
            <v>2884</v>
          </cell>
        </row>
        <row r="116">
          <cell r="D116">
            <v>0</v>
          </cell>
          <cell r="F116">
            <v>6418</v>
          </cell>
        </row>
        <row r="117">
          <cell r="D117">
            <v>13571</v>
          </cell>
          <cell r="F117"/>
        </row>
        <row r="118">
          <cell r="D118">
            <v>410</v>
          </cell>
          <cell r="F118"/>
        </row>
        <row r="119">
          <cell r="D119">
            <v>53</v>
          </cell>
          <cell r="F119"/>
        </row>
        <row r="124">
          <cell r="D124">
            <v>0</v>
          </cell>
          <cell r="F124"/>
        </row>
        <row r="125">
          <cell r="D125">
            <v>80332</v>
          </cell>
          <cell r="F125">
            <v>4796</v>
          </cell>
        </row>
        <row r="126">
          <cell r="D126">
            <v>43603</v>
          </cell>
          <cell r="F126">
            <v>2603</v>
          </cell>
        </row>
        <row r="127">
          <cell r="D127">
            <v>0</v>
          </cell>
          <cell r="F127"/>
        </row>
        <row r="128">
          <cell r="D128">
            <v>23583</v>
          </cell>
          <cell r="F128">
            <v>1408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10672</v>
          </cell>
        </row>
        <row r="132">
          <cell r="D132">
            <v>0</v>
          </cell>
          <cell r="F132">
            <v>5792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3133</v>
          </cell>
        </row>
        <row r="136">
          <cell r="D136">
            <v>190168</v>
          </cell>
          <cell r="F136">
            <v>11353</v>
          </cell>
        </row>
        <row r="137">
          <cell r="D137">
            <v>112813</v>
          </cell>
          <cell r="F137">
            <v>6735</v>
          </cell>
        </row>
        <row r="138">
          <cell r="D138">
            <v>230399</v>
          </cell>
          <cell r="F138">
            <v>13755</v>
          </cell>
        </row>
        <row r="139">
          <cell r="D139">
            <v>70491</v>
          </cell>
          <cell r="F139">
            <v>4208</v>
          </cell>
        </row>
        <row r="141">
          <cell r="D141">
            <v>0</v>
          </cell>
          <cell r="F141">
            <v>25264</v>
          </cell>
        </row>
        <row r="142">
          <cell r="D142">
            <v>0</v>
          </cell>
          <cell r="F142">
            <v>14987</v>
          </cell>
        </row>
        <row r="143">
          <cell r="D143">
            <v>0</v>
          </cell>
          <cell r="F143">
            <v>30609</v>
          </cell>
        </row>
        <row r="144">
          <cell r="D144">
            <v>0</v>
          </cell>
          <cell r="F144">
            <v>9365</v>
          </cell>
        </row>
        <row r="146">
          <cell r="D146">
            <v>15036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4991</v>
          </cell>
          <cell r="F150"/>
        </row>
        <row r="151">
          <cell r="D151">
            <v>53430</v>
          </cell>
          <cell r="F151"/>
        </row>
        <row r="152">
          <cell r="D152">
            <v>1940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3116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151380</v>
          </cell>
          <cell r="F177">
            <v>9038</v>
          </cell>
        </row>
        <row r="178">
          <cell r="D178">
            <v>0</v>
          </cell>
          <cell r="F178">
            <v>20111</v>
          </cell>
        </row>
        <row r="179">
          <cell r="D179">
            <v>0</v>
          </cell>
          <cell r="F179"/>
        </row>
        <row r="180">
          <cell r="D180">
            <v>0</v>
          </cell>
          <cell r="F180"/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47260</v>
          </cell>
          <cell r="F183">
            <v>2822</v>
          </cell>
        </row>
        <row r="184">
          <cell r="D184">
            <v>0</v>
          </cell>
          <cell r="F184">
            <v>6278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1652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330</v>
          </cell>
          <cell r="F194"/>
        </row>
        <row r="195">
          <cell r="D195">
            <v>7085</v>
          </cell>
          <cell r="F195"/>
        </row>
        <row r="196">
          <cell r="D196">
            <v>0</v>
          </cell>
          <cell r="F196"/>
        </row>
        <row r="197">
          <cell r="D197">
            <v>44229</v>
          </cell>
          <cell r="F197"/>
        </row>
        <row r="198">
          <cell r="D198">
            <v>16392</v>
          </cell>
          <cell r="F198"/>
        </row>
        <row r="199">
          <cell r="D199">
            <v>166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58210</v>
          </cell>
          <cell r="F205"/>
        </row>
        <row r="206">
          <cell r="D206">
            <v>3061</v>
          </cell>
          <cell r="F206"/>
        </row>
        <row r="207">
          <cell r="D207">
            <v>6406</v>
          </cell>
          <cell r="F207">
            <v>-627</v>
          </cell>
        </row>
        <row r="211">
          <cell r="D211">
            <v>50943</v>
          </cell>
          <cell r="F211">
            <v>3041</v>
          </cell>
        </row>
        <row r="212">
          <cell r="D212">
            <v>0</v>
          </cell>
          <cell r="F212">
            <v>6768</v>
          </cell>
        </row>
        <row r="213">
          <cell r="D213">
            <v>3570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3202</v>
          </cell>
          <cell r="F216"/>
        </row>
        <row r="221">
          <cell r="D221">
            <v>3000800.1400000006</v>
          </cell>
        </row>
      </sheetData>
      <sheetData sheetId="10"/>
      <sheetData sheetId="11"/>
      <sheetData sheetId="12"/>
      <sheetData sheetId="13"/>
      <sheetData sheetId="14">
        <row r="9">
          <cell r="C9">
            <v>7399</v>
          </cell>
          <cell r="D9"/>
          <cell r="E9">
            <v>2285</v>
          </cell>
          <cell r="F9">
            <v>165</v>
          </cell>
          <cell r="G9"/>
          <cell r="H9">
            <v>3314</v>
          </cell>
          <cell r="I9"/>
          <cell r="J9">
            <v>50</v>
          </cell>
          <cell r="K9"/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30500</v>
          </cell>
        </row>
        <row r="30">
          <cell r="N30">
            <v>0.43321311475409835</v>
          </cell>
        </row>
        <row r="32">
          <cell r="N32">
            <v>0.24259016393442623</v>
          </cell>
        </row>
        <row r="34">
          <cell r="N34">
            <v>0.55997880874895933</v>
          </cell>
        </row>
      </sheetData>
      <sheetData sheetId="1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1766948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597734</v>
          </cell>
          <cell r="G21">
            <v>0</v>
          </cell>
        </row>
        <row r="27">
          <cell r="E27">
            <v>214026</v>
          </cell>
          <cell r="G27">
            <v>0</v>
          </cell>
        </row>
        <row r="32">
          <cell r="E32">
            <v>295417</v>
          </cell>
          <cell r="G32">
            <v>0</v>
          </cell>
        </row>
        <row r="37">
          <cell r="E37">
            <v>399936</v>
          </cell>
          <cell r="G37">
            <v>0</v>
          </cell>
        </row>
        <row r="42">
          <cell r="E42">
            <v>128552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8457</v>
          </cell>
          <cell r="G52">
            <v>0</v>
          </cell>
        </row>
        <row r="67">
          <cell r="E67">
            <v>54581</v>
          </cell>
          <cell r="G67">
            <v>-5783</v>
          </cell>
        </row>
      </sheetData>
      <sheetData sheetId="6"/>
      <sheetData sheetId="7">
        <row r="10">
          <cell r="D10">
            <v>0</v>
          </cell>
          <cell r="F10">
            <v>100515</v>
          </cell>
        </row>
        <row r="11">
          <cell r="D11">
            <v>0</v>
          </cell>
          <cell r="F11">
            <v>0</v>
          </cell>
        </row>
        <row r="12">
          <cell r="D12">
            <v>177172</v>
          </cell>
          <cell r="F12">
            <v>-100515</v>
          </cell>
        </row>
        <row r="13">
          <cell r="D13">
            <v>35390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172379</v>
          </cell>
          <cell r="F16">
            <v>-36268</v>
          </cell>
        </row>
        <row r="17">
          <cell r="D17">
            <v>432</v>
          </cell>
          <cell r="F17">
            <v>-432</v>
          </cell>
        </row>
        <row r="18">
          <cell r="D18">
            <v>6666</v>
          </cell>
          <cell r="F18">
            <v>0</v>
          </cell>
        </row>
        <row r="19">
          <cell r="D19">
            <v>6962</v>
          </cell>
          <cell r="F19">
            <v>0</v>
          </cell>
        </row>
        <row r="20">
          <cell r="D20">
            <v>5631</v>
          </cell>
          <cell r="F20">
            <v>0</v>
          </cell>
        </row>
        <row r="21">
          <cell r="D21">
            <v>7002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1772</v>
          </cell>
          <cell r="F23">
            <v>0</v>
          </cell>
        </row>
        <row r="24">
          <cell r="D24">
            <v>10795</v>
          </cell>
          <cell r="F24">
            <v>0</v>
          </cell>
        </row>
        <row r="25">
          <cell r="D25">
            <v>2853</v>
          </cell>
          <cell r="F25">
            <v>0</v>
          </cell>
        </row>
        <row r="26">
          <cell r="D26">
            <v>243290</v>
          </cell>
          <cell r="F26">
            <v>0</v>
          </cell>
        </row>
        <row r="27">
          <cell r="D27">
            <v>13974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119671</v>
          </cell>
          <cell r="F29">
            <v>-119671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48855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290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19627</v>
          </cell>
          <cell r="F36">
            <v>0</v>
          </cell>
        </row>
        <row r="37">
          <cell r="D37">
            <v>2278</v>
          </cell>
          <cell r="F37">
            <v>0</v>
          </cell>
        </row>
        <row r="38">
          <cell r="D38">
            <v>164</v>
          </cell>
          <cell r="F38">
            <v>-164</v>
          </cell>
        </row>
        <row r="39">
          <cell r="D39">
            <v>2466</v>
          </cell>
          <cell r="F39">
            <v>0</v>
          </cell>
        </row>
        <row r="40">
          <cell r="D40">
            <v>1647</v>
          </cell>
          <cell r="F40">
            <v>-1650</v>
          </cell>
        </row>
        <row r="41">
          <cell r="D41">
            <v>29688</v>
          </cell>
          <cell r="F41">
            <v>0</v>
          </cell>
        </row>
        <row r="42">
          <cell r="D42">
            <v>400</v>
          </cell>
          <cell r="F42">
            <v>0</v>
          </cell>
        </row>
        <row r="43">
          <cell r="D43">
            <v>9182</v>
          </cell>
          <cell r="F43">
            <v>-9182</v>
          </cell>
        </row>
        <row r="44">
          <cell r="D44">
            <v>0</v>
          </cell>
          <cell r="F44">
            <v>0</v>
          </cell>
        </row>
        <row r="45">
          <cell r="D45">
            <v>5033</v>
          </cell>
          <cell r="F45">
            <v>-3785</v>
          </cell>
        </row>
        <row r="57">
          <cell r="D57">
            <v>0</v>
          </cell>
          <cell r="F57">
            <v>0</v>
          </cell>
        </row>
        <row r="58">
          <cell r="D58">
            <v>109611</v>
          </cell>
          <cell r="F58">
            <v>0</v>
          </cell>
        </row>
        <row r="59">
          <cell r="D59">
            <v>52011</v>
          </cell>
          <cell r="F59">
            <v>0</v>
          </cell>
        </row>
        <row r="60">
          <cell r="D60">
            <v>16854</v>
          </cell>
          <cell r="F60">
            <v>0</v>
          </cell>
        </row>
        <row r="61">
          <cell r="D61">
            <v>4462</v>
          </cell>
          <cell r="F61">
            <v>0</v>
          </cell>
        </row>
        <row r="62">
          <cell r="D62">
            <v>900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4240</v>
          </cell>
          <cell r="F65">
            <v>0</v>
          </cell>
        </row>
        <row r="66">
          <cell r="D66">
            <v>44257</v>
          </cell>
          <cell r="F66">
            <v>175</v>
          </cell>
        </row>
        <row r="67">
          <cell r="D67">
            <v>18899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1938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31371</v>
          </cell>
          <cell r="F75">
            <v>0</v>
          </cell>
        </row>
        <row r="76">
          <cell r="D76">
            <v>3566</v>
          </cell>
          <cell r="F76">
            <v>0</v>
          </cell>
        </row>
        <row r="77">
          <cell r="D77">
            <v>4744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1330</v>
          </cell>
          <cell r="F79">
            <v>0</v>
          </cell>
        </row>
        <row r="80">
          <cell r="D80">
            <v>7198</v>
          </cell>
          <cell r="F80">
            <v>0</v>
          </cell>
        </row>
        <row r="81">
          <cell r="D81">
            <v>10872</v>
          </cell>
          <cell r="F81">
            <v>0</v>
          </cell>
        </row>
        <row r="82">
          <cell r="D82">
            <v>10992</v>
          </cell>
          <cell r="F82">
            <v>0</v>
          </cell>
        </row>
        <row r="83">
          <cell r="D83">
            <v>5732</v>
          </cell>
          <cell r="F83">
            <v>0</v>
          </cell>
        </row>
        <row r="84">
          <cell r="D84">
            <v>64596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84526</v>
          </cell>
          <cell r="F89">
            <v>0</v>
          </cell>
        </row>
        <row r="90">
          <cell r="D90">
            <v>18776</v>
          </cell>
          <cell r="F90">
            <v>0</v>
          </cell>
        </row>
        <row r="91">
          <cell r="D91">
            <v>145935</v>
          </cell>
          <cell r="F91">
            <v>0</v>
          </cell>
        </row>
        <row r="92">
          <cell r="D92">
            <v>52357</v>
          </cell>
          <cell r="F92">
            <v>-1998</v>
          </cell>
        </row>
        <row r="93">
          <cell r="D93">
            <v>10856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285</v>
          </cell>
          <cell r="F100">
            <v>0</v>
          </cell>
        </row>
        <row r="101">
          <cell r="D101">
            <v>42397</v>
          </cell>
          <cell r="F101">
            <v>0</v>
          </cell>
        </row>
        <row r="102">
          <cell r="D102">
            <v>7893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5841</v>
          </cell>
          <cell r="F117">
            <v>0</v>
          </cell>
        </row>
        <row r="118">
          <cell r="D118">
            <v>63596</v>
          </cell>
          <cell r="F118">
            <v>0</v>
          </cell>
        </row>
        <row r="119">
          <cell r="D119">
            <v>29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146595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27361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34077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3184</v>
          </cell>
          <cell r="F134">
            <v>0</v>
          </cell>
        </row>
        <row r="136">
          <cell r="D136">
            <v>191177</v>
          </cell>
          <cell r="F136">
            <v>0</v>
          </cell>
        </row>
        <row r="137">
          <cell r="D137">
            <v>195996</v>
          </cell>
          <cell r="F137">
            <v>0</v>
          </cell>
        </row>
        <row r="138">
          <cell r="D138">
            <v>318051</v>
          </cell>
          <cell r="F138">
            <v>3936</v>
          </cell>
        </row>
        <row r="139">
          <cell r="D139">
            <v>3936</v>
          </cell>
          <cell r="F139">
            <v>-3936</v>
          </cell>
        </row>
        <row r="141">
          <cell r="D141">
            <v>183868</v>
          </cell>
          <cell r="F141">
            <v>-134300</v>
          </cell>
        </row>
        <row r="142">
          <cell r="D142">
            <v>0</v>
          </cell>
          <cell r="F142">
            <v>50817</v>
          </cell>
        </row>
        <row r="143">
          <cell r="D143">
            <v>0</v>
          </cell>
          <cell r="F143">
            <v>83483</v>
          </cell>
        </row>
        <row r="144">
          <cell r="D144">
            <v>0</v>
          </cell>
          <cell r="F144">
            <v>0</v>
          </cell>
        </row>
        <row r="146">
          <cell r="D146">
            <v>16125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300</v>
          </cell>
          <cell r="F150">
            <v>0</v>
          </cell>
        </row>
        <row r="151">
          <cell r="D151">
            <v>95235</v>
          </cell>
          <cell r="F151">
            <v>-113</v>
          </cell>
        </row>
        <row r="152">
          <cell r="D152">
            <v>8538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8662</v>
          </cell>
          <cell r="F161">
            <v>-79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153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415</v>
          </cell>
          <cell r="F191">
            <v>0</v>
          </cell>
        </row>
        <row r="192">
          <cell r="D192">
            <v>768</v>
          </cell>
          <cell r="F192">
            <v>0</v>
          </cell>
        </row>
        <row r="193">
          <cell r="D193">
            <v>1763</v>
          </cell>
          <cell r="F193">
            <v>0</v>
          </cell>
        </row>
        <row r="194">
          <cell r="D194">
            <v>136519</v>
          </cell>
          <cell r="F194">
            <v>-1843</v>
          </cell>
        </row>
        <row r="195">
          <cell r="D195">
            <v>12343</v>
          </cell>
          <cell r="F195">
            <v>-167</v>
          </cell>
        </row>
        <row r="196">
          <cell r="D196">
            <v>0</v>
          </cell>
          <cell r="F196">
            <v>0</v>
          </cell>
        </row>
        <row r="197">
          <cell r="D197">
            <v>100807</v>
          </cell>
          <cell r="F197">
            <v>-1361</v>
          </cell>
        </row>
        <row r="198">
          <cell r="D198">
            <v>6949</v>
          </cell>
          <cell r="F198">
            <v>-49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87965</v>
          </cell>
          <cell r="F205">
            <v>-1340</v>
          </cell>
        </row>
        <row r="206">
          <cell r="D206">
            <v>3645</v>
          </cell>
          <cell r="F206">
            <v>0</v>
          </cell>
        </row>
        <row r="207">
          <cell r="D207">
            <v>3286</v>
          </cell>
          <cell r="F207">
            <v>-38</v>
          </cell>
        </row>
        <row r="211">
          <cell r="D211">
            <v>74286</v>
          </cell>
          <cell r="F211">
            <v>0</v>
          </cell>
        </row>
        <row r="212">
          <cell r="D212">
            <v>22403</v>
          </cell>
          <cell r="F212">
            <v>0</v>
          </cell>
        </row>
        <row r="213">
          <cell r="D213">
            <v>2684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1421</v>
          </cell>
          <cell r="F216">
            <v>0</v>
          </cell>
        </row>
        <row r="221">
          <cell r="D221">
            <v>3438195</v>
          </cell>
        </row>
      </sheetData>
      <sheetData sheetId="8"/>
      <sheetData sheetId="9"/>
      <sheetData sheetId="10">
        <row r="9">
          <cell r="C9">
            <v>8333</v>
          </cell>
          <cell r="D9">
            <v>0</v>
          </cell>
          <cell r="E9">
            <v>1071</v>
          </cell>
          <cell r="F9">
            <v>602</v>
          </cell>
          <cell r="G9">
            <v>1385</v>
          </cell>
          <cell r="H9">
            <v>2911</v>
          </cell>
          <cell r="I9">
            <v>672</v>
          </cell>
          <cell r="J9">
            <v>0</v>
          </cell>
          <cell r="K9">
            <v>0</v>
          </cell>
        </row>
        <row r="22">
          <cell r="N22">
            <v>72</v>
          </cell>
        </row>
        <row r="24">
          <cell r="N24">
            <v>72</v>
          </cell>
        </row>
        <row r="28">
          <cell r="N28">
            <v>26352</v>
          </cell>
        </row>
        <row r="30">
          <cell r="N30">
            <v>0.56823011536126289</v>
          </cell>
        </row>
        <row r="32">
          <cell r="N32">
            <v>0.31621888281724347</v>
          </cell>
        </row>
        <row r="34">
          <cell r="N34">
            <v>0.55649792974489121</v>
          </cell>
        </row>
      </sheetData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4159763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1984731</v>
          </cell>
          <cell r="G21">
            <v>0</v>
          </cell>
        </row>
        <row r="27">
          <cell r="E27">
            <v>1557834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355352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308205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14740</v>
          </cell>
          <cell r="G67">
            <v>0</v>
          </cell>
        </row>
        <row r="85">
          <cell r="C85">
            <v>249.01983002832861</v>
          </cell>
          <cell r="E85">
            <v>433.8984962406015</v>
          </cell>
          <cell r="G85">
            <v>423.09420289855075</v>
          </cell>
          <cell r="I85">
            <v>463.90789473684208</v>
          </cell>
        </row>
      </sheetData>
      <sheetData sheetId="7"/>
      <sheetData sheetId="8"/>
      <sheetData sheetId="9">
        <row r="10">
          <cell r="D10">
            <v>67375</v>
          </cell>
          <cell r="F10">
            <v>4153</v>
          </cell>
        </row>
        <row r="11">
          <cell r="D11">
            <v>0</v>
          </cell>
          <cell r="F11"/>
        </row>
        <row r="12">
          <cell r="D12">
            <v>271757</v>
          </cell>
          <cell r="F12">
            <v>16749</v>
          </cell>
        </row>
        <row r="13">
          <cell r="D13">
            <v>768895</v>
          </cell>
          <cell r="F13">
            <v>-680617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417332</v>
          </cell>
          <cell r="F16">
            <v>197284</v>
          </cell>
        </row>
        <row r="17">
          <cell r="D17">
            <v>0</v>
          </cell>
          <cell r="F17"/>
        </row>
        <row r="18">
          <cell r="D18">
            <v>16014</v>
          </cell>
          <cell r="F18"/>
        </row>
        <row r="19">
          <cell r="D19">
            <v>18768</v>
          </cell>
          <cell r="F19">
            <v>-3135</v>
          </cell>
        </row>
        <row r="20">
          <cell r="D20">
            <v>28483</v>
          </cell>
          <cell r="F20"/>
        </row>
        <row r="21">
          <cell r="D21">
            <v>3913</v>
          </cell>
          <cell r="F21"/>
        </row>
        <row r="22">
          <cell r="D22">
            <v>0</v>
          </cell>
          <cell r="F22"/>
        </row>
        <row r="23">
          <cell r="D23">
            <v>10299</v>
          </cell>
          <cell r="F23"/>
        </row>
        <row r="24">
          <cell r="D24">
            <v>74423</v>
          </cell>
          <cell r="F24">
            <v>-11400</v>
          </cell>
        </row>
        <row r="25">
          <cell r="D25">
            <v>0</v>
          </cell>
          <cell r="F25"/>
        </row>
        <row r="26">
          <cell r="D26">
            <v>359443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81662</v>
          </cell>
          <cell r="F29">
            <v>-81662</v>
          </cell>
        </row>
        <row r="30">
          <cell r="D30">
            <v>0</v>
          </cell>
          <cell r="F30">
            <v>0</v>
          </cell>
        </row>
        <row r="31">
          <cell r="D31">
            <v>90280</v>
          </cell>
          <cell r="F31"/>
        </row>
        <row r="32">
          <cell r="D32">
            <v>177833</v>
          </cell>
          <cell r="F32">
            <v>-60782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110</v>
          </cell>
          <cell r="F35">
            <v>-110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8267</v>
          </cell>
          <cell r="F39"/>
        </row>
        <row r="40">
          <cell r="D40">
            <v>8164</v>
          </cell>
          <cell r="F40"/>
        </row>
        <row r="41">
          <cell r="D41">
            <v>45580</v>
          </cell>
          <cell r="F41"/>
        </row>
        <row r="42">
          <cell r="D42">
            <v>9523</v>
          </cell>
          <cell r="F42"/>
        </row>
        <row r="43">
          <cell r="D43">
            <v>8112</v>
          </cell>
          <cell r="F43"/>
        </row>
        <row r="44">
          <cell r="D44">
            <v>42</v>
          </cell>
          <cell r="F44"/>
        </row>
        <row r="45">
          <cell r="D45">
            <v>17518</v>
          </cell>
          <cell r="F45">
            <v>-12852</v>
          </cell>
        </row>
        <row r="57">
          <cell r="D57">
            <v>960000</v>
          </cell>
          <cell r="F57"/>
        </row>
        <row r="58">
          <cell r="D58">
            <v>16159</v>
          </cell>
          <cell r="F58"/>
        </row>
        <row r="59">
          <cell r="D59">
            <v>0</v>
          </cell>
          <cell r="F59"/>
        </row>
        <row r="60">
          <cell r="D60">
            <v>66434</v>
          </cell>
          <cell r="F60"/>
        </row>
        <row r="61">
          <cell r="D61">
            <v>9617</v>
          </cell>
          <cell r="F61"/>
        </row>
        <row r="62">
          <cell r="D62">
            <v>7651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5968</v>
          </cell>
          <cell r="F65"/>
        </row>
        <row r="66">
          <cell r="D66">
            <v>6708</v>
          </cell>
          <cell r="F66"/>
        </row>
        <row r="67">
          <cell r="D67">
            <v>121114</v>
          </cell>
          <cell r="F67"/>
        </row>
        <row r="68">
          <cell r="D68">
            <v>0</v>
          </cell>
          <cell r="F68"/>
        </row>
        <row r="69">
          <cell r="D69">
            <v>9205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61482</v>
          </cell>
          <cell r="F75">
            <v>3790</v>
          </cell>
        </row>
        <row r="76">
          <cell r="D76">
            <v>0</v>
          </cell>
          <cell r="F76">
            <v>7852</v>
          </cell>
        </row>
        <row r="77">
          <cell r="D77">
            <v>12470</v>
          </cell>
          <cell r="F77"/>
        </row>
        <row r="78">
          <cell r="D78">
            <v>0</v>
          </cell>
          <cell r="F78"/>
        </row>
        <row r="79">
          <cell r="D79">
            <v>8075</v>
          </cell>
          <cell r="F79"/>
        </row>
        <row r="80">
          <cell r="D80">
            <v>49726</v>
          </cell>
          <cell r="F80"/>
        </row>
        <row r="81">
          <cell r="D81">
            <v>15084</v>
          </cell>
          <cell r="F81"/>
        </row>
        <row r="82">
          <cell r="D82">
            <v>15640</v>
          </cell>
          <cell r="F82"/>
        </row>
        <row r="83">
          <cell r="D83">
            <v>0</v>
          </cell>
          <cell r="F83"/>
        </row>
        <row r="84">
          <cell r="D84">
            <v>131175</v>
          </cell>
          <cell r="F84"/>
        </row>
        <row r="85">
          <cell r="D85">
            <v>0</v>
          </cell>
          <cell r="F85"/>
        </row>
        <row r="89">
          <cell r="D89">
            <v>226299</v>
          </cell>
          <cell r="F89">
            <v>13950</v>
          </cell>
        </row>
        <row r="90">
          <cell r="D90">
            <v>0</v>
          </cell>
          <cell r="F90">
            <v>28901</v>
          </cell>
        </row>
        <row r="91">
          <cell r="D91">
            <v>2417</v>
          </cell>
          <cell r="F91"/>
        </row>
        <row r="92">
          <cell r="D92">
            <v>171132</v>
          </cell>
          <cell r="F92"/>
        </row>
        <row r="93">
          <cell r="D93">
            <v>16412</v>
          </cell>
          <cell r="F93"/>
        </row>
        <row r="94">
          <cell r="D94">
            <v>0</v>
          </cell>
          <cell r="F94"/>
        </row>
        <row r="98">
          <cell r="D98">
            <v>20177</v>
          </cell>
          <cell r="F98">
            <v>1244</v>
          </cell>
        </row>
        <row r="99">
          <cell r="D99">
            <v>0</v>
          </cell>
          <cell r="F99">
            <v>2577</v>
          </cell>
        </row>
        <row r="100">
          <cell r="D100">
            <v>7160</v>
          </cell>
          <cell r="F100"/>
        </row>
        <row r="101">
          <cell r="D101">
            <v>441</v>
          </cell>
          <cell r="F101"/>
        </row>
        <row r="102">
          <cell r="D102">
            <v>9939</v>
          </cell>
          <cell r="F102"/>
        </row>
        <row r="103">
          <cell r="D103">
            <v>0</v>
          </cell>
          <cell r="F103"/>
        </row>
        <row r="115">
          <cell r="D115">
            <v>100530</v>
          </cell>
          <cell r="F115">
            <v>6197</v>
          </cell>
        </row>
        <row r="116">
          <cell r="D116">
            <v>0</v>
          </cell>
          <cell r="F116">
            <v>12839</v>
          </cell>
        </row>
        <row r="117">
          <cell r="D117">
            <v>19417</v>
          </cell>
          <cell r="F117"/>
        </row>
        <row r="118">
          <cell r="D118">
            <v>3889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134489</v>
          </cell>
          <cell r="F125">
            <v>8290</v>
          </cell>
        </row>
        <row r="126">
          <cell r="D126">
            <v>103048</v>
          </cell>
          <cell r="F126">
            <v>6352</v>
          </cell>
        </row>
        <row r="127">
          <cell r="D127">
            <v>0</v>
          </cell>
          <cell r="F127"/>
        </row>
        <row r="128">
          <cell r="D128">
            <v>22822</v>
          </cell>
          <cell r="F128">
            <v>1407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17176</v>
          </cell>
        </row>
        <row r="132">
          <cell r="D132">
            <v>0</v>
          </cell>
          <cell r="F132">
            <v>13161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2915</v>
          </cell>
        </row>
        <row r="136">
          <cell r="D136">
            <v>430258</v>
          </cell>
          <cell r="F136">
            <v>26522</v>
          </cell>
        </row>
        <row r="137">
          <cell r="D137">
            <v>461161</v>
          </cell>
          <cell r="F137">
            <v>28427</v>
          </cell>
        </row>
        <row r="138">
          <cell r="D138">
            <v>754012</v>
          </cell>
          <cell r="F138">
            <v>46479</v>
          </cell>
        </row>
        <row r="139">
          <cell r="D139">
            <v>102405</v>
          </cell>
          <cell r="F139">
            <v>6312</v>
          </cell>
        </row>
        <row r="141">
          <cell r="D141">
            <v>0</v>
          </cell>
          <cell r="F141">
            <v>54950</v>
          </cell>
        </row>
        <row r="142">
          <cell r="D142">
            <v>0</v>
          </cell>
          <cell r="F142">
            <v>58896</v>
          </cell>
        </row>
        <row r="143">
          <cell r="D143">
            <v>0</v>
          </cell>
          <cell r="F143">
            <v>96297</v>
          </cell>
        </row>
        <row r="144">
          <cell r="D144">
            <v>0</v>
          </cell>
          <cell r="F144">
            <v>13079</v>
          </cell>
        </row>
        <row r="146">
          <cell r="D146">
            <v>47000</v>
          </cell>
          <cell r="F146"/>
        </row>
        <row r="147">
          <cell r="D147">
            <v>45205</v>
          </cell>
          <cell r="F147"/>
        </row>
        <row r="148">
          <cell r="D148">
            <v>5126</v>
          </cell>
          <cell r="F148"/>
        </row>
        <row r="149">
          <cell r="D149">
            <v>893</v>
          </cell>
          <cell r="F149"/>
        </row>
        <row r="150">
          <cell r="D150">
            <v>24168</v>
          </cell>
          <cell r="F150"/>
        </row>
        <row r="151">
          <cell r="D151">
            <v>186767</v>
          </cell>
          <cell r="F151"/>
        </row>
        <row r="152">
          <cell r="D152">
            <v>371</v>
          </cell>
          <cell r="F152"/>
        </row>
        <row r="153">
          <cell r="D153">
            <v>150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12910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353222</v>
          </cell>
          <cell r="F177">
            <v>21773</v>
          </cell>
        </row>
        <row r="178">
          <cell r="D178">
            <v>0</v>
          </cell>
          <cell r="F178">
            <v>45111</v>
          </cell>
        </row>
        <row r="179">
          <cell r="D179">
            <v>27773</v>
          </cell>
          <cell r="F179">
            <v>1712</v>
          </cell>
        </row>
        <row r="180">
          <cell r="D180">
            <v>0</v>
          </cell>
          <cell r="F180">
            <v>3547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193639</v>
          </cell>
          <cell r="F183">
            <v>11936</v>
          </cell>
        </row>
        <row r="184">
          <cell r="D184">
            <v>0</v>
          </cell>
          <cell r="F184">
            <v>24730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11186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74488</v>
          </cell>
          <cell r="F198"/>
        </row>
        <row r="199">
          <cell r="D199">
            <v>267132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329852</v>
          </cell>
          <cell r="F205"/>
        </row>
        <row r="206">
          <cell r="D206">
            <v>28114</v>
          </cell>
          <cell r="F206"/>
        </row>
        <row r="207">
          <cell r="D207">
            <v>90609</v>
          </cell>
          <cell r="F207">
            <v>-1720</v>
          </cell>
        </row>
        <row r="211">
          <cell r="D211">
            <v>107662</v>
          </cell>
          <cell r="F211">
            <v>6637</v>
          </cell>
        </row>
        <row r="212">
          <cell r="D212">
            <v>0</v>
          </cell>
          <cell r="F212">
            <v>13750</v>
          </cell>
        </row>
        <row r="213">
          <cell r="D213">
            <v>4393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5747</v>
          </cell>
          <cell r="F216"/>
        </row>
        <row r="221">
          <cell r="D221">
            <v>8382716.0099999998</v>
          </cell>
        </row>
      </sheetData>
      <sheetData sheetId="10"/>
      <sheetData sheetId="11"/>
      <sheetData sheetId="12"/>
      <sheetData sheetId="13"/>
      <sheetData sheetId="14">
        <row r="9">
          <cell r="C9">
            <v>17022</v>
          </cell>
          <cell r="D9"/>
          <cell r="E9">
            <v>3651</v>
          </cell>
          <cell r="F9">
            <v>3734</v>
          </cell>
          <cell r="G9"/>
          <cell r="H9">
            <v>971</v>
          </cell>
          <cell r="I9"/>
          <cell r="J9">
            <v>1634</v>
          </cell>
          <cell r="K9"/>
        </row>
        <row r="22">
          <cell r="N22">
            <v>220</v>
          </cell>
        </row>
        <row r="24">
          <cell r="N24">
            <v>220</v>
          </cell>
        </row>
        <row r="28">
          <cell r="N28">
            <v>67100</v>
          </cell>
        </row>
        <row r="30">
          <cell r="N30">
            <v>0.40256333830104324</v>
          </cell>
        </row>
        <row r="32">
          <cell r="N32">
            <v>0.25368107302533532</v>
          </cell>
        </row>
        <row r="34">
          <cell r="N34">
            <v>0.63016437139049308</v>
          </cell>
        </row>
      </sheetData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3404362.92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3134347.53</v>
          </cell>
          <cell r="G21">
            <v>0</v>
          </cell>
        </row>
        <row r="27">
          <cell r="E27">
            <v>1171719.72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717544.29999999993</v>
          </cell>
          <cell r="G37">
            <v>0</v>
          </cell>
        </row>
        <row r="42">
          <cell r="E42">
            <v>134648.46000000002</v>
          </cell>
          <cell r="G42">
            <v>0</v>
          </cell>
        </row>
        <row r="47">
          <cell r="E47">
            <v>16700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-70682.209999999992</v>
          </cell>
          <cell r="G67">
            <v>-948.66000000000008</v>
          </cell>
        </row>
        <row r="85">
          <cell r="C85">
            <v>163.36564432989692</v>
          </cell>
          <cell r="E85">
            <v>162.14126297577857</v>
          </cell>
          <cell r="G85">
            <v>156.37549662487945</v>
          </cell>
          <cell r="I85">
            <v>163.25987144168963</v>
          </cell>
        </row>
      </sheetData>
      <sheetData sheetId="6"/>
      <sheetData sheetId="7">
        <row r="10">
          <cell r="D10">
            <v>191468.69</v>
          </cell>
          <cell r="F10"/>
        </row>
        <row r="11">
          <cell r="D11"/>
          <cell r="F11"/>
        </row>
        <row r="12">
          <cell r="D12">
            <v>200447.26</v>
          </cell>
          <cell r="F12">
            <v>-44812.4</v>
          </cell>
        </row>
        <row r="13">
          <cell r="D13">
            <v>109396.38</v>
          </cell>
          <cell r="F13">
            <v>-15282.73</v>
          </cell>
        </row>
        <row r="14">
          <cell r="D14"/>
          <cell r="F14"/>
        </row>
        <row r="15">
          <cell r="D15">
            <v>621461.68999999994</v>
          </cell>
          <cell r="F15">
            <v>-621461.68999999994</v>
          </cell>
        </row>
        <row r="16">
          <cell r="D16"/>
          <cell r="F16">
            <v>281748</v>
          </cell>
        </row>
        <row r="17">
          <cell r="D17">
            <v>278.41000000000003</v>
          </cell>
          <cell r="F17"/>
        </row>
        <row r="18">
          <cell r="D18">
            <v>33510.36</v>
          </cell>
          <cell r="F18"/>
        </row>
        <row r="19">
          <cell r="D19">
            <v>22845.34</v>
          </cell>
          <cell r="F19">
            <v>1613</v>
          </cell>
        </row>
        <row r="20">
          <cell r="D20">
            <v>19862.919999999998</v>
          </cell>
          <cell r="F20"/>
        </row>
        <row r="21">
          <cell r="D21">
            <v>70083.009999999995</v>
          </cell>
          <cell r="F21">
            <v>28638</v>
          </cell>
        </row>
        <row r="22">
          <cell r="D22"/>
          <cell r="F22"/>
        </row>
        <row r="23">
          <cell r="D23">
            <v>34949.9</v>
          </cell>
          <cell r="F23">
            <v>43357</v>
          </cell>
        </row>
        <row r="24">
          <cell r="D24">
            <v>59957.17</v>
          </cell>
          <cell r="F24"/>
        </row>
        <row r="25">
          <cell r="D25"/>
          <cell r="F25"/>
        </row>
        <row r="26">
          <cell r="D26">
            <v>307623.32</v>
          </cell>
          <cell r="F26">
            <v>574.03999999997905</v>
          </cell>
        </row>
        <row r="27">
          <cell r="D27">
            <v>4881.49</v>
          </cell>
          <cell r="F27">
            <v>11465.84</v>
          </cell>
        </row>
        <row r="28">
          <cell r="D28"/>
          <cell r="F28">
            <v>0</v>
          </cell>
        </row>
        <row r="29">
          <cell r="D29">
            <v>89365.66</v>
          </cell>
          <cell r="F29">
            <v>-89365.66</v>
          </cell>
        </row>
        <row r="30">
          <cell r="D30">
            <v>71</v>
          </cell>
          <cell r="F30">
            <v>-71</v>
          </cell>
        </row>
        <row r="31">
          <cell r="D31"/>
          <cell r="F31"/>
        </row>
        <row r="32">
          <cell r="D32">
            <v>124717.21</v>
          </cell>
          <cell r="F32">
            <v>6513</v>
          </cell>
        </row>
        <row r="33">
          <cell r="D33"/>
          <cell r="F33">
            <v>0</v>
          </cell>
        </row>
        <row r="34">
          <cell r="D34"/>
          <cell r="F34"/>
        </row>
        <row r="35">
          <cell r="D35">
            <v>1495</v>
          </cell>
          <cell r="F35">
            <v>-1495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25107.03</v>
          </cell>
          <cell r="F39">
            <v>5309</v>
          </cell>
        </row>
        <row r="40">
          <cell r="D40">
            <v>35762.18</v>
          </cell>
          <cell r="F40">
            <v>-35762.18</v>
          </cell>
        </row>
        <row r="41">
          <cell r="D41">
            <v>30699.24</v>
          </cell>
          <cell r="F41">
            <v>29641</v>
          </cell>
        </row>
        <row r="42">
          <cell r="D42">
            <v>2044.41</v>
          </cell>
          <cell r="F42">
            <v>4731</v>
          </cell>
        </row>
        <row r="43">
          <cell r="D43"/>
          <cell r="F43"/>
        </row>
        <row r="44">
          <cell r="D44"/>
          <cell r="F44">
            <v>-400</v>
          </cell>
        </row>
        <row r="45">
          <cell r="D45">
            <v>3344.75</v>
          </cell>
          <cell r="F45">
            <v>559.5</v>
          </cell>
        </row>
        <row r="57">
          <cell r="D57">
            <v>995612.04</v>
          </cell>
          <cell r="F57">
            <v>-995612.04</v>
          </cell>
        </row>
        <row r="58">
          <cell r="D58">
            <v>62402.6</v>
          </cell>
          <cell r="F58">
            <v>115000.32000000001</v>
          </cell>
        </row>
        <row r="59">
          <cell r="D59"/>
          <cell r="F59">
            <v>235571.76</v>
          </cell>
        </row>
        <row r="60">
          <cell r="D60">
            <v>47378.28</v>
          </cell>
          <cell r="F60">
            <v>53753.78</v>
          </cell>
        </row>
        <row r="61">
          <cell r="D61">
            <v>17488.849999999999</v>
          </cell>
          <cell r="F61">
            <v>890</v>
          </cell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29116.07</v>
          </cell>
          <cell r="F67">
            <v>25971.64</v>
          </cell>
        </row>
        <row r="68">
          <cell r="D68"/>
          <cell r="F68"/>
        </row>
        <row r="69">
          <cell r="D69"/>
          <cell r="F69">
            <v>3184.32</v>
          </cell>
        </row>
        <row r="70">
          <cell r="D70"/>
          <cell r="F70"/>
        </row>
        <row r="71">
          <cell r="D71"/>
          <cell r="F71"/>
        </row>
        <row r="75">
          <cell r="D75">
            <v>46551.29</v>
          </cell>
          <cell r="F75"/>
        </row>
        <row r="76">
          <cell r="D76">
            <v>12394.08</v>
          </cell>
          <cell r="F76"/>
        </row>
        <row r="77">
          <cell r="D77">
            <v>4688.55</v>
          </cell>
          <cell r="F77"/>
        </row>
        <row r="78">
          <cell r="D78">
            <v>29275.42</v>
          </cell>
          <cell r="F78">
            <v>2304</v>
          </cell>
        </row>
        <row r="79">
          <cell r="D79">
            <v>6820.6</v>
          </cell>
          <cell r="F79"/>
        </row>
        <row r="80">
          <cell r="D80">
            <v>41776.699999999997</v>
          </cell>
          <cell r="F80"/>
        </row>
        <row r="81">
          <cell r="D81">
            <v>15785.65</v>
          </cell>
          <cell r="F81"/>
        </row>
        <row r="82">
          <cell r="D82"/>
          <cell r="F82"/>
        </row>
        <row r="83">
          <cell r="D83"/>
          <cell r="F83"/>
        </row>
        <row r="84">
          <cell r="D84">
            <v>163434.76</v>
          </cell>
          <cell r="F84">
            <v>1299</v>
          </cell>
        </row>
        <row r="85">
          <cell r="D85">
            <v>327.63</v>
          </cell>
          <cell r="F85"/>
        </row>
        <row r="89">
          <cell r="D89">
            <v>244807.73</v>
          </cell>
          <cell r="F89"/>
        </row>
        <row r="90">
          <cell r="D90">
            <v>69204.34</v>
          </cell>
          <cell r="F90"/>
        </row>
        <row r="91">
          <cell r="D91">
            <v>22220.55</v>
          </cell>
          <cell r="F91"/>
        </row>
        <row r="92">
          <cell r="D92">
            <v>188870.74</v>
          </cell>
          <cell r="F92">
            <v>-642</v>
          </cell>
        </row>
        <row r="93">
          <cell r="D93">
            <v>10567.04</v>
          </cell>
          <cell r="F93"/>
        </row>
        <row r="94">
          <cell r="D94">
            <v>6621.28</v>
          </cell>
          <cell r="F94"/>
        </row>
        <row r="98">
          <cell r="D98">
            <v>26586.16</v>
          </cell>
          <cell r="F98"/>
        </row>
        <row r="99">
          <cell r="D99">
            <v>7746.83</v>
          </cell>
          <cell r="F99"/>
        </row>
        <row r="100">
          <cell r="D100">
            <v>5264.62</v>
          </cell>
          <cell r="F100"/>
        </row>
        <row r="101">
          <cell r="D101"/>
          <cell r="F101"/>
        </row>
        <row r="102">
          <cell r="D102">
            <v>5808.13</v>
          </cell>
          <cell r="F102"/>
        </row>
        <row r="103">
          <cell r="D103"/>
          <cell r="F103"/>
        </row>
        <row r="115">
          <cell r="D115">
            <v>78863.27</v>
          </cell>
          <cell r="F115"/>
        </row>
        <row r="116">
          <cell r="D116">
            <v>19698.43</v>
          </cell>
          <cell r="F116"/>
        </row>
        <row r="117">
          <cell r="D117">
            <v>21870.39</v>
          </cell>
          <cell r="F117"/>
        </row>
        <row r="118">
          <cell r="D118">
            <v>890</v>
          </cell>
          <cell r="F118"/>
        </row>
        <row r="119">
          <cell r="D119">
            <v>243.2</v>
          </cell>
          <cell r="F119"/>
        </row>
        <row r="124">
          <cell r="D124">
            <v>84795.8</v>
          </cell>
          <cell r="F124"/>
        </row>
        <row r="125">
          <cell r="D125">
            <v>49629.619999999995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48066.33</v>
          </cell>
          <cell r="F128">
            <v>44210</v>
          </cell>
        </row>
        <row r="130">
          <cell r="D130">
            <v>20167.242869341342</v>
          </cell>
          <cell r="F130"/>
        </row>
        <row r="131">
          <cell r="D131">
            <v>11096.47148759722</v>
          </cell>
          <cell r="F131"/>
        </row>
        <row r="132">
          <cell r="D132">
            <v>305.12</v>
          </cell>
          <cell r="F132"/>
        </row>
        <row r="133">
          <cell r="D133"/>
          <cell r="F133"/>
        </row>
        <row r="134">
          <cell r="D134">
            <v>14386.8</v>
          </cell>
          <cell r="F134"/>
        </row>
        <row r="136">
          <cell r="D136">
            <v>625426.98</v>
          </cell>
          <cell r="F136"/>
        </row>
        <row r="137">
          <cell r="D137">
            <v>201923.92</v>
          </cell>
          <cell r="F137"/>
        </row>
        <row r="138">
          <cell r="D138">
            <v>607990.88</v>
          </cell>
          <cell r="F138"/>
        </row>
        <row r="139">
          <cell r="D139">
            <v>171150.22</v>
          </cell>
          <cell r="F139"/>
        </row>
        <row r="141">
          <cell r="D141">
            <v>148747.20000000001</v>
          </cell>
          <cell r="F141"/>
        </row>
        <row r="142">
          <cell r="D142">
            <v>48024.18</v>
          </cell>
          <cell r="F142"/>
        </row>
        <row r="143">
          <cell r="D143">
            <v>144600.32000000001</v>
          </cell>
          <cell r="F143"/>
        </row>
        <row r="144">
          <cell r="D144">
            <v>40705.18</v>
          </cell>
          <cell r="F144"/>
        </row>
        <row r="146">
          <cell r="D146">
            <v>18967.759999999998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9498.86</v>
          </cell>
          <cell r="F150"/>
        </row>
        <row r="151">
          <cell r="D151">
            <v>93202.85</v>
          </cell>
          <cell r="F151"/>
        </row>
        <row r="152">
          <cell r="D152">
            <v>2796.43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17346.419999999998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445800.52</v>
          </cell>
          <cell r="F177">
            <v>14372</v>
          </cell>
        </row>
        <row r="178">
          <cell r="D178">
            <v>112162.17</v>
          </cell>
          <cell r="F178"/>
        </row>
        <row r="179">
          <cell r="D179">
            <v>88136.08</v>
          </cell>
          <cell r="F179"/>
        </row>
        <row r="180">
          <cell r="D180">
            <v>24496.18</v>
          </cell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223369.87</v>
          </cell>
          <cell r="F183"/>
        </row>
        <row r="184">
          <cell r="D184">
            <v>61642.09</v>
          </cell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>
            <v>3751.88</v>
          </cell>
          <cell r="F189"/>
        </row>
        <row r="190">
          <cell r="D190"/>
          <cell r="F190"/>
        </row>
        <row r="191">
          <cell r="D191"/>
          <cell r="F191"/>
        </row>
        <row r="192">
          <cell r="D192">
            <v>70328.039999999994</v>
          </cell>
          <cell r="F192"/>
        </row>
        <row r="193">
          <cell r="D193"/>
          <cell r="F193"/>
        </row>
        <row r="194">
          <cell r="D194"/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>
            <v>11739.19</v>
          </cell>
          <cell r="F203"/>
        </row>
        <row r="204">
          <cell r="D204"/>
          <cell r="F204"/>
        </row>
        <row r="205">
          <cell r="D205">
            <v>283768.03000000003</v>
          </cell>
          <cell r="F205"/>
        </row>
        <row r="206">
          <cell r="D206">
            <v>16053.8</v>
          </cell>
          <cell r="F206"/>
        </row>
        <row r="207">
          <cell r="D207">
            <v>15461.77</v>
          </cell>
          <cell r="F207"/>
        </row>
        <row r="211">
          <cell r="D211">
            <v>116588.57</v>
          </cell>
          <cell r="F211"/>
        </row>
        <row r="212">
          <cell r="D212">
            <v>29415.25</v>
          </cell>
          <cell r="F212"/>
        </row>
        <row r="213">
          <cell r="D213">
            <v>12935.38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4994.7299999999996</v>
          </cell>
          <cell r="F216"/>
        </row>
        <row r="221">
          <cell r="D221">
            <v>8051159.7800000003</v>
          </cell>
        </row>
      </sheetData>
      <sheetData sheetId="8"/>
      <sheetData sheetId="9"/>
      <sheetData sheetId="10">
        <row r="9">
          <cell r="C9">
            <v>11576</v>
          </cell>
          <cell r="D9"/>
          <cell r="E9">
            <v>6086</v>
          </cell>
          <cell r="F9">
            <v>2719</v>
          </cell>
          <cell r="G9"/>
          <cell r="H9">
            <v>4446</v>
          </cell>
          <cell r="I9">
            <v>710</v>
          </cell>
          <cell r="J9">
            <v>93</v>
          </cell>
          <cell r="K9"/>
        </row>
        <row r="22">
          <cell r="N22">
            <v>124</v>
          </cell>
        </row>
        <row r="24">
          <cell r="N24">
            <v>124</v>
          </cell>
        </row>
        <row r="28">
          <cell r="N28">
            <v>45384</v>
          </cell>
        </row>
        <row r="30">
          <cell r="N30">
            <v>0.56473647100299662</v>
          </cell>
        </row>
        <row r="32">
          <cell r="N32">
            <v>0.2550678653269875</v>
          </cell>
        </row>
        <row r="34">
          <cell r="N34">
            <v>0.45165821303160364</v>
          </cell>
        </row>
      </sheetData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2114903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1234887</v>
          </cell>
          <cell r="G21">
            <v>0</v>
          </cell>
        </row>
        <row r="27">
          <cell r="E27">
            <v>72413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440553</v>
          </cell>
          <cell r="G37">
            <v>0</v>
          </cell>
        </row>
        <row r="42">
          <cell r="E42">
            <v>21068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86926</v>
          </cell>
          <cell r="G52">
            <v>0</v>
          </cell>
        </row>
        <row r="67">
          <cell r="E67">
            <v>37349</v>
          </cell>
          <cell r="G67">
            <v>-4955</v>
          </cell>
        </row>
        <row r="85">
          <cell r="C85">
            <v>175.03159557661928</v>
          </cell>
          <cell r="E85">
            <v>175.03138373751784</v>
          </cell>
          <cell r="G85">
            <v>175.03163444639719</v>
          </cell>
          <cell r="I85">
            <v>175.02931596091204</v>
          </cell>
        </row>
      </sheetData>
      <sheetData sheetId="6"/>
      <sheetData sheetId="7">
        <row r="10">
          <cell r="D10">
            <v>0</v>
          </cell>
          <cell r="F10">
            <v>123748</v>
          </cell>
        </row>
        <row r="11">
          <cell r="D11">
            <v>0</v>
          </cell>
          <cell r="F11">
            <v>0</v>
          </cell>
        </row>
        <row r="12">
          <cell r="D12">
            <v>187386</v>
          </cell>
          <cell r="F12">
            <v>-123748</v>
          </cell>
        </row>
        <row r="13">
          <cell r="D13">
            <v>45846</v>
          </cell>
          <cell r="F13">
            <v>-25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198072</v>
          </cell>
          <cell r="F16">
            <v>-29467</v>
          </cell>
        </row>
        <row r="17">
          <cell r="D17">
            <v>407</v>
          </cell>
          <cell r="F17">
            <v>-407</v>
          </cell>
        </row>
        <row r="18">
          <cell r="D18">
            <v>13711</v>
          </cell>
          <cell r="F18">
            <v>0</v>
          </cell>
        </row>
        <row r="19">
          <cell r="D19">
            <v>11444</v>
          </cell>
          <cell r="F19">
            <v>0</v>
          </cell>
        </row>
        <row r="20">
          <cell r="D20">
            <v>9264</v>
          </cell>
          <cell r="F20">
            <v>0</v>
          </cell>
        </row>
        <row r="21">
          <cell r="D21">
            <v>12971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6444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3906</v>
          </cell>
          <cell r="F25">
            <v>0</v>
          </cell>
        </row>
        <row r="26">
          <cell r="D26">
            <v>244462</v>
          </cell>
          <cell r="F26">
            <v>0</v>
          </cell>
        </row>
        <row r="27">
          <cell r="D27">
            <v>10555</v>
          </cell>
          <cell r="F27">
            <v>-546</v>
          </cell>
        </row>
        <row r="28">
          <cell r="D28">
            <v>0</v>
          </cell>
          <cell r="F28">
            <v>0</v>
          </cell>
        </row>
        <row r="29">
          <cell r="D29">
            <v>37661</v>
          </cell>
          <cell r="F29">
            <v>-37661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57733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506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13354</v>
          </cell>
          <cell r="F36">
            <v>0</v>
          </cell>
        </row>
        <row r="37">
          <cell r="D37">
            <v>1419</v>
          </cell>
          <cell r="F37">
            <v>0</v>
          </cell>
        </row>
        <row r="38">
          <cell r="D38">
            <v>150</v>
          </cell>
          <cell r="F38">
            <v>-150</v>
          </cell>
        </row>
        <row r="39">
          <cell r="D39">
            <v>3942</v>
          </cell>
          <cell r="F39">
            <v>0</v>
          </cell>
        </row>
        <row r="40">
          <cell r="D40">
            <v>4058</v>
          </cell>
          <cell r="F40">
            <v>-4058</v>
          </cell>
        </row>
        <row r="41">
          <cell r="D41">
            <v>42286</v>
          </cell>
          <cell r="F41">
            <v>0</v>
          </cell>
        </row>
        <row r="42">
          <cell r="D42">
            <v>662</v>
          </cell>
          <cell r="F42">
            <v>0</v>
          </cell>
        </row>
        <row r="43">
          <cell r="D43">
            <v>4895</v>
          </cell>
          <cell r="F43">
            <v>-4895</v>
          </cell>
        </row>
        <row r="44">
          <cell r="D44">
            <v>0</v>
          </cell>
          <cell r="F44">
            <v>0</v>
          </cell>
        </row>
        <row r="45">
          <cell r="D45">
            <v>1440</v>
          </cell>
          <cell r="F45">
            <v>-4109</v>
          </cell>
        </row>
        <row r="57">
          <cell r="D57">
            <v>0</v>
          </cell>
          <cell r="F57">
            <v>0</v>
          </cell>
        </row>
        <row r="58">
          <cell r="D58">
            <v>143460</v>
          </cell>
          <cell r="F58">
            <v>0</v>
          </cell>
        </row>
        <row r="59">
          <cell r="D59">
            <v>284069</v>
          </cell>
          <cell r="F59">
            <v>0</v>
          </cell>
        </row>
        <row r="60">
          <cell r="D60">
            <v>10382</v>
          </cell>
          <cell r="F60">
            <v>0</v>
          </cell>
        </row>
        <row r="61">
          <cell r="D61">
            <v>61489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1940</v>
          </cell>
          <cell r="F65">
            <v>0</v>
          </cell>
        </row>
        <row r="66">
          <cell r="D66">
            <v>19740</v>
          </cell>
          <cell r="F66">
            <v>57</v>
          </cell>
        </row>
        <row r="67">
          <cell r="D67">
            <v>71097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5118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24734</v>
          </cell>
          <cell r="F75">
            <v>0</v>
          </cell>
        </row>
        <row r="76">
          <cell r="D76">
            <v>21223</v>
          </cell>
          <cell r="F76">
            <v>0</v>
          </cell>
        </row>
        <row r="77">
          <cell r="D77">
            <v>4971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1619</v>
          </cell>
          <cell r="F79">
            <v>0</v>
          </cell>
        </row>
        <row r="80">
          <cell r="D80">
            <v>26727</v>
          </cell>
          <cell r="F80">
            <v>0</v>
          </cell>
        </row>
        <row r="81">
          <cell r="D81">
            <v>9664</v>
          </cell>
          <cell r="F81">
            <v>0</v>
          </cell>
        </row>
        <row r="82">
          <cell r="D82">
            <v>8677</v>
          </cell>
          <cell r="F82">
            <v>0</v>
          </cell>
        </row>
        <row r="83">
          <cell r="D83">
            <v>1426</v>
          </cell>
          <cell r="F83">
            <v>0</v>
          </cell>
        </row>
        <row r="84">
          <cell r="D84">
            <v>61530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77696</v>
          </cell>
          <cell r="F89">
            <v>0</v>
          </cell>
        </row>
        <row r="90">
          <cell r="D90">
            <v>15583</v>
          </cell>
          <cell r="F90">
            <v>0</v>
          </cell>
        </row>
        <row r="91">
          <cell r="D91">
            <v>110058</v>
          </cell>
          <cell r="F91">
            <v>0</v>
          </cell>
        </row>
        <row r="92">
          <cell r="D92">
            <v>49560</v>
          </cell>
          <cell r="F92">
            <v>-200</v>
          </cell>
        </row>
        <row r="93">
          <cell r="D93">
            <v>12223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47769</v>
          </cell>
          <cell r="F101">
            <v>0</v>
          </cell>
        </row>
        <row r="102">
          <cell r="D102">
            <v>3258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5832</v>
          </cell>
          <cell r="F117">
            <v>0</v>
          </cell>
        </row>
        <row r="118">
          <cell r="D118">
            <v>90942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127346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28961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40036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8012</v>
          </cell>
          <cell r="F134">
            <v>0</v>
          </cell>
        </row>
        <row r="136">
          <cell r="D136">
            <v>164868</v>
          </cell>
          <cell r="F136">
            <v>0</v>
          </cell>
        </row>
        <row r="137">
          <cell r="D137">
            <v>266126</v>
          </cell>
          <cell r="F137">
            <v>0</v>
          </cell>
        </row>
        <row r="138">
          <cell r="D138">
            <v>369633</v>
          </cell>
          <cell r="F138">
            <v>6771</v>
          </cell>
        </row>
        <row r="139">
          <cell r="D139">
            <v>6771</v>
          </cell>
          <cell r="F139">
            <v>-6771</v>
          </cell>
        </row>
        <row r="141">
          <cell r="D141">
            <v>199760</v>
          </cell>
          <cell r="F141">
            <v>-158970</v>
          </cell>
        </row>
        <row r="142">
          <cell r="D142">
            <v>0</v>
          </cell>
          <cell r="F142">
            <v>65843</v>
          </cell>
        </row>
        <row r="143">
          <cell r="D143">
            <v>0</v>
          </cell>
          <cell r="F143">
            <v>93127</v>
          </cell>
        </row>
        <row r="144">
          <cell r="D144">
            <v>0</v>
          </cell>
          <cell r="F144">
            <v>0</v>
          </cell>
        </row>
        <row r="146">
          <cell r="D146">
            <v>24825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299</v>
          </cell>
          <cell r="F150">
            <v>0</v>
          </cell>
        </row>
        <row r="151">
          <cell r="D151">
            <v>52314</v>
          </cell>
          <cell r="F151">
            <v>0</v>
          </cell>
        </row>
        <row r="152">
          <cell r="D152">
            <v>4894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10559</v>
          </cell>
          <cell r="F161">
            <v>-87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157</v>
          </cell>
          <cell r="F192">
            <v>0</v>
          </cell>
        </row>
        <row r="193">
          <cell r="D193">
            <v>1073</v>
          </cell>
          <cell r="F193">
            <v>0</v>
          </cell>
        </row>
        <row r="194">
          <cell r="D194">
            <v>163968</v>
          </cell>
          <cell r="F194">
            <v>-2214</v>
          </cell>
        </row>
        <row r="195">
          <cell r="D195">
            <v>3966</v>
          </cell>
          <cell r="F195">
            <v>-54</v>
          </cell>
        </row>
        <row r="196">
          <cell r="D196">
            <v>0</v>
          </cell>
          <cell r="F196">
            <v>0</v>
          </cell>
        </row>
        <row r="197">
          <cell r="D197">
            <v>129533</v>
          </cell>
          <cell r="F197">
            <v>-1749</v>
          </cell>
        </row>
        <row r="198">
          <cell r="D198">
            <v>13905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114384</v>
          </cell>
          <cell r="F205">
            <v>-1659</v>
          </cell>
        </row>
        <row r="206">
          <cell r="D206">
            <v>913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84757</v>
          </cell>
          <cell r="F211">
            <v>0</v>
          </cell>
        </row>
        <row r="212">
          <cell r="D212">
            <v>19908</v>
          </cell>
          <cell r="F212">
            <v>0</v>
          </cell>
        </row>
        <row r="213">
          <cell r="D213">
            <v>2239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1298</v>
          </cell>
          <cell r="F216">
            <v>0</v>
          </cell>
        </row>
        <row r="221">
          <cell r="D221">
            <v>3923866</v>
          </cell>
        </row>
      </sheetData>
      <sheetData sheetId="8"/>
      <sheetData sheetId="9"/>
      <sheetData sheetId="10">
        <row r="9">
          <cell r="C9">
            <v>10550</v>
          </cell>
          <cell r="D9">
            <v>0</v>
          </cell>
          <cell r="E9">
            <v>2364</v>
          </cell>
          <cell r="F9">
            <v>135</v>
          </cell>
          <cell r="G9">
            <v>0</v>
          </cell>
          <cell r="H9">
            <v>2517</v>
          </cell>
          <cell r="I9">
            <v>103</v>
          </cell>
          <cell r="J9">
            <v>0</v>
          </cell>
          <cell r="K9">
            <v>174</v>
          </cell>
        </row>
        <row r="22">
          <cell r="N22">
            <v>98</v>
          </cell>
        </row>
        <row r="24">
          <cell r="N24">
            <v>98</v>
          </cell>
        </row>
        <row r="28">
          <cell r="N28">
            <v>35868</v>
          </cell>
        </row>
        <row r="30">
          <cell r="N30">
            <v>0.4417029106724657</v>
          </cell>
        </row>
        <row r="32">
          <cell r="N32">
            <v>0.29413404706144752</v>
          </cell>
        </row>
        <row r="34">
          <cell r="N34">
            <v>0.66590923436217886</v>
          </cell>
        </row>
      </sheetData>
      <sheetData sheetId="1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6333381.5899999999</v>
          </cell>
          <cell r="G10">
            <v>-453864.22</v>
          </cell>
        </row>
        <row r="15">
          <cell r="E15">
            <v>0</v>
          </cell>
          <cell r="G15">
            <v>0</v>
          </cell>
        </row>
        <row r="21">
          <cell r="E21">
            <v>3323278.03</v>
          </cell>
          <cell r="G21">
            <v>262164.24</v>
          </cell>
        </row>
        <row r="27">
          <cell r="E27">
            <v>1141272.68</v>
          </cell>
          <cell r="G27">
            <v>191699.98</v>
          </cell>
        </row>
        <row r="32">
          <cell r="E32">
            <v>0</v>
          </cell>
          <cell r="G32">
            <v>0</v>
          </cell>
        </row>
        <row r="37">
          <cell r="E37">
            <v>1340393.33</v>
          </cell>
          <cell r="G37">
            <v>0</v>
          </cell>
        </row>
        <row r="42">
          <cell r="E42">
            <v>0</v>
          </cell>
          <cell r="G42">
            <v>798589.57000000007</v>
          </cell>
        </row>
        <row r="47">
          <cell r="E47">
            <v>1286262.7900000003</v>
          </cell>
          <cell r="G47">
            <v>-798589.57000000007</v>
          </cell>
        </row>
        <row r="52">
          <cell r="E52">
            <v>0</v>
          </cell>
          <cell r="G52">
            <v>0</v>
          </cell>
        </row>
        <row r="67">
          <cell r="E67">
            <v>91748.090000000011</v>
          </cell>
          <cell r="G67">
            <v>0</v>
          </cell>
        </row>
        <row r="85">
          <cell r="C85">
            <v>287.36673109243702</v>
          </cell>
          <cell r="E85">
            <v>266.24239662447258</v>
          </cell>
          <cell r="G85">
            <v>299.29958151700089</v>
          </cell>
          <cell r="I85">
            <v>245.39960982658963</v>
          </cell>
        </row>
      </sheetData>
      <sheetData sheetId="6"/>
      <sheetData sheetId="7">
        <row r="10">
          <cell r="D10"/>
          <cell r="F10">
            <v>93172.08</v>
          </cell>
        </row>
        <row r="11">
          <cell r="D11"/>
          <cell r="F11"/>
        </row>
        <row r="12">
          <cell r="D12">
            <v>193995.56</v>
          </cell>
          <cell r="F12">
            <v>-105992.61</v>
          </cell>
        </row>
        <row r="13">
          <cell r="D13">
            <v>51437.04</v>
          </cell>
          <cell r="F13">
            <v>13780.34</v>
          </cell>
        </row>
        <row r="14">
          <cell r="D14"/>
          <cell r="F14"/>
        </row>
        <row r="15">
          <cell r="D15"/>
          <cell r="F15"/>
        </row>
        <row r="16">
          <cell r="D16">
            <v>741512.74</v>
          </cell>
          <cell r="F16">
            <v>-64778.74</v>
          </cell>
        </row>
        <row r="17">
          <cell r="D17">
            <v>18117.22</v>
          </cell>
          <cell r="F17">
            <v>-18117.22</v>
          </cell>
        </row>
        <row r="18">
          <cell r="D18">
            <v>21879.46</v>
          </cell>
          <cell r="F18"/>
        </row>
        <row r="19">
          <cell r="D19">
            <v>31647.82</v>
          </cell>
          <cell r="F19"/>
        </row>
        <row r="20">
          <cell r="D20">
            <v>29578.71</v>
          </cell>
          <cell r="F20"/>
        </row>
        <row r="21">
          <cell r="D21">
            <v>134166.46</v>
          </cell>
          <cell r="F21"/>
        </row>
        <row r="22">
          <cell r="D22">
            <v>0</v>
          </cell>
          <cell r="F22"/>
        </row>
        <row r="23">
          <cell r="D23">
            <v>27258.04</v>
          </cell>
          <cell r="F23"/>
        </row>
        <row r="24">
          <cell r="D24">
            <v>86476.97</v>
          </cell>
          <cell r="F24">
            <v>45493.21</v>
          </cell>
        </row>
        <row r="25">
          <cell r="D25"/>
          <cell r="F25"/>
        </row>
        <row r="26">
          <cell r="D26">
            <v>679477.48</v>
          </cell>
          <cell r="F26"/>
        </row>
        <row r="27">
          <cell r="D27">
            <v>16109.32</v>
          </cell>
          <cell r="F27"/>
        </row>
        <row r="28">
          <cell r="D28"/>
          <cell r="F28">
            <v>0</v>
          </cell>
        </row>
        <row r="29">
          <cell r="D29">
            <v>575112.37</v>
          </cell>
          <cell r="F29">
            <v>-575112.37</v>
          </cell>
        </row>
        <row r="30">
          <cell r="D30"/>
          <cell r="F30">
            <v>0</v>
          </cell>
        </row>
        <row r="31">
          <cell r="D31">
            <v>1282.6300000000001</v>
          </cell>
          <cell r="F31"/>
        </row>
        <row r="32">
          <cell r="D32">
            <v>500</v>
          </cell>
          <cell r="F32">
            <v>21272.92</v>
          </cell>
        </row>
        <row r="33">
          <cell r="D33">
            <v>108.93</v>
          </cell>
          <cell r="F33">
            <v>-108.93</v>
          </cell>
        </row>
        <row r="34">
          <cell r="D34"/>
          <cell r="F34"/>
        </row>
        <row r="35">
          <cell r="D35">
            <v>14790.2</v>
          </cell>
          <cell r="F35">
            <v>-14790.2</v>
          </cell>
        </row>
        <row r="36">
          <cell r="D36"/>
          <cell r="F36">
            <v>105992.61</v>
          </cell>
        </row>
        <row r="37">
          <cell r="D37"/>
          <cell r="F37">
            <v>28290.37</v>
          </cell>
        </row>
        <row r="38">
          <cell r="D38">
            <v>578.77</v>
          </cell>
          <cell r="F38"/>
        </row>
        <row r="39">
          <cell r="D39">
            <v>9942.52</v>
          </cell>
          <cell r="F39"/>
        </row>
        <row r="40">
          <cell r="D40">
            <v>17628.919999999998</v>
          </cell>
          <cell r="F40"/>
        </row>
        <row r="41">
          <cell r="D41">
            <v>165902.97</v>
          </cell>
          <cell r="F41">
            <v>-6120.65</v>
          </cell>
        </row>
        <row r="42">
          <cell r="D42"/>
          <cell r="F42"/>
        </row>
        <row r="43">
          <cell r="D43"/>
          <cell r="F43"/>
        </row>
        <row r="44">
          <cell r="D44"/>
          <cell r="F44"/>
        </row>
        <row r="45">
          <cell r="D45">
            <v>149350.75</v>
          </cell>
          <cell r="F45">
            <v>-135242.79</v>
          </cell>
        </row>
        <row r="57">
          <cell r="D57">
            <v>948370.64</v>
          </cell>
          <cell r="F57"/>
        </row>
        <row r="58">
          <cell r="D58">
            <v>56736.1</v>
          </cell>
          <cell r="F58"/>
        </row>
        <row r="59">
          <cell r="D59">
            <v>0</v>
          </cell>
          <cell r="F59"/>
        </row>
        <row r="60">
          <cell r="D60">
            <v>63779.3</v>
          </cell>
          <cell r="F60"/>
        </row>
        <row r="61">
          <cell r="D61">
            <v>21272.92</v>
          </cell>
          <cell r="F61">
            <v>-21272.92</v>
          </cell>
        </row>
        <row r="62">
          <cell r="D62">
            <v>14744.44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3713.63</v>
          </cell>
          <cell r="F65"/>
        </row>
        <row r="66">
          <cell r="D66">
            <v>60474.5</v>
          </cell>
          <cell r="F66">
            <v>-58329.8</v>
          </cell>
        </row>
        <row r="67">
          <cell r="D67">
            <v>210211.93</v>
          </cell>
          <cell r="F67"/>
        </row>
        <row r="68">
          <cell r="D68"/>
          <cell r="F68"/>
        </row>
        <row r="69">
          <cell r="D69">
            <v>14974.06</v>
          </cell>
          <cell r="F69"/>
        </row>
        <row r="70">
          <cell r="D70"/>
          <cell r="F70"/>
        </row>
        <row r="71">
          <cell r="D71">
            <v>0</v>
          </cell>
          <cell r="F71"/>
        </row>
        <row r="75">
          <cell r="D75">
            <v>75393.38</v>
          </cell>
          <cell r="F75"/>
        </row>
        <row r="76">
          <cell r="D76">
            <v>9416.5</v>
          </cell>
          <cell r="F76"/>
        </row>
        <row r="77">
          <cell r="D77">
            <v>13704.2</v>
          </cell>
          <cell r="F77"/>
        </row>
        <row r="78">
          <cell r="D78"/>
          <cell r="F78"/>
        </row>
        <row r="79">
          <cell r="D79">
            <v>12223.78</v>
          </cell>
          <cell r="F79"/>
        </row>
        <row r="80">
          <cell r="D80">
            <v>11256.09</v>
          </cell>
          <cell r="F80"/>
        </row>
        <row r="81">
          <cell r="D81">
            <v>3607.99</v>
          </cell>
          <cell r="F81"/>
        </row>
        <row r="82">
          <cell r="D82">
            <v>31178.19</v>
          </cell>
          <cell r="F82"/>
        </row>
        <row r="83">
          <cell r="D83"/>
          <cell r="F83"/>
        </row>
        <row r="84">
          <cell r="D84">
            <v>213126.45</v>
          </cell>
          <cell r="F84"/>
        </row>
        <row r="85">
          <cell r="D85">
            <v>120</v>
          </cell>
          <cell r="F85"/>
        </row>
        <row r="89">
          <cell r="D89">
            <v>433796.34</v>
          </cell>
          <cell r="F89"/>
        </row>
        <row r="90">
          <cell r="D90">
            <v>65448.66</v>
          </cell>
          <cell r="F90"/>
        </row>
        <row r="91">
          <cell r="D91">
            <v>12003.99</v>
          </cell>
          <cell r="F91"/>
        </row>
        <row r="92">
          <cell r="D92">
            <v>335731.77</v>
          </cell>
          <cell r="F92"/>
        </row>
        <row r="93">
          <cell r="D93">
            <v>31650.1</v>
          </cell>
          <cell r="F93"/>
        </row>
        <row r="94">
          <cell r="D94">
            <v>1999.47</v>
          </cell>
          <cell r="F94"/>
        </row>
        <row r="98">
          <cell r="D98">
            <v>48456.17</v>
          </cell>
          <cell r="F98"/>
        </row>
        <row r="99">
          <cell r="D99">
            <v>10690.74</v>
          </cell>
          <cell r="F99"/>
        </row>
        <row r="100">
          <cell r="D100">
            <v>12226.43</v>
          </cell>
          <cell r="F100"/>
        </row>
        <row r="101">
          <cell r="D101"/>
          <cell r="F101"/>
        </row>
        <row r="102">
          <cell r="D102">
            <v>16734.009999999998</v>
          </cell>
          <cell r="F102"/>
        </row>
        <row r="103">
          <cell r="D103">
            <v>3994.24</v>
          </cell>
          <cell r="F103"/>
        </row>
        <row r="115">
          <cell r="D115">
            <v>178469.87</v>
          </cell>
          <cell r="F115"/>
        </row>
        <row r="116">
          <cell r="D116">
            <v>50964.7</v>
          </cell>
          <cell r="F116"/>
        </row>
        <row r="117">
          <cell r="D117">
            <v>30029.34</v>
          </cell>
          <cell r="F117"/>
        </row>
        <row r="118">
          <cell r="D118"/>
          <cell r="F118"/>
        </row>
        <row r="119">
          <cell r="D119">
            <v>100</v>
          </cell>
          <cell r="F119"/>
        </row>
        <row r="124">
          <cell r="D124"/>
          <cell r="F124"/>
        </row>
        <row r="125">
          <cell r="D125"/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863512.55</v>
          </cell>
          <cell r="F128"/>
        </row>
        <row r="130">
          <cell r="D130"/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134910.03</v>
          </cell>
          <cell r="F134"/>
        </row>
        <row r="136">
          <cell r="D136">
            <v>1021540.41</v>
          </cell>
          <cell r="F136"/>
        </row>
        <row r="137">
          <cell r="D137">
            <v>601756.56000000006</v>
          </cell>
          <cell r="F137"/>
        </row>
        <row r="138">
          <cell r="D138">
            <v>1632992.79</v>
          </cell>
          <cell r="F138"/>
        </row>
        <row r="139">
          <cell r="D139">
            <v>428775.26</v>
          </cell>
          <cell r="F139"/>
        </row>
        <row r="141">
          <cell r="D141">
            <v>142952.94</v>
          </cell>
          <cell r="F141"/>
        </row>
        <row r="142">
          <cell r="D142">
            <v>86792.86</v>
          </cell>
          <cell r="F142"/>
        </row>
        <row r="143">
          <cell r="D143">
            <v>229745.8</v>
          </cell>
          <cell r="F143"/>
        </row>
        <row r="144">
          <cell r="D144">
            <v>61891.03</v>
          </cell>
          <cell r="F144"/>
        </row>
        <row r="146">
          <cell r="D146">
            <v>84000</v>
          </cell>
          <cell r="F146"/>
        </row>
        <row r="147">
          <cell r="D147">
            <v>18388.25</v>
          </cell>
          <cell r="F147"/>
        </row>
        <row r="148">
          <cell r="D148">
            <v>2560.19</v>
          </cell>
          <cell r="F148"/>
        </row>
        <row r="149">
          <cell r="D149">
            <v>3080.43</v>
          </cell>
          <cell r="F149"/>
        </row>
        <row r="150">
          <cell r="D150">
            <v>15410</v>
          </cell>
          <cell r="F150"/>
        </row>
        <row r="151">
          <cell r="D151">
            <v>448362.66</v>
          </cell>
          <cell r="F151"/>
        </row>
        <row r="152">
          <cell r="D152">
            <v>3988.27</v>
          </cell>
          <cell r="F152"/>
        </row>
        <row r="153">
          <cell r="D153">
            <v>3414.6</v>
          </cell>
          <cell r="F153"/>
        </row>
        <row r="154">
          <cell r="D154">
            <v>-300</v>
          </cell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8086.76</v>
          </cell>
          <cell r="F160"/>
        </row>
        <row r="161">
          <cell r="D161">
            <v>60099.93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615952.32999999996</v>
          </cell>
          <cell r="F194">
            <v>-11549.22</v>
          </cell>
        </row>
        <row r="195">
          <cell r="D195">
            <v>108650.2</v>
          </cell>
          <cell r="F195">
            <v>-1965.82</v>
          </cell>
        </row>
        <row r="196">
          <cell r="D196"/>
          <cell r="F196"/>
        </row>
        <row r="197">
          <cell r="D197">
            <v>581375.68999999994</v>
          </cell>
          <cell r="F197">
            <v>-11057.76</v>
          </cell>
        </row>
        <row r="198">
          <cell r="D198">
            <v>34730.480000000003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859840</v>
          </cell>
          <cell r="F205">
            <v>-202195.92</v>
          </cell>
        </row>
        <row r="206">
          <cell r="D206">
            <v>54856.88</v>
          </cell>
          <cell r="F206"/>
        </row>
        <row r="207">
          <cell r="D207">
            <v>-34096.269999999997</v>
          </cell>
          <cell r="F207"/>
        </row>
        <row r="211">
          <cell r="D211">
            <v>255570.27</v>
          </cell>
          <cell r="F211"/>
        </row>
        <row r="212">
          <cell r="D212">
            <v>41234.410000000003</v>
          </cell>
          <cell r="F212"/>
        </row>
        <row r="213">
          <cell r="D213">
            <v>23558.51</v>
          </cell>
          <cell r="F213"/>
        </row>
        <row r="214">
          <cell r="D214">
            <v>451.16</v>
          </cell>
          <cell r="F214"/>
        </row>
        <row r="215">
          <cell r="D215"/>
          <cell r="F215"/>
        </row>
        <row r="216">
          <cell r="D216">
            <v>7543.13</v>
          </cell>
          <cell r="F216"/>
        </row>
        <row r="221">
          <cell r="D221">
            <v>14365082.92</v>
          </cell>
        </row>
      </sheetData>
      <sheetData sheetId="8"/>
      <sheetData sheetId="9"/>
      <sheetData sheetId="10">
        <row r="9">
          <cell r="C9">
            <v>25643</v>
          </cell>
          <cell r="D9"/>
          <cell r="E9">
            <v>6261</v>
          </cell>
          <cell r="F9">
            <v>2818</v>
          </cell>
          <cell r="G9">
            <v>0</v>
          </cell>
          <cell r="H9">
            <v>4906</v>
          </cell>
          <cell r="I9">
            <v>5313</v>
          </cell>
          <cell r="J9">
            <v>1952</v>
          </cell>
          <cell r="K9">
            <v>26</v>
          </cell>
        </row>
        <row r="22">
          <cell r="N22">
            <v>168</v>
          </cell>
        </row>
        <row r="24">
          <cell r="N24">
            <v>168</v>
          </cell>
        </row>
        <row r="28">
          <cell r="N28">
            <v>61488</v>
          </cell>
        </row>
        <row r="30">
          <cell r="N30">
            <v>0.76305945875618009</v>
          </cell>
        </row>
        <row r="32">
          <cell r="N32">
            <v>0.41704072339318243</v>
          </cell>
        </row>
        <row r="34">
          <cell r="N34">
            <v>0.5465376499925404</v>
          </cell>
        </row>
      </sheetData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2241635.0099999998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963300.09999999986</v>
          </cell>
          <cell r="G21">
            <v>0</v>
          </cell>
        </row>
        <row r="27">
          <cell r="E27">
            <v>423586.25000000006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357004.45999999996</v>
          </cell>
          <cell r="G37">
            <v>0</v>
          </cell>
        </row>
        <row r="42">
          <cell r="E42">
            <v>0</v>
          </cell>
          <cell r="G42">
            <v>352815.45</v>
          </cell>
        </row>
        <row r="47">
          <cell r="E47">
            <v>486501.06999999995</v>
          </cell>
          <cell r="G47">
            <v>-352815.45</v>
          </cell>
        </row>
        <row r="52">
          <cell r="E52">
            <v>0</v>
          </cell>
          <cell r="G52">
            <v>0</v>
          </cell>
        </row>
        <row r="67">
          <cell r="E67">
            <v>-3686.5400000000009</v>
          </cell>
          <cell r="G67">
            <v>53943.44</v>
          </cell>
        </row>
        <row r="85">
          <cell r="C85">
            <v>143.25335078534033</v>
          </cell>
          <cell r="E85">
            <v>89.096931034482779</v>
          </cell>
          <cell r="G85">
            <v>103.08745305164318</v>
          </cell>
          <cell r="I85">
            <v>115.30723702664798</v>
          </cell>
        </row>
      </sheetData>
      <sheetData sheetId="6"/>
      <sheetData sheetId="7">
        <row r="10">
          <cell r="D10">
            <v>0</v>
          </cell>
          <cell r="F10">
            <v>73082.58</v>
          </cell>
        </row>
        <row r="11">
          <cell r="D11">
            <v>0</v>
          </cell>
          <cell r="F11">
            <v>0</v>
          </cell>
        </row>
        <row r="12">
          <cell r="D12">
            <v>51799.32</v>
          </cell>
          <cell r="F12">
            <v>-34113.39</v>
          </cell>
        </row>
        <row r="13">
          <cell r="D13">
            <v>16178.26</v>
          </cell>
          <cell r="F13">
            <v>6495.32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242335.68</v>
          </cell>
          <cell r="F16">
            <v>-37976</v>
          </cell>
        </row>
        <row r="17">
          <cell r="D17">
            <v>10231.870000000001</v>
          </cell>
          <cell r="F17">
            <v>-10231.870000000001</v>
          </cell>
        </row>
        <row r="18">
          <cell r="D18">
            <v>8831.7199999999993</v>
          </cell>
          <cell r="F18"/>
        </row>
        <row r="19">
          <cell r="D19">
            <v>19132.32</v>
          </cell>
          <cell r="F19"/>
        </row>
        <row r="20">
          <cell r="D20">
            <v>9017.0300000000007</v>
          </cell>
          <cell r="F20"/>
        </row>
        <row r="21">
          <cell r="D21">
            <v>91299</v>
          </cell>
          <cell r="F21"/>
        </row>
        <row r="22">
          <cell r="D22"/>
          <cell r="F22"/>
        </row>
        <row r="23">
          <cell r="D23">
            <v>21286.11</v>
          </cell>
          <cell r="F23"/>
        </row>
        <row r="24">
          <cell r="D24">
            <v>33813.620000000003</v>
          </cell>
          <cell r="F24">
            <v>37570.080000000002</v>
          </cell>
        </row>
        <row r="25">
          <cell r="D25"/>
          <cell r="F25"/>
        </row>
        <row r="26">
          <cell r="D26">
            <v>306581.67</v>
          </cell>
          <cell r="F26"/>
        </row>
        <row r="27">
          <cell r="D27">
            <v>4032.06</v>
          </cell>
          <cell r="F27">
            <v>53943.44</v>
          </cell>
        </row>
        <row r="28">
          <cell r="D28"/>
          <cell r="F28">
            <v>0</v>
          </cell>
        </row>
        <row r="29">
          <cell r="D29">
            <v>324155.65000000002</v>
          </cell>
          <cell r="F29">
            <v>-324155.65000000002</v>
          </cell>
        </row>
        <row r="30">
          <cell r="D30"/>
          <cell r="F30">
            <v>0</v>
          </cell>
        </row>
        <row r="31">
          <cell r="D31">
            <v>105.89</v>
          </cell>
          <cell r="F31"/>
        </row>
        <row r="32">
          <cell r="D32">
            <v>600</v>
          </cell>
          <cell r="F32">
            <v>30401.8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6448.92</v>
          </cell>
          <cell r="F35">
            <v>-6448.92</v>
          </cell>
        </row>
        <row r="36">
          <cell r="D36">
            <v>0</v>
          </cell>
          <cell r="F36">
            <v>34113.39</v>
          </cell>
        </row>
        <row r="37">
          <cell r="D37">
            <v>0</v>
          </cell>
          <cell r="F37">
            <v>10677.48</v>
          </cell>
        </row>
        <row r="38">
          <cell r="D38">
            <v>1585.1</v>
          </cell>
          <cell r="F38"/>
        </row>
        <row r="39">
          <cell r="D39">
            <v>5332.51</v>
          </cell>
          <cell r="F39"/>
        </row>
        <row r="40">
          <cell r="D40">
            <v>14095.64</v>
          </cell>
          <cell r="F40"/>
        </row>
        <row r="41">
          <cell r="D41">
            <v>45014.78</v>
          </cell>
          <cell r="F41">
            <v>-6307.52</v>
          </cell>
        </row>
        <row r="42">
          <cell r="D42">
            <v>474.33</v>
          </cell>
          <cell r="F42"/>
        </row>
        <row r="43">
          <cell r="D43">
            <v>0</v>
          </cell>
          <cell r="F43"/>
        </row>
        <row r="44">
          <cell r="D44">
            <v>0</v>
          </cell>
          <cell r="F44"/>
        </row>
        <row r="45">
          <cell r="D45">
            <v>90255.38</v>
          </cell>
          <cell r="F45">
            <v>-90255</v>
          </cell>
        </row>
        <row r="57">
          <cell r="D57">
            <v>384729</v>
          </cell>
          <cell r="F57">
            <v>-384729</v>
          </cell>
        </row>
        <row r="58">
          <cell r="D58">
            <v>24057.25</v>
          </cell>
          <cell r="F58">
            <v>70138.399999999994</v>
          </cell>
        </row>
        <row r="59">
          <cell r="D59">
            <v>0</v>
          </cell>
          <cell r="F59">
            <v>21067.64</v>
          </cell>
        </row>
        <row r="60">
          <cell r="D60">
            <v>39999.96</v>
          </cell>
          <cell r="F60"/>
        </row>
        <row r="61">
          <cell r="D61">
            <v>16802.080000000002</v>
          </cell>
          <cell r="F61">
            <v>-16802.080000000002</v>
          </cell>
        </row>
        <row r="62">
          <cell r="D62">
            <v>9607.6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3111.22</v>
          </cell>
          <cell r="F65">
            <v>2689.32</v>
          </cell>
        </row>
        <row r="66">
          <cell r="D66">
            <v>49067.69</v>
          </cell>
          <cell r="F66">
            <v>-43401.68</v>
          </cell>
        </row>
        <row r="67">
          <cell r="D67">
            <v>55344.45</v>
          </cell>
          <cell r="F67">
            <v>17281.330000000002</v>
          </cell>
        </row>
        <row r="68">
          <cell r="D68">
            <v>0</v>
          </cell>
          <cell r="F68"/>
        </row>
        <row r="69">
          <cell r="D69">
            <v>0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39582.639999999999</v>
          </cell>
          <cell r="F75"/>
        </row>
        <row r="76">
          <cell r="D76">
            <v>5541.14</v>
          </cell>
          <cell r="F76"/>
        </row>
        <row r="77">
          <cell r="D77">
            <v>6961.05</v>
          </cell>
          <cell r="F77"/>
        </row>
        <row r="78">
          <cell r="D78">
            <v>0</v>
          </cell>
          <cell r="F78"/>
        </row>
        <row r="79">
          <cell r="D79">
            <v>8205.18</v>
          </cell>
          <cell r="F79"/>
        </row>
        <row r="80">
          <cell r="D80">
            <v>8207.3799999999992</v>
          </cell>
          <cell r="F80"/>
        </row>
        <row r="81">
          <cell r="D81">
            <v>3445.88</v>
          </cell>
          <cell r="F81"/>
        </row>
        <row r="82">
          <cell r="D82">
            <v>3272.17</v>
          </cell>
          <cell r="F82"/>
        </row>
        <row r="83">
          <cell r="D83">
            <v>0</v>
          </cell>
          <cell r="F83"/>
        </row>
        <row r="84">
          <cell r="D84">
            <v>67582.429999999993</v>
          </cell>
          <cell r="F84"/>
        </row>
        <row r="85">
          <cell r="D85">
            <v>0</v>
          </cell>
          <cell r="F85"/>
        </row>
        <row r="89">
          <cell r="D89">
            <v>180036.06</v>
          </cell>
          <cell r="F89"/>
        </row>
        <row r="90">
          <cell r="D90">
            <v>29455.05</v>
          </cell>
          <cell r="F90"/>
        </row>
        <row r="91">
          <cell r="D91">
            <v>15057.21</v>
          </cell>
          <cell r="F91"/>
        </row>
        <row r="92">
          <cell r="D92">
            <v>132807.10999999999</v>
          </cell>
          <cell r="F92"/>
        </row>
        <row r="93">
          <cell r="D93">
            <v>8607.43</v>
          </cell>
          <cell r="F93"/>
        </row>
        <row r="94">
          <cell r="D94">
            <v>615.25</v>
          </cell>
          <cell r="F94"/>
        </row>
        <row r="98">
          <cell r="D98">
            <v>300.13</v>
          </cell>
          <cell r="F98"/>
        </row>
        <row r="99">
          <cell r="D99">
            <v>1014.28</v>
          </cell>
          <cell r="F99"/>
        </row>
        <row r="100">
          <cell r="D100">
            <v>0</v>
          </cell>
          <cell r="F100"/>
        </row>
        <row r="101">
          <cell r="D101">
            <v>268.54000000000002</v>
          </cell>
          <cell r="F101"/>
        </row>
        <row r="102">
          <cell r="D102">
            <v>2578.19</v>
          </cell>
          <cell r="F102"/>
        </row>
        <row r="103">
          <cell r="D103"/>
          <cell r="F103"/>
        </row>
        <row r="115">
          <cell r="D115">
            <v>95363.6</v>
          </cell>
          <cell r="F115"/>
        </row>
        <row r="116">
          <cell r="D116">
            <v>19650.8</v>
          </cell>
          <cell r="F116"/>
        </row>
        <row r="117">
          <cell r="D117">
            <v>18322.37</v>
          </cell>
          <cell r="F117"/>
        </row>
        <row r="118">
          <cell r="D118">
            <v>190.93</v>
          </cell>
          <cell r="F118"/>
        </row>
        <row r="119">
          <cell r="D119">
            <v>366.4</v>
          </cell>
          <cell r="F119"/>
        </row>
        <row r="124">
          <cell r="D124"/>
          <cell r="F124"/>
        </row>
        <row r="125">
          <cell r="D125"/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235792.63</v>
          </cell>
          <cell r="F128"/>
        </row>
        <row r="130">
          <cell r="D130"/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32933.870000000003</v>
          </cell>
          <cell r="F134"/>
        </row>
        <row r="136">
          <cell r="D136">
            <v>439018.85</v>
          </cell>
          <cell r="F136"/>
        </row>
        <row r="137">
          <cell r="D137">
            <v>99553.46</v>
          </cell>
          <cell r="F137"/>
        </row>
        <row r="138">
          <cell r="D138">
            <v>556469.9</v>
          </cell>
          <cell r="F138"/>
        </row>
        <row r="139">
          <cell r="D139">
            <v>43114.48</v>
          </cell>
          <cell r="F139"/>
        </row>
        <row r="141">
          <cell r="D141">
            <v>74320.14</v>
          </cell>
          <cell r="F141"/>
        </row>
        <row r="142">
          <cell r="D142">
            <v>16722.03</v>
          </cell>
          <cell r="F142"/>
        </row>
        <row r="143">
          <cell r="D143">
            <v>94758.18</v>
          </cell>
          <cell r="F143"/>
        </row>
        <row r="144">
          <cell r="D144">
            <v>4974.47</v>
          </cell>
          <cell r="F144"/>
        </row>
        <row r="146">
          <cell r="D146">
            <v>149790.44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/>
          <cell r="F150"/>
        </row>
        <row r="151">
          <cell r="D151">
            <v>88009.06</v>
          </cell>
          <cell r="F151"/>
        </row>
        <row r="152">
          <cell r="D152">
            <v>1580.92</v>
          </cell>
          <cell r="F152"/>
        </row>
        <row r="153">
          <cell r="D153">
            <v>19178.14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1745</v>
          </cell>
          <cell r="F160"/>
        </row>
        <row r="161">
          <cell r="D161">
            <v>29379.8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204469.91</v>
          </cell>
          <cell r="F194">
            <v>-3980.09</v>
          </cell>
        </row>
        <row r="195">
          <cell r="D195">
            <v>45795.83</v>
          </cell>
          <cell r="F195">
            <v>-893.49</v>
          </cell>
        </row>
        <row r="196">
          <cell r="D196"/>
          <cell r="F196"/>
        </row>
        <row r="197">
          <cell r="D197">
            <v>167994.78</v>
          </cell>
          <cell r="F197">
            <v>-3249.06</v>
          </cell>
        </row>
        <row r="198">
          <cell r="D198">
            <v>23593.75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223831.21</v>
          </cell>
          <cell r="F205">
            <v>-63375.06</v>
          </cell>
        </row>
        <row r="206">
          <cell r="D206">
            <v>7594.56</v>
          </cell>
          <cell r="F206"/>
        </row>
        <row r="207">
          <cell r="D207">
            <v>34894.43</v>
          </cell>
          <cell r="F207"/>
        </row>
        <row r="211">
          <cell r="D211">
            <v>88547.59</v>
          </cell>
          <cell r="F211"/>
        </row>
        <row r="212">
          <cell r="D212">
            <v>16228.35</v>
          </cell>
          <cell r="F212"/>
        </row>
        <row r="213">
          <cell r="D213">
            <v>10081.36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4656.68</v>
          </cell>
          <cell r="F216"/>
        </row>
        <row r="221">
          <cell r="D221">
            <v>5247787.1500000004</v>
          </cell>
        </row>
      </sheetData>
      <sheetData sheetId="8"/>
      <sheetData sheetId="9"/>
      <sheetData sheetId="10">
        <row r="9">
          <cell r="C9">
            <v>10850</v>
          </cell>
          <cell r="D9">
            <v>0</v>
          </cell>
          <cell r="E9">
            <v>1732</v>
          </cell>
          <cell r="F9">
            <v>1091</v>
          </cell>
          <cell r="G9">
            <v>0</v>
          </cell>
          <cell r="H9">
            <v>3199</v>
          </cell>
          <cell r="I9">
            <v>1885</v>
          </cell>
          <cell r="J9">
            <v>707</v>
          </cell>
          <cell r="K9">
            <v>0</v>
          </cell>
        </row>
        <row r="22">
          <cell r="N22">
            <v>61</v>
          </cell>
        </row>
        <row r="24">
          <cell r="N24">
            <v>61</v>
          </cell>
        </row>
        <row r="28">
          <cell r="N28">
            <v>22326</v>
          </cell>
        </row>
        <row r="30">
          <cell r="N30">
            <v>0.87180865358774517</v>
          </cell>
        </row>
        <row r="32">
          <cell r="N32">
            <v>0.48598047119949833</v>
          </cell>
        </row>
        <row r="34">
          <cell r="N34">
            <v>0.55743937525688447</v>
          </cell>
        </row>
      </sheetData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1746682.2399999998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2066258.2999999998</v>
          </cell>
          <cell r="G21">
            <v>0</v>
          </cell>
        </row>
        <row r="27">
          <cell r="E27">
            <v>443041.81999999995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906514.14</v>
          </cell>
          <cell r="G37">
            <v>0</v>
          </cell>
        </row>
        <row r="42">
          <cell r="E42">
            <v>0</v>
          </cell>
          <cell r="G42">
            <v>295003</v>
          </cell>
        </row>
        <row r="47">
          <cell r="E47">
            <v>776169.79</v>
          </cell>
          <cell r="G47">
            <v>-295003</v>
          </cell>
        </row>
        <row r="52">
          <cell r="E52">
            <v>0</v>
          </cell>
          <cell r="G52">
            <v>0</v>
          </cell>
        </row>
        <row r="67">
          <cell r="E67">
            <v>42104.210000000006</v>
          </cell>
          <cell r="G67">
            <v>25861.71</v>
          </cell>
        </row>
        <row r="85">
          <cell r="C85">
            <v>197.45588102409636</v>
          </cell>
          <cell r="E85">
            <v>264.25118306351186</v>
          </cell>
          <cell r="G85">
            <v>226.5943775100402</v>
          </cell>
          <cell r="I85">
            <v>233.76107587768973</v>
          </cell>
        </row>
      </sheetData>
      <sheetData sheetId="6"/>
      <sheetData sheetId="7">
        <row r="10">
          <cell r="D10"/>
          <cell r="F10">
            <v>106601.39</v>
          </cell>
        </row>
        <row r="11">
          <cell r="D11"/>
          <cell r="F11">
            <v>0</v>
          </cell>
        </row>
        <row r="12">
          <cell r="D12">
            <v>157755.43</v>
          </cell>
          <cell r="F12"/>
        </row>
        <row r="13">
          <cell r="D13">
            <v>46685.13</v>
          </cell>
          <cell r="F13">
            <v>12252.14</v>
          </cell>
        </row>
        <row r="14">
          <cell r="D14">
            <v>27.76</v>
          </cell>
          <cell r="F14"/>
        </row>
        <row r="15">
          <cell r="D15"/>
          <cell r="F15"/>
        </row>
        <row r="16">
          <cell r="D16">
            <v>331473</v>
          </cell>
          <cell r="F16">
            <v>-119264</v>
          </cell>
        </row>
        <row r="17">
          <cell r="D17">
            <v>23476.42</v>
          </cell>
          <cell r="F17">
            <v>-23476.42</v>
          </cell>
        </row>
        <row r="18">
          <cell r="D18">
            <v>17282.55</v>
          </cell>
          <cell r="F18"/>
        </row>
        <row r="19">
          <cell r="D19">
            <v>33894.82</v>
          </cell>
          <cell r="F19"/>
        </row>
        <row r="20">
          <cell r="D20">
            <v>11186.12</v>
          </cell>
          <cell r="F20"/>
        </row>
        <row r="21">
          <cell r="D21">
            <v>40485</v>
          </cell>
          <cell r="F21"/>
        </row>
        <row r="22">
          <cell r="D22"/>
          <cell r="F22"/>
        </row>
        <row r="23">
          <cell r="D23">
            <v>15052.13</v>
          </cell>
          <cell r="F23"/>
        </row>
        <row r="24">
          <cell r="D24">
            <v>34313.800000000003</v>
          </cell>
          <cell r="F24">
            <v>26062.69</v>
          </cell>
        </row>
        <row r="25">
          <cell r="D25"/>
          <cell r="F25"/>
        </row>
        <row r="26">
          <cell r="D26">
            <v>345808.32</v>
          </cell>
          <cell r="F26"/>
        </row>
        <row r="27">
          <cell r="D27">
            <v>59491.26</v>
          </cell>
          <cell r="F27">
            <v>25861.71</v>
          </cell>
        </row>
        <row r="28">
          <cell r="D28"/>
          <cell r="F28">
            <v>0</v>
          </cell>
        </row>
        <row r="29">
          <cell r="D29">
            <v>109391.8</v>
          </cell>
          <cell r="F29">
            <v>-109391.8</v>
          </cell>
        </row>
        <row r="30">
          <cell r="D30"/>
          <cell r="F30">
            <v>0</v>
          </cell>
        </row>
        <row r="31">
          <cell r="D31">
            <v>2431.4299999999998</v>
          </cell>
          <cell r="F31"/>
        </row>
        <row r="32">
          <cell r="D32"/>
          <cell r="F32">
            <v>9519.18</v>
          </cell>
        </row>
        <row r="33">
          <cell r="D33">
            <v>-0.04</v>
          </cell>
          <cell r="F33">
            <v>0.04</v>
          </cell>
        </row>
        <row r="34">
          <cell r="D34"/>
          <cell r="F34"/>
        </row>
        <row r="35">
          <cell r="D35">
            <v>5299.64</v>
          </cell>
          <cell r="F35">
            <v>-5299.64</v>
          </cell>
        </row>
        <row r="36">
          <cell r="D36"/>
          <cell r="F36"/>
        </row>
        <row r="37">
          <cell r="D37"/>
          <cell r="F37"/>
        </row>
        <row r="38">
          <cell r="D38">
            <v>6.39</v>
          </cell>
          <cell r="F38"/>
        </row>
        <row r="39">
          <cell r="D39">
            <v>435.39</v>
          </cell>
          <cell r="F39"/>
        </row>
        <row r="40">
          <cell r="D40">
            <v>41755.81</v>
          </cell>
          <cell r="F40"/>
        </row>
        <row r="41">
          <cell r="D41">
            <v>61289.06</v>
          </cell>
          <cell r="F41">
            <v>-5985.95</v>
          </cell>
        </row>
        <row r="42">
          <cell r="D42">
            <v>1124.45</v>
          </cell>
          <cell r="F42"/>
        </row>
        <row r="43">
          <cell r="D43"/>
          <cell r="F43"/>
        </row>
        <row r="44">
          <cell r="D44"/>
          <cell r="F44"/>
        </row>
        <row r="45">
          <cell r="D45">
            <v>110619.92</v>
          </cell>
          <cell r="F45">
            <v>-118853.53</v>
          </cell>
        </row>
        <row r="57">
          <cell r="D57">
            <v>599040</v>
          </cell>
          <cell r="F57"/>
        </row>
        <row r="58">
          <cell r="D58">
            <v>17231.07</v>
          </cell>
          <cell r="F58"/>
        </row>
        <row r="59">
          <cell r="D59"/>
          <cell r="F59"/>
        </row>
        <row r="60">
          <cell r="D60">
            <v>63785.9</v>
          </cell>
          <cell r="F60"/>
        </row>
        <row r="61">
          <cell r="D61">
            <v>9519.18</v>
          </cell>
          <cell r="F61">
            <v>-9519.18</v>
          </cell>
        </row>
        <row r="62">
          <cell r="D62">
            <v>8513.5499999999993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263.60000000000002</v>
          </cell>
          <cell r="F65"/>
        </row>
        <row r="66">
          <cell r="D66">
            <v>59708.88</v>
          </cell>
          <cell r="F66">
            <v>-31720.560000000001</v>
          </cell>
        </row>
        <row r="67">
          <cell r="D67">
            <v>20414.52</v>
          </cell>
          <cell r="F67"/>
        </row>
        <row r="68">
          <cell r="D68"/>
          <cell r="F68"/>
        </row>
        <row r="69">
          <cell r="D69">
            <v>1295.28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40941.230000000003</v>
          </cell>
          <cell r="F75"/>
        </row>
        <row r="76">
          <cell r="D76">
            <v>4152.01</v>
          </cell>
          <cell r="F76"/>
        </row>
        <row r="77">
          <cell r="D77">
            <v>4509.55</v>
          </cell>
          <cell r="F77"/>
        </row>
        <row r="78">
          <cell r="D78"/>
          <cell r="F78"/>
        </row>
        <row r="79">
          <cell r="D79">
            <v>16393.919999999998</v>
          </cell>
          <cell r="F79"/>
        </row>
        <row r="80">
          <cell r="D80">
            <v>35820.14</v>
          </cell>
          <cell r="F80"/>
        </row>
        <row r="81">
          <cell r="D81">
            <v>14200.42</v>
          </cell>
          <cell r="F81"/>
        </row>
        <row r="82">
          <cell r="D82">
            <v>13317.78</v>
          </cell>
          <cell r="F82"/>
        </row>
        <row r="83">
          <cell r="D83"/>
          <cell r="F83"/>
        </row>
        <row r="84">
          <cell r="D84">
            <v>111718.75</v>
          </cell>
          <cell r="F84"/>
        </row>
        <row r="85">
          <cell r="D85">
            <v>120.82</v>
          </cell>
          <cell r="F85"/>
        </row>
        <row r="89">
          <cell r="D89">
            <v>205132.45</v>
          </cell>
          <cell r="F89"/>
        </row>
        <row r="90">
          <cell r="D90">
            <v>36019.82</v>
          </cell>
          <cell r="F90"/>
        </row>
        <row r="91">
          <cell r="D91">
            <v>14674.01</v>
          </cell>
          <cell r="F91"/>
        </row>
        <row r="92">
          <cell r="D92">
            <v>198991.25</v>
          </cell>
          <cell r="F92"/>
        </row>
        <row r="93">
          <cell r="D93">
            <v>28846.16</v>
          </cell>
          <cell r="F93"/>
        </row>
        <row r="94">
          <cell r="D94">
            <v>111.95</v>
          </cell>
          <cell r="F94"/>
        </row>
        <row r="98">
          <cell r="D98">
            <v>29348.71</v>
          </cell>
          <cell r="F98"/>
        </row>
        <row r="99">
          <cell r="D99">
            <v>4343.8</v>
          </cell>
          <cell r="F99"/>
        </row>
        <row r="100">
          <cell r="D100">
            <v>7773.78</v>
          </cell>
          <cell r="F100"/>
        </row>
        <row r="101">
          <cell r="D101"/>
          <cell r="F101"/>
        </row>
        <row r="102">
          <cell r="D102">
            <v>6019.46</v>
          </cell>
          <cell r="F102"/>
        </row>
        <row r="103">
          <cell r="D103"/>
          <cell r="F103"/>
        </row>
        <row r="115">
          <cell r="D115">
            <v>127580.94</v>
          </cell>
          <cell r="F115"/>
        </row>
        <row r="116">
          <cell r="D116">
            <v>14281.51</v>
          </cell>
          <cell r="F116"/>
        </row>
        <row r="117">
          <cell r="D117">
            <v>12854.98</v>
          </cell>
          <cell r="F117"/>
        </row>
        <row r="118">
          <cell r="D118">
            <v>149.9</v>
          </cell>
          <cell r="F118"/>
        </row>
        <row r="119">
          <cell r="D119">
            <v>338.37</v>
          </cell>
          <cell r="F119"/>
        </row>
        <row r="124">
          <cell r="D124"/>
          <cell r="F124"/>
        </row>
        <row r="125">
          <cell r="D125"/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266792.12</v>
          </cell>
          <cell r="F128"/>
        </row>
        <row r="130">
          <cell r="D130"/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70186.48</v>
          </cell>
          <cell r="F134"/>
        </row>
        <row r="136">
          <cell r="D136">
            <v>359095.7</v>
          </cell>
          <cell r="F136"/>
        </row>
        <row r="137">
          <cell r="D137">
            <v>282000.15999999997</v>
          </cell>
          <cell r="F137"/>
        </row>
        <row r="138">
          <cell r="D138">
            <v>578550.15</v>
          </cell>
          <cell r="F138"/>
        </row>
        <row r="139">
          <cell r="D139">
            <v>37040.17</v>
          </cell>
          <cell r="F139"/>
        </row>
        <row r="141">
          <cell r="D141">
            <v>78262.3</v>
          </cell>
          <cell r="F141"/>
        </row>
        <row r="142">
          <cell r="D142">
            <v>60001.1</v>
          </cell>
          <cell r="F142"/>
        </row>
        <row r="143">
          <cell r="D143">
            <v>122610.94</v>
          </cell>
          <cell r="F143"/>
        </row>
        <row r="144">
          <cell r="D144">
            <v>7266.98</v>
          </cell>
          <cell r="F144"/>
        </row>
        <row r="146">
          <cell r="D146">
            <v>41100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1105</v>
          </cell>
          <cell r="F150"/>
        </row>
        <row r="151">
          <cell r="D151">
            <v>158149.46</v>
          </cell>
          <cell r="F151"/>
        </row>
        <row r="152">
          <cell r="D152">
            <v>863.04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2942.61</v>
          </cell>
          <cell r="F160"/>
        </row>
        <row r="161">
          <cell r="D161">
            <v>23232.1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322306.65000000002</v>
          </cell>
          <cell r="F194">
            <v>-5828.51</v>
          </cell>
        </row>
        <row r="195">
          <cell r="D195">
            <v>8269.84</v>
          </cell>
          <cell r="F195">
            <v>-114.28</v>
          </cell>
        </row>
        <row r="196">
          <cell r="D196"/>
          <cell r="F196"/>
        </row>
        <row r="197">
          <cell r="D197">
            <v>305244.34000000003</v>
          </cell>
          <cell r="F197">
            <v>-5599.95</v>
          </cell>
        </row>
        <row r="198">
          <cell r="D198">
            <v>31501.19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311010.13</v>
          </cell>
          <cell r="F205"/>
        </row>
        <row r="206">
          <cell r="D206">
            <v>7922.06</v>
          </cell>
          <cell r="F206"/>
        </row>
        <row r="207">
          <cell r="D207">
            <v>-15427.17</v>
          </cell>
          <cell r="F207"/>
        </row>
        <row r="211">
          <cell r="D211">
            <v>78883.570000000007</v>
          </cell>
          <cell r="F211"/>
        </row>
        <row r="212">
          <cell r="D212">
            <v>23993.07</v>
          </cell>
          <cell r="F212"/>
        </row>
        <row r="213">
          <cell r="D213">
            <v>4138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4961.67</v>
          </cell>
          <cell r="F216"/>
        </row>
        <row r="221">
          <cell r="D221">
            <v>6328700.9400000004</v>
          </cell>
        </row>
      </sheetData>
      <sheetData sheetId="8"/>
      <sheetData sheetId="9"/>
      <sheetData sheetId="10">
        <row r="9">
          <cell r="C9">
            <v>10756</v>
          </cell>
          <cell r="D9">
            <v>0</v>
          </cell>
          <cell r="E9">
            <v>4215</v>
          </cell>
          <cell r="F9">
            <v>1385</v>
          </cell>
          <cell r="G9">
            <v>0</v>
          </cell>
          <cell r="H9">
            <v>4010</v>
          </cell>
          <cell r="I9">
            <v>1570</v>
          </cell>
          <cell r="J9">
            <v>2603</v>
          </cell>
          <cell r="K9">
            <v>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43920</v>
          </cell>
        </row>
        <row r="30">
          <cell r="N30">
            <v>0.55872040072859741</v>
          </cell>
        </row>
        <row r="32">
          <cell r="N32">
            <v>0.24489981785063752</v>
          </cell>
        </row>
        <row r="34">
          <cell r="N34">
            <v>0.43832267003545378</v>
          </cell>
        </row>
      </sheetData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1064670.9899999998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532845.71</v>
          </cell>
          <cell r="G21">
            <v>0</v>
          </cell>
        </row>
        <row r="27">
          <cell r="E27">
            <v>189380.91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403399.20999999996</v>
          </cell>
          <cell r="G37">
            <v>0</v>
          </cell>
        </row>
        <row r="42">
          <cell r="E42">
            <v>0</v>
          </cell>
          <cell r="G42">
            <v>42408.160000000003</v>
          </cell>
        </row>
        <row r="47">
          <cell r="E47">
            <v>82100.260000000009</v>
          </cell>
          <cell r="G47">
            <v>-42408.160000000003</v>
          </cell>
        </row>
        <row r="52">
          <cell r="E52">
            <v>0</v>
          </cell>
          <cell r="G52">
            <v>0</v>
          </cell>
        </row>
        <row r="67">
          <cell r="E67">
            <v>377373.92</v>
          </cell>
          <cell r="G67">
            <v>0</v>
          </cell>
        </row>
        <row r="85">
          <cell r="C85">
            <v>272.23971246006391</v>
          </cell>
          <cell r="E85">
            <v>62.817772151898744</v>
          </cell>
          <cell r="G85">
            <v>272.01380952380953</v>
          </cell>
          <cell r="I85">
            <v>268.24927536231883</v>
          </cell>
        </row>
      </sheetData>
      <sheetData sheetId="6"/>
      <sheetData sheetId="7">
        <row r="10">
          <cell r="D10"/>
          <cell r="F10">
            <v>72563</v>
          </cell>
        </row>
        <row r="11">
          <cell r="D11"/>
          <cell r="F11"/>
        </row>
        <row r="12">
          <cell r="D12">
            <v>34960.93</v>
          </cell>
          <cell r="F12"/>
        </row>
        <row r="13">
          <cell r="D13">
            <v>7260.71</v>
          </cell>
          <cell r="F13">
            <v>17760</v>
          </cell>
        </row>
        <row r="14">
          <cell r="D14"/>
          <cell r="F14"/>
        </row>
        <row r="15">
          <cell r="D15"/>
          <cell r="F15"/>
        </row>
        <row r="16">
          <cell r="D16">
            <v>128836</v>
          </cell>
          <cell r="F16">
            <v>-15860</v>
          </cell>
        </row>
        <row r="17">
          <cell r="D17">
            <v>13028.05</v>
          </cell>
          <cell r="F17">
            <v>-13028.05</v>
          </cell>
        </row>
        <row r="18">
          <cell r="D18">
            <v>12651.2</v>
          </cell>
          <cell r="F18"/>
        </row>
        <row r="19">
          <cell r="D19">
            <v>16303.98</v>
          </cell>
          <cell r="F19"/>
        </row>
        <row r="20">
          <cell r="D20">
            <v>8532.67</v>
          </cell>
          <cell r="F20"/>
        </row>
        <row r="21">
          <cell r="D21">
            <v>34947.629999999997</v>
          </cell>
          <cell r="F21"/>
        </row>
        <row r="22">
          <cell r="D22"/>
          <cell r="F22"/>
        </row>
        <row r="23">
          <cell r="D23">
            <v>10269.18</v>
          </cell>
          <cell r="F23"/>
        </row>
        <row r="24">
          <cell r="D24">
            <v>38235.54</v>
          </cell>
          <cell r="F24">
            <v>21627.11</v>
          </cell>
        </row>
        <row r="25">
          <cell r="D25"/>
          <cell r="F25"/>
        </row>
        <row r="26">
          <cell r="D26">
            <v>161435.84</v>
          </cell>
          <cell r="F26"/>
        </row>
        <row r="27">
          <cell r="D27">
            <v>1479.67</v>
          </cell>
          <cell r="F27"/>
        </row>
        <row r="28">
          <cell r="D28"/>
          <cell r="F28">
            <v>0</v>
          </cell>
        </row>
        <row r="29">
          <cell r="D29">
            <v>149032.20000000001</v>
          </cell>
          <cell r="F29">
            <v>-149032.20000000001</v>
          </cell>
        </row>
        <row r="30">
          <cell r="D30"/>
          <cell r="F30">
            <v>0</v>
          </cell>
        </row>
        <row r="31">
          <cell r="D31">
            <v>712.36</v>
          </cell>
          <cell r="F31"/>
        </row>
        <row r="32">
          <cell r="D32">
            <v>-425.23</v>
          </cell>
          <cell r="F32">
            <v>10827.26</v>
          </cell>
        </row>
        <row r="33">
          <cell r="D33">
            <v>0</v>
          </cell>
          <cell r="F33">
            <v>0</v>
          </cell>
        </row>
        <row r="34">
          <cell r="D34"/>
          <cell r="F34"/>
        </row>
        <row r="35">
          <cell r="D35">
            <v>433.98</v>
          </cell>
          <cell r="F35">
            <v>-433.98</v>
          </cell>
        </row>
        <row r="36">
          <cell r="D36"/>
          <cell r="F36"/>
        </row>
        <row r="37">
          <cell r="D37"/>
          <cell r="F37"/>
        </row>
        <row r="38">
          <cell r="D38">
            <v>397.81</v>
          </cell>
          <cell r="F38"/>
        </row>
        <row r="39">
          <cell r="D39">
            <v>1985.55</v>
          </cell>
          <cell r="F39"/>
        </row>
        <row r="40">
          <cell r="D40">
            <v>11589.23</v>
          </cell>
          <cell r="F40"/>
        </row>
        <row r="41">
          <cell r="D41">
            <v>33038.300000000003</v>
          </cell>
          <cell r="F41">
            <v>-2954.91</v>
          </cell>
        </row>
        <row r="42">
          <cell r="D42">
            <v>1397.91</v>
          </cell>
          <cell r="F42"/>
        </row>
        <row r="43">
          <cell r="D43"/>
          <cell r="F43"/>
        </row>
        <row r="44">
          <cell r="D44"/>
          <cell r="F44"/>
        </row>
        <row r="45">
          <cell r="D45">
            <v>99664.639999999999</v>
          </cell>
          <cell r="F45">
            <v>-90323.48</v>
          </cell>
        </row>
        <row r="57">
          <cell r="D57">
            <v>69600</v>
          </cell>
          <cell r="F57">
            <v>-69600</v>
          </cell>
        </row>
        <row r="58">
          <cell r="D58">
            <v>13104.66</v>
          </cell>
          <cell r="F58">
            <v>25832.04</v>
          </cell>
        </row>
        <row r="59">
          <cell r="D59"/>
          <cell r="F59">
            <v>55365.22</v>
          </cell>
        </row>
        <row r="60">
          <cell r="D60"/>
          <cell r="F60"/>
        </row>
        <row r="61">
          <cell r="D61">
            <v>10827.26</v>
          </cell>
          <cell r="F61">
            <v>-10827.26</v>
          </cell>
        </row>
        <row r="62">
          <cell r="D62">
            <v>7851.1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563.69000000000005</v>
          </cell>
          <cell r="F65"/>
        </row>
        <row r="66">
          <cell r="D66">
            <v>26211.05</v>
          </cell>
          <cell r="F66">
            <v>-26211.05</v>
          </cell>
        </row>
        <row r="67">
          <cell r="D67">
            <v>42486.05</v>
          </cell>
          <cell r="F67"/>
        </row>
        <row r="68">
          <cell r="D68"/>
          <cell r="F68"/>
        </row>
        <row r="69">
          <cell r="D69">
            <v>1750.08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27823.34</v>
          </cell>
          <cell r="F75"/>
        </row>
        <row r="76">
          <cell r="D76">
            <v>2300.56</v>
          </cell>
          <cell r="F76"/>
        </row>
        <row r="77">
          <cell r="D77">
            <v>3357.81</v>
          </cell>
          <cell r="F77"/>
        </row>
        <row r="78">
          <cell r="D78"/>
          <cell r="F78"/>
        </row>
        <row r="79">
          <cell r="D79">
            <v>11529.64</v>
          </cell>
          <cell r="F79"/>
        </row>
        <row r="80">
          <cell r="D80">
            <v>4716.2299999999996</v>
          </cell>
          <cell r="F80"/>
        </row>
        <row r="81">
          <cell r="D81">
            <v>2495.35</v>
          </cell>
          <cell r="F81"/>
        </row>
        <row r="82">
          <cell r="D82">
            <v>4924.2299999999996</v>
          </cell>
          <cell r="F82"/>
        </row>
        <row r="83">
          <cell r="D83"/>
          <cell r="F83"/>
        </row>
        <row r="84">
          <cell r="D84">
            <v>35631.74</v>
          </cell>
          <cell r="F84"/>
        </row>
        <row r="85">
          <cell r="D85">
            <v>129</v>
          </cell>
          <cell r="F85"/>
        </row>
        <row r="89">
          <cell r="D89">
            <v>125526.27</v>
          </cell>
          <cell r="F89"/>
        </row>
        <row r="90">
          <cell r="D90">
            <v>20882.310000000001</v>
          </cell>
          <cell r="F90"/>
        </row>
        <row r="91">
          <cell r="D91">
            <v>9536.4500000000007</v>
          </cell>
          <cell r="F91"/>
        </row>
        <row r="92">
          <cell r="D92">
            <v>75829.990000000005</v>
          </cell>
          <cell r="F92"/>
        </row>
        <row r="93">
          <cell r="D93">
            <v>5740.59</v>
          </cell>
          <cell r="F93"/>
        </row>
        <row r="94">
          <cell r="D94">
            <v>486</v>
          </cell>
          <cell r="F94"/>
        </row>
        <row r="98">
          <cell r="D98">
            <v>10729.05</v>
          </cell>
          <cell r="F98"/>
        </row>
        <row r="99">
          <cell r="D99">
            <v>1205.1199999999999</v>
          </cell>
          <cell r="F99"/>
        </row>
        <row r="100">
          <cell r="D100">
            <v>103.59</v>
          </cell>
          <cell r="F100"/>
        </row>
        <row r="101">
          <cell r="D101">
            <v>380.89</v>
          </cell>
          <cell r="F101"/>
        </row>
        <row r="102">
          <cell r="D102">
            <v>5163.12</v>
          </cell>
          <cell r="F102"/>
        </row>
        <row r="103">
          <cell r="D103">
            <v>-230.13</v>
          </cell>
          <cell r="F103"/>
        </row>
        <row r="115">
          <cell r="D115">
            <v>47686.5</v>
          </cell>
          <cell r="F115"/>
        </row>
        <row r="116">
          <cell r="D116">
            <v>5123.82</v>
          </cell>
          <cell r="F116"/>
        </row>
        <row r="117">
          <cell r="D117">
            <v>3094.57</v>
          </cell>
          <cell r="F117"/>
        </row>
        <row r="118">
          <cell r="D118">
            <v>652.5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/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113521.84</v>
          </cell>
          <cell r="F128"/>
        </row>
        <row r="130">
          <cell r="D130"/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16464.48</v>
          </cell>
          <cell r="F134"/>
        </row>
        <row r="136">
          <cell r="D136">
            <v>157167.26999999999</v>
          </cell>
          <cell r="F136"/>
        </row>
        <row r="137">
          <cell r="D137">
            <v>115028.71</v>
          </cell>
          <cell r="F137"/>
        </row>
        <row r="138">
          <cell r="D138">
            <v>251833.2</v>
          </cell>
          <cell r="F138"/>
        </row>
        <row r="139">
          <cell r="D139">
            <v>22014.39</v>
          </cell>
          <cell r="F139"/>
        </row>
        <row r="141">
          <cell r="D141">
            <v>23807.39</v>
          </cell>
          <cell r="F141"/>
        </row>
        <row r="142">
          <cell r="D142">
            <v>17458.75</v>
          </cell>
          <cell r="F142"/>
        </row>
        <row r="143">
          <cell r="D143">
            <v>38091.82</v>
          </cell>
          <cell r="F143"/>
        </row>
        <row r="144">
          <cell r="D144">
            <v>4001.67</v>
          </cell>
          <cell r="F144"/>
        </row>
        <row r="146">
          <cell r="D146">
            <v>9600</v>
          </cell>
          <cell r="F146"/>
        </row>
        <row r="147">
          <cell r="D147">
            <v>2650.16</v>
          </cell>
          <cell r="F147"/>
        </row>
        <row r="148">
          <cell r="D148">
            <v>528.5</v>
          </cell>
          <cell r="F148"/>
        </row>
        <row r="149">
          <cell r="D149">
            <v>118.3</v>
          </cell>
          <cell r="F149"/>
        </row>
        <row r="150">
          <cell r="D150">
            <v>2250</v>
          </cell>
          <cell r="F150"/>
        </row>
        <row r="151">
          <cell r="D151">
            <v>42356.07</v>
          </cell>
          <cell r="F151"/>
        </row>
        <row r="152">
          <cell r="D152">
            <v>206.02</v>
          </cell>
          <cell r="F152"/>
        </row>
        <row r="153">
          <cell r="D153">
            <v>15475.74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4495.37</v>
          </cell>
          <cell r="F160"/>
        </row>
        <row r="161">
          <cell r="D161">
            <v>24220.46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101387.31</v>
          </cell>
          <cell r="F194"/>
        </row>
        <row r="195">
          <cell r="D195">
            <v>4924.1000000000004</v>
          </cell>
          <cell r="F195"/>
        </row>
        <row r="196">
          <cell r="D196"/>
          <cell r="F196"/>
        </row>
        <row r="197">
          <cell r="D197">
            <v>93241.44</v>
          </cell>
          <cell r="F197"/>
        </row>
        <row r="198">
          <cell r="D198">
            <v>20011.27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99667.86</v>
          </cell>
          <cell r="F205">
            <v>-21200.29</v>
          </cell>
        </row>
        <row r="206">
          <cell r="D206">
            <v>3153.18</v>
          </cell>
          <cell r="F206"/>
        </row>
        <row r="207">
          <cell r="D207">
            <v>-221.41</v>
          </cell>
          <cell r="F207"/>
        </row>
        <row r="211">
          <cell r="D211">
            <v>31549.41</v>
          </cell>
          <cell r="F211"/>
        </row>
        <row r="212">
          <cell r="D212">
            <v>3330.13</v>
          </cell>
          <cell r="F212"/>
        </row>
        <row r="213">
          <cell r="D213">
            <v>7947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861.42</v>
          </cell>
          <cell r="F216"/>
        </row>
        <row r="221">
          <cell r="D221">
            <v>2570122.42</v>
          </cell>
        </row>
      </sheetData>
      <sheetData sheetId="8"/>
      <sheetData sheetId="9"/>
      <sheetData sheetId="10">
        <row r="9">
          <cell r="C9">
            <v>6402</v>
          </cell>
          <cell r="D9">
            <v>0</v>
          </cell>
          <cell r="E9">
            <v>1028</v>
          </cell>
          <cell r="F9">
            <v>551</v>
          </cell>
          <cell r="G9">
            <v>0</v>
          </cell>
          <cell r="H9">
            <v>1792</v>
          </cell>
          <cell r="I9">
            <v>239</v>
          </cell>
          <cell r="J9">
            <v>364</v>
          </cell>
          <cell r="K9">
            <v>9</v>
          </cell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16836</v>
          </cell>
        </row>
        <row r="30">
          <cell r="N30">
            <v>0.61683297695414585</v>
          </cell>
        </row>
        <row r="32">
          <cell r="N32">
            <v>0.38025659301496795</v>
          </cell>
        </row>
        <row r="34">
          <cell r="N34">
            <v>0.61646605681271072</v>
          </cell>
        </row>
      </sheetData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2100508</v>
          </cell>
          <cell r="G10">
            <v>-4095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884220</v>
          </cell>
          <cell r="G37">
            <v>0</v>
          </cell>
        </row>
        <row r="42">
          <cell r="E42">
            <v>9961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3169</v>
          </cell>
          <cell r="G67">
            <v>0</v>
          </cell>
        </row>
        <row r="85">
          <cell r="C85">
            <v>212.63923444976078</v>
          </cell>
          <cell r="E85">
            <v>218.09206660137122</v>
          </cell>
          <cell r="G85">
            <v>217.91578947368421</v>
          </cell>
          <cell r="I85">
            <v>220</v>
          </cell>
        </row>
      </sheetData>
      <sheetData sheetId="6"/>
      <sheetData sheetId="7">
        <row r="10">
          <cell r="D10">
            <v>132047</v>
          </cell>
          <cell r="F10"/>
        </row>
        <row r="11">
          <cell r="D11"/>
          <cell r="F11"/>
        </row>
        <row r="12">
          <cell r="D12">
            <v>129000</v>
          </cell>
          <cell r="F12"/>
        </row>
        <row r="13">
          <cell r="D13">
            <v>89274</v>
          </cell>
          <cell r="F13"/>
        </row>
        <row r="14">
          <cell r="D14"/>
          <cell r="F14"/>
        </row>
        <row r="15">
          <cell r="D15">
            <v>47442</v>
          </cell>
          <cell r="F15"/>
        </row>
        <row r="16">
          <cell r="D16"/>
          <cell r="F16"/>
        </row>
        <row r="17">
          <cell r="D17">
            <v>13642</v>
          </cell>
          <cell r="F17"/>
        </row>
        <row r="18">
          <cell r="D18">
            <v>5452</v>
          </cell>
          <cell r="F18"/>
        </row>
        <row r="19">
          <cell r="D19">
            <v>24461</v>
          </cell>
          <cell r="F19"/>
        </row>
        <row r="20">
          <cell r="D20">
            <v>6171</v>
          </cell>
          <cell r="F20"/>
        </row>
        <row r="21">
          <cell r="D21">
            <v>-22602</v>
          </cell>
          <cell r="F21"/>
        </row>
        <row r="22">
          <cell r="D22"/>
          <cell r="F22"/>
        </row>
        <row r="23">
          <cell r="D23">
            <v>3246</v>
          </cell>
          <cell r="F23"/>
        </row>
        <row r="24">
          <cell r="D24">
            <v>2129</v>
          </cell>
          <cell r="F24"/>
        </row>
        <row r="25">
          <cell r="D25"/>
          <cell r="F25"/>
        </row>
        <row r="26">
          <cell r="D26">
            <v>219551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/>
          <cell r="F29">
            <v>0</v>
          </cell>
        </row>
        <row r="30">
          <cell r="D30"/>
          <cell r="F30">
            <v>0</v>
          </cell>
        </row>
        <row r="31">
          <cell r="D31"/>
          <cell r="F31"/>
        </row>
        <row r="32">
          <cell r="D32">
            <v>6667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86</v>
          </cell>
          <cell r="F39"/>
        </row>
        <row r="40">
          <cell r="D40"/>
          <cell r="F40"/>
        </row>
        <row r="41">
          <cell r="D41"/>
          <cell r="F41"/>
        </row>
        <row r="42">
          <cell r="D42"/>
          <cell r="F42"/>
        </row>
        <row r="43">
          <cell r="D43">
            <v>5454</v>
          </cell>
          <cell r="F43"/>
        </row>
        <row r="44">
          <cell r="D44"/>
          <cell r="F44"/>
        </row>
        <row r="45">
          <cell r="D45">
            <v>1788</v>
          </cell>
          <cell r="F45"/>
        </row>
        <row r="57">
          <cell r="D57"/>
          <cell r="F57"/>
        </row>
        <row r="58">
          <cell r="D58">
            <v>256689</v>
          </cell>
          <cell r="F58"/>
        </row>
        <row r="59">
          <cell r="D59">
            <v>96606</v>
          </cell>
          <cell r="F59"/>
        </row>
        <row r="60">
          <cell r="D60"/>
          <cell r="F60"/>
        </row>
        <row r="61">
          <cell r="D61">
            <v>-200</v>
          </cell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1658</v>
          </cell>
          <cell r="F65"/>
        </row>
        <row r="66">
          <cell r="D66"/>
          <cell r="F66"/>
        </row>
        <row r="67">
          <cell r="D67">
            <v>33593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/>
          <cell r="F75"/>
        </row>
        <row r="76">
          <cell r="D76"/>
          <cell r="F76"/>
        </row>
        <row r="77">
          <cell r="D77">
            <v>52365</v>
          </cell>
          <cell r="F77"/>
        </row>
        <row r="78">
          <cell r="D78"/>
          <cell r="F78"/>
        </row>
        <row r="79">
          <cell r="D79">
            <v>18269</v>
          </cell>
          <cell r="F79"/>
        </row>
        <row r="80">
          <cell r="D80"/>
          <cell r="F80"/>
        </row>
        <row r="81">
          <cell r="D81">
            <v>32410</v>
          </cell>
          <cell r="F81"/>
        </row>
        <row r="82">
          <cell r="D82">
            <v>8103</v>
          </cell>
          <cell r="F82"/>
        </row>
        <row r="83">
          <cell r="D83"/>
          <cell r="F83"/>
        </row>
        <row r="84">
          <cell r="D84">
            <v>73567</v>
          </cell>
          <cell r="F84"/>
        </row>
        <row r="85">
          <cell r="D85"/>
          <cell r="F85"/>
        </row>
        <row r="89">
          <cell r="D89"/>
          <cell r="F89"/>
        </row>
        <row r="90">
          <cell r="D90"/>
          <cell r="F90"/>
        </row>
        <row r="91">
          <cell r="D91">
            <v>239428</v>
          </cell>
          <cell r="F91"/>
        </row>
        <row r="92">
          <cell r="D92">
            <v>15656</v>
          </cell>
          <cell r="F92"/>
        </row>
        <row r="93">
          <cell r="D93"/>
          <cell r="F93"/>
        </row>
        <row r="94">
          <cell r="D94"/>
          <cell r="F94"/>
        </row>
        <row r="98">
          <cell r="D98"/>
          <cell r="F98"/>
        </row>
        <row r="99">
          <cell r="D99"/>
          <cell r="F99"/>
        </row>
        <row r="100">
          <cell r="D100"/>
          <cell r="F100"/>
        </row>
        <row r="101">
          <cell r="D101">
            <v>43573</v>
          </cell>
          <cell r="F101"/>
        </row>
        <row r="102">
          <cell r="D102">
            <v>5053</v>
          </cell>
          <cell r="F102"/>
        </row>
        <row r="103">
          <cell r="D103"/>
          <cell r="F103"/>
        </row>
        <row r="115">
          <cell r="D115">
            <v>136268</v>
          </cell>
          <cell r="F115"/>
        </row>
        <row r="116">
          <cell r="D116">
            <v>49455</v>
          </cell>
          <cell r="F116"/>
        </row>
        <row r="117">
          <cell r="D117">
            <v>20440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>
            <v>74919</v>
          </cell>
          <cell r="F124"/>
        </row>
        <row r="125">
          <cell r="D125"/>
          <cell r="F125"/>
        </row>
        <row r="126">
          <cell r="D126"/>
          <cell r="F126"/>
        </row>
        <row r="127">
          <cell r="D127"/>
          <cell r="F127"/>
        </row>
        <row r="128">
          <cell r="D128"/>
          <cell r="F128"/>
        </row>
        <row r="130">
          <cell r="D130">
            <v>22122</v>
          </cell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590689</v>
          </cell>
          <cell r="F136"/>
        </row>
        <row r="137">
          <cell r="D137">
            <v>10436</v>
          </cell>
          <cell r="F137"/>
        </row>
        <row r="138">
          <cell r="D138">
            <v>642707</v>
          </cell>
          <cell r="F138"/>
        </row>
        <row r="139">
          <cell r="D139">
            <v>24012</v>
          </cell>
          <cell r="F139"/>
        </row>
        <row r="141">
          <cell r="D141">
            <v>138652</v>
          </cell>
          <cell r="F141"/>
        </row>
        <row r="142">
          <cell r="D142">
            <v>1116</v>
          </cell>
          <cell r="F142"/>
        </row>
        <row r="143">
          <cell r="D143">
            <v>191160</v>
          </cell>
          <cell r="F143"/>
        </row>
        <row r="144">
          <cell r="D144">
            <v>5464</v>
          </cell>
          <cell r="F144"/>
        </row>
        <row r="146">
          <cell r="D146"/>
          <cell r="F146"/>
        </row>
        <row r="147">
          <cell r="D147">
            <v>98784</v>
          </cell>
          <cell r="F147"/>
        </row>
        <row r="148">
          <cell r="D148"/>
          <cell r="F148"/>
        </row>
        <row r="149">
          <cell r="D149"/>
          <cell r="F149"/>
        </row>
        <row r="150">
          <cell r="D150"/>
          <cell r="F150"/>
        </row>
        <row r="151">
          <cell r="D151">
            <v>91455</v>
          </cell>
          <cell r="F151"/>
        </row>
        <row r="152">
          <cell r="D152">
            <v>10863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1960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>
            <v>5733</v>
          </cell>
          <cell r="F192"/>
        </row>
        <row r="193">
          <cell r="D193"/>
          <cell r="F193"/>
        </row>
        <row r="194">
          <cell r="D194"/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>
            <v>225</v>
          </cell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-9774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40477</v>
          </cell>
          <cell r="F211"/>
        </row>
        <row r="212">
          <cell r="D212">
            <v>14790</v>
          </cell>
          <cell r="F212"/>
        </row>
        <row r="213">
          <cell r="D213"/>
          <cell r="F213"/>
        </row>
        <row r="214">
          <cell r="D214">
            <v>2848</v>
          </cell>
          <cell r="F214"/>
        </row>
        <row r="215">
          <cell r="D215"/>
          <cell r="F215"/>
        </row>
        <row r="216">
          <cell r="D216">
            <v>-2</v>
          </cell>
          <cell r="F216"/>
        </row>
        <row r="221">
          <cell r="D221">
            <v>3705377</v>
          </cell>
        </row>
      </sheetData>
      <sheetData sheetId="8"/>
      <sheetData sheetId="9"/>
      <sheetData sheetId="10">
        <row r="9">
          <cell r="C9">
            <v>8019</v>
          </cell>
          <cell r="D9"/>
          <cell r="E9"/>
          <cell r="F9"/>
          <cell r="G9"/>
          <cell r="H9">
            <v>4072</v>
          </cell>
          <cell r="I9">
            <v>61</v>
          </cell>
          <cell r="J9"/>
          <cell r="K9"/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13176</v>
          </cell>
        </row>
        <row r="30">
          <cell r="N30">
            <v>0.92228293867638134</v>
          </cell>
        </row>
        <row r="32">
          <cell r="N32">
            <v>0.60860655737704916</v>
          </cell>
        </row>
        <row r="34">
          <cell r="N34">
            <v>0.65989137590520075</v>
          </cell>
        </row>
      </sheetData>
      <sheetData sheetId="1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2195694.1799999997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2232174.6400000006</v>
          </cell>
          <cell r="G21">
            <v>0</v>
          </cell>
        </row>
        <row r="27">
          <cell r="E27">
            <v>289071.83999999997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523840.59999999986</v>
          </cell>
          <cell r="G37">
            <v>0</v>
          </cell>
        </row>
        <row r="42">
          <cell r="E42">
            <v>0</v>
          </cell>
          <cell r="G42">
            <v>89467.26</v>
          </cell>
        </row>
        <row r="47">
          <cell r="E47">
            <v>129281.37999999998</v>
          </cell>
          <cell r="G47">
            <v>-89467.26</v>
          </cell>
        </row>
        <row r="52">
          <cell r="E52">
            <v>0</v>
          </cell>
          <cell r="G52">
            <v>0</v>
          </cell>
        </row>
        <row r="67">
          <cell r="E67">
            <v>138598.31000000003</v>
          </cell>
          <cell r="G67">
            <v>0</v>
          </cell>
        </row>
        <row r="85">
          <cell r="C85">
            <v>199.47266263237518</v>
          </cell>
          <cell r="E85">
            <v>236.76842553191491</v>
          </cell>
          <cell r="G85">
            <v>90.100667938931295</v>
          </cell>
          <cell r="I85">
            <v>197.11951612903226</v>
          </cell>
        </row>
      </sheetData>
      <sheetData sheetId="6"/>
      <sheetData sheetId="7">
        <row r="10">
          <cell r="D10"/>
          <cell r="F10">
            <v>75990</v>
          </cell>
        </row>
        <row r="11">
          <cell r="D11"/>
          <cell r="F11"/>
        </row>
        <row r="12">
          <cell r="D12">
            <v>137703.70000000001</v>
          </cell>
          <cell r="F12">
            <v>-16402.900000000001</v>
          </cell>
        </row>
        <row r="13">
          <cell r="D13">
            <v>32658</v>
          </cell>
          <cell r="F13">
            <v>13304.03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319679</v>
          </cell>
          <cell r="F16">
            <v>-49386</v>
          </cell>
        </row>
        <row r="17">
          <cell r="D17">
            <v>3180.46</v>
          </cell>
          <cell r="F17">
            <v>-3180.46</v>
          </cell>
        </row>
        <row r="18">
          <cell r="D18">
            <v>18183.39</v>
          </cell>
          <cell r="F18"/>
        </row>
        <row r="19">
          <cell r="D19">
            <v>17104.48</v>
          </cell>
          <cell r="F19"/>
        </row>
        <row r="20">
          <cell r="D20">
            <v>10009.86</v>
          </cell>
          <cell r="F20"/>
        </row>
        <row r="21">
          <cell r="D21">
            <v>53678.49</v>
          </cell>
          <cell r="F21"/>
        </row>
        <row r="22">
          <cell r="D22">
            <v>0</v>
          </cell>
          <cell r="F22"/>
        </row>
        <row r="23">
          <cell r="D23">
            <v>14573.6</v>
          </cell>
          <cell r="F23"/>
        </row>
        <row r="24">
          <cell r="D24">
            <v>64692.43</v>
          </cell>
          <cell r="F24">
            <v>30797.27</v>
          </cell>
        </row>
        <row r="25">
          <cell r="D25"/>
          <cell r="F25"/>
        </row>
        <row r="26">
          <cell r="D26">
            <v>273517.59999999998</v>
          </cell>
          <cell r="F26"/>
        </row>
        <row r="27">
          <cell r="D27">
            <v>35777.730000000003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399497.32</v>
          </cell>
          <cell r="F29">
            <v>-399497.32</v>
          </cell>
        </row>
        <row r="30">
          <cell r="D30">
            <v>0</v>
          </cell>
          <cell r="F30">
            <v>0</v>
          </cell>
        </row>
        <row r="31">
          <cell r="D31">
            <v>369.28</v>
          </cell>
          <cell r="F31"/>
        </row>
        <row r="32">
          <cell r="D32">
            <v>0</v>
          </cell>
          <cell r="F32">
            <v>14750.86</v>
          </cell>
        </row>
        <row r="33">
          <cell r="D33">
            <v>-3.92</v>
          </cell>
          <cell r="F33">
            <v>3.92</v>
          </cell>
        </row>
        <row r="34">
          <cell r="D34">
            <v>829.71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16402.900000000001</v>
          </cell>
        </row>
        <row r="37">
          <cell r="D37">
            <v>0</v>
          </cell>
          <cell r="F37">
            <v>3918.96</v>
          </cell>
        </row>
        <row r="38">
          <cell r="D38">
            <v>51</v>
          </cell>
          <cell r="F38"/>
        </row>
        <row r="39">
          <cell r="D39">
            <v>4171.18</v>
          </cell>
          <cell r="F39"/>
        </row>
        <row r="40">
          <cell r="D40">
            <v>12303</v>
          </cell>
          <cell r="F40"/>
        </row>
        <row r="41">
          <cell r="D41">
            <v>58155.839999999997</v>
          </cell>
          <cell r="F41">
            <v>-4792.91</v>
          </cell>
        </row>
        <row r="42">
          <cell r="D42">
            <v>340.76</v>
          </cell>
          <cell r="F42"/>
        </row>
        <row r="43">
          <cell r="D43">
            <v>0</v>
          </cell>
          <cell r="F43"/>
        </row>
        <row r="44">
          <cell r="D44">
            <v>0</v>
          </cell>
          <cell r="F44"/>
        </row>
        <row r="45">
          <cell r="D45">
            <v>93212.99</v>
          </cell>
          <cell r="F45">
            <v>-93212.99</v>
          </cell>
        </row>
        <row r="57">
          <cell r="D57">
            <v>0</v>
          </cell>
          <cell r="F57"/>
        </row>
        <row r="58">
          <cell r="D58">
            <v>33838.69</v>
          </cell>
          <cell r="F58"/>
        </row>
        <row r="59">
          <cell r="D59">
            <v>0</v>
          </cell>
          <cell r="F59"/>
        </row>
        <row r="60">
          <cell r="D60">
            <v>767.68</v>
          </cell>
          <cell r="F60"/>
        </row>
        <row r="61">
          <cell r="D61">
            <v>14750.86</v>
          </cell>
          <cell r="F61">
            <v>-14750.86</v>
          </cell>
        </row>
        <row r="62">
          <cell r="D62">
            <v>8402.0400000000009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0</v>
          </cell>
          <cell r="F65"/>
        </row>
        <row r="66">
          <cell r="D66">
            <v>46125.95</v>
          </cell>
          <cell r="F66">
            <v>-37624.019999999997</v>
          </cell>
        </row>
        <row r="67">
          <cell r="D67">
            <v>44561.31</v>
          </cell>
          <cell r="F67"/>
        </row>
        <row r="68">
          <cell r="D68">
            <v>0</v>
          </cell>
          <cell r="F68"/>
        </row>
        <row r="69">
          <cell r="D69">
            <v>2002.53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55941.83</v>
          </cell>
          <cell r="F75"/>
        </row>
        <row r="76">
          <cell r="D76">
            <v>24054.84</v>
          </cell>
          <cell r="F76"/>
        </row>
        <row r="77">
          <cell r="D77">
            <v>7055.2</v>
          </cell>
          <cell r="F77"/>
        </row>
        <row r="78">
          <cell r="D78">
            <v>0</v>
          </cell>
          <cell r="F78"/>
        </row>
        <row r="79">
          <cell r="D79">
            <v>2518.7399999999998</v>
          </cell>
          <cell r="F79"/>
        </row>
        <row r="80">
          <cell r="D80">
            <v>13641.9</v>
          </cell>
          <cell r="F80"/>
        </row>
        <row r="81">
          <cell r="D81">
            <v>1528.2</v>
          </cell>
          <cell r="F81"/>
        </row>
        <row r="82">
          <cell r="D82">
            <v>6178.18</v>
          </cell>
          <cell r="F82"/>
        </row>
        <row r="83">
          <cell r="D83">
            <v>0</v>
          </cell>
          <cell r="F83"/>
        </row>
        <row r="84">
          <cell r="D84">
            <v>126435.71</v>
          </cell>
          <cell r="F84"/>
        </row>
        <row r="85">
          <cell r="D85">
            <v>0</v>
          </cell>
          <cell r="F85"/>
        </row>
        <row r="89">
          <cell r="D89">
            <v>157044.20000000001</v>
          </cell>
          <cell r="F89"/>
        </row>
        <row r="90">
          <cell r="D90">
            <v>33713.53</v>
          </cell>
          <cell r="F90"/>
        </row>
        <row r="91">
          <cell r="D91">
            <v>11820.91</v>
          </cell>
          <cell r="F91"/>
        </row>
        <row r="92">
          <cell r="D92">
            <v>148318.71</v>
          </cell>
          <cell r="F92"/>
        </row>
        <row r="93">
          <cell r="D93">
            <v>8646.4</v>
          </cell>
          <cell r="F93"/>
        </row>
        <row r="94">
          <cell r="D94">
            <v>1412.62</v>
          </cell>
          <cell r="F94"/>
        </row>
        <row r="98">
          <cell r="D98">
            <v>58698.96</v>
          </cell>
          <cell r="F98"/>
        </row>
        <row r="99">
          <cell r="D99">
            <v>10617.2</v>
          </cell>
          <cell r="F99"/>
        </row>
        <row r="100">
          <cell r="D100">
            <v>4549.4799999999996</v>
          </cell>
          <cell r="F100"/>
        </row>
        <row r="101">
          <cell r="D101">
            <v>0</v>
          </cell>
          <cell r="F101"/>
        </row>
        <row r="102">
          <cell r="D102">
            <v>4267.07</v>
          </cell>
          <cell r="F102"/>
        </row>
        <row r="103">
          <cell r="D103">
            <v>13218.08</v>
          </cell>
          <cell r="F103"/>
        </row>
        <row r="115">
          <cell r="D115">
            <v>91171.91</v>
          </cell>
          <cell r="F115"/>
        </row>
        <row r="116">
          <cell r="D116">
            <v>14692.36</v>
          </cell>
          <cell r="F116"/>
        </row>
        <row r="117">
          <cell r="D117">
            <v>12036.41</v>
          </cell>
          <cell r="F117"/>
        </row>
        <row r="118">
          <cell r="D118">
            <v>0</v>
          </cell>
          <cell r="F118"/>
        </row>
        <row r="119">
          <cell r="D119">
            <v>56.72</v>
          </cell>
          <cell r="F119"/>
        </row>
        <row r="124">
          <cell r="D124"/>
          <cell r="F124"/>
        </row>
        <row r="125">
          <cell r="D125"/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215943.66</v>
          </cell>
          <cell r="F128"/>
        </row>
        <row r="130">
          <cell r="D130"/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41035.78</v>
          </cell>
          <cell r="F134"/>
        </row>
        <row r="136">
          <cell r="D136">
            <v>385009.04</v>
          </cell>
          <cell r="F136"/>
        </row>
        <row r="137">
          <cell r="D137">
            <v>180653.5</v>
          </cell>
          <cell r="F137"/>
        </row>
        <row r="138">
          <cell r="D138">
            <v>467142.01</v>
          </cell>
          <cell r="F138"/>
        </row>
        <row r="139">
          <cell r="D139">
            <v>157218.14000000001</v>
          </cell>
          <cell r="F139"/>
        </row>
        <row r="141">
          <cell r="D141"/>
          <cell r="F141"/>
        </row>
        <row r="142">
          <cell r="D142"/>
          <cell r="F142"/>
        </row>
        <row r="143">
          <cell r="D143"/>
          <cell r="F143"/>
        </row>
        <row r="144">
          <cell r="D144">
            <v>261689.83</v>
          </cell>
          <cell r="F144"/>
        </row>
        <row r="146">
          <cell r="D146">
            <v>21600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8460</v>
          </cell>
          <cell r="F150"/>
        </row>
        <row r="151">
          <cell r="D151">
            <v>116714.95</v>
          </cell>
          <cell r="F151"/>
        </row>
        <row r="152">
          <cell r="D152">
            <v>2060.3000000000002</v>
          </cell>
          <cell r="F152"/>
        </row>
        <row r="153">
          <cell r="D153">
            <v>3963.95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4031.45</v>
          </cell>
          <cell r="F160"/>
        </row>
        <row r="161">
          <cell r="D161">
            <v>32403.05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299845.96000000002</v>
          </cell>
          <cell r="F194">
            <v>-6079.07</v>
          </cell>
        </row>
        <row r="195">
          <cell r="D195">
            <v>107078.97</v>
          </cell>
          <cell r="F195">
            <v>-2161.4499999999998</v>
          </cell>
        </row>
        <row r="196">
          <cell r="D196">
            <v>0</v>
          </cell>
          <cell r="F196"/>
        </row>
        <row r="197">
          <cell r="D197">
            <v>255987.46</v>
          </cell>
          <cell r="F197">
            <v>-5268.53</v>
          </cell>
        </row>
        <row r="198">
          <cell r="D198">
            <v>28444.13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242943.19</v>
          </cell>
          <cell r="F205">
            <v>-61309.05</v>
          </cell>
        </row>
        <row r="206">
          <cell r="D206">
            <v>30863.35</v>
          </cell>
          <cell r="F206"/>
        </row>
        <row r="207">
          <cell r="D207">
            <v>-44426.15</v>
          </cell>
          <cell r="F207"/>
        </row>
        <row r="211">
          <cell r="D211">
            <v>94019.520000000004</v>
          </cell>
          <cell r="F211"/>
        </row>
        <row r="212">
          <cell r="D212">
            <v>18819.59</v>
          </cell>
          <cell r="F212"/>
        </row>
        <row r="213">
          <cell r="D213">
            <v>19407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1730.77</v>
          </cell>
          <cell r="F216"/>
        </row>
        <row r="221">
          <cell r="D221">
            <v>5460394.0700000003</v>
          </cell>
        </row>
      </sheetData>
      <sheetData sheetId="8"/>
      <sheetData sheetId="9"/>
      <sheetData sheetId="10">
        <row r="9">
          <cell r="C9">
            <v>11491</v>
          </cell>
          <cell r="D9"/>
          <cell r="E9">
            <v>3823</v>
          </cell>
          <cell r="F9">
            <v>657</v>
          </cell>
          <cell r="G9">
            <v>0</v>
          </cell>
          <cell r="H9">
            <v>2745</v>
          </cell>
          <cell r="I9">
            <v>478</v>
          </cell>
          <cell r="J9">
            <v>217</v>
          </cell>
          <cell r="K9">
            <v>0</v>
          </cell>
        </row>
        <row r="22">
          <cell r="N22">
            <v>84</v>
          </cell>
        </row>
        <row r="24">
          <cell r="N24">
            <v>84</v>
          </cell>
        </row>
        <row r="28">
          <cell r="N28">
            <v>30744</v>
          </cell>
        </row>
        <row r="30">
          <cell r="N30">
            <v>0.63137522768670307</v>
          </cell>
        </row>
        <row r="32">
          <cell r="N32">
            <v>0.37376398646890452</v>
          </cell>
        </row>
        <row r="34">
          <cell r="N34">
            <v>0.59198392663953436</v>
          </cell>
        </row>
      </sheetData>
      <sheetData sheetId="1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pg1"/>
      <sheetName val="SchC-1pg2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6600701.8399999999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3100842.72</v>
          </cell>
          <cell r="G21">
            <v>0</v>
          </cell>
        </row>
        <row r="27">
          <cell r="E27">
            <v>1386179.1599999997</v>
          </cell>
          <cell r="G27">
            <v>0</v>
          </cell>
        </row>
        <row r="32">
          <cell r="E32">
            <v>889209.15</v>
          </cell>
          <cell r="G32">
            <v>0</v>
          </cell>
        </row>
        <row r="37">
          <cell r="E37">
            <v>1199955.1200000001</v>
          </cell>
          <cell r="G37">
            <v>0</v>
          </cell>
        </row>
        <row r="42">
          <cell r="E42">
            <v>567465.48</v>
          </cell>
          <cell r="G42">
            <v>0</v>
          </cell>
        </row>
        <row r="47">
          <cell r="E47">
            <v>28749.13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51644.789999999994</v>
          </cell>
          <cell r="G67">
            <v>-2303.66</v>
          </cell>
        </row>
        <row r="85">
          <cell r="C85">
            <v>223.08751206064781</v>
          </cell>
          <cell r="E85">
            <v>227.36609555189457</v>
          </cell>
          <cell r="G85">
            <v>223.10885784716515</v>
          </cell>
          <cell r="I85">
            <v>216.25632894736842</v>
          </cell>
        </row>
      </sheetData>
      <sheetData sheetId="6"/>
      <sheetData sheetId="7">
        <row r="10">
          <cell r="D10">
            <v>443592.91</v>
          </cell>
          <cell r="F10"/>
        </row>
        <row r="11">
          <cell r="D11"/>
          <cell r="F11"/>
        </row>
        <row r="12">
          <cell r="D12">
            <v>350654.42</v>
          </cell>
          <cell r="F12">
            <v>-109964</v>
          </cell>
        </row>
        <row r="13">
          <cell r="D13">
            <v>129394.27</v>
          </cell>
          <cell r="F13">
            <v>-35094</v>
          </cell>
        </row>
        <row r="14">
          <cell r="D14"/>
          <cell r="F14"/>
        </row>
        <row r="15">
          <cell r="D15">
            <v>1295957.7</v>
          </cell>
          <cell r="F15">
            <v>-1295958</v>
          </cell>
        </row>
        <row r="16">
          <cell r="D16"/>
          <cell r="F16">
            <v>455336</v>
          </cell>
        </row>
        <row r="17">
          <cell r="D17"/>
          <cell r="F17"/>
        </row>
        <row r="18">
          <cell r="D18">
            <v>25680.48</v>
          </cell>
          <cell r="F18"/>
        </row>
        <row r="19">
          <cell r="D19">
            <v>27956.44</v>
          </cell>
          <cell r="F19"/>
        </row>
        <row r="20">
          <cell r="D20">
            <v>28065.97</v>
          </cell>
          <cell r="F20">
            <v>-15</v>
          </cell>
        </row>
        <row r="21">
          <cell r="D21">
            <v>106416.9</v>
          </cell>
          <cell r="F21">
            <v>85367</v>
          </cell>
        </row>
        <row r="22">
          <cell r="D22"/>
          <cell r="F22"/>
        </row>
        <row r="23">
          <cell r="D23">
            <v>40428.879999999997</v>
          </cell>
          <cell r="F23">
            <v>71561</v>
          </cell>
        </row>
        <row r="24">
          <cell r="D24">
            <v>78616.22</v>
          </cell>
          <cell r="F24"/>
        </row>
        <row r="25">
          <cell r="D25"/>
          <cell r="F25"/>
        </row>
        <row r="26">
          <cell r="D26">
            <v>628874.07999999996</v>
          </cell>
          <cell r="F26">
            <v>-7496.32</v>
          </cell>
        </row>
        <row r="27">
          <cell r="D27">
            <v>7962.42</v>
          </cell>
          <cell r="F27">
            <v>18464</v>
          </cell>
        </row>
        <row r="28">
          <cell r="D28"/>
          <cell r="F28">
            <v>0</v>
          </cell>
        </row>
        <row r="29">
          <cell r="D29">
            <v>241445.66</v>
          </cell>
          <cell r="F29">
            <v>-241445.66</v>
          </cell>
        </row>
        <row r="30">
          <cell r="D30">
            <v>250</v>
          </cell>
          <cell r="F30">
            <v>-250</v>
          </cell>
        </row>
        <row r="31">
          <cell r="D31">
            <v>8060.52</v>
          </cell>
          <cell r="F31"/>
        </row>
        <row r="32">
          <cell r="D32">
            <v>213246.34</v>
          </cell>
          <cell r="F32"/>
        </row>
        <row r="33">
          <cell r="D33"/>
          <cell r="F33">
            <v>0</v>
          </cell>
        </row>
        <row r="34">
          <cell r="D34"/>
          <cell r="F34">
            <v>2606</v>
          </cell>
        </row>
        <row r="35">
          <cell r="D35">
            <v>1727.79</v>
          </cell>
          <cell r="F35">
            <v>-1727.79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29685.49</v>
          </cell>
          <cell r="F39">
            <v>8579</v>
          </cell>
        </row>
        <row r="40">
          <cell r="D40">
            <v>48278.8</v>
          </cell>
          <cell r="F40">
            <v>-48279</v>
          </cell>
        </row>
        <row r="41">
          <cell r="D41">
            <v>26979.33</v>
          </cell>
          <cell r="F41"/>
        </row>
        <row r="42">
          <cell r="D42">
            <v>710.39</v>
          </cell>
          <cell r="F42">
            <v>7646</v>
          </cell>
        </row>
        <row r="43">
          <cell r="D43"/>
          <cell r="F43"/>
        </row>
        <row r="44">
          <cell r="D44">
            <v>40</v>
          </cell>
          <cell r="F44"/>
        </row>
        <row r="45">
          <cell r="D45">
            <v>6088.04</v>
          </cell>
          <cell r="F45">
            <v>9365</v>
          </cell>
        </row>
        <row r="57">
          <cell r="D57">
            <v>1405250.04</v>
          </cell>
          <cell r="F57">
            <v>-1405250</v>
          </cell>
        </row>
        <row r="58">
          <cell r="D58">
            <v>1644.05</v>
          </cell>
          <cell r="F58">
            <v>160378.57999999999</v>
          </cell>
        </row>
        <row r="59">
          <cell r="D59"/>
          <cell r="F59">
            <v>397308</v>
          </cell>
        </row>
        <row r="60">
          <cell r="D60">
            <v>103617.36</v>
          </cell>
          <cell r="F60">
            <v>-4123.49</v>
          </cell>
        </row>
        <row r="61">
          <cell r="D61">
            <v>24760.44</v>
          </cell>
          <cell r="F61">
            <v>1438</v>
          </cell>
        </row>
        <row r="62">
          <cell r="D62">
            <v>11041.7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10561.26</v>
          </cell>
          <cell r="F67">
            <v>25889.11</v>
          </cell>
        </row>
        <row r="68">
          <cell r="D68"/>
          <cell r="F68"/>
        </row>
        <row r="69">
          <cell r="D69"/>
          <cell r="F69">
            <v>4098</v>
          </cell>
        </row>
        <row r="70">
          <cell r="D70"/>
          <cell r="F70"/>
        </row>
        <row r="71">
          <cell r="D71"/>
          <cell r="F71"/>
        </row>
        <row r="75">
          <cell r="D75">
            <v>83589.2</v>
          </cell>
          <cell r="F75"/>
        </row>
        <row r="76">
          <cell r="D76">
            <v>22804.19</v>
          </cell>
          <cell r="F76"/>
        </row>
        <row r="77">
          <cell r="D77">
            <v>63155.28</v>
          </cell>
          <cell r="F77"/>
        </row>
        <row r="78">
          <cell r="D78">
            <v>62246.54</v>
          </cell>
          <cell r="F78">
            <v>3723</v>
          </cell>
        </row>
        <row r="79">
          <cell r="D79">
            <v>46862.46</v>
          </cell>
          <cell r="F79"/>
        </row>
        <row r="80">
          <cell r="D80">
            <v>85671.44</v>
          </cell>
          <cell r="F80">
            <v>-30</v>
          </cell>
        </row>
        <row r="81">
          <cell r="D81"/>
          <cell r="F81"/>
        </row>
        <row r="82">
          <cell r="D82">
            <v>1556.69</v>
          </cell>
          <cell r="F82"/>
        </row>
        <row r="83">
          <cell r="D83"/>
          <cell r="F83"/>
        </row>
        <row r="84">
          <cell r="D84">
            <v>257593.81</v>
          </cell>
          <cell r="F84">
            <v>1548</v>
          </cell>
        </row>
        <row r="85">
          <cell r="D85">
            <v>1685.88</v>
          </cell>
          <cell r="F85"/>
        </row>
        <row r="89">
          <cell r="D89">
            <v>358876</v>
          </cell>
          <cell r="F89"/>
        </row>
        <row r="90">
          <cell r="D90">
            <v>79930.41</v>
          </cell>
          <cell r="F90"/>
        </row>
        <row r="91">
          <cell r="D91">
            <v>5254</v>
          </cell>
          <cell r="F91"/>
        </row>
        <row r="92">
          <cell r="D92">
            <v>348991.15</v>
          </cell>
          <cell r="F92">
            <v>-1219</v>
          </cell>
        </row>
        <row r="93">
          <cell r="D93">
            <v>6242.31</v>
          </cell>
          <cell r="F93"/>
        </row>
        <row r="94">
          <cell r="D94">
            <v>30177.279999999999</v>
          </cell>
          <cell r="F94"/>
        </row>
        <row r="98">
          <cell r="D98">
            <v>96049.82</v>
          </cell>
          <cell r="F98"/>
        </row>
        <row r="99">
          <cell r="D99">
            <v>24677.31</v>
          </cell>
          <cell r="F99"/>
        </row>
        <row r="100">
          <cell r="D100">
            <v>9524.7099999999991</v>
          </cell>
          <cell r="F100"/>
        </row>
        <row r="101">
          <cell r="D101"/>
          <cell r="F101"/>
        </row>
        <row r="102">
          <cell r="D102">
            <v>17011.7</v>
          </cell>
          <cell r="F102"/>
        </row>
        <row r="103">
          <cell r="D103">
            <v>284.75</v>
          </cell>
          <cell r="F103"/>
        </row>
        <row r="115">
          <cell r="D115">
            <v>102901.48</v>
          </cell>
          <cell r="F115"/>
        </row>
        <row r="116">
          <cell r="D116">
            <v>26658.2</v>
          </cell>
          <cell r="F116"/>
        </row>
        <row r="117">
          <cell r="D117">
            <v>44907.5</v>
          </cell>
          <cell r="F117"/>
        </row>
        <row r="118">
          <cell r="D118">
            <v>1295</v>
          </cell>
          <cell r="F118"/>
        </row>
        <row r="119">
          <cell r="D119">
            <v>404.5</v>
          </cell>
          <cell r="F119"/>
        </row>
        <row r="124">
          <cell r="D124">
            <v>233071.18</v>
          </cell>
          <cell r="F124"/>
        </row>
        <row r="125">
          <cell r="D125">
            <v>133232.35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76328.7</v>
          </cell>
          <cell r="F128"/>
        </row>
        <row r="130">
          <cell r="D130">
            <v>54115.45</v>
          </cell>
          <cell r="F130"/>
        </row>
        <row r="131">
          <cell r="D131">
            <v>30934.45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>
            <v>18310.68</v>
          </cell>
          <cell r="F134"/>
        </row>
        <row r="136">
          <cell r="D136">
            <v>642406.82999999996</v>
          </cell>
          <cell r="F136"/>
        </row>
        <row r="137">
          <cell r="D137">
            <v>581215.56999999995</v>
          </cell>
          <cell r="F137"/>
        </row>
        <row r="138">
          <cell r="D138">
            <v>1144181.3400000001</v>
          </cell>
          <cell r="F138"/>
        </row>
        <row r="139">
          <cell r="D139">
            <v>203660.97</v>
          </cell>
          <cell r="F139"/>
        </row>
        <row r="141">
          <cell r="D141">
            <v>149156.73000000001</v>
          </cell>
          <cell r="F141"/>
        </row>
        <row r="142">
          <cell r="D142">
            <v>134949.09</v>
          </cell>
          <cell r="F142"/>
        </row>
        <row r="143">
          <cell r="D143">
            <v>265660.86</v>
          </cell>
          <cell r="F143"/>
        </row>
        <row r="144">
          <cell r="D144">
            <v>47286.86</v>
          </cell>
          <cell r="F144"/>
        </row>
        <row r="146">
          <cell r="D146">
            <v>52277.36</v>
          </cell>
          <cell r="F146"/>
        </row>
        <row r="147">
          <cell r="D147">
            <v>10429.66</v>
          </cell>
          <cell r="F147"/>
        </row>
        <row r="148">
          <cell r="D148">
            <v>1810.55</v>
          </cell>
          <cell r="F148"/>
        </row>
        <row r="149">
          <cell r="D149">
            <v>19375.5</v>
          </cell>
          <cell r="F149"/>
        </row>
        <row r="150">
          <cell r="D150">
            <v>25523.33</v>
          </cell>
          <cell r="F150">
            <v>71449</v>
          </cell>
        </row>
        <row r="151">
          <cell r="D151">
            <v>167742.6</v>
          </cell>
          <cell r="F151"/>
        </row>
        <row r="152">
          <cell r="D152">
            <v>10229.4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3233.54</v>
          </cell>
          <cell r="F160"/>
        </row>
        <row r="161">
          <cell r="D161">
            <v>16914.759999999998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538283.98</v>
          </cell>
          <cell r="F177"/>
        </row>
        <row r="178">
          <cell r="D178">
            <v>116670.42</v>
          </cell>
          <cell r="F178"/>
        </row>
        <row r="179">
          <cell r="D179">
            <v>154973.42000000001</v>
          </cell>
          <cell r="F179"/>
        </row>
        <row r="180">
          <cell r="D180">
            <v>39582.199999999997</v>
          </cell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235645.37</v>
          </cell>
          <cell r="F183"/>
        </row>
        <row r="184">
          <cell r="D184">
            <v>61549.2</v>
          </cell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1013.08</v>
          </cell>
          <cell r="F188"/>
        </row>
        <row r="189">
          <cell r="D189">
            <v>15134.03</v>
          </cell>
          <cell r="F189"/>
        </row>
        <row r="190">
          <cell r="D190"/>
          <cell r="F190"/>
        </row>
        <row r="191">
          <cell r="D191">
            <v>4125.13</v>
          </cell>
          <cell r="F191"/>
        </row>
        <row r="192">
          <cell r="D192">
            <v>66985.960000000006</v>
          </cell>
          <cell r="F192"/>
        </row>
        <row r="193">
          <cell r="D193"/>
          <cell r="F193"/>
        </row>
        <row r="194">
          <cell r="D194"/>
          <cell r="F194">
            <v>23227</v>
          </cell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/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>
            <v>35644.839999999997</v>
          </cell>
          <cell r="F203"/>
        </row>
        <row r="204">
          <cell r="D204"/>
          <cell r="F204"/>
        </row>
        <row r="205">
          <cell r="D205">
            <v>339746.27</v>
          </cell>
          <cell r="F205"/>
        </row>
        <row r="206">
          <cell r="D206">
            <v>10471.59</v>
          </cell>
          <cell r="F206"/>
        </row>
        <row r="207">
          <cell r="D207">
            <v>27236</v>
          </cell>
          <cell r="F207"/>
        </row>
        <row r="211">
          <cell r="D211">
            <v>217402.32</v>
          </cell>
          <cell r="F211"/>
        </row>
        <row r="212">
          <cell r="D212">
            <v>54462.87</v>
          </cell>
          <cell r="F212"/>
        </row>
        <row r="213">
          <cell r="D213">
            <v>4533.08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54481.66</v>
          </cell>
          <cell r="F216"/>
        </row>
        <row r="221">
          <cell r="D221">
            <v>13075328.800000001</v>
          </cell>
        </row>
      </sheetData>
      <sheetData sheetId="8"/>
      <sheetData sheetId="9"/>
      <sheetData sheetId="10"/>
      <sheetData sheetId="11">
        <row r="9">
          <cell r="C9">
            <v>22371</v>
          </cell>
          <cell r="D9"/>
          <cell r="E9">
            <v>5590</v>
          </cell>
          <cell r="F9">
            <v>3318</v>
          </cell>
          <cell r="G9">
            <v>3595</v>
          </cell>
          <cell r="H9">
            <v>5402</v>
          </cell>
          <cell r="I9">
            <v>2854</v>
          </cell>
          <cell r="J9">
            <v>139</v>
          </cell>
          <cell r="K9"/>
        </row>
        <row r="22">
          <cell r="N22">
            <v>154</v>
          </cell>
        </row>
        <row r="24">
          <cell r="N24">
            <v>154</v>
          </cell>
        </row>
        <row r="28">
          <cell r="N28">
            <v>56364</v>
          </cell>
        </row>
        <row r="30">
          <cell r="N30">
            <v>0.76767085373642752</v>
          </cell>
        </row>
        <row r="32">
          <cell r="N32">
            <v>0.39690227804981904</v>
          </cell>
        </row>
        <row r="34">
          <cell r="N34">
            <v>0.51702142411426188</v>
          </cell>
        </row>
      </sheetData>
      <sheetData sheetId="1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1636244.1400000001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715439.00999999989</v>
          </cell>
          <cell r="G21">
            <v>0</v>
          </cell>
        </row>
        <row r="27">
          <cell r="E27">
            <v>43579.8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617249.61</v>
          </cell>
          <cell r="G37">
            <v>0</v>
          </cell>
        </row>
        <row r="42">
          <cell r="E42">
            <v>202937.93</v>
          </cell>
          <cell r="G42">
            <v>0</v>
          </cell>
        </row>
        <row r="47">
          <cell r="E47">
            <v>42525.120000000003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11735.66</v>
          </cell>
          <cell r="G67">
            <v>0</v>
          </cell>
        </row>
      </sheetData>
      <sheetData sheetId="6"/>
      <sheetData sheetId="7"/>
      <sheetData sheetId="8">
        <row r="10">
          <cell r="D10">
            <v>68073.19</v>
          </cell>
          <cell r="F10"/>
        </row>
        <row r="11">
          <cell r="D11"/>
          <cell r="F11"/>
        </row>
        <row r="12">
          <cell r="D12">
            <v>52154.03</v>
          </cell>
          <cell r="F12"/>
        </row>
        <row r="13">
          <cell r="D13">
            <v>189751.73</v>
          </cell>
          <cell r="F13">
            <v>-175189.99704893492</v>
          </cell>
        </row>
        <row r="14">
          <cell r="D14"/>
          <cell r="F14"/>
        </row>
        <row r="15">
          <cell r="D15">
            <v>105229.93</v>
          </cell>
          <cell r="F15">
            <v>-105229.93</v>
          </cell>
        </row>
        <row r="16">
          <cell r="D16"/>
          <cell r="F16">
            <v>117070</v>
          </cell>
        </row>
        <row r="17">
          <cell r="D17">
            <v>1055</v>
          </cell>
          <cell r="F17">
            <v>-1055</v>
          </cell>
        </row>
        <row r="18">
          <cell r="D18">
            <v>6491.04</v>
          </cell>
          <cell r="F18"/>
        </row>
        <row r="19">
          <cell r="D19">
            <v>6297.64</v>
          </cell>
          <cell r="F19"/>
        </row>
        <row r="20">
          <cell r="D20">
            <v>10823.9</v>
          </cell>
          <cell r="F20"/>
        </row>
        <row r="21">
          <cell r="D21">
            <v>7293.07</v>
          </cell>
          <cell r="F21"/>
        </row>
        <row r="22">
          <cell r="D22"/>
          <cell r="F22"/>
        </row>
        <row r="23">
          <cell r="D23">
            <v>6502.38</v>
          </cell>
          <cell r="F23"/>
        </row>
        <row r="24">
          <cell r="D24">
            <v>47625.4</v>
          </cell>
          <cell r="F24"/>
        </row>
        <row r="25">
          <cell r="D25"/>
          <cell r="F25"/>
        </row>
        <row r="26">
          <cell r="D26">
            <v>288865.64</v>
          </cell>
          <cell r="F26"/>
        </row>
        <row r="27">
          <cell r="D27">
            <v>940.12</v>
          </cell>
          <cell r="F27"/>
        </row>
        <row r="28">
          <cell r="D28"/>
          <cell r="F28">
            <v>0</v>
          </cell>
        </row>
        <row r="29">
          <cell r="D29">
            <v>85861.08</v>
          </cell>
          <cell r="F29">
            <v>-85861.08</v>
          </cell>
        </row>
        <row r="30">
          <cell r="D30"/>
          <cell r="F30">
            <v>0</v>
          </cell>
        </row>
        <row r="31">
          <cell r="D31">
            <v>45532.02</v>
          </cell>
          <cell r="F31"/>
        </row>
        <row r="32">
          <cell r="D32">
            <v>18589.310000000001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20047.45</v>
          </cell>
          <cell r="F36"/>
        </row>
        <row r="37">
          <cell r="D37"/>
          <cell r="F37">
            <v>2428.1158064690303</v>
          </cell>
        </row>
        <row r="38">
          <cell r="D38">
            <v>57.97</v>
          </cell>
          <cell r="F38"/>
        </row>
        <row r="39">
          <cell r="D39">
            <v>5322.19</v>
          </cell>
          <cell r="F39"/>
        </row>
        <row r="40">
          <cell r="D40">
            <v>4718.93</v>
          </cell>
          <cell r="F40">
            <v>-4718.93</v>
          </cell>
        </row>
        <row r="41">
          <cell r="D41">
            <v>46.07</v>
          </cell>
          <cell r="F41"/>
        </row>
        <row r="42">
          <cell r="D42">
            <v>1764.94</v>
          </cell>
          <cell r="F42"/>
        </row>
        <row r="43">
          <cell r="D43">
            <v>10629.34</v>
          </cell>
          <cell r="F43"/>
        </row>
        <row r="44">
          <cell r="D44">
            <v>4545.6499999999996</v>
          </cell>
          <cell r="F44"/>
        </row>
        <row r="45">
          <cell r="D45">
            <v>-22776.47</v>
          </cell>
          <cell r="F45">
            <v>22776.47</v>
          </cell>
        </row>
        <row r="57">
          <cell r="D57">
            <v>528000</v>
          </cell>
          <cell r="F57"/>
        </row>
        <row r="58">
          <cell r="D58">
            <v>2364.84</v>
          </cell>
          <cell r="F58"/>
        </row>
        <row r="59">
          <cell r="D59"/>
          <cell r="F59"/>
        </row>
        <row r="60">
          <cell r="D60"/>
          <cell r="F60"/>
        </row>
        <row r="61">
          <cell r="D61">
            <v>15700</v>
          </cell>
          <cell r="F61">
            <v>2932</v>
          </cell>
        </row>
        <row r="62">
          <cell r="D62"/>
          <cell r="F62"/>
        </row>
        <row r="63">
          <cell r="D63">
            <v>1856</v>
          </cell>
          <cell r="F63"/>
        </row>
        <row r="64">
          <cell r="D64"/>
          <cell r="F64"/>
        </row>
        <row r="65">
          <cell r="D65"/>
          <cell r="F65"/>
        </row>
        <row r="66">
          <cell r="D66">
            <v>14773.38</v>
          </cell>
          <cell r="F66"/>
        </row>
        <row r="67">
          <cell r="D67">
            <v>4116</v>
          </cell>
          <cell r="F67"/>
        </row>
        <row r="68">
          <cell r="D68"/>
          <cell r="F68"/>
        </row>
        <row r="69">
          <cell r="D69">
            <v>3292.35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25639.86</v>
          </cell>
          <cell r="F75"/>
        </row>
        <row r="76">
          <cell r="D76"/>
          <cell r="F76">
            <v>3105.4597637930524</v>
          </cell>
        </row>
        <row r="77">
          <cell r="D77">
            <v>424.76</v>
          </cell>
          <cell r="F77"/>
        </row>
        <row r="78">
          <cell r="D78">
            <v>1834.55</v>
          </cell>
          <cell r="F78"/>
        </row>
        <row r="79">
          <cell r="D79">
            <v>6690.48</v>
          </cell>
          <cell r="F79"/>
        </row>
        <row r="80">
          <cell r="D80">
            <v>3867.56</v>
          </cell>
          <cell r="F80"/>
        </row>
        <row r="81">
          <cell r="D81">
            <v>12226.49</v>
          </cell>
          <cell r="F81"/>
        </row>
        <row r="82">
          <cell r="D82">
            <v>6190.44</v>
          </cell>
          <cell r="F82"/>
        </row>
        <row r="83">
          <cell r="D83">
            <v>11948.84</v>
          </cell>
          <cell r="F83"/>
        </row>
        <row r="84">
          <cell r="D84">
            <v>71325.759999999995</v>
          </cell>
          <cell r="F84"/>
        </row>
        <row r="85">
          <cell r="D85"/>
          <cell r="F85"/>
        </row>
        <row r="89">
          <cell r="D89">
            <v>143276.28</v>
          </cell>
          <cell r="F89"/>
        </row>
        <row r="90">
          <cell r="D90"/>
          <cell r="F90">
            <v>17353.399068713607</v>
          </cell>
        </row>
        <row r="91">
          <cell r="D91">
            <v>6419.67</v>
          </cell>
          <cell r="F91"/>
        </row>
        <row r="92">
          <cell r="D92">
            <v>148016.54999999999</v>
          </cell>
          <cell r="F92"/>
        </row>
        <row r="93">
          <cell r="D93">
            <v>20503.2</v>
          </cell>
          <cell r="F93"/>
        </row>
        <row r="94">
          <cell r="D94"/>
          <cell r="F94"/>
        </row>
        <row r="98">
          <cell r="D98">
            <v>6323.97</v>
          </cell>
          <cell r="F98"/>
        </row>
        <row r="99">
          <cell r="D99"/>
          <cell r="F99">
            <v>765.94936097288951</v>
          </cell>
        </row>
        <row r="100">
          <cell r="D100">
            <v>3025.87</v>
          </cell>
          <cell r="F100"/>
        </row>
        <row r="101">
          <cell r="D101">
            <v>15225.64</v>
          </cell>
          <cell r="F101"/>
        </row>
        <row r="102">
          <cell r="D102">
            <v>3854.93</v>
          </cell>
          <cell r="F102"/>
        </row>
        <row r="103">
          <cell r="D103"/>
          <cell r="F103"/>
        </row>
        <row r="115">
          <cell r="D115">
            <v>67672.710000000006</v>
          </cell>
          <cell r="F115"/>
        </row>
        <row r="116">
          <cell r="D116"/>
          <cell r="F116">
            <v>8196.4128513898177</v>
          </cell>
        </row>
        <row r="117">
          <cell r="D117">
            <v>14399.21</v>
          </cell>
          <cell r="F117"/>
        </row>
        <row r="118">
          <cell r="D118">
            <v>28046.28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61654.49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35589.120000000003</v>
          </cell>
          <cell r="F128"/>
        </row>
        <row r="130">
          <cell r="D130"/>
          <cell r="F130"/>
        </row>
        <row r="131">
          <cell r="D131"/>
          <cell r="F131">
            <v>7467.4954524783325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4310.4985826288676</v>
          </cell>
        </row>
        <row r="136">
          <cell r="D136">
            <v>334138.69</v>
          </cell>
          <cell r="F136"/>
        </row>
        <row r="137">
          <cell r="D137">
            <v>113920.25</v>
          </cell>
          <cell r="F137"/>
        </row>
        <row r="138">
          <cell r="D138">
            <v>562759.5</v>
          </cell>
          <cell r="F138"/>
        </row>
        <row r="139">
          <cell r="D139"/>
          <cell r="F139"/>
        </row>
        <row r="141">
          <cell r="D141"/>
          <cell r="F141">
            <v>40470.355817914766</v>
          </cell>
        </row>
        <row r="142">
          <cell r="D142"/>
          <cell r="F142">
            <v>13797.842603518329</v>
          </cell>
        </row>
        <row r="143">
          <cell r="D143"/>
          <cell r="F143">
            <v>68160.550952395846</v>
          </cell>
        </row>
        <row r="144">
          <cell r="D144"/>
          <cell r="F144"/>
        </row>
        <row r="146">
          <cell r="D146">
            <v>12472.1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7239.38</v>
          </cell>
          <cell r="F150"/>
        </row>
        <row r="151">
          <cell r="D151">
            <v>88836.15</v>
          </cell>
          <cell r="F151"/>
        </row>
        <row r="152">
          <cell r="D152">
            <v>230.05</v>
          </cell>
          <cell r="F152"/>
        </row>
        <row r="153">
          <cell r="D153">
            <v>8654.2000000000007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>
            <v>1454</v>
          </cell>
          <cell r="F157"/>
        </row>
        <row r="158">
          <cell r="D158">
            <v>540</v>
          </cell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>
            <v>2924.56</v>
          </cell>
          <cell r="F193"/>
        </row>
        <row r="194">
          <cell r="D194">
            <v>107451.29</v>
          </cell>
          <cell r="F194">
            <v>-53725.65</v>
          </cell>
        </row>
        <row r="195">
          <cell r="D195">
            <v>2791.06</v>
          </cell>
          <cell r="F195">
            <v>-1395.53</v>
          </cell>
        </row>
        <row r="196">
          <cell r="D196"/>
          <cell r="F196"/>
        </row>
        <row r="197">
          <cell r="D197">
            <v>60940.75</v>
          </cell>
          <cell r="F197">
            <v>-30470.38</v>
          </cell>
        </row>
        <row r="198">
          <cell r="D198">
            <v>20178.830000000002</v>
          </cell>
          <cell r="F198"/>
        </row>
        <row r="199">
          <cell r="D199"/>
          <cell r="F199"/>
        </row>
        <row r="200">
          <cell r="D200">
            <v>1700</v>
          </cell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81653.440000000002</v>
          </cell>
          <cell r="F205"/>
        </row>
        <row r="206">
          <cell r="D206">
            <v>1508</v>
          </cell>
          <cell r="F206"/>
        </row>
        <row r="207">
          <cell r="D207"/>
          <cell r="F207"/>
        </row>
        <row r="211">
          <cell r="D211">
            <v>75413.100000000006</v>
          </cell>
          <cell r="F211"/>
        </row>
        <row r="212">
          <cell r="D212"/>
          <cell r="F212">
            <v>9133.9167886603846</v>
          </cell>
        </row>
        <row r="213">
          <cell r="D213">
            <v>8272.5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175</v>
          </cell>
          <cell r="F216"/>
        </row>
        <row r="221">
          <cell r="D221">
            <v>3722953.63</v>
          </cell>
        </row>
      </sheetData>
      <sheetData sheetId="9"/>
      <sheetData sheetId="10"/>
      <sheetData sheetId="11"/>
      <sheetData sheetId="12">
        <row r="9">
          <cell r="C9">
            <v>10267</v>
          </cell>
          <cell r="D9"/>
          <cell r="E9">
            <v>1580</v>
          </cell>
          <cell r="F9">
            <v>104</v>
          </cell>
          <cell r="G9"/>
          <cell r="H9">
            <v>3505</v>
          </cell>
          <cell r="I9">
            <v>1169</v>
          </cell>
          <cell r="J9">
            <v>384</v>
          </cell>
          <cell r="K9"/>
        </row>
        <row r="22">
          <cell r="N22">
            <v>53</v>
          </cell>
        </row>
        <row r="24">
          <cell r="N24">
            <v>53</v>
          </cell>
        </row>
        <row r="28">
          <cell r="N28">
            <v>19398</v>
          </cell>
        </row>
        <row r="30">
          <cell r="N30">
            <v>0.87684297350242291</v>
          </cell>
        </row>
        <row r="32">
          <cell r="N32">
            <v>0.52928136921332092</v>
          </cell>
        </row>
        <row r="34">
          <cell r="N34">
            <v>0.60362161208771825</v>
          </cell>
        </row>
      </sheetData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5">
          <cell r="C85">
            <v>394.24153846153848</v>
          </cell>
          <cell r="E85">
            <v>389.46703296703299</v>
          </cell>
          <cell r="G85">
            <v>560.32647584973165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405529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2325162</v>
          </cell>
          <cell r="G21">
            <v>0</v>
          </cell>
        </row>
        <row r="27">
          <cell r="E27">
            <v>176531</v>
          </cell>
          <cell r="G27">
            <v>0</v>
          </cell>
        </row>
        <row r="32">
          <cell r="E32">
            <v>5504782</v>
          </cell>
          <cell r="G32">
            <v>-2966618</v>
          </cell>
        </row>
        <row r="37">
          <cell r="E37">
            <v>2257726</v>
          </cell>
          <cell r="G37">
            <v>2966618</v>
          </cell>
        </row>
        <row r="42">
          <cell r="E42">
            <v>96082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5437</v>
          </cell>
          <cell r="G52">
            <v>0</v>
          </cell>
        </row>
        <row r="67">
          <cell r="E67">
            <v>41629</v>
          </cell>
          <cell r="G67">
            <v>-30380</v>
          </cell>
        </row>
        <row r="85">
          <cell r="C85">
            <v>217.00292172843302</v>
          </cell>
          <cell r="E85">
            <v>217.00282131661442</v>
          </cell>
          <cell r="G85">
            <v>217.00272247745448</v>
          </cell>
          <cell r="I85">
            <v>217.00301034807148</v>
          </cell>
        </row>
      </sheetData>
      <sheetData sheetId="6"/>
      <sheetData sheetId="7">
        <row r="10">
          <cell r="D10">
            <v>0</v>
          </cell>
          <cell r="F10">
            <v>148583</v>
          </cell>
        </row>
        <row r="11">
          <cell r="D11">
            <v>0</v>
          </cell>
          <cell r="F11">
            <v>0</v>
          </cell>
        </row>
        <row r="12">
          <cell r="D12">
            <v>403561</v>
          </cell>
          <cell r="F12">
            <v>-148583</v>
          </cell>
        </row>
        <row r="13">
          <cell r="D13">
            <v>153492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621662</v>
          </cell>
        </row>
        <row r="16">
          <cell r="D16">
            <v>621662</v>
          </cell>
          <cell r="F16">
            <v>-621662</v>
          </cell>
        </row>
        <row r="17">
          <cell r="D17">
            <v>13635</v>
          </cell>
          <cell r="F17">
            <v>-13635</v>
          </cell>
        </row>
        <row r="18">
          <cell r="D18">
            <v>74350</v>
          </cell>
          <cell r="F18">
            <v>0</v>
          </cell>
        </row>
        <row r="19">
          <cell r="D19">
            <v>3509</v>
          </cell>
          <cell r="F19">
            <v>0</v>
          </cell>
        </row>
        <row r="20">
          <cell r="D20">
            <v>40488</v>
          </cell>
          <cell r="F20">
            <v>0</v>
          </cell>
        </row>
        <row r="21">
          <cell r="D21">
            <v>5942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24070</v>
          </cell>
          <cell r="F23">
            <v>0</v>
          </cell>
        </row>
        <row r="24">
          <cell r="D24">
            <v>15510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861</v>
          </cell>
          <cell r="F27">
            <v>-22</v>
          </cell>
        </row>
        <row r="28">
          <cell r="D28">
            <v>0</v>
          </cell>
          <cell r="F28">
            <v>0</v>
          </cell>
        </row>
        <row r="29">
          <cell r="D29">
            <v>47075</v>
          </cell>
          <cell r="F29">
            <v>-47075</v>
          </cell>
        </row>
        <row r="30">
          <cell r="D30">
            <v>4078</v>
          </cell>
          <cell r="F30">
            <v>-4078</v>
          </cell>
        </row>
        <row r="31">
          <cell r="D31">
            <v>0</v>
          </cell>
          <cell r="F31">
            <v>0</v>
          </cell>
        </row>
        <row r="32">
          <cell r="D32">
            <v>84871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581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93867</v>
          </cell>
          <cell r="F36">
            <v>0</v>
          </cell>
        </row>
        <row r="37">
          <cell r="D37">
            <v>12888</v>
          </cell>
          <cell r="F37">
            <v>0</v>
          </cell>
        </row>
        <row r="38">
          <cell r="D38">
            <v>3908</v>
          </cell>
          <cell r="F38">
            <v>-3908</v>
          </cell>
        </row>
        <row r="39">
          <cell r="D39">
            <v>11804</v>
          </cell>
          <cell r="F39">
            <v>0</v>
          </cell>
        </row>
        <row r="40">
          <cell r="D40">
            <v>28395</v>
          </cell>
          <cell r="F40">
            <v>-28395</v>
          </cell>
        </row>
        <row r="41">
          <cell r="D41">
            <v>75854</v>
          </cell>
          <cell r="F41">
            <v>0</v>
          </cell>
        </row>
        <row r="42">
          <cell r="D42">
            <v>1846</v>
          </cell>
          <cell r="F42">
            <v>0</v>
          </cell>
        </row>
        <row r="43">
          <cell r="D43">
            <v>10321</v>
          </cell>
          <cell r="F43">
            <v>-10321</v>
          </cell>
        </row>
        <row r="44">
          <cell r="D44">
            <v>0</v>
          </cell>
          <cell r="F44">
            <v>0</v>
          </cell>
        </row>
        <row r="45">
          <cell r="D45">
            <v>432451</v>
          </cell>
          <cell r="F45">
            <v>-405216</v>
          </cell>
        </row>
        <row r="57">
          <cell r="D57">
            <v>0</v>
          </cell>
          <cell r="F57">
            <v>0</v>
          </cell>
        </row>
        <row r="58">
          <cell r="D58">
            <v>1287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18140</v>
          </cell>
          <cell r="F61">
            <v>0</v>
          </cell>
        </row>
        <row r="62">
          <cell r="D62">
            <v>805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3026</v>
          </cell>
          <cell r="F65">
            <v>0</v>
          </cell>
        </row>
        <row r="66">
          <cell r="D66">
            <v>55289</v>
          </cell>
          <cell r="F66">
            <v>0</v>
          </cell>
        </row>
        <row r="67">
          <cell r="D67">
            <v>26324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1274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73526</v>
          </cell>
          <cell r="F75">
            <v>0</v>
          </cell>
        </row>
        <row r="76">
          <cell r="D76">
            <v>29973</v>
          </cell>
          <cell r="F76">
            <v>0</v>
          </cell>
        </row>
        <row r="77">
          <cell r="D77">
            <v>21893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9856</v>
          </cell>
          <cell r="F79">
            <v>0</v>
          </cell>
        </row>
        <row r="80">
          <cell r="D80">
            <v>18046</v>
          </cell>
          <cell r="F80">
            <v>0</v>
          </cell>
        </row>
        <row r="81">
          <cell r="D81">
            <v>51588</v>
          </cell>
          <cell r="F81">
            <v>0</v>
          </cell>
        </row>
        <row r="82">
          <cell r="D82">
            <v>35724</v>
          </cell>
          <cell r="F82">
            <v>0</v>
          </cell>
        </row>
        <row r="83">
          <cell r="D83">
            <v>33904</v>
          </cell>
          <cell r="F83">
            <v>0</v>
          </cell>
        </row>
        <row r="84">
          <cell r="D84">
            <v>214513</v>
          </cell>
          <cell r="F84">
            <v>0</v>
          </cell>
        </row>
        <row r="85">
          <cell r="D85">
            <v>594</v>
          </cell>
          <cell r="F85">
            <v>0</v>
          </cell>
        </row>
        <row r="89">
          <cell r="D89">
            <v>404664</v>
          </cell>
          <cell r="F89">
            <v>0</v>
          </cell>
        </row>
        <row r="90">
          <cell r="D90">
            <v>102719</v>
          </cell>
          <cell r="F90">
            <v>0</v>
          </cell>
        </row>
        <row r="91">
          <cell r="D91">
            <v>22239</v>
          </cell>
          <cell r="F91">
            <v>0</v>
          </cell>
        </row>
        <row r="92">
          <cell r="D92">
            <v>382518</v>
          </cell>
          <cell r="F92">
            <v>-4402</v>
          </cell>
        </row>
        <row r="93">
          <cell r="D93">
            <v>32129</v>
          </cell>
          <cell r="F93">
            <v>0</v>
          </cell>
        </row>
        <row r="94">
          <cell r="D94">
            <v>121</v>
          </cell>
          <cell r="F94">
            <v>0</v>
          </cell>
        </row>
        <row r="98">
          <cell r="D98">
            <v>45002</v>
          </cell>
          <cell r="F98">
            <v>0</v>
          </cell>
        </row>
        <row r="99">
          <cell r="D99">
            <v>5944</v>
          </cell>
          <cell r="F99">
            <v>0</v>
          </cell>
        </row>
        <row r="100">
          <cell r="D100">
            <v>2945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12406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181986</v>
          </cell>
          <cell r="F115">
            <v>0</v>
          </cell>
        </row>
        <row r="116">
          <cell r="D116">
            <v>54997</v>
          </cell>
          <cell r="F116">
            <v>0</v>
          </cell>
        </row>
        <row r="117">
          <cell r="D117">
            <v>58903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4386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458823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74835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112704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24071</v>
          </cell>
          <cell r="F134">
            <v>0</v>
          </cell>
        </row>
        <row r="136">
          <cell r="D136">
            <v>1290244</v>
          </cell>
          <cell r="F136">
            <v>0</v>
          </cell>
        </row>
        <row r="137">
          <cell r="D137">
            <v>325894</v>
          </cell>
          <cell r="F137">
            <v>0</v>
          </cell>
        </row>
        <row r="138">
          <cell r="D138">
            <v>1494627</v>
          </cell>
          <cell r="F138">
            <v>84389</v>
          </cell>
        </row>
        <row r="139">
          <cell r="D139">
            <v>84389</v>
          </cell>
          <cell r="F139">
            <v>-84389</v>
          </cell>
        </row>
        <row r="141">
          <cell r="D141">
            <v>865400</v>
          </cell>
          <cell r="F141">
            <v>-516026</v>
          </cell>
        </row>
        <row r="142">
          <cell r="D142">
            <v>0</v>
          </cell>
          <cell r="F142">
            <v>88282</v>
          </cell>
        </row>
        <row r="143">
          <cell r="D143">
            <v>0</v>
          </cell>
          <cell r="F143">
            <v>427744</v>
          </cell>
        </row>
        <row r="144">
          <cell r="D144">
            <v>0</v>
          </cell>
          <cell r="F144">
            <v>0</v>
          </cell>
        </row>
        <row r="146">
          <cell r="D146">
            <v>56325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909</v>
          </cell>
          <cell r="F150">
            <v>0</v>
          </cell>
        </row>
        <row r="151">
          <cell r="D151">
            <v>161668</v>
          </cell>
          <cell r="F151">
            <v>0</v>
          </cell>
        </row>
        <row r="152">
          <cell r="D152">
            <v>18695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75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56507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764</v>
          </cell>
          <cell r="F188">
            <v>0</v>
          </cell>
        </row>
        <row r="189">
          <cell r="D189">
            <v>12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16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7946</v>
          </cell>
          <cell r="F193">
            <v>0</v>
          </cell>
        </row>
        <row r="194">
          <cell r="D194">
            <v>333146</v>
          </cell>
          <cell r="F194">
            <v>0</v>
          </cell>
        </row>
        <row r="195">
          <cell r="D195">
            <v>134110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215156</v>
          </cell>
          <cell r="F197">
            <v>0</v>
          </cell>
        </row>
        <row r="198">
          <cell r="D198">
            <v>59405</v>
          </cell>
          <cell r="F198">
            <v>0</v>
          </cell>
        </row>
        <row r="199">
          <cell r="D199">
            <v>72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389747</v>
          </cell>
          <cell r="F205">
            <v>0</v>
          </cell>
        </row>
        <row r="206">
          <cell r="D206">
            <v>19912</v>
          </cell>
          <cell r="F206">
            <v>0</v>
          </cell>
        </row>
        <row r="207">
          <cell r="D207">
            <v>7598</v>
          </cell>
          <cell r="F207">
            <v>0</v>
          </cell>
        </row>
        <row r="211">
          <cell r="D211">
            <v>260096</v>
          </cell>
          <cell r="F211">
            <v>0</v>
          </cell>
        </row>
        <row r="212">
          <cell r="D212">
            <v>87622</v>
          </cell>
          <cell r="F212">
            <v>0</v>
          </cell>
        </row>
        <row r="213">
          <cell r="D213">
            <v>12759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6018</v>
          </cell>
          <cell r="F216">
            <v>0</v>
          </cell>
        </row>
        <row r="221">
          <cell r="D221">
            <v>10631285</v>
          </cell>
        </row>
      </sheetData>
      <sheetData sheetId="8"/>
      <sheetData sheetId="9"/>
      <sheetData sheetId="10">
        <row r="9">
          <cell r="C9">
            <v>2205</v>
          </cell>
          <cell r="D9">
            <v>0</v>
          </cell>
          <cell r="E9">
            <v>4159</v>
          </cell>
          <cell r="F9">
            <v>443</v>
          </cell>
          <cell r="G9">
            <v>6203</v>
          </cell>
          <cell r="H9">
            <v>24075</v>
          </cell>
          <cell r="I9">
            <v>939</v>
          </cell>
          <cell r="J9">
            <v>0</v>
          </cell>
          <cell r="K9">
            <v>26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39528</v>
          </cell>
        </row>
        <row r="30">
          <cell r="N30">
            <v>0.96260878364703506</v>
          </cell>
        </row>
        <row r="32">
          <cell r="N32">
            <v>5.5783242258652097E-2</v>
          </cell>
        </row>
        <row r="34">
          <cell r="N34">
            <v>5.7950065703022337E-2</v>
          </cell>
        </row>
      </sheetData>
      <sheetData sheetId="1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432333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279372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13041</v>
          </cell>
          <cell r="G37">
            <v>0</v>
          </cell>
        </row>
        <row r="42">
          <cell r="E42">
            <v>42833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24473</v>
          </cell>
          <cell r="G67">
            <v>0</v>
          </cell>
        </row>
      </sheetData>
      <sheetData sheetId="6"/>
      <sheetData sheetId="7">
        <row r="10">
          <cell r="D10">
            <v>32948</v>
          </cell>
          <cell r="F10"/>
        </row>
        <row r="11">
          <cell r="D11"/>
          <cell r="F11"/>
        </row>
        <row r="12">
          <cell r="D12">
            <v>8018</v>
          </cell>
          <cell r="F12">
            <v>3745</v>
          </cell>
        </row>
        <row r="13">
          <cell r="D13">
            <v>2802</v>
          </cell>
          <cell r="F13">
            <v>320</v>
          </cell>
        </row>
        <row r="14">
          <cell r="D14"/>
          <cell r="F14">
            <v>2894</v>
          </cell>
        </row>
        <row r="15">
          <cell r="D15"/>
          <cell r="F15"/>
        </row>
        <row r="16">
          <cell r="D16"/>
          <cell r="F16"/>
        </row>
        <row r="17">
          <cell r="D17">
            <v>75</v>
          </cell>
          <cell r="F17">
            <v>-75</v>
          </cell>
        </row>
        <row r="18">
          <cell r="D18">
            <v>1347</v>
          </cell>
          <cell r="F18"/>
        </row>
        <row r="19">
          <cell r="D19">
            <v>7750</v>
          </cell>
          <cell r="F19"/>
        </row>
        <row r="20">
          <cell r="D20">
            <v>1534</v>
          </cell>
          <cell r="F20"/>
        </row>
        <row r="21">
          <cell r="D21">
            <v>27599</v>
          </cell>
          <cell r="F21"/>
        </row>
        <row r="22">
          <cell r="D22"/>
          <cell r="F22"/>
        </row>
        <row r="23">
          <cell r="D23">
            <v>1905</v>
          </cell>
          <cell r="F23"/>
        </row>
        <row r="24">
          <cell r="D24">
            <v>1637</v>
          </cell>
          <cell r="F24"/>
        </row>
        <row r="25">
          <cell r="D25"/>
          <cell r="F25"/>
        </row>
        <row r="26">
          <cell r="D26">
            <v>49006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/>
          <cell r="F29">
            <v>0</v>
          </cell>
        </row>
        <row r="30">
          <cell r="D30"/>
          <cell r="F30">
            <v>0</v>
          </cell>
        </row>
        <row r="31">
          <cell r="D31">
            <v>7626</v>
          </cell>
          <cell r="F31"/>
        </row>
        <row r="32">
          <cell r="D32">
            <v>6427</v>
          </cell>
          <cell r="F32"/>
        </row>
        <row r="33">
          <cell r="D33"/>
          <cell r="F33">
            <v>0</v>
          </cell>
        </row>
        <row r="34">
          <cell r="D34">
            <v>269</v>
          </cell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359</v>
          </cell>
          <cell r="F39"/>
        </row>
        <row r="40">
          <cell r="D40">
            <v>200</v>
          </cell>
          <cell r="F40">
            <v>-200</v>
          </cell>
        </row>
        <row r="41">
          <cell r="D41">
            <v>181</v>
          </cell>
          <cell r="F41"/>
        </row>
        <row r="42">
          <cell r="D42">
            <v>1109</v>
          </cell>
          <cell r="F42"/>
        </row>
        <row r="43">
          <cell r="D43">
            <v>1909</v>
          </cell>
          <cell r="F43">
            <v>-1909</v>
          </cell>
        </row>
        <row r="44">
          <cell r="D44"/>
          <cell r="F44"/>
        </row>
        <row r="45">
          <cell r="D45">
            <v>1291</v>
          </cell>
          <cell r="F45"/>
        </row>
        <row r="57">
          <cell r="D57">
            <v>59176</v>
          </cell>
          <cell r="F57"/>
        </row>
        <row r="58">
          <cell r="D58"/>
          <cell r="F58"/>
        </row>
        <row r="59">
          <cell r="D59"/>
          <cell r="F59"/>
        </row>
        <row r="60">
          <cell r="D60">
            <v>8078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1852</v>
          </cell>
          <cell r="F65"/>
        </row>
        <row r="66">
          <cell r="D66"/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11235</v>
          </cell>
          <cell r="F75">
            <v>-7490</v>
          </cell>
        </row>
        <row r="76">
          <cell r="D76">
            <v>961</v>
          </cell>
          <cell r="F76">
            <v>-640</v>
          </cell>
        </row>
        <row r="77">
          <cell r="D77">
            <v>390</v>
          </cell>
          <cell r="F77"/>
        </row>
        <row r="78">
          <cell r="D78">
            <v>2023</v>
          </cell>
          <cell r="F78"/>
        </row>
        <row r="79">
          <cell r="D79"/>
          <cell r="F79"/>
        </row>
        <row r="80">
          <cell r="D80">
            <v>4085</v>
          </cell>
          <cell r="F80"/>
        </row>
        <row r="81">
          <cell r="D81">
            <v>12180</v>
          </cell>
          <cell r="F81">
            <v>-12180</v>
          </cell>
        </row>
        <row r="82">
          <cell r="D82">
            <v>1556</v>
          </cell>
          <cell r="F82">
            <v>-1556</v>
          </cell>
        </row>
        <row r="83">
          <cell r="D83"/>
          <cell r="F83"/>
        </row>
        <row r="84">
          <cell r="D84">
            <v>10909</v>
          </cell>
          <cell r="F84"/>
        </row>
        <row r="85">
          <cell r="D85">
            <v>1479</v>
          </cell>
          <cell r="F85"/>
        </row>
        <row r="89">
          <cell r="D89">
            <v>23182</v>
          </cell>
          <cell r="F89"/>
        </row>
        <row r="90">
          <cell r="D90">
            <v>4128</v>
          </cell>
          <cell r="F90"/>
        </row>
        <row r="91">
          <cell r="D91">
            <v>3788</v>
          </cell>
          <cell r="F91"/>
        </row>
        <row r="92">
          <cell r="D92">
            <v>19619</v>
          </cell>
          <cell r="F92"/>
        </row>
        <row r="93">
          <cell r="D93">
            <v>1232</v>
          </cell>
          <cell r="F93"/>
        </row>
        <row r="94">
          <cell r="D94">
            <v>568</v>
          </cell>
          <cell r="F94"/>
        </row>
        <row r="98">
          <cell r="D98"/>
          <cell r="F98">
            <v>5460</v>
          </cell>
        </row>
        <row r="99">
          <cell r="D99"/>
          <cell r="F99">
            <v>472</v>
          </cell>
        </row>
        <row r="100">
          <cell r="D100">
            <v>686</v>
          </cell>
          <cell r="F100"/>
        </row>
        <row r="101">
          <cell r="D101"/>
          <cell r="F101"/>
        </row>
        <row r="102">
          <cell r="D102">
            <v>58</v>
          </cell>
          <cell r="F102"/>
        </row>
        <row r="103">
          <cell r="D103"/>
          <cell r="F103"/>
        </row>
        <row r="115">
          <cell r="D115">
            <v>10919</v>
          </cell>
          <cell r="F115">
            <v>-5460</v>
          </cell>
        </row>
        <row r="116">
          <cell r="D116">
            <v>944</v>
          </cell>
          <cell r="F116">
            <v>-472</v>
          </cell>
        </row>
        <row r="117">
          <cell r="D117">
            <v>1487</v>
          </cell>
          <cell r="F117"/>
        </row>
        <row r="118">
          <cell r="D118">
            <v>872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26360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9830</v>
          </cell>
          <cell r="F128">
            <v>-752</v>
          </cell>
        </row>
        <row r="130">
          <cell r="D130"/>
          <cell r="F130"/>
        </row>
        <row r="131">
          <cell r="D131"/>
          <cell r="F131">
            <v>2124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1923</v>
          </cell>
        </row>
        <row r="136">
          <cell r="D136">
            <v>39322</v>
          </cell>
          <cell r="F136"/>
        </row>
        <row r="137">
          <cell r="D137">
            <v>41340</v>
          </cell>
          <cell r="F137"/>
        </row>
        <row r="138">
          <cell r="D138">
            <v>87603</v>
          </cell>
          <cell r="F138"/>
        </row>
        <row r="139">
          <cell r="D139"/>
          <cell r="F139"/>
        </row>
        <row r="141">
          <cell r="D141">
            <v>8623</v>
          </cell>
          <cell r="F141">
            <v>-5455</v>
          </cell>
        </row>
        <row r="142">
          <cell r="D142"/>
          <cell r="F142">
            <v>3331</v>
          </cell>
        </row>
        <row r="143">
          <cell r="D143">
            <v>7707</v>
          </cell>
          <cell r="F143"/>
        </row>
        <row r="144">
          <cell r="D144"/>
          <cell r="F144"/>
        </row>
        <row r="146">
          <cell r="D146">
            <v>4000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363</v>
          </cell>
          <cell r="F150"/>
        </row>
        <row r="151">
          <cell r="D151">
            <v>12419</v>
          </cell>
          <cell r="F151"/>
        </row>
        <row r="152">
          <cell r="D152">
            <v>5526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1428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35937</v>
          </cell>
          <cell r="F194"/>
        </row>
        <row r="195">
          <cell r="D195">
            <v>3884</v>
          </cell>
          <cell r="F195"/>
        </row>
        <row r="196">
          <cell r="D196"/>
          <cell r="F196"/>
        </row>
        <row r="197">
          <cell r="D197">
            <v>33752</v>
          </cell>
          <cell r="F197"/>
        </row>
        <row r="198">
          <cell r="D198">
            <v>7311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28381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14483</v>
          </cell>
          <cell r="F211"/>
        </row>
        <row r="212">
          <cell r="D212">
            <v>1239</v>
          </cell>
          <cell r="F212"/>
        </row>
        <row r="213">
          <cell r="D213">
            <v>3219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1018</v>
          </cell>
          <cell r="F216"/>
        </row>
        <row r="221">
          <cell r="D221">
            <v>709144</v>
          </cell>
        </row>
      </sheetData>
      <sheetData sheetId="8"/>
      <sheetData sheetId="9"/>
      <sheetData sheetId="10">
        <row r="9">
          <cell r="C9">
            <v>2365</v>
          </cell>
          <cell r="D9">
            <v>0</v>
          </cell>
          <cell r="E9">
            <v>688</v>
          </cell>
          <cell r="F9">
            <v>0</v>
          </cell>
          <cell r="G9">
            <v>0</v>
          </cell>
          <cell r="H9">
            <v>80</v>
          </cell>
          <cell r="I9">
            <v>230</v>
          </cell>
          <cell r="J9">
            <v>0</v>
          </cell>
          <cell r="K9">
            <v>0</v>
          </cell>
        </row>
        <row r="22">
          <cell r="N22">
            <v>29</v>
          </cell>
        </row>
        <row r="24">
          <cell r="N24">
            <v>29</v>
          </cell>
        </row>
        <row r="28">
          <cell r="N28">
            <v>3567</v>
          </cell>
        </row>
        <row r="30">
          <cell r="N30">
            <v>0.94280908326324642</v>
          </cell>
        </row>
        <row r="32">
          <cell r="N32">
            <v>0.66302214746285393</v>
          </cell>
        </row>
        <row r="34">
          <cell r="N34">
            <v>0.70324115373178708</v>
          </cell>
        </row>
      </sheetData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85">
          <cell r="C85">
            <v>252.95486111111111</v>
          </cell>
          <cell r="E85">
            <v>245.65305135951664</v>
          </cell>
          <cell r="G85">
            <v>244.36532846715332</v>
          </cell>
          <cell r="I85">
            <v>249.6566929133858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2294896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999154</v>
          </cell>
          <cell r="G21">
            <v>0</v>
          </cell>
        </row>
        <row r="27">
          <cell r="E27">
            <v>268031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308794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188651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1005</v>
          </cell>
          <cell r="G67">
            <v>0</v>
          </cell>
        </row>
        <row r="85">
          <cell r="C85">
            <v>186.16997792494482</v>
          </cell>
          <cell r="E85">
            <v>183.45038167938932</v>
          </cell>
          <cell r="G85">
            <v>184.30357142857142</v>
          </cell>
          <cell r="I85">
            <v>174.65251572327045</v>
          </cell>
        </row>
      </sheetData>
      <sheetData sheetId="7"/>
      <sheetData sheetId="8">
        <row r="10">
          <cell r="D10">
            <v>81176</v>
          </cell>
          <cell r="F10">
            <v>3925</v>
          </cell>
        </row>
        <row r="11">
          <cell r="D11">
            <v>0</v>
          </cell>
          <cell r="F11"/>
        </row>
        <row r="12">
          <cell r="D12">
            <v>135425</v>
          </cell>
          <cell r="F12">
            <v>6545</v>
          </cell>
        </row>
        <row r="13">
          <cell r="D13">
            <v>420308</v>
          </cell>
          <cell r="F13">
            <v>-386822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204414</v>
          </cell>
          <cell r="F16">
            <v>120785</v>
          </cell>
        </row>
        <row r="17">
          <cell r="D17">
            <v>0</v>
          </cell>
          <cell r="F17"/>
        </row>
        <row r="18">
          <cell r="D18">
            <v>21933</v>
          </cell>
          <cell r="F18"/>
        </row>
        <row r="19">
          <cell r="D19">
            <v>19597</v>
          </cell>
          <cell r="F19">
            <v>1599.12</v>
          </cell>
        </row>
        <row r="20">
          <cell r="D20">
            <v>15004</v>
          </cell>
          <cell r="F20"/>
        </row>
        <row r="21">
          <cell r="D21">
            <v>693</v>
          </cell>
          <cell r="F21"/>
        </row>
        <row r="22">
          <cell r="D22">
            <v>0</v>
          </cell>
          <cell r="F22"/>
        </row>
        <row r="23">
          <cell r="D23">
            <v>6123</v>
          </cell>
          <cell r="F23"/>
        </row>
        <row r="24">
          <cell r="D24">
            <v>62806</v>
          </cell>
          <cell r="F24">
            <v>-10400</v>
          </cell>
        </row>
        <row r="25">
          <cell r="D25">
            <v>19958</v>
          </cell>
          <cell r="F25"/>
        </row>
        <row r="26">
          <cell r="D26">
            <v>291390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41414</v>
          </cell>
          <cell r="F29">
            <v>-41414</v>
          </cell>
        </row>
        <row r="30">
          <cell r="D30">
            <v>0</v>
          </cell>
          <cell r="F30">
            <v>0</v>
          </cell>
        </row>
        <row r="31">
          <cell r="D31">
            <v>50199</v>
          </cell>
          <cell r="F31"/>
        </row>
        <row r="32">
          <cell r="D32">
            <v>53633</v>
          </cell>
          <cell r="F32">
            <v>-10937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15</v>
          </cell>
          <cell r="F35">
            <v>-15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748</v>
          </cell>
          <cell r="F38">
            <v>-748</v>
          </cell>
        </row>
        <row r="39">
          <cell r="D39">
            <v>3298</v>
          </cell>
          <cell r="F39"/>
        </row>
        <row r="40">
          <cell r="D40">
            <v>2745</v>
          </cell>
          <cell r="F40"/>
        </row>
        <row r="41">
          <cell r="D41">
            <v>11811</v>
          </cell>
          <cell r="F41"/>
        </row>
        <row r="42">
          <cell r="D42">
            <v>4559</v>
          </cell>
          <cell r="F42"/>
        </row>
        <row r="43">
          <cell r="D43">
            <v>8314</v>
          </cell>
          <cell r="F43"/>
        </row>
        <row r="44">
          <cell r="D44">
            <v>149</v>
          </cell>
          <cell r="F44"/>
        </row>
        <row r="45">
          <cell r="D45">
            <v>2323</v>
          </cell>
          <cell r="F45">
            <v>-900</v>
          </cell>
        </row>
        <row r="57">
          <cell r="D57">
            <v>590751</v>
          </cell>
          <cell r="F57">
            <v>-590751</v>
          </cell>
        </row>
        <row r="58">
          <cell r="D58">
            <v>0</v>
          </cell>
          <cell r="F58">
            <v>110025</v>
          </cell>
        </row>
        <row r="59">
          <cell r="D59">
            <v>0</v>
          </cell>
          <cell r="F59"/>
        </row>
        <row r="60">
          <cell r="D60">
            <v>23619</v>
          </cell>
          <cell r="F60"/>
        </row>
        <row r="61">
          <cell r="D61">
            <v>12114</v>
          </cell>
          <cell r="F61"/>
        </row>
        <row r="62">
          <cell r="D62">
            <v>0</v>
          </cell>
          <cell r="F62">
            <v>5966</v>
          </cell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2413</v>
          </cell>
          <cell r="F65"/>
        </row>
        <row r="66">
          <cell r="D66">
            <v>2370</v>
          </cell>
          <cell r="F66"/>
        </row>
        <row r="67">
          <cell r="D67">
            <v>0</v>
          </cell>
          <cell r="F67">
            <v>90830</v>
          </cell>
        </row>
        <row r="68">
          <cell r="D68">
            <v>0</v>
          </cell>
          <cell r="F68"/>
        </row>
        <row r="69">
          <cell r="D69">
            <v>5069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38996</v>
          </cell>
          <cell r="F75">
            <v>1886</v>
          </cell>
        </row>
        <row r="76">
          <cell r="D76">
            <v>0</v>
          </cell>
          <cell r="F76">
            <v>6092</v>
          </cell>
        </row>
        <row r="77">
          <cell r="D77">
            <v>6299</v>
          </cell>
          <cell r="F77"/>
        </row>
        <row r="78">
          <cell r="D78">
            <v>0</v>
          </cell>
          <cell r="F78"/>
        </row>
        <row r="79">
          <cell r="D79">
            <v>2632</v>
          </cell>
          <cell r="F79"/>
        </row>
        <row r="80">
          <cell r="D80">
            <v>11974</v>
          </cell>
          <cell r="F80"/>
        </row>
        <row r="81">
          <cell r="D81">
            <v>9544</v>
          </cell>
          <cell r="F81"/>
        </row>
        <row r="82">
          <cell r="D82">
            <v>1818</v>
          </cell>
          <cell r="F82"/>
        </row>
        <row r="83">
          <cell r="D83">
            <v>0</v>
          </cell>
          <cell r="F83"/>
        </row>
        <row r="84">
          <cell r="D84">
            <v>101426</v>
          </cell>
          <cell r="F84"/>
        </row>
        <row r="85">
          <cell r="D85">
            <v>0</v>
          </cell>
          <cell r="F85"/>
        </row>
        <row r="89">
          <cell r="D89">
            <v>156910</v>
          </cell>
          <cell r="F89">
            <v>7587</v>
          </cell>
        </row>
        <row r="90">
          <cell r="D90">
            <v>0</v>
          </cell>
          <cell r="F90">
            <v>24511</v>
          </cell>
        </row>
        <row r="91">
          <cell r="D91">
            <v>1345</v>
          </cell>
          <cell r="F91"/>
        </row>
        <row r="92">
          <cell r="D92">
            <v>111111</v>
          </cell>
          <cell r="F92"/>
        </row>
        <row r="93">
          <cell r="D93">
            <v>9694</v>
          </cell>
          <cell r="F93"/>
        </row>
        <row r="94">
          <cell r="D94">
            <v>0</v>
          </cell>
          <cell r="F94"/>
        </row>
        <row r="98">
          <cell r="D98">
            <v>35831</v>
          </cell>
          <cell r="F98">
            <v>1732</v>
          </cell>
        </row>
        <row r="99">
          <cell r="D99">
            <v>0</v>
          </cell>
          <cell r="F99">
            <v>5598</v>
          </cell>
        </row>
        <row r="100">
          <cell r="D100">
            <v>7638</v>
          </cell>
          <cell r="F100"/>
        </row>
        <row r="101">
          <cell r="D101">
            <v>1456</v>
          </cell>
          <cell r="F101"/>
        </row>
        <row r="102">
          <cell r="D102">
            <v>2273</v>
          </cell>
          <cell r="F102"/>
        </row>
        <row r="103">
          <cell r="D103">
            <v>0</v>
          </cell>
          <cell r="F103"/>
        </row>
        <row r="115">
          <cell r="D115">
            <v>42978</v>
          </cell>
          <cell r="F115">
            <v>2078</v>
          </cell>
        </row>
        <row r="116">
          <cell r="D116">
            <v>0</v>
          </cell>
          <cell r="F116">
            <v>6714</v>
          </cell>
        </row>
        <row r="117">
          <cell r="D117">
            <v>11020</v>
          </cell>
          <cell r="F117"/>
        </row>
        <row r="118">
          <cell r="D118">
            <v>3910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126926</v>
          </cell>
          <cell r="F125">
            <v>6137</v>
          </cell>
        </row>
        <row r="126">
          <cell r="D126">
            <v>59791</v>
          </cell>
          <cell r="F126">
            <v>2891</v>
          </cell>
        </row>
        <row r="127">
          <cell r="D127">
            <v>0</v>
          </cell>
          <cell r="F127"/>
        </row>
        <row r="128">
          <cell r="D128">
            <v>30931</v>
          </cell>
          <cell r="F128">
            <v>1496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19828</v>
          </cell>
        </row>
        <row r="132">
          <cell r="D132">
            <v>0</v>
          </cell>
          <cell r="F132">
            <v>9340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4832</v>
          </cell>
        </row>
        <row r="136">
          <cell r="D136">
            <v>148476</v>
          </cell>
          <cell r="F136">
            <v>7179</v>
          </cell>
        </row>
        <row r="137">
          <cell r="D137">
            <v>287878</v>
          </cell>
          <cell r="F137">
            <v>13919</v>
          </cell>
        </row>
        <row r="138">
          <cell r="D138">
            <v>411868</v>
          </cell>
          <cell r="F138">
            <v>18961</v>
          </cell>
        </row>
        <row r="139">
          <cell r="D139">
            <v>18146</v>
          </cell>
          <cell r="F139">
            <v>877</v>
          </cell>
        </row>
        <row r="141">
          <cell r="D141">
            <v>0</v>
          </cell>
          <cell r="F141">
            <v>23194</v>
          </cell>
        </row>
        <row r="142">
          <cell r="D142">
            <v>0</v>
          </cell>
          <cell r="F142">
            <v>44971</v>
          </cell>
        </row>
        <row r="143">
          <cell r="D143">
            <v>0</v>
          </cell>
          <cell r="F143">
            <v>64340</v>
          </cell>
        </row>
        <row r="144">
          <cell r="D144">
            <v>0</v>
          </cell>
          <cell r="F144">
            <v>2835</v>
          </cell>
        </row>
        <row r="146">
          <cell r="D146">
            <v>36000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2132</v>
          </cell>
          <cell r="F149"/>
        </row>
        <row r="150">
          <cell r="D150">
            <v>8408</v>
          </cell>
          <cell r="F150"/>
        </row>
        <row r="151">
          <cell r="D151">
            <v>52566</v>
          </cell>
          <cell r="F151"/>
        </row>
        <row r="152">
          <cell r="D152">
            <v>1871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3480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153016</v>
          </cell>
          <cell r="F177">
            <v>7399</v>
          </cell>
        </row>
        <row r="178">
          <cell r="D178">
            <v>0</v>
          </cell>
          <cell r="F178">
            <v>23903</v>
          </cell>
        </row>
        <row r="179">
          <cell r="D179">
            <v>9111</v>
          </cell>
          <cell r="F179">
            <v>441</v>
          </cell>
        </row>
        <row r="180">
          <cell r="D180">
            <v>0</v>
          </cell>
          <cell r="F180">
            <v>1423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87740</v>
          </cell>
          <cell r="F183">
            <v>4242</v>
          </cell>
        </row>
        <row r="184">
          <cell r="D184">
            <v>0</v>
          </cell>
          <cell r="F184">
            <v>13706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552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2500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9326</v>
          </cell>
          <cell r="F197"/>
        </row>
        <row r="198">
          <cell r="D198">
            <v>9215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80878</v>
          </cell>
          <cell r="F205"/>
        </row>
        <row r="206">
          <cell r="D206">
            <v>4400</v>
          </cell>
          <cell r="F206"/>
        </row>
        <row r="207">
          <cell r="D207">
            <v>18911</v>
          </cell>
          <cell r="F207"/>
        </row>
        <row r="211">
          <cell r="D211">
            <v>63326</v>
          </cell>
          <cell r="F211">
            <v>3062</v>
          </cell>
        </row>
        <row r="212">
          <cell r="D212">
            <v>0</v>
          </cell>
          <cell r="F212">
            <v>9893</v>
          </cell>
        </row>
        <row r="213">
          <cell r="D213">
            <v>3669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2782</v>
          </cell>
          <cell r="F216"/>
        </row>
        <row r="221">
          <cell r="D221">
            <v>4285125.3000000007</v>
          </cell>
        </row>
      </sheetData>
      <sheetData sheetId="9"/>
      <sheetData sheetId="10"/>
      <sheetData sheetId="11"/>
      <sheetData sheetId="12"/>
      <sheetData sheetId="13">
        <row r="9">
          <cell r="C9">
            <v>13069</v>
          </cell>
          <cell r="D9"/>
          <cell r="E9">
            <v>2005</v>
          </cell>
          <cell r="F9">
            <v>609</v>
          </cell>
          <cell r="G9"/>
          <cell r="H9">
            <v>1706</v>
          </cell>
          <cell r="I9"/>
          <cell r="J9">
            <v>1130</v>
          </cell>
          <cell r="K9"/>
        </row>
        <row r="22">
          <cell r="N22">
            <v>130</v>
          </cell>
        </row>
        <row r="24">
          <cell r="N24">
            <v>130</v>
          </cell>
        </row>
        <row r="28">
          <cell r="N28">
            <v>47580</v>
          </cell>
        </row>
        <row r="30">
          <cell r="N30">
            <v>0.38921815889029004</v>
          </cell>
        </row>
        <row r="32">
          <cell r="N32">
            <v>0.27467423287095416</v>
          </cell>
        </row>
        <row r="34">
          <cell r="N34">
            <v>0.70570765160105831</v>
          </cell>
        </row>
      </sheetData>
      <sheetData sheetId="1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7468231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2128724</v>
          </cell>
          <cell r="G21">
            <v>0</v>
          </cell>
        </row>
        <row r="27">
          <cell r="E27">
            <v>1058033</v>
          </cell>
          <cell r="G27">
            <v>0</v>
          </cell>
        </row>
        <row r="32">
          <cell r="E32">
            <v>166442</v>
          </cell>
          <cell r="G32">
            <v>0</v>
          </cell>
        </row>
        <row r="37">
          <cell r="E37">
            <v>1051497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443427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51362</v>
          </cell>
          <cell r="G67">
            <v>0</v>
          </cell>
        </row>
      </sheetData>
      <sheetData sheetId="7"/>
      <sheetData sheetId="8"/>
      <sheetData sheetId="9">
        <row r="10">
          <cell r="D10">
            <v>235103</v>
          </cell>
          <cell r="F10">
            <v>17866</v>
          </cell>
        </row>
        <row r="11">
          <cell r="D11">
            <v>0</v>
          </cell>
          <cell r="F11"/>
        </row>
        <row r="12">
          <cell r="D12">
            <v>353695</v>
          </cell>
          <cell r="F12">
            <v>26874</v>
          </cell>
        </row>
        <row r="13">
          <cell r="D13">
            <v>1407813</v>
          </cell>
          <cell r="F13">
            <v>-1266996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540347</v>
          </cell>
          <cell r="F16">
            <v>258049</v>
          </cell>
        </row>
        <row r="17">
          <cell r="D17">
            <v>0</v>
          </cell>
          <cell r="F17"/>
        </row>
        <row r="18">
          <cell r="D18">
            <v>12111</v>
          </cell>
          <cell r="F18"/>
        </row>
        <row r="19">
          <cell r="D19">
            <v>27708</v>
          </cell>
          <cell r="F19">
            <v>-4880</v>
          </cell>
        </row>
        <row r="20">
          <cell r="D20">
            <v>25328</v>
          </cell>
          <cell r="F20"/>
        </row>
        <row r="21">
          <cell r="D21">
            <v>7307</v>
          </cell>
          <cell r="F21"/>
        </row>
        <row r="22">
          <cell r="D22">
            <v>0</v>
          </cell>
          <cell r="F22"/>
        </row>
        <row r="23">
          <cell r="D23">
            <v>9505</v>
          </cell>
          <cell r="F23"/>
        </row>
        <row r="24">
          <cell r="D24">
            <v>110985</v>
          </cell>
          <cell r="F24">
            <v>-25860</v>
          </cell>
        </row>
        <row r="25">
          <cell r="D25">
            <v>0</v>
          </cell>
          <cell r="F25"/>
        </row>
        <row r="26">
          <cell r="D26">
            <v>760164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115431</v>
          </cell>
          <cell r="F29">
            <v>-115431</v>
          </cell>
        </row>
        <row r="30">
          <cell r="D30">
            <v>0</v>
          </cell>
          <cell r="F30">
            <v>0</v>
          </cell>
        </row>
        <row r="31">
          <cell r="D31">
            <v>159555</v>
          </cell>
          <cell r="F31"/>
        </row>
        <row r="32">
          <cell r="D32">
            <v>176800</v>
          </cell>
          <cell r="F32">
            <v>-44747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2300</v>
          </cell>
          <cell r="F38">
            <v>-2300</v>
          </cell>
        </row>
        <row r="39">
          <cell r="D39">
            <v>7711</v>
          </cell>
          <cell r="F39"/>
        </row>
        <row r="40">
          <cell r="D40">
            <v>10303</v>
          </cell>
          <cell r="F40"/>
        </row>
        <row r="41">
          <cell r="D41">
            <v>53534</v>
          </cell>
          <cell r="F41"/>
        </row>
        <row r="42">
          <cell r="D42">
            <v>10191</v>
          </cell>
          <cell r="F42"/>
        </row>
        <row r="43">
          <cell r="D43">
            <v>10127</v>
          </cell>
          <cell r="F43"/>
        </row>
        <row r="44">
          <cell r="D44">
            <v>0</v>
          </cell>
          <cell r="F44"/>
        </row>
        <row r="45">
          <cell r="D45">
            <v>26115</v>
          </cell>
          <cell r="F45">
            <v>-27042</v>
          </cell>
        </row>
        <row r="57">
          <cell r="D57">
            <v>700250</v>
          </cell>
          <cell r="F57"/>
        </row>
        <row r="58">
          <cell r="D58">
            <v>13009</v>
          </cell>
          <cell r="F58"/>
        </row>
        <row r="59">
          <cell r="D59">
            <v>0</v>
          </cell>
          <cell r="F59"/>
        </row>
        <row r="60">
          <cell r="D60">
            <v>121077</v>
          </cell>
          <cell r="F60"/>
        </row>
        <row r="61">
          <cell r="D61">
            <v>18262</v>
          </cell>
          <cell r="F61"/>
        </row>
        <row r="62">
          <cell r="D62">
            <v>7257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8208</v>
          </cell>
          <cell r="F65"/>
        </row>
        <row r="66">
          <cell r="D66">
            <v>2028</v>
          </cell>
          <cell r="F66"/>
        </row>
        <row r="67">
          <cell r="D67">
            <v>118395</v>
          </cell>
          <cell r="F67"/>
        </row>
        <row r="68">
          <cell r="D68">
            <v>0</v>
          </cell>
          <cell r="F68"/>
        </row>
        <row r="69">
          <cell r="D69">
            <v>9182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115270</v>
          </cell>
          <cell r="F75">
            <v>8759</v>
          </cell>
        </row>
        <row r="76">
          <cell r="D76">
            <v>0</v>
          </cell>
          <cell r="F76">
            <v>16394</v>
          </cell>
        </row>
        <row r="77">
          <cell r="D77">
            <v>44709</v>
          </cell>
          <cell r="F77"/>
        </row>
        <row r="78">
          <cell r="D78">
            <v>0</v>
          </cell>
          <cell r="F78"/>
        </row>
        <row r="79">
          <cell r="D79">
            <v>9148</v>
          </cell>
          <cell r="F79"/>
        </row>
        <row r="80">
          <cell r="D80">
            <v>28651</v>
          </cell>
          <cell r="F80"/>
        </row>
        <row r="81">
          <cell r="D81">
            <v>36357</v>
          </cell>
          <cell r="F81"/>
        </row>
        <row r="82">
          <cell r="D82">
            <v>4601</v>
          </cell>
          <cell r="F82"/>
        </row>
        <row r="83">
          <cell r="D83">
            <v>0</v>
          </cell>
          <cell r="F83"/>
        </row>
        <row r="84">
          <cell r="D84">
            <v>266382</v>
          </cell>
          <cell r="F84"/>
        </row>
        <row r="85">
          <cell r="D85">
            <v>0</v>
          </cell>
          <cell r="F85"/>
        </row>
        <row r="89">
          <cell r="D89">
            <v>356625</v>
          </cell>
          <cell r="F89">
            <v>27100</v>
          </cell>
        </row>
        <row r="90">
          <cell r="D90">
            <v>0</v>
          </cell>
          <cell r="F90">
            <v>50720</v>
          </cell>
        </row>
        <row r="91">
          <cell r="D91">
            <v>20772</v>
          </cell>
          <cell r="F91"/>
        </row>
        <row r="92">
          <cell r="D92">
            <v>268059</v>
          </cell>
          <cell r="F92"/>
        </row>
        <row r="93">
          <cell r="D93">
            <v>36974</v>
          </cell>
          <cell r="F93"/>
        </row>
        <row r="94">
          <cell r="D94">
            <v>541</v>
          </cell>
          <cell r="F94"/>
        </row>
        <row r="98">
          <cell r="D98">
            <v>44345</v>
          </cell>
          <cell r="F98">
            <v>3370</v>
          </cell>
        </row>
        <row r="99">
          <cell r="D99">
            <v>0</v>
          </cell>
          <cell r="F99">
            <v>6307</v>
          </cell>
        </row>
        <row r="100">
          <cell r="D100">
            <v>3455</v>
          </cell>
          <cell r="F100"/>
        </row>
        <row r="101">
          <cell r="D101">
            <v>0</v>
          </cell>
          <cell r="F101"/>
        </row>
        <row r="102">
          <cell r="D102">
            <v>15928</v>
          </cell>
          <cell r="F102"/>
        </row>
        <row r="103">
          <cell r="D103">
            <v>0</v>
          </cell>
          <cell r="F103"/>
        </row>
        <row r="115">
          <cell r="D115">
            <v>179439</v>
          </cell>
          <cell r="F115">
            <v>13636</v>
          </cell>
        </row>
        <row r="116">
          <cell r="D116">
            <v>0</v>
          </cell>
          <cell r="F116">
            <v>25520</v>
          </cell>
        </row>
        <row r="117">
          <cell r="D117">
            <v>39807</v>
          </cell>
          <cell r="F117"/>
        </row>
        <row r="118">
          <cell r="D118">
            <v>0</v>
          </cell>
          <cell r="F118"/>
        </row>
        <row r="119">
          <cell r="D119">
            <v>0</v>
          </cell>
          <cell r="F119"/>
        </row>
        <row r="124">
          <cell r="D124">
            <v>0</v>
          </cell>
          <cell r="F124"/>
        </row>
        <row r="125">
          <cell r="D125">
            <v>356692</v>
          </cell>
          <cell r="F125">
            <v>27105</v>
          </cell>
        </row>
        <row r="126">
          <cell r="D126">
            <v>63909</v>
          </cell>
          <cell r="F126">
            <v>4856</v>
          </cell>
        </row>
        <row r="127">
          <cell r="D127">
            <v>0</v>
          </cell>
          <cell r="F127"/>
        </row>
        <row r="128">
          <cell r="D128">
            <v>145742</v>
          </cell>
          <cell r="F128">
            <v>11075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50730</v>
          </cell>
        </row>
        <row r="132">
          <cell r="D132">
            <v>0</v>
          </cell>
          <cell r="F132">
            <v>9089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20728</v>
          </cell>
        </row>
        <row r="136">
          <cell r="D136">
            <v>1169410</v>
          </cell>
          <cell r="F136">
            <v>88864</v>
          </cell>
        </row>
        <row r="137">
          <cell r="D137">
            <v>251043</v>
          </cell>
          <cell r="F137">
            <v>19077</v>
          </cell>
        </row>
        <row r="138">
          <cell r="D138">
            <v>1443936</v>
          </cell>
          <cell r="F138">
            <v>109725</v>
          </cell>
        </row>
        <row r="139">
          <cell r="D139">
            <v>64181</v>
          </cell>
          <cell r="F139">
            <v>4877</v>
          </cell>
        </row>
        <row r="141">
          <cell r="D141">
            <v>0</v>
          </cell>
          <cell r="F141">
            <v>166317</v>
          </cell>
        </row>
        <row r="142">
          <cell r="D142">
            <v>0</v>
          </cell>
          <cell r="F142">
            <v>35704</v>
          </cell>
        </row>
        <row r="143">
          <cell r="D143">
            <v>0</v>
          </cell>
          <cell r="F143">
            <v>205360</v>
          </cell>
        </row>
        <row r="144">
          <cell r="D144">
            <v>0</v>
          </cell>
          <cell r="F144">
            <v>9128</v>
          </cell>
        </row>
        <row r="146">
          <cell r="D146">
            <v>83000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975</v>
          </cell>
          <cell r="F149"/>
        </row>
        <row r="150">
          <cell r="D150">
            <v>31888</v>
          </cell>
          <cell r="F150"/>
        </row>
        <row r="151">
          <cell r="D151">
            <v>244951</v>
          </cell>
          <cell r="F151"/>
        </row>
        <row r="152">
          <cell r="D152">
            <v>567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1278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295710</v>
          </cell>
          <cell r="F177">
            <v>22471</v>
          </cell>
        </row>
        <row r="178">
          <cell r="D178">
            <v>0</v>
          </cell>
          <cell r="F178">
            <v>42057</v>
          </cell>
        </row>
        <row r="179">
          <cell r="D179">
            <v>86381</v>
          </cell>
          <cell r="F179">
            <v>6564</v>
          </cell>
        </row>
        <row r="180">
          <cell r="D180">
            <v>0</v>
          </cell>
          <cell r="F180">
            <v>12286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144082</v>
          </cell>
          <cell r="F183">
            <v>10949</v>
          </cell>
        </row>
        <row r="184">
          <cell r="D184">
            <v>0</v>
          </cell>
          <cell r="F184">
            <v>20492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4301</v>
          </cell>
          <cell r="F188"/>
        </row>
        <row r="189">
          <cell r="D189">
            <v>333</v>
          </cell>
          <cell r="F189"/>
        </row>
        <row r="190">
          <cell r="D190">
            <v>0</v>
          </cell>
          <cell r="F190"/>
        </row>
        <row r="191">
          <cell r="D191">
            <v>258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0</v>
          </cell>
          <cell r="F194"/>
        </row>
        <row r="195">
          <cell r="D195">
            <v>15015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57358</v>
          </cell>
          <cell r="F198"/>
        </row>
        <row r="199">
          <cell r="D199">
            <v>325487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257192</v>
          </cell>
          <cell r="F205">
            <v>-14</v>
          </cell>
        </row>
        <row r="206">
          <cell r="D206">
            <v>21510</v>
          </cell>
          <cell r="F206"/>
        </row>
        <row r="207">
          <cell r="D207">
            <v>46269</v>
          </cell>
          <cell r="F207">
            <v>-72.674999999999997</v>
          </cell>
        </row>
        <row r="211">
          <cell r="D211">
            <v>162600</v>
          </cell>
          <cell r="F211">
            <v>12356</v>
          </cell>
        </row>
        <row r="212">
          <cell r="D212">
            <v>0</v>
          </cell>
          <cell r="F212">
            <v>23125</v>
          </cell>
        </row>
        <row r="213">
          <cell r="D213">
            <v>11097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10095</v>
          </cell>
          <cell r="F216"/>
        </row>
        <row r="221">
          <cell r="D221">
            <v>11826124</v>
          </cell>
        </row>
      </sheetData>
      <sheetData sheetId="10"/>
      <sheetData sheetId="11"/>
      <sheetData sheetId="12"/>
      <sheetData sheetId="13"/>
      <sheetData sheetId="14">
        <row r="9">
          <cell r="C9">
            <v>34309</v>
          </cell>
          <cell r="D9"/>
          <cell r="E9">
            <v>3818</v>
          </cell>
          <cell r="F9">
            <v>1948</v>
          </cell>
          <cell r="G9">
            <v>150</v>
          </cell>
          <cell r="H9">
            <v>4842</v>
          </cell>
          <cell r="I9"/>
          <cell r="J9">
            <v>2297</v>
          </cell>
          <cell r="K9"/>
        </row>
        <row r="22">
          <cell r="N22">
            <v>221</v>
          </cell>
        </row>
        <row r="24">
          <cell r="N24">
            <v>221</v>
          </cell>
        </row>
        <row r="28">
          <cell r="N28">
            <v>67405</v>
          </cell>
        </row>
        <row r="30">
          <cell r="N30">
            <v>0.70267784288999335</v>
          </cell>
        </row>
        <row r="32">
          <cell r="N32">
            <v>0.50899784882427124</v>
          </cell>
        </row>
        <row r="34">
          <cell r="N34">
            <v>0.72436871885820453</v>
          </cell>
        </row>
      </sheetData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1600345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6421496</v>
          </cell>
          <cell r="G21">
            <v>0</v>
          </cell>
        </row>
        <row r="27">
          <cell r="E27">
            <v>515389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625229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51161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1677</v>
          </cell>
          <cell r="G67">
            <v>0</v>
          </cell>
        </row>
      </sheetData>
      <sheetData sheetId="6"/>
      <sheetData sheetId="7">
        <row r="10">
          <cell r="D10">
            <v>135477</v>
          </cell>
          <cell r="F10"/>
        </row>
        <row r="11">
          <cell r="D11"/>
          <cell r="F11"/>
        </row>
        <row r="12">
          <cell r="D12">
            <v>190848</v>
          </cell>
          <cell r="F12"/>
        </row>
        <row r="13">
          <cell r="D13">
            <v>653239</v>
          </cell>
          <cell r="F13">
            <v>-600664</v>
          </cell>
        </row>
        <row r="14">
          <cell r="D14"/>
          <cell r="F14"/>
        </row>
        <row r="15">
          <cell r="D15"/>
          <cell r="F15"/>
        </row>
        <row r="16">
          <cell r="D16">
            <v>460000</v>
          </cell>
          <cell r="F16">
            <v>-273886</v>
          </cell>
        </row>
        <row r="17">
          <cell r="D17"/>
          <cell r="F17"/>
        </row>
        <row r="18">
          <cell r="D18">
            <v>8557</v>
          </cell>
          <cell r="F18"/>
        </row>
        <row r="19">
          <cell r="D19">
            <v>25118</v>
          </cell>
          <cell r="F19"/>
        </row>
        <row r="20">
          <cell r="D20">
            <v>25997</v>
          </cell>
          <cell r="F20"/>
        </row>
        <row r="21">
          <cell r="D21">
            <v>15888</v>
          </cell>
          <cell r="F21"/>
        </row>
        <row r="22">
          <cell r="D22"/>
          <cell r="F22"/>
        </row>
        <row r="23">
          <cell r="D23">
            <v>62260</v>
          </cell>
          <cell r="F23"/>
        </row>
        <row r="24">
          <cell r="D24">
            <v>2195</v>
          </cell>
          <cell r="F24"/>
        </row>
        <row r="25">
          <cell r="D25"/>
          <cell r="F25"/>
        </row>
        <row r="26">
          <cell r="D26">
            <v>187475</v>
          </cell>
          <cell r="F26"/>
        </row>
        <row r="27">
          <cell r="D27">
            <v>22045</v>
          </cell>
          <cell r="F27">
            <v>-99</v>
          </cell>
        </row>
        <row r="28">
          <cell r="D28"/>
          <cell r="F28">
            <v>0</v>
          </cell>
        </row>
        <row r="29">
          <cell r="D29">
            <v>40963</v>
          </cell>
          <cell r="F29">
            <v>-40963</v>
          </cell>
        </row>
        <row r="30">
          <cell r="D30">
            <v>100</v>
          </cell>
          <cell r="F30">
            <v>-100</v>
          </cell>
        </row>
        <row r="31">
          <cell r="D31">
            <v>67731</v>
          </cell>
          <cell r="F31"/>
        </row>
        <row r="32">
          <cell r="D32">
            <v>39826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94722</v>
          </cell>
          <cell r="F36"/>
        </row>
        <row r="37">
          <cell r="D37"/>
          <cell r="F37">
            <v>15260</v>
          </cell>
        </row>
        <row r="38">
          <cell r="D38"/>
          <cell r="F38"/>
        </row>
        <row r="39">
          <cell r="D39">
            <v>527</v>
          </cell>
          <cell r="F39"/>
        </row>
        <row r="40">
          <cell r="D40">
            <v>8112</v>
          </cell>
          <cell r="F40"/>
        </row>
        <row r="41">
          <cell r="D41"/>
          <cell r="F41"/>
        </row>
        <row r="42">
          <cell r="D42">
            <v>8646</v>
          </cell>
          <cell r="F42"/>
        </row>
        <row r="43">
          <cell r="D43">
            <v>10448</v>
          </cell>
          <cell r="F43"/>
        </row>
        <row r="44">
          <cell r="D44"/>
          <cell r="F44"/>
        </row>
        <row r="45">
          <cell r="D45">
            <v>14073</v>
          </cell>
          <cell r="F45"/>
        </row>
        <row r="57">
          <cell r="D57"/>
          <cell r="F57"/>
        </row>
        <row r="58">
          <cell r="D58">
            <v>443441</v>
          </cell>
          <cell r="F58"/>
        </row>
        <row r="59">
          <cell r="D59">
            <v>409185</v>
          </cell>
          <cell r="F59"/>
        </row>
        <row r="60">
          <cell r="D60">
            <v>74246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2155</v>
          </cell>
          <cell r="F65"/>
        </row>
        <row r="66">
          <cell r="D66">
            <v>38526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54055</v>
          </cell>
          <cell r="F75"/>
        </row>
        <row r="76">
          <cell r="D76"/>
          <cell r="F76">
            <v>8709</v>
          </cell>
        </row>
        <row r="77">
          <cell r="D77">
            <v>24194</v>
          </cell>
          <cell r="F77"/>
        </row>
        <row r="78">
          <cell r="D78"/>
          <cell r="F78"/>
        </row>
        <row r="79">
          <cell r="D79">
            <v>53159</v>
          </cell>
          <cell r="F79"/>
        </row>
        <row r="80">
          <cell r="D80">
            <v>69403</v>
          </cell>
          <cell r="F80"/>
        </row>
        <row r="81">
          <cell r="D81">
            <v>9127</v>
          </cell>
          <cell r="F81"/>
        </row>
        <row r="82">
          <cell r="D82">
            <v>10504</v>
          </cell>
          <cell r="F82"/>
        </row>
        <row r="83">
          <cell r="D83">
            <v>6939</v>
          </cell>
          <cell r="F83"/>
        </row>
        <row r="84">
          <cell r="D84">
            <v>170579</v>
          </cell>
          <cell r="F84"/>
        </row>
        <row r="85">
          <cell r="D85">
            <v>761</v>
          </cell>
          <cell r="F85"/>
        </row>
        <row r="89">
          <cell r="D89">
            <v>370961</v>
          </cell>
          <cell r="F89"/>
        </row>
        <row r="90">
          <cell r="D90"/>
          <cell r="F90">
            <v>59764</v>
          </cell>
        </row>
        <row r="91">
          <cell r="D91">
            <v>17742</v>
          </cell>
          <cell r="F91"/>
        </row>
        <row r="92">
          <cell r="D92">
            <v>209543</v>
          </cell>
          <cell r="F92">
            <v>-1578</v>
          </cell>
        </row>
        <row r="93">
          <cell r="D93">
            <v>37399</v>
          </cell>
          <cell r="F93"/>
        </row>
        <row r="94">
          <cell r="D94">
            <v>8463</v>
          </cell>
          <cell r="F94"/>
        </row>
        <row r="98">
          <cell r="D98"/>
          <cell r="F98"/>
        </row>
        <row r="99">
          <cell r="D99"/>
          <cell r="F99"/>
        </row>
        <row r="100">
          <cell r="D100">
            <v>17732</v>
          </cell>
          <cell r="F100"/>
        </row>
        <row r="101">
          <cell r="D101"/>
          <cell r="F101"/>
        </row>
        <row r="102">
          <cell r="D102">
            <v>3588</v>
          </cell>
          <cell r="F102"/>
        </row>
        <row r="103">
          <cell r="D103"/>
          <cell r="F103"/>
        </row>
        <row r="115">
          <cell r="D115">
            <v>116992</v>
          </cell>
          <cell r="F115"/>
        </row>
        <row r="116">
          <cell r="D116"/>
          <cell r="F116">
            <v>18848</v>
          </cell>
        </row>
        <row r="117">
          <cell r="D117">
            <v>27567</v>
          </cell>
          <cell r="F117"/>
        </row>
        <row r="118">
          <cell r="D118"/>
          <cell r="F118"/>
        </row>
        <row r="119">
          <cell r="D119">
            <v>3369</v>
          </cell>
          <cell r="F119"/>
        </row>
        <row r="124">
          <cell r="D124"/>
          <cell r="F124"/>
        </row>
        <row r="125">
          <cell r="D125">
            <v>317080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107288</v>
          </cell>
          <cell r="F128"/>
        </row>
        <row r="130">
          <cell r="D130"/>
          <cell r="F130"/>
        </row>
        <row r="131">
          <cell r="D131"/>
          <cell r="F131">
            <v>51084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17285</v>
          </cell>
        </row>
        <row r="136">
          <cell r="D136">
            <v>758874</v>
          </cell>
          <cell r="F136"/>
        </row>
        <row r="137">
          <cell r="D137">
            <v>374824</v>
          </cell>
          <cell r="F137"/>
        </row>
        <row r="138">
          <cell r="D138">
            <v>870229</v>
          </cell>
          <cell r="F138"/>
        </row>
        <row r="139">
          <cell r="D139"/>
          <cell r="F139"/>
        </row>
        <row r="141">
          <cell r="D141"/>
          <cell r="F141">
            <v>122259</v>
          </cell>
        </row>
        <row r="142">
          <cell r="D142"/>
          <cell r="F142">
            <v>60386</v>
          </cell>
        </row>
        <row r="143">
          <cell r="D143"/>
          <cell r="F143">
            <v>140199</v>
          </cell>
        </row>
        <row r="144">
          <cell r="D144"/>
          <cell r="F144"/>
        </row>
        <row r="146">
          <cell r="D146">
            <v>30027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13540</v>
          </cell>
          <cell r="F150"/>
        </row>
        <row r="151">
          <cell r="D151">
            <v>215005</v>
          </cell>
          <cell r="F151"/>
        </row>
        <row r="152">
          <cell r="D152">
            <v>4330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2522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323334</v>
          </cell>
          <cell r="F177"/>
        </row>
        <row r="178">
          <cell r="D178"/>
          <cell r="F178">
            <v>52091</v>
          </cell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242662</v>
          </cell>
          <cell r="F183"/>
        </row>
        <row r="184">
          <cell r="D184"/>
          <cell r="F184">
            <v>39094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29710</v>
          </cell>
          <cell r="F188"/>
        </row>
        <row r="189">
          <cell r="D189">
            <v>299</v>
          </cell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283990</v>
          </cell>
          <cell r="F194"/>
        </row>
        <row r="195">
          <cell r="D195">
            <v>77624</v>
          </cell>
          <cell r="F195"/>
        </row>
        <row r="196">
          <cell r="D196"/>
          <cell r="F196"/>
        </row>
        <row r="197">
          <cell r="D197">
            <v>101429</v>
          </cell>
          <cell r="F197"/>
        </row>
        <row r="198">
          <cell r="D198">
            <v>151401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450133</v>
          </cell>
          <cell r="F205"/>
        </row>
        <row r="206">
          <cell r="D206">
            <v>28257</v>
          </cell>
          <cell r="F206"/>
        </row>
        <row r="207">
          <cell r="D207">
            <v>2555</v>
          </cell>
          <cell r="F207"/>
        </row>
        <row r="211">
          <cell r="D211">
            <v>97361</v>
          </cell>
          <cell r="F211"/>
        </row>
        <row r="212">
          <cell r="D212"/>
          <cell r="F212">
            <v>15685</v>
          </cell>
        </row>
        <row r="213">
          <cell r="D213">
            <v>15803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5515</v>
          </cell>
          <cell r="F216"/>
        </row>
        <row r="221">
          <cell r="D221">
            <v>8757669</v>
          </cell>
        </row>
      </sheetData>
      <sheetData sheetId="8"/>
      <sheetData sheetId="9"/>
      <sheetData sheetId="10">
        <row r="9">
          <cell r="C9">
            <v>9011</v>
          </cell>
          <cell r="D9"/>
          <cell r="E9">
            <v>9664</v>
          </cell>
          <cell r="F9">
            <v>2544</v>
          </cell>
          <cell r="G9"/>
          <cell r="H9">
            <v>2454</v>
          </cell>
          <cell r="I9"/>
          <cell r="J9">
            <v>217</v>
          </cell>
          <cell r="K9"/>
        </row>
        <row r="22">
          <cell r="N22">
            <v>120</v>
          </cell>
        </row>
        <row r="24">
          <cell r="N24">
            <v>82</v>
          </cell>
        </row>
        <row r="28">
          <cell r="N28">
            <v>43920</v>
          </cell>
        </row>
        <row r="30">
          <cell r="N30">
            <v>0.54394353369763204</v>
          </cell>
        </row>
        <row r="32">
          <cell r="N32">
            <v>0.20516848816029143</v>
          </cell>
        </row>
        <row r="34">
          <cell r="N34">
            <v>0.37718710757639179</v>
          </cell>
        </row>
      </sheetData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69878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3863609</v>
          </cell>
          <cell r="G21">
            <v>0</v>
          </cell>
        </row>
        <row r="27">
          <cell r="E27">
            <v>2173274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326413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33737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11643</v>
          </cell>
          <cell r="G67">
            <v>0</v>
          </cell>
        </row>
      </sheetData>
      <sheetData sheetId="6"/>
      <sheetData sheetId="7">
        <row r="10">
          <cell r="D10">
            <v>119697</v>
          </cell>
          <cell r="F10"/>
        </row>
        <row r="11">
          <cell r="D11"/>
          <cell r="F11"/>
        </row>
        <row r="12">
          <cell r="D12">
            <v>271849</v>
          </cell>
          <cell r="F12"/>
        </row>
        <row r="13">
          <cell r="D13">
            <v>115163</v>
          </cell>
          <cell r="F13">
            <v>-75652</v>
          </cell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>
            <v>5630</v>
          </cell>
          <cell r="F17">
            <v>-5630</v>
          </cell>
        </row>
        <row r="18">
          <cell r="D18">
            <v>7929</v>
          </cell>
          <cell r="F18"/>
        </row>
        <row r="19">
          <cell r="D19">
            <v>22245</v>
          </cell>
          <cell r="F19"/>
        </row>
        <row r="20">
          <cell r="D20">
            <v>14637</v>
          </cell>
          <cell r="F20"/>
        </row>
        <row r="21">
          <cell r="D21">
            <v>5360</v>
          </cell>
          <cell r="F21"/>
        </row>
        <row r="22">
          <cell r="D22"/>
          <cell r="F22"/>
        </row>
        <row r="23">
          <cell r="D23">
            <v>7943</v>
          </cell>
          <cell r="F23"/>
        </row>
        <row r="24">
          <cell r="D24">
            <v>11418</v>
          </cell>
          <cell r="F24"/>
        </row>
        <row r="25">
          <cell r="D25"/>
          <cell r="F25"/>
        </row>
        <row r="26">
          <cell r="D26">
            <v>29275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/>
          <cell r="F29">
            <v>0</v>
          </cell>
        </row>
        <row r="30">
          <cell r="D30"/>
          <cell r="F30">
            <v>0</v>
          </cell>
        </row>
        <row r="31">
          <cell r="D31">
            <v>46729</v>
          </cell>
          <cell r="F31"/>
        </row>
        <row r="32">
          <cell r="D32">
            <v>20667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>
            <v>132</v>
          </cell>
          <cell r="F35">
            <v>-132</v>
          </cell>
        </row>
        <row r="36">
          <cell r="D36">
            <v>37833</v>
          </cell>
          <cell r="F36"/>
        </row>
        <row r="37">
          <cell r="D37"/>
          <cell r="F37">
            <v>3817</v>
          </cell>
        </row>
        <row r="38">
          <cell r="D38"/>
          <cell r="F38"/>
        </row>
        <row r="39">
          <cell r="D39">
            <v>1854</v>
          </cell>
          <cell r="F39"/>
        </row>
        <row r="40">
          <cell r="D40">
            <v>19258</v>
          </cell>
          <cell r="F40">
            <v>-19258</v>
          </cell>
        </row>
        <row r="41">
          <cell r="D41">
            <v>67384</v>
          </cell>
          <cell r="F41"/>
        </row>
        <row r="42">
          <cell r="D42">
            <v>7543</v>
          </cell>
          <cell r="F42"/>
        </row>
        <row r="43">
          <cell r="D43">
            <v>13638</v>
          </cell>
          <cell r="F43">
            <v>-13638</v>
          </cell>
        </row>
        <row r="44">
          <cell r="D44"/>
          <cell r="F44"/>
        </row>
        <row r="45">
          <cell r="D45">
            <v>5514</v>
          </cell>
          <cell r="F45"/>
        </row>
        <row r="57">
          <cell r="D57">
            <v>698226</v>
          </cell>
          <cell r="F57"/>
        </row>
        <row r="58">
          <cell r="D58"/>
          <cell r="F58"/>
        </row>
        <row r="59">
          <cell r="D59"/>
          <cell r="F59"/>
        </row>
        <row r="60">
          <cell r="D60">
            <v>127285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6852</v>
          </cell>
          <cell r="F65"/>
        </row>
        <row r="66">
          <cell r="D66">
            <v>15684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58059</v>
          </cell>
          <cell r="F75"/>
        </row>
        <row r="76">
          <cell r="D76">
            <v>4812</v>
          </cell>
          <cell r="F76">
            <v>2079</v>
          </cell>
        </row>
        <row r="77">
          <cell r="D77">
            <v>9645</v>
          </cell>
          <cell r="F77"/>
        </row>
        <row r="78">
          <cell r="D78">
            <v>6067</v>
          </cell>
          <cell r="F78"/>
        </row>
        <row r="79">
          <cell r="D79"/>
          <cell r="F79"/>
        </row>
        <row r="80">
          <cell r="D80">
            <v>21326</v>
          </cell>
          <cell r="F80"/>
        </row>
        <row r="81">
          <cell r="D81">
            <v>11149</v>
          </cell>
          <cell r="F81">
            <v>-11149</v>
          </cell>
        </row>
        <row r="82">
          <cell r="D82">
            <v>21914</v>
          </cell>
          <cell r="F82">
            <v>-20108</v>
          </cell>
        </row>
        <row r="83">
          <cell r="D83"/>
          <cell r="F83"/>
        </row>
        <row r="84">
          <cell r="D84">
            <v>117351</v>
          </cell>
          <cell r="F84"/>
        </row>
        <row r="85">
          <cell r="D85">
            <v>761</v>
          </cell>
          <cell r="F85"/>
        </row>
        <row r="89">
          <cell r="D89">
            <v>177352</v>
          </cell>
          <cell r="F89"/>
        </row>
        <row r="90">
          <cell r="D90">
            <v>16100</v>
          </cell>
          <cell r="F90">
            <v>6349</v>
          </cell>
        </row>
        <row r="91">
          <cell r="D91">
            <v>30403</v>
          </cell>
          <cell r="F91"/>
        </row>
        <row r="92">
          <cell r="D92">
            <v>131890</v>
          </cell>
          <cell r="F92"/>
        </row>
        <row r="93">
          <cell r="D93">
            <v>27711</v>
          </cell>
          <cell r="F93"/>
        </row>
        <row r="94">
          <cell r="D94"/>
          <cell r="F94"/>
        </row>
        <row r="98">
          <cell r="D98"/>
          <cell r="F98">
            <v>34973</v>
          </cell>
        </row>
        <row r="99">
          <cell r="D99"/>
          <cell r="F99">
            <v>4410</v>
          </cell>
        </row>
        <row r="100">
          <cell r="D100">
            <v>2345</v>
          </cell>
          <cell r="F100"/>
        </row>
        <row r="101">
          <cell r="D101">
            <v>232</v>
          </cell>
          <cell r="F101"/>
        </row>
        <row r="102">
          <cell r="D102">
            <v>3515</v>
          </cell>
          <cell r="F102"/>
        </row>
        <row r="103">
          <cell r="D103"/>
          <cell r="F103"/>
        </row>
        <row r="115">
          <cell r="D115">
            <v>69945</v>
          </cell>
          <cell r="F115">
            <v>-34973</v>
          </cell>
        </row>
        <row r="116">
          <cell r="D116">
            <v>6316</v>
          </cell>
          <cell r="F116">
            <v>-1906</v>
          </cell>
        </row>
        <row r="117">
          <cell r="D117">
            <v>16883</v>
          </cell>
          <cell r="F117"/>
        </row>
        <row r="118">
          <cell r="D118">
            <v>235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173904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41600</v>
          </cell>
          <cell r="F128"/>
        </row>
        <row r="130">
          <cell r="D130"/>
          <cell r="F130"/>
        </row>
        <row r="131">
          <cell r="D131"/>
          <cell r="F131">
            <v>21872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5232</v>
          </cell>
        </row>
        <row r="136">
          <cell r="D136">
            <v>529739</v>
          </cell>
          <cell r="F136">
            <v>-39344</v>
          </cell>
        </row>
        <row r="137">
          <cell r="D137">
            <v>274360</v>
          </cell>
          <cell r="F137">
            <v>27826</v>
          </cell>
        </row>
        <row r="138">
          <cell r="D138">
            <v>568038</v>
          </cell>
          <cell r="F138"/>
        </row>
        <row r="139">
          <cell r="D139">
            <v>113570</v>
          </cell>
          <cell r="F139">
            <v>11518</v>
          </cell>
        </row>
        <row r="141">
          <cell r="D141">
            <v>101953</v>
          </cell>
          <cell r="F141">
            <v>-40275</v>
          </cell>
        </row>
        <row r="142">
          <cell r="D142"/>
          <cell r="F142">
            <v>38006</v>
          </cell>
        </row>
        <row r="143">
          <cell r="D143">
            <v>50579</v>
          </cell>
          <cell r="F143">
            <v>20336</v>
          </cell>
        </row>
        <row r="144">
          <cell r="D144"/>
          <cell r="F144">
            <v>15732</v>
          </cell>
        </row>
        <row r="146">
          <cell r="D146">
            <v>45000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16366</v>
          </cell>
          <cell r="F150"/>
        </row>
        <row r="151">
          <cell r="D151">
            <v>102877</v>
          </cell>
          <cell r="F151"/>
        </row>
        <row r="152">
          <cell r="D152">
            <v>98182</v>
          </cell>
          <cell r="F152"/>
        </row>
        <row r="153">
          <cell r="D153">
            <v>6882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45446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595080</v>
          </cell>
          <cell r="F194"/>
        </row>
        <row r="195">
          <cell r="D195">
            <v>112925</v>
          </cell>
          <cell r="F195"/>
        </row>
        <row r="196">
          <cell r="D196"/>
          <cell r="F196"/>
        </row>
        <row r="197">
          <cell r="D197">
            <v>565877</v>
          </cell>
          <cell r="F197"/>
        </row>
        <row r="198">
          <cell r="D198">
            <v>98900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530824</v>
          </cell>
          <cell r="F205"/>
        </row>
        <row r="206">
          <cell r="D206"/>
          <cell r="F206"/>
        </row>
        <row r="207">
          <cell r="D207"/>
          <cell r="F207"/>
        </row>
        <row r="211">
          <cell r="D211">
            <v>99250</v>
          </cell>
          <cell r="F211"/>
        </row>
        <row r="212">
          <cell r="D212">
            <v>8434</v>
          </cell>
          <cell r="F212"/>
        </row>
        <row r="213">
          <cell r="D213">
            <v>1453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4638</v>
          </cell>
          <cell r="F216"/>
        </row>
        <row r="221">
          <cell r="D221">
            <v>6599633</v>
          </cell>
        </row>
      </sheetData>
      <sheetData sheetId="8"/>
      <sheetData sheetId="9"/>
      <sheetData sheetId="10">
        <row r="9">
          <cell r="C9">
            <v>385</v>
          </cell>
          <cell r="D9">
            <v>0</v>
          </cell>
          <cell r="E9">
            <v>7403</v>
          </cell>
          <cell r="F9">
            <v>5217</v>
          </cell>
          <cell r="G9">
            <v>0</v>
          </cell>
          <cell r="H9">
            <v>1102</v>
          </cell>
          <cell r="I9">
            <v>0</v>
          </cell>
          <cell r="J9">
            <v>377</v>
          </cell>
          <cell r="K9">
            <v>0</v>
          </cell>
        </row>
        <row r="22">
          <cell r="N22">
            <v>120</v>
          </cell>
        </row>
        <row r="24">
          <cell r="N24">
            <v>1</v>
          </cell>
        </row>
        <row r="28">
          <cell r="N28">
            <v>43920</v>
          </cell>
        </row>
        <row r="30">
          <cell r="N30">
            <v>0.32978142076502731</v>
          </cell>
        </row>
        <row r="32">
          <cell r="N32">
            <v>8.7659380692167582E-3</v>
          </cell>
        </row>
        <row r="34">
          <cell r="N34">
            <v>2.6581054957194147E-2</v>
          </cell>
        </row>
      </sheetData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154469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5060997</v>
          </cell>
          <cell r="G21">
            <v>0</v>
          </cell>
        </row>
        <row r="27">
          <cell r="E27">
            <v>549994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342533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12979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1774</v>
          </cell>
          <cell r="G67">
            <v>0</v>
          </cell>
        </row>
        <row r="85">
          <cell r="C85">
            <v>206.85219827058515</v>
          </cell>
          <cell r="E85">
            <v>241.03388560208865</v>
          </cell>
          <cell r="G85">
            <v>258.2120166253377</v>
          </cell>
          <cell r="I85">
            <v>230.35531481061122</v>
          </cell>
        </row>
      </sheetData>
      <sheetData sheetId="6"/>
      <sheetData sheetId="7">
        <row r="10">
          <cell r="D10">
            <v>96599</v>
          </cell>
          <cell r="F10"/>
        </row>
        <row r="11">
          <cell r="D11"/>
          <cell r="F11"/>
        </row>
        <row r="12">
          <cell r="D12">
            <v>141821</v>
          </cell>
          <cell r="F12"/>
        </row>
        <row r="13">
          <cell r="D13">
            <v>483736</v>
          </cell>
          <cell r="F13">
            <v>-438893</v>
          </cell>
        </row>
        <row r="14">
          <cell r="D14"/>
          <cell r="F14"/>
        </row>
        <row r="15">
          <cell r="D15"/>
          <cell r="F15"/>
        </row>
        <row r="16">
          <cell r="D16">
            <v>218000</v>
          </cell>
          <cell r="F16">
            <v>-115489</v>
          </cell>
        </row>
        <row r="17">
          <cell r="D17"/>
          <cell r="F17"/>
        </row>
        <row r="18">
          <cell r="D18">
            <v>14509</v>
          </cell>
          <cell r="F18"/>
        </row>
        <row r="19">
          <cell r="D19">
            <v>18148</v>
          </cell>
          <cell r="F19"/>
        </row>
        <row r="20">
          <cell r="D20">
            <v>10189</v>
          </cell>
          <cell r="F20"/>
        </row>
        <row r="21">
          <cell r="D21">
            <v>12017</v>
          </cell>
          <cell r="F21"/>
        </row>
        <row r="22">
          <cell r="D22"/>
          <cell r="F22"/>
        </row>
        <row r="23">
          <cell r="D23">
            <v>48079</v>
          </cell>
          <cell r="F23"/>
        </row>
        <row r="24">
          <cell r="D24">
            <v>2133</v>
          </cell>
          <cell r="F24"/>
        </row>
        <row r="25">
          <cell r="D25"/>
          <cell r="F25"/>
        </row>
        <row r="26">
          <cell r="D26">
            <v>46313</v>
          </cell>
          <cell r="F26"/>
        </row>
        <row r="27">
          <cell r="D27">
            <v>13</v>
          </cell>
          <cell r="F27">
            <v>-86</v>
          </cell>
        </row>
        <row r="28">
          <cell r="D28"/>
          <cell r="F28">
            <v>0</v>
          </cell>
        </row>
        <row r="29">
          <cell r="D29">
            <v>1338</v>
          </cell>
          <cell r="F29">
            <v>-1338</v>
          </cell>
        </row>
        <row r="30">
          <cell r="D30"/>
          <cell r="F30">
            <v>0</v>
          </cell>
        </row>
        <row r="31">
          <cell r="D31">
            <v>51028</v>
          </cell>
          <cell r="F31"/>
        </row>
        <row r="32">
          <cell r="D32">
            <v>250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57601</v>
          </cell>
          <cell r="F36"/>
        </row>
        <row r="37">
          <cell r="D37"/>
          <cell r="F37">
            <v>10834</v>
          </cell>
        </row>
        <row r="38">
          <cell r="D38"/>
          <cell r="F38"/>
        </row>
        <row r="39">
          <cell r="D39">
            <v>3018</v>
          </cell>
          <cell r="F39"/>
        </row>
        <row r="40">
          <cell r="D40">
            <v>10543</v>
          </cell>
          <cell r="F40"/>
        </row>
        <row r="41">
          <cell r="D41"/>
          <cell r="F41"/>
        </row>
        <row r="42">
          <cell r="D42">
            <v>3345</v>
          </cell>
          <cell r="F42"/>
        </row>
        <row r="43">
          <cell r="D43">
            <v>10702</v>
          </cell>
          <cell r="F43"/>
        </row>
        <row r="44">
          <cell r="D44"/>
          <cell r="F44"/>
        </row>
        <row r="45">
          <cell r="D45">
            <v>13404</v>
          </cell>
          <cell r="F45">
            <v>-108</v>
          </cell>
        </row>
        <row r="57">
          <cell r="D57"/>
          <cell r="F57"/>
        </row>
        <row r="58">
          <cell r="D58">
            <v>372643</v>
          </cell>
          <cell r="F58"/>
        </row>
        <row r="59">
          <cell r="D59">
            <v>301795</v>
          </cell>
          <cell r="F59"/>
        </row>
        <row r="60">
          <cell r="D60">
            <v>89037</v>
          </cell>
          <cell r="F60"/>
        </row>
        <row r="61">
          <cell r="D61">
            <v>25878</v>
          </cell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1560</v>
          </cell>
          <cell r="F65"/>
        </row>
        <row r="66">
          <cell r="D66">
            <v>32126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>
            <v>1624</v>
          </cell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41422</v>
          </cell>
          <cell r="F75"/>
        </row>
        <row r="76">
          <cell r="D76"/>
          <cell r="F76">
            <v>7791</v>
          </cell>
        </row>
        <row r="77">
          <cell r="D77">
            <v>3679</v>
          </cell>
          <cell r="F77"/>
        </row>
        <row r="78">
          <cell r="D78"/>
          <cell r="F78"/>
        </row>
        <row r="79">
          <cell r="D79">
            <v>39324</v>
          </cell>
          <cell r="F79"/>
        </row>
        <row r="80">
          <cell r="D80">
            <v>11428</v>
          </cell>
          <cell r="F80"/>
        </row>
        <row r="81">
          <cell r="D81">
            <v>10892</v>
          </cell>
          <cell r="F81"/>
        </row>
        <row r="82">
          <cell r="D82">
            <v>3174</v>
          </cell>
          <cell r="F82"/>
        </row>
        <row r="83">
          <cell r="D83">
            <v>5585</v>
          </cell>
          <cell r="F83"/>
        </row>
        <row r="84">
          <cell r="D84">
            <v>70292</v>
          </cell>
          <cell r="F84"/>
        </row>
        <row r="85">
          <cell r="D85"/>
          <cell r="F85"/>
        </row>
        <row r="89">
          <cell r="D89">
            <v>218367</v>
          </cell>
          <cell r="F89"/>
        </row>
        <row r="90">
          <cell r="D90"/>
          <cell r="F90">
            <v>41071</v>
          </cell>
        </row>
        <row r="91">
          <cell r="D91">
            <v>18177</v>
          </cell>
          <cell r="F91"/>
        </row>
        <row r="92">
          <cell r="D92">
            <v>91983</v>
          </cell>
          <cell r="F92">
            <v>-1580</v>
          </cell>
        </row>
        <row r="93">
          <cell r="D93">
            <v>11278</v>
          </cell>
          <cell r="F93"/>
        </row>
        <row r="94">
          <cell r="D94">
            <v>2031</v>
          </cell>
          <cell r="F94"/>
        </row>
        <row r="98">
          <cell r="D98"/>
          <cell r="F98"/>
        </row>
        <row r="99">
          <cell r="D99"/>
          <cell r="F99"/>
        </row>
        <row r="100">
          <cell r="D100">
            <v>2780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80896</v>
          </cell>
          <cell r="F115"/>
        </row>
        <row r="116">
          <cell r="D116"/>
          <cell r="F116">
            <v>15215</v>
          </cell>
        </row>
        <row r="117">
          <cell r="D117">
            <v>14845</v>
          </cell>
          <cell r="F117"/>
        </row>
        <row r="118">
          <cell r="D118"/>
          <cell r="F118"/>
        </row>
        <row r="119">
          <cell r="D119">
            <v>722</v>
          </cell>
          <cell r="F119"/>
        </row>
        <row r="124">
          <cell r="D124"/>
          <cell r="F124"/>
        </row>
        <row r="125">
          <cell r="D125">
            <v>183783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85982</v>
          </cell>
          <cell r="F128"/>
        </row>
        <row r="130">
          <cell r="D130"/>
          <cell r="F130"/>
        </row>
        <row r="131">
          <cell r="D131"/>
          <cell r="F131">
            <v>34566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16172</v>
          </cell>
        </row>
        <row r="136">
          <cell r="D136">
            <v>432097</v>
          </cell>
          <cell r="F136"/>
        </row>
        <row r="137">
          <cell r="D137">
            <v>284834</v>
          </cell>
          <cell r="F137"/>
        </row>
        <row r="138">
          <cell r="D138">
            <v>498960</v>
          </cell>
          <cell r="F138"/>
        </row>
        <row r="139">
          <cell r="D139"/>
          <cell r="F139"/>
        </row>
        <row r="141">
          <cell r="D141"/>
          <cell r="F141">
            <v>81270</v>
          </cell>
        </row>
        <row r="142">
          <cell r="D142"/>
          <cell r="F142">
            <v>53572</v>
          </cell>
        </row>
        <row r="143">
          <cell r="D143"/>
          <cell r="F143">
            <v>93846</v>
          </cell>
        </row>
        <row r="144">
          <cell r="D144"/>
          <cell r="F144"/>
        </row>
        <row r="146">
          <cell r="D146">
            <v>37250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11244</v>
          </cell>
          <cell r="F150"/>
        </row>
        <row r="151">
          <cell r="D151">
            <v>119731</v>
          </cell>
          <cell r="F151"/>
        </row>
        <row r="152">
          <cell r="D152">
            <v>1765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159925</v>
          </cell>
          <cell r="F177"/>
        </row>
        <row r="178">
          <cell r="D178"/>
          <cell r="F178">
            <v>30079</v>
          </cell>
        </row>
        <row r="179">
          <cell r="D179">
            <v>11635</v>
          </cell>
          <cell r="F179"/>
        </row>
        <row r="180">
          <cell r="D180"/>
          <cell r="F180">
            <v>2188</v>
          </cell>
        </row>
        <row r="181">
          <cell r="D181"/>
          <cell r="F181"/>
        </row>
        <row r="182">
          <cell r="D182"/>
          <cell r="F182"/>
        </row>
        <row r="183">
          <cell r="D183">
            <v>174004</v>
          </cell>
          <cell r="F183"/>
        </row>
        <row r="184">
          <cell r="D184"/>
          <cell r="F184">
            <v>32727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23880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208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337930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>
            <v>208705</v>
          </cell>
          <cell r="F197"/>
        </row>
        <row r="198">
          <cell r="D198">
            <v>78332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304761</v>
          </cell>
          <cell r="F205"/>
        </row>
        <row r="206">
          <cell r="D206">
            <v>16923</v>
          </cell>
          <cell r="F206"/>
        </row>
        <row r="207">
          <cell r="D207">
            <v>13450</v>
          </cell>
          <cell r="F207"/>
        </row>
        <row r="211">
          <cell r="D211">
            <v>104008</v>
          </cell>
          <cell r="F211"/>
        </row>
        <row r="212">
          <cell r="D212"/>
          <cell r="F212">
            <v>19562</v>
          </cell>
        </row>
        <row r="213">
          <cell r="D213">
            <v>8574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3080</v>
          </cell>
          <cell r="F216"/>
        </row>
        <row r="221">
          <cell r="D221">
            <v>5795385</v>
          </cell>
        </row>
      </sheetData>
      <sheetData sheetId="8"/>
      <sheetData sheetId="9"/>
      <sheetData sheetId="10">
        <row r="9">
          <cell r="C9">
            <v>944</v>
          </cell>
          <cell r="D9"/>
          <cell r="E9">
            <v>9547</v>
          </cell>
          <cell r="F9">
            <v>1154</v>
          </cell>
          <cell r="G9"/>
          <cell r="H9">
            <v>1438</v>
          </cell>
          <cell r="I9"/>
          <cell r="J9">
            <v>58</v>
          </cell>
          <cell r="K9"/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19032</v>
          </cell>
        </row>
        <row r="30">
          <cell r="N30">
            <v>0.69046868432114339</v>
          </cell>
        </row>
        <row r="32">
          <cell r="N32">
            <v>4.9600672551492225E-2</v>
          </cell>
        </row>
        <row r="34">
          <cell r="N34">
            <v>7.1836237729244343E-2</v>
          </cell>
        </row>
      </sheetData>
      <sheetData sheetId="1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3441347</v>
          </cell>
          <cell r="G21">
            <v>0</v>
          </cell>
        </row>
        <row r="27">
          <cell r="E27">
            <v>941605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401160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8629</v>
          </cell>
          <cell r="G67">
            <v>0</v>
          </cell>
        </row>
        <row r="85">
          <cell r="G85">
            <v>288.50161812297733</v>
          </cell>
          <cell r="I85">
            <v>288.10064635272391</v>
          </cell>
        </row>
      </sheetData>
      <sheetData sheetId="6"/>
      <sheetData sheetId="7">
        <row r="10">
          <cell r="D10">
            <v>103574</v>
          </cell>
          <cell r="F10"/>
        </row>
        <row r="11">
          <cell r="D11"/>
          <cell r="F11"/>
        </row>
        <row r="12">
          <cell r="D12">
            <v>148894</v>
          </cell>
          <cell r="F12"/>
        </row>
        <row r="13">
          <cell r="D13">
            <v>351617</v>
          </cell>
          <cell r="F13">
            <v>-310689</v>
          </cell>
        </row>
        <row r="14">
          <cell r="D14"/>
          <cell r="F14"/>
        </row>
        <row r="15">
          <cell r="D15"/>
          <cell r="F15"/>
        </row>
        <row r="16">
          <cell r="D16">
            <v>240000</v>
          </cell>
          <cell r="F16">
            <v>-146643</v>
          </cell>
        </row>
        <row r="17">
          <cell r="D17"/>
          <cell r="F17"/>
        </row>
        <row r="18">
          <cell r="D18">
            <v>9386</v>
          </cell>
          <cell r="F18"/>
        </row>
        <row r="19">
          <cell r="D19">
            <v>10594</v>
          </cell>
          <cell r="F19"/>
        </row>
        <row r="20">
          <cell r="D20">
            <v>11441</v>
          </cell>
          <cell r="F20"/>
        </row>
        <row r="21">
          <cell r="D21">
            <v>8986</v>
          </cell>
          <cell r="F21"/>
        </row>
        <row r="22">
          <cell r="D22"/>
          <cell r="F22"/>
        </row>
        <row r="23">
          <cell r="D23">
            <v>26594</v>
          </cell>
          <cell r="F23"/>
        </row>
        <row r="24">
          <cell r="D24">
            <v>3802</v>
          </cell>
          <cell r="F24"/>
        </row>
        <row r="25">
          <cell r="D25"/>
          <cell r="F25"/>
        </row>
        <row r="26">
          <cell r="D26">
            <v>12599</v>
          </cell>
          <cell r="F26"/>
        </row>
        <row r="27">
          <cell r="D27"/>
          <cell r="F27">
            <v>-708</v>
          </cell>
        </row>
        <row r="28">
          <cell r="D28"/>
          <cell r="F28">
            <v>0</v>
          </cell>
        </row>
        <row r="29">
          <cell r="D29">
            <v>4470</v>
          </cell>
          <cell r="F29">
            <v>-4470</v>
          </cell>
        </row>
        <row r="30">
          <cell r="D30"/>
          <cell r="F30">
            <v>0</v>
          </cell>
        </row>
        <row r="31">
          <cell r="D31">
            <v>34917</v>
          </cell>
          <cell r="F31"/>
        </row>
        <row r="32">
          <cell r="D32">
            <v>18956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48608</v>
          </cell>
          <cell r="F36"/>
        </row>
        <row r="37">
          <cell r="D37"/>
          <cell r="F37">
            <v>7880</v>
          </cell>
        </row>
        <row r="38">
          <cell r="D38"/>
          <cell r="F38"/>
        </row>
        <row r="39">
          <cell r="D39">
            <v>4492</v>
          </cell>
          <cell r="F39"/>
        </row>
        <row r="40">
          <cell r="D40">
            <v>5820</v>
          </cell>
          <cell r="F40"/>
        </row>
        <row r="41">
          <cell r="D41"/>
          <cell r="F41"/>
        </row>
        <row r="42">
          <cell r="D42">
            <v>3068</v>
          </cell>
          <cell r="F42"/>
        </row>
        <row r="43">
          <cell r="D43">
            <v>7210</v>
          </cell>
          <cell r="F43"/>
        </row>
        <row r="44">
          <cell r="D44"/>
          <cell r="F44"/>
        </row>
        <row r="45">
          <cell r="D45">
            <v>13034</v>
          </cell>
          <cell r="F45">
            <v>-3915</v>
          </cell>
        </row>
        <row r="57">
          <cell r="D57"/>
          <cell r="F57"/>
        </row>
        <row r="58">
          <cell r="D58">
            <v>218419</v>
          </cell>
          <cell r="F58"/>
        </row>
        <row r="59">
          <cell r="D59">
            <v>213551</v>
          </cell>
          <cell r="F59"/>
        </row>
        <row r="60">
          <cell r="D60">
            <v>46618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1500</v>
          </cell>
          <cell r="F65"/>
        </row>
        <row r="66">
          <cell r="D66">
            <v>21812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65613</v>
          </cell>
          <cell r="F75"/>
        </row>
        <row r="76">
          <cell r="D76"/>
          <cell r="F76">
            <v>10636</v>
          </cell>
        </row>
        <row r="77">
          <cell r="D77">
            <v>2857</v>
          </cell>
          <cell r="F77"/>
        </row>
        <row r="78">
          <cell r="D78"/>
          <cell r="F78"/>
        </row>
        <row r="79">
          <cell r="D79">
            <v>10661</v>
          </cell>
          <cell r="F79"/>
        </row>
        <row r="80">
          <cell r="D80">
            <v>17990</v>
          </cell>
          <cell r="F80"/>
        </row>
        <row r="81">
          <cell r="D81">
            <v>14507</v>
          </cell>
          <cell r="F81"/>
        </row>
        <row r="82">
          <cell r="D82">
            <v>439</v>
          </cell>
          <cell r="F82"/>
        </row>
        <row r="83">
          <cell r="D83">
            <v>6038</v>
          </cell>
          <cell r="F83"/>
        </row>
        <row r="84">
          <cell r="D84">
            <v>60737</v>
          </cell>
          <cell r="F84"/>
        </row>
        <row r="85">
          <cell r="D85"/>
          <cell r="F85"/>
        </row>
        <row r="89">
          <cell r="D89">
            <v>170734</v>
          </cell>
          <cell r="F89"/>
        </row>
        <row r="90">
          <cell r="D90"/>
          <cell r="F90">
            <v>27677</v>
          </cell>
        </row>
        <row r="91">
          <cell r="D91">
            <v>7958</v>
          </cell>
          <cell r="F91"/>
        </row>
        <row r="92">
          <cell r="D92">
            <v>78473</v>
          </cell>
          <cell r="F92">
            <v>-4006</v>
          </cell>
        </row>
        <row r="93">
          <cell r="D93">
            <v>9868</v>
          </cell>
          <cell r="F93"/>
        </row>
        <row r="94">
          <cell r="D94">
            <v>1609</v>
          </cell>
          <cell r="F94"/>
        </row>
        <row r="98">
          <cell r="D98"/>
          <cell r="F98"/>
        </row>
        <row r="99">
          <cell r="D99"/>
          <cell r="F99"/>
        </row>
        <row r="100">
          <cell r="D100">
            <v>5072</v>
          </cell>
          <cell r="F100"/>
        </row>
        <row r="101">
          <cell r="D101"/>
          <cell r="F101"/>
        </row>
        <row r="102">
          <cell r="D102">
            <v>1477</v>
          </cell>
          <cell r="F102"/>
        </row>
        <row r="103">
          <cell r="D103"/>
          <cell r="F103"/>
        </row>
        <row r="115">
          <cell r="D115">
            <v>68429</v>
          </cell>
          <cell r="F115"/>
        </row>
        <row r="116">
          <cell r="D116"/>
          <cell r="F116">
            <v>11093</v>
          </cell>
        </row>
        <row r="117">
          <cell r="D117">
            <v>11821</v>
          </cell>
          <cell r="F117"/>
        </row>
        <row r="118">
          <cell r="D118"/>
          <cell r="F118"/>
        </row>
        <row r="119">
          <cell r="D119">
            <v>1039</v>
          </cell>
          <cell r="F119"/>
        </row>
        <row r="124">
          <cell r="D124"/>
          <cell r="F124"/>
        </row>
        <row r="125">
          <cell r="D125">
            <v>144811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63768</v>
          </cell>
          <cell r="F128"/>
        </row>
        <row r="130">
          <cell r="D130"/>
          <cell r="F130"/>
        </row>
        <row r="131">
          <cell r="D131"/>
          <cell r="F131">
            <v>23475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10337</v>
          </cell>
        </row>
        <row r="136">
          <cell r="D136">
            <v>339876</v>
          </cell>
          <cell r="F136"/>
        </row>
        <row r="137">
          <cell r="D137">
            <v>191649</v>
          </cell>
          <cell r="F137"/>
        </row>
        <row r="138">
          <cell r="D138">
            <v>353896</v>
          </cell>
          <cell r="F138"/>
        </row>
        <row r="139">
          <cell r="D139"/>
          <cell r="F139"/>
        </row>
        <row r="141">
          <cell r="D141"/>
          <cell r="F141">
            <v>55096</v>
          </cell>
        </row>
        <row r="142">
          <cell r="D142"/>
          <cell r="F142">
            <v>31068</v>
          </cell>
        </row>
        <row r="143">
          <cell r="D143"/>
          <cell r="F143">
            <v>57369</v>
          </cell>
        </row>
        <row r="144">
          <cell r="D144"/>
          <cell r="F144"/>
        </row>
        <row r="146">
          <cell r="D146">
            <v>28200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10430</v>
          </cell>
          <cell r="F150"/>
        </row>
        <row r="151">
          <cell r="D151">
            <v>54352</v>
          </cell>
          <cell r="F151"/>
        </row>
        <row r="152">
          <cell r="D152">
            <v>1139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5323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219711</v>
          </cell>
          <cell r="F177"/>
        </row>
        <row r="178">
          <cell r="D178"/>
          <cell r="F178">
            <v>35617</v>
          </cell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153232</v>
          </cell>
          <cell r="F183"/>
        </row>
        <row r="184">
          <cell r="D184"/>
          <cell r="F184">
            <v>24840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17857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225902</v>
          </cell>
          <cell r="F194"/>
        </row>
        <row r="195">
          <cell r="D195">
            <v>15156</v>
          </cell>
          <cell r="F195"/>
        </row>
        <row r="196">
          <cell r="D196"/>
          <cell r="F196"/>
        </row>
        <row r="197">
          <cell r="D197">
            <v>98314</v>
          </cell>
          <cell r="F197"/>
        </row>
        <row r="198">
          <cell r="D198">
            <v>61087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291216</v>
          </cell>
          <cell r="F205"/>
        </row>
        <row r="206">
          <cell r="D206">
            <v>8869</v>
          </cell>
          <cell r="F206"/>
        </row>
        <row r="207">
          <cell r="D207">
            <v>1112</v>
          </cell>
          <cell r="F207"/>
        </row>
        <row r="211">
          <cell r="D211">
            <v>96240</v>
          </cell>
          <cell r="F211"/>
        </row>
        <row r="212">
          <cell r="D212"/>
          <cell r="F212">
            <v>15601</v>
          </cell>
        </row>
        <row r="213">
          <cell r="D213">
            <v>1770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3252</v>
          </cell>
          <cell r="F216"/>
        </row>
        <row r="221">
          <cell r="D221">
            <v>4492446</v>
          </cell>
        </row>
      </sheetData>
      <sheetData sheetId="8"/>
      <sheetData sheetId="9"/>
      <sheetData sheetId="10">
        <row r="9">
          <cell r="C9"/>
          <cell r="D9"/>
          <cell r="E9">
            <v>5407</v>
          </cell>
          <cell r="F9">
            <v>2666</v>
          </cell>
          <cell r="G9"/>
          <cell r="H9">
            <v>1392</v>
          </cell>
          <cell r="I9"/>
          <cell r="J9"/>
          <cell r="K9"/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13176</v>
          </cell>
        </row>
        <row r="30">
          <cell r="N30">
            <v>0.71835154826958103</v>
          </cell>
        </row>
        <row r="32">
          <cell r="N32">
            <v>0</v>
          </cell>
        </row>
        <row r="34">
          <cell r="N34">
            <v>0</v>
          </cell>
        </row>
      </sheetData>
      <sheetData sheetId="1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363188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2465630</v>
          </cell>
          <cell r="G21">
            <v>0</v>
          </cell>
        </row>
        <row r="27">
          <cell r="E27">
            <v>75146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146398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5120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2162</v>
          </cell>
          <cell r="G67">
            <v>0</v>
          </cell>
        </row>
        <row r="85">
          <cell r="C85">
            <v>219.24193548387098</v>
          </cell>
          <cell r="E85">
            <v>248.02573529411765</v>
          </cell>
          <cell r="G85">
            <v>233.93333333333334</v>
          </cell>
          <cell r="I85" t="str">
            <v/>
          </cell>
        </row>
      </sheetData>
      <sheetData sheetId="6"/>
      <sheetData sheetId="7">
        <row r="10">
          <cell r="D10">
            <v>89729</v>
          </cell>
          <cell r="F10"/>
        </row>
        <row r="11">
          <cell r="D11"/>
          <cell r="F11"/>
        </row>
        <row r="12">
          <cell r="D12">
            <v>45317</v>
          </cell>
          <cell r="F12"/>
        </row>
        <row r="13">
          <cell r="D13">
            <v>197234</v>
          </cell>
          <cell r="F13">
            <v>-175480</v>
          </cell>
        </row>
        <row r="14">
          <cell r="D14"/>
          <cell r="F14"/>
        </row>
        <row r="15">
          <cell r="D15"/>
          <cell r="F15"/>
        </row>
        <row r="16">
          <cell r="D16">
            <v>90000</v>
          </cell>
          <cell r="F16">
            <v>-23380</v>
          </cell>
        </row>
        <row r="17">
          <cell r="D17"/>
          <cell r="F17"/>
        </row>
        <row r="18">
          <cell r="D18">
            <v>14836</v>
          </cell>
          <cell r="F18"/>
        </row>
        <row r="19">
          <cell r="D19">
            <v>4001</v>
          </cell>
          <cell r="F19"/>
        </row>
        <row r="20">
          <cell r="D20">
            <v>5962</v>
          </cell>
          <cell r="F20"/>
        </row>
        <row r="21">
          <cell r="D21">
            <v>7978</v>
          </cell>
          <cell r="F21"/>
        </row>
        <row r="22">
          <cell r="D22"/>
          <cell r="F22"/>
        </row>
        <row r="23">
          <cell r="D23">
            <v>23561</v>
          </cell>
          <cell r="F23"/>
        </row>
        <row r="24">
          <cell r="D24">
            <v>571</v>
          </cell>
          <cell r="F24"/>
        </row>
        <row r="25">
          <cell r="D25"/>
          <cell r="F25"/>
        </row>
        <row r="26">
          <cell r="D26">
            <v>52867</v>
          </cell>
          <cell r="F26"/>
        </row>
        <row r="27">
          <cell r="D27">
            <v>6889</v>
          </cell>
          <cell r="F27">
            <v>-56</v>
          </cell>
        </row>
        <row r="28">
          <cell r="D28"/>
          <cell r="F28">
            <v>0</v>
          </cell>
        </row>
        <row r="29">
          <cell r="D29">
            <v>11962</v>
          </cell>
          <cell r="F29">
            <v>-11962</v>
          </cell>
        </row>
        <row r="30">
          <cell r="D30"/>
          <cell r="F30">
            <v>0</v>
          </cell>
        </row>
        <row r="31">
          <cell r="D31">
            <v>17185</v>
          </cell>
          <cell r="F31"/>
        </row>
        <row r="32">
          <cell r="D32">
            <v>15762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5136</v>
          </cell>
          <cell r="F36"/>
        </row>
        <row r="37">
          <cell r="D37"/>
          <cell r="F37">
            <v>834</v>
          </cell>
        </row>
        <row r="38">
          <cell r="D38"/>
          <cell r="F38"/>
        </row>
        <row r="39">
          <cell r="D39">
            <v>340</v>
          </cell>
          <cell r="F39"/>
        </row>
        <row r="40">
          <cell r="D40">
            <v>3017</v>
          </cell>
          <cell r="F40"/>
        </row>
        <row r="41">
          <cell r="D41"/>
          <cell r="F41"/>
        </row>
        <row r="42">
          <cell r="D42">
            <v>2373</v>
          </cell>
          <cell r="F42"/>
        </row>
        <row r="43">
          <cell r="D43">
            <v>4518</v>
          </cell>
          <cell r="F43"/>
        </row>
        <row r="44">
          <cell r="D44"/>
          <cell r="F44"/>
        </row>
        <row r="45">
          <cell r="D45">
            <v>12785</v>
          </cell>
          <cell r="F45"/>
        </row>
        <row r="57">
          <cell r="D57"/>
          <cell r="F57"/>
        </row>
        <row r="58">
          <cell r="D58">
            <v>173831</v>
          </cell>
          <cell r="F58"/>
        </row>
        <row r="59">
          <cell r="D59">
            <v>129416</v>
          </cell>
          <cell r="F59"/>
        </row>
        <row r="60">
          <cell r="D60">
            <v>35168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2280</v>
          </cell>
          <cell r="F65"/>
        </row>
        <row r="66">
          <cell r="D66">
            <v>37194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33677</v>
          </cell>
          <cell r="F75"/>
        </row>
        <row r="76">
          <cell r="D76"/>
          <cell r="F76">
            <v>5465</v>
          </cell>
        </row>
        <row r="77">
          <cell r="D77">
            <v>4848</v>
          </cell>
          <cell r="F77"/>
        </row>
        <row r="78">
          <cell r="D78"/>
          <cell r="F78"/>
        </row>
        <row r="79">
          <cell r="D79">
            <v>20095</v>
          </cell>
          <cell r="F79"/>
        </row>
        <row r="80">
          <cell r="D80">
            <v>14247</v>
          </cell>
          <cell r="F80"/>
        </row>
        <row r="81">
          <cell r="D81">
            <v>846</v>
          </cell>
          <cell r="F81"/>
        </row>
        <row r="82">
          <cell r="D82">
            <v>657</v>
          </cell>
          <cell r="F82"/>
        </row>
        <row r="83">
          <cell r="D83">
            <v>8644</v>
          </cell>
          <cell r="F83"/>
        </row>
        <row r="84">
          <cell r="D84">
            <v>44080</v>
          </cell>
          <cell r="F84"/>
        </row>
        <row r="85">
          <cell r="D85">
            <v>534</v>
          </cell>
          <cell r="F85"/>
        </row>
        <row r="89">
          <cell r="D89">
            <v>130181</v>
          </cell>
          <cell r="F89"/>
        </row>
        <row r="90">
          <cell r="D90"/>
          <cell r="F90">
            <v>21126</v>
          </cell>
        </row>
        <row r="91">
          <cell r="D91">
            <v>5764</v>
          </cell>
          <cell r="F91"/>
        </row>
        <row r="92">
          <cell r="D92">
            <v>70956</v>
          </cell>
          <cell r="F92">
            <v>-2106</v>
          </cell>
        </row>
        <row r="93">
          <cell r="D93">
            <v>11868</v>
          </cell>
          <cell r="F93"/>
        </row>
        <row r="94">
          <cell r="D94">
            <v>2144</v>
          </cell>
          <cell r="F94"/>
        </row>
        <row r="98">
          <cell r="D98"/>
          <cell r="F98"/>
        </row>
        <row r="99">
          <cell r="D99"/>
          <cell r="F99"/>
        </row>
        <row r="100">
          <cell r="D100">
            <v>4951</v>
          </cell>
          <cell r="F100"/>
        </row>
        <row r="101">
          <cell r="D101">
            <v>957</v>
          </cell>
          <cell r="F101"/>
        </row>
        <row r="102">
          <cell r="D102">
            <v>1318</v>
          </cell>
          <cell r="F102"/>
        </row>
        <row r="103">
          <cell r="D103"/>
          <cell r="F103"/>
        </row>
        <row r="115">
          <cell r="D115">
            <v>55585</v>
          </cell>
          <cell r="F115"/>
        </row>
        <row r="116">
          <cell r="D116"/>
          <cell r="F116">
            <v>9020</v>
          </cell>
        </row>
        <row r="117">
          <cell r="D117">
            <v>14123</v>
          </cell>
          <cell r="F117"/>
        </row>
        <row r="118">
          <cell r="D118"/>
          <cell r="F118"/>
        </row>
        <row r="119">
          <cell r="D119">
            <v>883</v>
          </cell>
          <cell r="F119"/>
        </row>
        <row r="124">
          <cell r="D124"/>
          <cell r="F124"/>
        </row>
        <row r="125">
          <cell r="D125">
            <v>145475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1687</v>
          </cell>
          <cell r="F128"/>
        </row>
        <row r="130">
          <cell r="D130"/>
          <cell r="F130"/>
        </row>
        <row r="131">
          <cell r="D131"/>
          <cell r="F131">
            <v>23608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274</v>
          </cell>
        </row>
        <row r="136">
          <cell r="D136">
            <v>287402</v>
          </cell>
          <cell r="F136"/>
        </row>
        <row r="137">
          <cell r="D137">
            <v>108246</v>
          </cell>
          <cell r="F137"/>
        </row>
        <row r="138">
          <cell r="D138">
            <v>262331</v>
          </cell>
          <cell r="F138"/>
        </row>
        <row r="139">
          <cell r="D139"/>
          <cell r="F139"/>
        </row>
        <row r="141">
          <cell r="D141"/>
          <cell r="F141">
            <v>46640</v>
          </cell>
        </row>
        <row r="142">
          <cell r="D142"/>
          <cell r="F142">
            <v>17566</v>
          </cell>
        </row>
        <row r="143">
          <cell r="D143"/>
          <cell r="F143">
            <v>42572</v>
          </cell>
        </row>
        <row r="144">
          <cell r="D144"/>
          <cell r="F144"/>
        </row>
        <row r="146">
          <cell r="D146">
            <v>18450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6644</v>
          </cell>
          <cell r="F150"/>
        </row>
        <row r="151">
          <cell r="D151">
            <v>41967</v>
          </cell>
          <cell r="F151"/>
        </row>
        <row r="152">
          <cell r="D152">
            <v>549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417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2061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515151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22349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179360</v>
          </cell>
          <cell r="F205"/>
        </row>
        <row r="206">
          <cell r="D206">
            <v>8099</v>
          </cell>
          <cell r="F206"/>
        </row>
        <row r="207">
          <cell r="D207">
            <v>1434</v>
          </cell>
          <cell r="F207"/>
        </row>
        <row r="211">
          <cell r="D211">
            <v>51608</v>
          </cell>
          <cell r="F211"/>
        </row>
        <row r="212">
          <cell r="D212"/>
          <cell r="F212">
            <v>8375</v>
          </cell>
        </row>
        <row r="213">
          <cell r="D213">
            <v>10737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2365</v>
          </cell>
          <cell r="F216"/>
        </row>
        <row r="221">
          <cell r="D221">
            <v>3082602</v>
          </cell>
        </row>
      </sheetData>
      <sheetData sheetId="8"/>
      <sheetData sheetId="9"/>
      <sheetData sheetId="10">
        <row r="9">
          <cell r="C9">
            <v>2249</v>
          </cell>
          <cell r="D9"/>
          <cell r="E9">
            <v>4683</v>
          </cell>
          <cell r="F9">
            <v>123</v>
          </cell>
          <cell r="G9"/>
          <cell r="H9">
            <v>625</v>
          </cell>
          <cell r="I9"/>
          <cell r="J9">
            <v>9</v>
          </cell>
          <cell r="K9"/>
        </row>
        <row r="22">
          <cell r="N22">
            <v>30</v>
          </cell>
        </row>
        <row r="24">
          <cell r="N24">
            <v>30</v>
          </cell>
        </row>
        <row r="28">
          <cell r="N28">
            <v>10980</v>
          </cell>
        </row>
        <row r="30">
          <cell r="N30">
            <v>0.70027322404371584</v>
          </cell>
        </row>
        <row r="32">
          <cell r="N32">
            <v>0.20482695810564663</v>
          </cell>
        </row>
        <row r="34">
          <cell r="N34">
            <v>0.29249577318246844</v>
          </cell>
        </row>
      </sheetData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737074</v>
          </cell>
          <cell r="G10">
            <v>-58607</v>
          </cell>
        </row>
        <row r="15">
          <cell r="E15">
            <v>0</v>
          </cell>
          <cell r="G15">
            <v>0</v>
          </cell>
        </row>
        <row r="21">
          <cell r="E21">
            <v>381488</v>
          </cell>
          <cell r="G21">
            <v>0</v>
          </cell>
        </row>
        <row r="27">
          <cell r="E27">
            <v>25591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108531</v>
          </cell>
          <cell r="G37">
            <v>0</v>
          </cell>
        </row>
        <row r="42">
          <cell r="E42">
            <v>0</v>
          </cell>
          <cell r="G42">
            <v>58607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3230</v>
          </cell>
          <cell r="G67">
            <v>0</v>
          </cell>
        </row>
        <row r="85">
          <cell r="C85">
            <v>207.32490465983742</v>
          </cell>
          <cell r="E85">
            <v>177.45842793723949</v>
          </cell>
          <cell r="G85">
            <v>190.60690213155308</v>
          </cell>
          <cell r="I85">
            <v>343.1276972145875</v>
          </cell>
        </row>
      </sheetData>
      <sheetData sheetId="6"/>
      <sheetData sheetId="7">
        <row r="10">
          <cell r="D10">
            <v>34714</v>
          </cell>
          <cell r="F10"/>
        </row>
        <row r="11">
          <cell r="D11"/>
          <cell r="F11"/>
        </row>
        <row r="12">
          <cell r="D12">
            <v>38321</v>
          </cell>
          <cell r="F12"/>
        </row>
        <row r="13">
          <cell r="D13">
            <v>93277</v>
          </cell>
          <cell r="F13">
            <v>-86137</v>
          </cell>
        </row>
        <row r="14">
          <cell r="D14"/>
          <cell r="F14"/>
        </row>
        <row r="15">
          <cell r="D15"/>
          <cell r="F15"/>
        </row>
        <row r="16">
          <cell r="D16"/>
          <cell r="F16"/>
        </row>
        <row r="17">
          <cell r="D17"/>
          <cell r="F17"/>
        </row>
        <row r="18">
          <cell r="D18">
            <v>26423</v>
          </cell>
          <cell r="F18"/>
        </row>
        <row r="19">
          <cell r="D19">
            <v>2757</v>
          </cell>
          <cell r="F19"/>
        </row>
        <row r="20">
          <cell r="D20">
            <v>5324</v>
          </cell>
          <cell r="F20"/>
        </row>
        <row r="21">
          <cell r="D21">
            <v>4185</v>
          </cell>
          <cell r="F21"/>
        </row>
        <row r="22">
          <cell r="D22"/>
          <cell r="F22"/>
        </row>
        <row r="23">
          <cell r="D23">
            <v>4683</v>
          </cell>
          <cell r="F23"/>
        </row>
        <row r="24">
          <cell r="D24">
            <v>12606</v>
          </cell>
          <cell r="F24"/>
        </row>
        <row r="25">
          <cell r="D25"/>
          <cell r="F25"/>
        </row>
        <row r="26">
          <cell r="D26">
            <v>98950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53384</v>
          </cell>
          <cell r="F29">
            <v>-53384</v>
          </cell>
        </row>
        <row r="30">
          <cell r="D30"/>
          <cell r="F30">
            <v>0</v>
          </cell>
        </row>
        <row r="31">
          <cell r="D31">
            <v>52314</v>
          </cell>
          <cell r="F31"/>
        </row>
        <row r="32">
          <cell r="D32">
            <v>9109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5238</v>
          </cell>
          <cell r="F36"/>
        </row>
        <row r="37">
          <cell r="D37"/>
          <cell r="F37">
            <v>512</v>
          </cell>
        </row>
        <row r="38">
          <cell r="D38"/>
          <cell r="F38"/>
        </row>
        <row r="39">
          <cell r="D39">
            <v>323</v>
          </cell>
          <cell r="F39"/>
        </row>
        <row r="40">
          <cell r="D40">
            <v>812</v>
          </cell>
          <cell r="F40"/>
        </row>
        <row r="41">
          <cell r="D41">
            <v>465</v>
          </cell>
          <cell r="F41"/>
        </row>
        <row r="42">
          <cell r="D42">
            <v>474</v>
          </cell>
          <cell r="F42"/>
        </row>
        <row r="43">
          <cell r="D43">
            <v>6187</v>
          </cell>
          <cell r="F43"/>
        </row>
        <row r="44">
          <cell r="D44"/>
          <cell r="F44"/>
        </row>
        <row r="45">
          <cell r="D45">
            <v>1706</v>
          </cell>
          <cell r="F45">
            <v>-14</v>
          </cell>
        </row>
        <row r="57">
          <cell r="D57"/>
          <cell r="F57"/>
        </row>
        <row r="58">
          <cell r="D58"/>
          <cell r="F58"/>
        </row>
        <row r="59">
          <cell r="D59"/>
          <cell r="F59"/>
        </row>
        <row r="60">
          <cell r="D60">
            <v>3500</v>
          </cell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1828</v>
          </cell>
          <cell r="F65"/>
        </row>
        <row r="66">
          <cell r="D66">
            <v>23599</v>
          </cell>
          <cell r="F66"/>
        </row>
        <row r="67">
          <cell r="D67"/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29740</v>
          </cell>
          <cell r="F75"/>
        </row>
        <row r="76">
          <cell r="D76"/>
          <cell r="F76">
            <v>2908</v>
          </cell>
        </row>
        <row r="77">
          <cell r="D77"/>
          <cell r="F77"/>
        </row>
        <row r="78">
          <cell r="D78"/>
          <cell r="F78"/>
        </row>
        <row r="79">
          <cell r="D79"/>
          <cell r="F79"/>
        </row>
        <row r="80">
          <cell r="D80">
            <v>14330</v>
          </cell>
          <cell r="F80"/>
        </row>
        <row r="81">
          <cell r="D81">
            <v>2171</v>
          </cell>
          <cell r="F81"/>
        </row>
        <row r="82">
          <cell r="D82">
            <v>7120</v>
          </cell>
          <cell r="F82"/>
        </row>
        <row r="83">
          <cell r="D83">
            <v>2034</v>
          </cell>
          <cell r="F83"/>
        </row>
        <row r="84">
          <cell r="D84">
            <v>47781</v>
          </cell>
          <cell r="F84"/>
        </row>
        <row r="85">
          <cell r="D85"/>
          <cell r="F85"/>
        </row>
        <row r="89">
          <cell r="D89">
            <v>93352</v>
          </cell>
          <cell r="F89"/>
        </row>
        <row r="90">
          <cell r="D90"/>
          <cell r="F90">
            <v>9127</v>
          </cell>
        </row>
        <row r="91">
          <cell r="D91">
            <v>5894</v>
          </cell>
          <cell r="F91"/>
        </row>
        <row r="92">
          <cell r="D92">
            <v>54041</v>
          </cell>
          <cell r="F92">
            <v>-3216</v>
          </cell>
        </row>
        <row r="93">
          <cell r="D93">
            <v>5764</v>
          </cell>
          <cell r="F93"/>
        </row>
        <row r="94">
          <cell r="D94">
            <v>428</v>
          </cell>
          <cell r="F94"/>
        </row>
        <row r="98">
          <cell r="D98"/>
          <cell r="F98"/>
        </row>
        <row r="99">
          <cell r="D99"/>
          <cell r="F99"/>
        </row>
        <row r="100">
          <cell r="D100">
            <v>87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/>
          <cell r="F103"/>
        </row>
        <row r="115">
          <cell r="D115">
            <v>50588</v>
          </cell>
          <cell r="F115"/>
        </row>
        <row r="116">
          <cell r="D116"/>
          <cell r="F116">
            <v>4946</v>
          </cell>
        </row>
        <row r="117">
          <cell r="D117">
            <v>7368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67033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59091</v>
          </cell>
          <cell r="F128"/>
        </row>
        <row r="130">
          <cell r="D130"/>
          <cell r="F130"/>
        </row>
        <row r="131">
          <cell r="D131"/>
          <cell r="F131">
            <v>6554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5777</v>
          </cell>
        </row>
        <row r="136">
          <cell r="D136">
            <v>92766</v>
          </cell>
          <cell r="F136"/>
        </row>
        <row r="137">
          <cell r="D137">
            <v>183189</v>
          </cell>
          <cell r="F137"/>
        </row>
        <row r="138">
          <cell r="D138">
            <v>206647</v>
          </cell>
          <cell r="F138"/>
        </row>
        <row r="139">
          <cell r="D139"/>
          <cell r="F139"/>
        </row>
        <row r="141">
          <cell r="D141"/>
          <cell r="F141">
            <v>9070</v>
          </cell>
        </row>
        <row r="142">
          <cell r="D142"/>
          <cell r="F142">
            <v>17910</v>
          </cell>
        </row>
        <row r="143">
          <cell r="D143"/>
          <cell r="F143">
            <v>20204</v>
          </cell>
        </row>
        <row r="144">
          <cell r="D144"/>
          <cell r="F144"/>
        </row>
        <row r="146">
          <cell r="D146">
            <v>16300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1403</v>
          </cell>
          <cell r="F150"/>
        </row>
        <row r="151">
          <cell r="D151">
            <v>34349</v>
          </cell>
          <cell r="F151"/>
        </row>
        <row r="152">
          <cell r="D152">
            <v>1179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2553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33637</v>
          </cell>
          <cell r="F177"/>
        </row>
        <row r="178">
          <cell r="D178"/>
          <cell r="F178">
            <v>3289</v>
          </cell>
        </row>
        <row r="179">
          <cell r="D179">
            <v>1828</v>
          </cell>
          <cell r="F179"/>
        </row>
        <row r="180">
          <cell r="D180"/>
          <cell r="F180">
            <v>179</v>
          </cell>
        </row>
        <row r="181">
          <cell r="D181"/>
          <cell r="F181"/>
        </row>
        <row r="182">
          <cell r="D182"/>
          <cell r="F182"/>
        </row>
        <row r="183">
          <cell r="D183">
            <v>20581</v>
          </cell>
          <cell r="F183"/>
        </row>
        <row r="184">
          <cell r="D184"/>
          <cell r="F184">
            <v>2012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1693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106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8224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5246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54481</v>
          </cell>
          <cell r="F205"/>
        </row>
        <row r="206">
          <cell r="D206">
            <v>430</v>
          </cell>
          <cell r="F206"/>
        </row>
        <row r="207">
          <cell r="D207"/>
          <cell r="F207"/>
        </row>
        <row r="211">
          <cell r="D211">
            <v>37320</v>
          </cell>
          <cell r="F211"/>
        </row>
        <row r="212">
          <cell r="D212"/>
          <cell r="F212">
            <v>3649</v>
          </cell>
        </row>
        <row r="213">
          <cell r="D213">
            <v>10019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1434</v>
          </cell>
          <cell r="F216"/>
        </row>
        <row r="221">
          <cell r="D221">
            <v>1640386</v>
          </cell>
        </row>
      </sheetData>
      <sheetData sheetId="8"/>
      <sheetData sheetId="9"/>
      <sheetData sheetId="10">
        <row r="9">
          <cell r="C9">
            <v>4237</v>
          </cell>
          <cell r="D9"/>
          <cell r="E9">
            <v>675</v>
          </cell>
          <cell r="F9">
            <v>76</v>
          </cell>
          <cell r="G9"/>
          <cell r="H9">
            <v>434</v>
          </cell>
          <cell r="I9">
            <v>366</v>
          </cell>
          <cell r="J9"/>
          <cell r="K9"/>
        </row>
        <row r="22">
          <cell r="N22">
            <v>50</v>
          </cell>
        </row>
        <row r="24">
          <cell r="N24">
            <v>50</v>
          </cell>
        </row>
        <row r="28">
          <cell r="N28">
            <v>18300</v>
          </cell>
        </row>
        <row r="30">
          <cell r="N30">
            <v>0.31628415300546447</v>
          </cell>
        </row>
        <row r="32">
          <cell r="N32">
            <v>0.23153005464480875</v>
          </cell>
        </row>
        <row r="34">
          <cell r="N34">
            <v>0.73203178991015894</v>
          </cell>
        </row>
      </sheetData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3519193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1839957</v>
          </cell>
          <cell r="G21">
            <v>0</v>
          </cell>
        </row>
        <row r="27">
          <cell r="E27">
            <v>716123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962131</v>
          </cell>
          <cell r="G37">
            <v>0</v>
          </cell>
        </row>
        <row r="42">
          <cell r="E42">
            <v>297495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432630</v>
          </cell>
          <cell r="G52">
            <v>0</v>
          </cell>
        </row>
        <row r="67">
          <cell r="E67">
            <v>94145</v>
          </cell>
          <cell r="G67">
            <v>0</v>
          </cell>
        </row>
        <row r="85">
          <cell r="C85">
            <v>199.13193277310924</v>
          </cell>
          <cell r="E85">
            <v>197.95902285263986</v>
          </cell>
          <cell r="G85">
            <v>149.89389067524115</v>
          </cell>
          <cell r="I85">
            <v>196.62775510204082</v>
          </cell>
        </row>
      </sheetData>
      <sheetData sheetId="6"/>
      <sheetData sheetId="7">
        <row r="10">
          <cell r="D10">
            <v>77203</v>
          </cell>
          <cell r="F10"/>
        </row>
        <row r="11">
          <cell r="D11">
            <v>1572</v>
          </cell>
          <cell r="F11"/>
        </row>
        <row r="12">
          <cell r="D12">
            <v>98281</v>
          </cell>
          <cell r="F12"/>
        </row>
        <row r="13">
          <cell r="D13">
            <v>401491</v>
          </cell>
          <cell r="F13"/>
        </row>
        <row r="14">
          <cell r="D14"/>
          <cell r="F14"/>
        </row>
        <row r="15">
          <cell r="D15">
            <v>397174</v>
          </cell>
          <cell r="F15"/>
        </row>
        <row r="16">
          <cell r="D16"/>
          <cell r="F16"/>
        </row>
        <row r="17">
          <cell r="D17">
            <v>308</v>
          </cell>
          <cell r="F17">
            <v>-308</v>
          </cell>
        </row>
        <row r="18">
          <cell r="D18">
            <v>1384</v>
          </cell>
          <cell r="F18"/>
        </row>
        <row r="19">
          <cell r="D19">
            <v>15391</v>
          </cell>
          <cell r="F19"/>
        </row>
        <row r="20">
          <cell r="D20">
            <v>5650</v>
          </cell>
          <cell r="F20"/>
        </row>
        <row r="21">
          <cell r="D21"/>
          <cell r="F21"/>
        </row>
        <row r="22">
          <cell r="D22"/>
          <cell r="F22"/>
        </row>
        <row r="23">
          <cell r="D23">
            <v>2084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491213</v>
          </cell>
          <cell r="F26"/>
        </row>
        <row r="27">
          <cell r="D27">
            <v>350</v>
          </cell>
          <cell r="F27"/>
        </row>
        <row r="28">
          <cell r="D28"/>
          <cell r="F28">
            <v>0</v>
          </cell>
        </row>
        <row r="29">
          <cell r="D29">
            <v>125271</v>
          </cell>
          <cell r="F29">
            <v>-125271</v>
          </cell>
        </row>
        <row r="30">
          <cell r="D30"/>
          <cell r="F30">
            <v>0</v>
          </cell>
        </row>
        <row r="31">
          <cell r="D31"/>
          <cell r="F31"/>
        </row>
        <row r="32">
          <cell r="D32">
            <v>151920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>
            <v>49437</v>
          </cell>
          <cell r="F36"/>
        </row>
        <row r="37">
          <cell r="D37">
            <v>6841</v>
          </cell>
          <cell r="F37"/>
        </row>
        <row r="38">
          <cell r="D38"/>
          <cell r="F38"/>
        </row>
        <row r="39">
          <cell r="D39">
            <v>35</v>
          </cell>
          <cell r="F39"/>
        </row>
        <row r="40">
          <cell r="D40">
            <v>278</v>
          </cell>
          <cell r="F40"/>
        </row>
        <row r="41">
          <cell r="D41">
            <v>79430</v>
          </cell>
          <cell r="F41"/>
        </row>
        <row r="42">
          <cell r="D42"/>
          <cell r="F42"/>
        </row>
        <row r="43">
          <cell r="D43">
            <v>25421</v>
          </cell>
          <cell r="F43"/>
        </row>
        <row r="44">
          <cell r="D44">
            <v>-2680</v>
          </cell>
          <cell r="F44"/>
        </row>
        <row r="45">
          <cell r="D45">
            <v>933</v>
          </cell>
          <cell r="F45"/>
        </row>
        <row r="57">
          <cell r="D57"/>
          <cell r="F57"/>
        </row>
        <row r="58">
          <cell r="D58">
            <v>490231</v>
          </cell>
          <cell r="F58"/>
        </row>
        <row r="59">
          <cell r="D59">
            <v>152374</v>
          </cell>
          <cell r="F59"/>
        </row>
        <row r="60">
          <cell r="D60"/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>
            <v>112</v>
          </cell>
          <cell r="F66"/>
        </row>
        <row r="67">
          <cell r="D67">
            <v>103279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68908</v>
          </cell>
          <cell r="F75"/>
        </row>
        <row r="76">
          <cell r="D76">
            <v>8470</v>
          </cell>
          <cell r="F76"/>
        </row>
        <row r="77">
          <cell r="D77">
            <v>42</v>
          </cell>
          <cell r="F77"/>
        </row>
        <row r="78">
          <cell r="D78"/>
          <cell r="F78"/>
        </row>
        <row r="79">
          <cell r="D79">
            <v>300</v>
          </cell>
          <cell r="F79"/>
        </row>
        <row r="80">
          <cell r="D80">
            <v>27385</v>
          </cell>
          <cell r="F80"/>
        </row>
        <row r="81">
          <cell r="D81">
            <v>86187</v>
          </cell>
          <cell r="F81"/>
        </row>
        <row r="82">
          <cell r="D82">
            <v>779</v>
          </cell>
          <cell r="F82"/>
        </row>
        <row r="83">
          <cell r="D83">
            <v>9418</v>
          </cell>
          <cell r="F83"/>
        </row>
        <row r="84">
          <cell r="D84">
            <v>153312</v>
          </cell>
          <cell r="F84"/>
        </row>
        <row r="85">
          <cell r="D85">
            <v>291</v>
          </cell>
          <cell r="F85"/>
        </row>
        <row r="89">
          <cell r="D89">
            <v>239321</v>
          </cell>
          <cell r="F89"/>
        </row>
        <row r="90">
          <cell r="D90">
            <v>21935</v>
          </cell>
          <cell r="F90"/>
        </row>
        <row r="91">
          <cell r="D91">
            <v>38446</v>
          </cell>
          <cell r="F91"/>
        </row>
        <row r="92">
          <cell r="D92">
            <v>247659</v>
          </cell>
          <cell r="F92"/>
        </row>
        <row r="93">
          <cell r="D93">
            <v>49977</v>
          </cell>
          <cell r="F93"/>
        </row>
        <row r="94">
          <cell r="D94">
            <v>2838</v>
          </cell>
          <cell r="F94"/>
        </row>
        <row r="98">
          <cell r="D98">
            <v>41893</v>
          </cell>
          <cell r="F98"/>
        </row>
        <row r="99">
          <cell r="D99">
            <v>2925</v>
          </cell>
          <cell r="F99"/>
        </row>
        <row r="100">
          <cell r="D100">
            <v>6607</v>
          </cell>
          <cell r="F100"/>
        </row>
        <row r="101">
          <cell r="D101"/>
          <cell r="F101"/>
        </row>
        <row r="102">
          <cell r="D102"/>
          <cell r="F102"/>
        </row>
        <row r="103">
          <cell r="D103">
            <v>120</v>
          </cell>
          <cell r="F103"/>
        </row>
        <row r="115">
          <cell r="D115">
            <v>149590</v>
          </cell>
          <cell r="F115"/>
        </row>
        <row r="116">
          <cell r="D116">
            <v>11005</v>
          </cell>
          <cell r="F116"/>
        </row>
        <row r="117">
          <cell r="D117">
            <v>15370</v>
          </cell>
          <cell r="F117"/>
        </row>
        <row r="118">
          <cell r="D118"/>
          <cell r="F118"/>
        </row>
        <row r="119">
          <cell r="D119">
            <v>110</v>
          </cell>
          <cell r="F119"/>
        </row>
        <row r="124">
          <cell r="D124">
            <v>42000</v>
          </cell>
          <cell r="F124"/>
        </row>
        <row r="125">
          <cell r="D125">
            <v>159289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109753</v>
          </cell>
          <cell r="F128"/>
        </row>
        <row r="130">
          <cell r="D130"/>
          <cell r="F130"/>
        </row>
        <row r="131">
          <cell r="D131">
            <v>14617</v>
          </cell>
          <cell r="F131"/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368548</v>
          </cell>
          <cell r="F136"/>
        </row>
        <row r="137">
          <cell r="D137">
            <v>519273</v>
          </cell>
          <cell r="F137"/>
        </row>
        <row r="138">
          <cell r="D138">
            <v>984798</v>
          </cell>
          <cell r="F138"/>
        </row>
        <row r="139">
          <cell r="D139"/>
          <cell r="F139"/>
        </row>
        <row r="141">
          <cell r="D141">
            <v>148466</v>
          </cell>
          <cell r="F141"/>
        </row>
        <row r="142">
          <cell r="D142"/>
          <cell r="F142"/>
        </row>
        <row r="143">
          <cell r="D143"/>
          <cell r="F143"/>
        </row>
        <row r="144">
          <cell r="D144"/>
          <cell r="F144"/>
        </row>
        <row r="146">
          <cell r="D146"/>
          <cell r="F146"/>
        </row>
        <row r="147">
          <cell r="D147">
            <v>484</v>
          </cell>
          <cell r="F147"/>
        </row>
        <row r="148">
          <cell r="D148"/>
          <cell r="F148"/>
        </row>
        <row r="149">
          <cell r="D149">
            <v>1408</v>
          </cell>
          <cell r="F149"/>
        </row>
        <row r="150">
          <cell r="D150"/>
          <cell r="F150"/>
        </row>
        <row r="151">
          <cell r="D151">
            <v>89436</v>
          </cell>
          <cell r="F151"/>
        </row>
        <row r="152">
          <cell r="D152">
            <v>39459</v>
          </cell>
          <cell r="F152"/>
        </row>
        <row r="153">
          <cell r="D153">
            <v>5986</v>
          </cell>
          <cell r="F153"/>
        </row>
        <row r="154">
          <cell r="D154"/>
          <cell r="F154"/>
        </row>
        <row r="156">
          <cell r="D156">
            <v>911</v>
          </cell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>
            <v>900</v>
          </cell>
          <cell r="F160"/>
        </row>
        <row r="161">
          <cell r="D161">
            <v>370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/>
          <cell r="F177"/>
        </row>
        <row r="178">
          <cell r="D178"/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685963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16908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293512</v>
          </cell>
          <cell r="F205"/>
        </row>
        <row r="206">
          <cell r="D206">
            <v>12783</v>
          </cell>
          <cell r="F206"/>
        </row>
        <row r="207">
          <cell r="D207"/>
          <cell r="F207"/>
        </row>
        <row r="211">
          <cell r="D211">
            <v>172718</v>
          </cell>
          <cell r="F211"/>
        </row>
        <row r="212">
          <cell r="D212">
            <v>18483</v>
          </cell>
          <cell r="F212"/>
        </row>
        <row r="213">
          <cell r="D213">
            <v>4843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3388</v>
          </cell>
          <cell r="F216"/>
        </row>
        <row r="221">
          <cell r="D221">
            <v>7552167</v>
          </cell>
        </row>
      </sheetData>
      <sheetData sheetId="8"/>
      <sheetData sheetId="9"/>
      <sheetData sheetId="10">
        <row r="9">
          <cell r="C9">
            <v>19069</v>
          </cell>
          <cell r="D9"/>
          <cell r="E9">
            <v>3673</v>
          </cell>
          <cell r="F9">
            <v>1164</v>
          </cell>
          <cell r="G9"/>
          <cell r="H9">
            <v>5239</v>
          </cell>
          <cell r="I9">
            <v>1568</v>
          </cell>
          <cell r="J9"/>
          <cell r="K9">
            <v>2660</v>
          </cell>
        </row>
        <row r="22">
          <cell r="N22">
            <v>172</v>
          </cell>
        </row>
        <row r="24">
          <cell r="N24">
            <v>172</v>
          </cell>
        </row>
        <row r="28">
          <cell r="N28">
            <v>62952</v>
          </cell>
        </row>
        <row r="30">
          <cell r="N30">
            <v>0.53013407040284666</v>
          </cell>
        </row>
        <row r="32">
          <cell r="N32">
            <v>0.30291333079171434</v>
          </cell>
        </row>
        <row r="34">
          <cell r="N34">
            <v>0.57139004584544395</v>
          </cell>
        </row>
      </sheetData>
      <sheetData sheetId="1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2763639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1370256</v>
          </cell>
          <cell r="G21">
            <v>-73633</v>
          </cell>
        </row>
        <row r="27">
          <cell r="E27">
            <v>159202</v>
          </cell>
          <cell r="G27">
            <v>73632</v>
          </cell>
        </row>
        <row r="32">
          <cell r="E32">
            <v>0</v>
          </cell>
          <cell r="G32">
            <v>0</v>
          </cell>
        </row>
        <row r="37">
          <cell r="E37">
            <v>873678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20560</v>
          </cell>
          <cell r="G67">
            <v>0</v>
          </cell>
        </row>
        <row r="85">
          <cell r="C85">
            <v>161.23457943925234</v>
          </cell>
          <cell r="E85">
            <v>191.76396538158929</v>
          </cell>
          <cell r="G85">
            <v>176.46859903381642</v>
          </cell>
          <cell r="I85">
            <v>172.70719178082192</v>
          </cell>
        </row>
      </sheetData>
      <sheetData sheetId="6"/>
      <sheetData sheetId="7">
        <row r="10">
          <cell r="D10">
            <v>100572</v>
          </cell>
          <cell r="F10"/>
        </row>
        <row r="11">
          <cell r="D11"/>
          <cell r="F11"/>
        </row>
        <row r="12">
          <cell r="D12">
            <v>98583</v>
          </cell>
          <cell r="F12">
            <v>-10658</v>
          </cell>
        </row>
        <row r="13">
          <cell r="D13">
            <v>63456</v>
          </cell>
          <cell r="F13"/>
        </row>
        <row r="14">
          <cell r="D14"/>
          <cell r="F14"/>
        </row>
        <row r="15">
          <cell r="D15">
            <v>123686</v>
          </cell>
          <cell r="F15"/>
        </row>
        <row r="16">
          <cell r="D16"/>
          <cell r="F16"/>
        </row>
        <row r="17">
          <cell r="D17">
            <v>4551</v>
          </cell>
          <cell r="F17">
            <v>-4551</v>
          </cell>
        </row>
        <row r="18">
          <cell r="D18">
            <v>16144</v>
          </cell>
          <cell r="F18"/>
        </row>
        <row r="19">
          <cell r="D19">
            <v>17573</v>
          </cell>
          <cell r="F19"/>
        </row>
        <row r="20">
          <cell r="D20">
            <v>50447</v>
          </cell>
          <cell r="F20"/>
        </row>
        <row r="21">
          <cell r="D21"/>
          <cell r="F21"/>
        </row>
        <row r="22">
          <cell r="D22"/>
          <cell r="F22"/>
        </row>
        <row r="23">
          <cell r="D23">
            <v>3797</v>
          </cell>
          <cell r="F23"/>
        </row>
        <row r="24">
          <cell r="D24"/>
          <cell r="F24"/>
        </row>
        <row r="25">
          <cell r="D25"/>
          <cell r="F25"/>
        </row>
        <row r="26">
          <cell r="D26">
            <v>399752</v>
          </cell>
          <cell r="F26"/>
        </row>
        <row r="27">
          <cell r="D27"/>
          <cell r="F27"/>
        </row>
        <row r="28">
          <cell r="D28"/>
          <cell r="F28">
            <v>0</v>
          </cell>
        </row>
        <row r="29">
          <cell r="D29">
            <v>54752</v>
          </cell>
          <cell r="F29">
            <v>-54752</v>
          </cell>
        </row>
        <row r="30">
          <cell r="D30"/>
          <cell r="F30">
            <v>0</v>
          </cell>
        </row>
        <row r="31">
          <cell r="D31"/>
          <cell r="F31"/>
        </row>
        <row r="32">
          <cell r="D32">
            <v>50161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/>
          <cell r="F39"/>
        </row>
        <row r="40">
          <cell r="D40"/>
          <cell r="F40"/>
        </row>
        <row r="41">
          <cell r="D41">
            <v>7076</v>
          </cell>
          <cell r="F41"/>
        </row>
        <row r="42">
          <cell r="D42">
            <v>18393</v>
          </cell>
          <cell r="F42"/>
        </row>
        <row r="43">
          <cell r="D43">
            <v>4284</v>
          </cell>
          <cell r="F43">
            <v>-4284</v>
          </cell>
        </row>
        <row r="44">
          <cell r="D44"/>
          <cell r="F44"/>
        </row>
        <row r="45">
          <cell r="D45">
            <v>5303</v>
          </cell>
          <cell r="F45"/>
        </row>
        <row r="57">
          <cell r="D57"/>
          <cell r="F57"/>
        </row>
        <row r="58">
          <cell r="D58">
            <v>632047</v>
          </cell>
          <cell r="F58"/>
        </row>
        <row r="59">
          <cell r="D59"/>
          <cell r="F59"/>
        </row>
        <row r="60">
          <cell r="D60"/>
          <cell r="F60"/>
        </row>
        <row r="61">
          <cell r="D61"/>
          <cell r="F61"/>
        </row>
        <row r="62">
          <cell r="D62"/>
          <cell r="F62"/>
        </row>
        <row r="63">
          <cell r="D63"/>
          <cell r="F63"/>
        </row>
        <row r="64">
          <cell r="D64"/>
          <cell r="F64"/>
        </row>
        <row r="65">
          <cell r="D65"/>
          <cell r="F65"/>
        </row>
        <row r="66">
          <cell r="D66"/>
          <cell r="F66"/>
        </row>
        <row r="67">
          <cell r="D67">
            <v>75573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33560</v>
          </cell>
          <cell r="F75"/>
        </row>
        <row r="76">
          <cell r="D76">
            <v>18796</v>
          </cell>
          <cell r="F76"/>
        </row>
        <row r="77">
          <cell r="D77">
            <v>14168</v>
          </cell>
          <cell r="F77"/>
        </row>
        <row r="78">
          <cell r="D78"/>
          <cell r="F78"/>
        </row>
        <row r="79">
          <cell r="D79">
            <v>21993</v>
          </cell>
          <cell r="F79"/>
        </row>
        <row r="80">
          <cell r="D80">
            <v>6246</v>
          </cell>
          <cell r="F80"/>
        </row>
        <row r="81">
          <cell r="D81">
            <v>26315</v>
          </cell>
          <cell r="F81"/>
        </row>
        <row r="82">
          <cell r="D82"/>
          <cell r="F82"/>
        </row>
        <row r="83">
          <cell r="D83">
            <v>3388</v>
          </cell>
          <cell r="F83"/>
        </row>
        <row r="84">
          <cell r="D84">
            <v>118198</v>
          </cell>
          <cell r="F84"/>
        </row>
        <row r="85">
          <cell r="D85"/>
          <cell r="F85"/>
        </row>
        <row r="89">
          <cell r="D89">
            <v>233216</v>
          </cell>
          <cell r="F89"/>
        </row>
        <row r="90">
          <cell r="D90">
            <v>63138</v>
          </cell>
          <cell r="F90"/>
        </row>
        <row r="91">
          <cell r="D91">
            <v>9924</v>
          </cell>
          <cell r="F91"/>
        </row>
        <row r="92">
          <cell r="D92">
            <v>194633</v>
          </cell>
          <cell r="F92"/>
        </row>
        <row r="93">
          <cell r="D93">
            <v>23947</v>
          </cell>
          <cell r="F93"/>
        </row>
        <row r="94">
          <cell r="D94"/>
          <cell r="F94"/>
        </row>
        <row r="98">
          <cell r="D98">
            <v>74196</v>
          </cell>
          <cell r="F98"/>
        </row>
        <row r="99">
          <cell r="D99">
            <v>28419</v>
          </cell>
          <cell r="F99"/>
        </row>
        <row r="100">
          <cell r="D100">
            <v>8858</v>
          </cell>
          <cell r="F100"/>
        </row>
        <row r="101">
          <cell r="D101"/>
          <cell r="F101"/>
        </row>
        <row r="102">
          <cell r="D102">
            <v>10561</v>
          </cell>
          <cell r="F102"/>
        </row>
        <row r="103">
          <cell r="D103"/>
          <cell r="F103"/>
        </row>
        <row r="115">
          <cell r="D115">
            <v>138872</v>
          </cell>
          <cell r="F115"/>
        </row>
        <row r="116">
          <cell r="D116">
            <v>50579</v>
          </cell>
          <cell r="F116"/>
        </row>
        <row r="117">
          <cell r="D117">
            <v>23917</v>
          </cell>
          <cell r="F117"/>
        </row>
        <row r="118">
          <cell r="D118"/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267141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/>
          <cell r="F128"/>
        </row>
        <row r="130">
          <cell r="D130"/>
          <cell r="F130"/>
        </row>
        <row r="131">
          <cell r="D131"/>
          <cell r="F131"/>
        </row>
        <row r="132">
          <cell r="D132"/>
          <cell r="F132"/>
        </row>
        <row r="133">
          <cell r="D133"/>
          <cell r="F133"/>
        </row>
        <row r="134">
          <cell r="D134"/>
          <cell r="F134"/>
        </row>
        <row r="136">
          <cell r="D136">
            <v>342746</v>
          </cell>
          <cell r="F136"/>
        </row>
        <row r="137">
          <cell r="D137">
            <v>377294</v>
          </cell>
          <cell r="F137"/>
        </row>
        <row r="138">
          <cell r="D138">
            <v>841333</v>
          </cell>
          <cell r="F138"/>
        </row>
        <row r="139">
          <cell r="D139">
            <v>33021</v>
          </cell>
          <cell r="F139"/>
        </row>
        <row r="141">
          <cell r="D141">
            <v>516151</v>
          </cell>
          <cell r="F141"/>
        </row>
        <row r="142">
          <cell r="D142"/>
          <cell r="F142"/>
        </row>
        <row r="143">
          <cell r="D143"/>
          <cell r="F143"/>
        </row>
        <row r="144">
          <cell r="D144"/>
          <cell r="F144"/>
        </row>
        <row r="146">
          <cell r="D146"/>
          <cell r="F146"/>
        </row>
        <row r="147">
          <cell r="D147">
            <v>209213</v>
          </cell>
          <cell r="F147"/>
        </row>
        <row r="148">
          <cell r="D148"/>
          <cell r="F148"/>
        </row>
        <row r="149">
          <cell r="D149"/>
          <cell r="F149"/>
        </row>
        <row r="150">
          <cell r="D150"/>
          <cell r="F150"/>
        </row>
        <row r="151">
          <cell r="D151">
            <v>143741</v>
          </cell>
          <cell r="F151"/>
        </row>
        <row r="152">
          <cell r="D152">
            <v>40</v>
          </cell>
          <cell r="F152"/>
        </row>
        <row r="153">
          <cell r="D153"/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>
            <v>5761</v>
          </cell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118517</v>
          </cell>
          <cell r="F177"/>
        </row>
        <row r="178">
          <cell r="D178">
            <v>46995</v>
          </cell>
          <cell r="F178"/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/>
          <cell r="F183"/>
        </row>
        <row r="184">
          <cell r="D184"/>
          <cell r="F184"/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/>
          <cell r="F188"/>
        </row>
        <row r="189">
          <cell r="D189"/>
          <cell r="F189"/>
        </row>
        <row r="190">
          <cell r="D190"/>
          <cell r="F190"/>
        </row>
        <row r="191">
          <cell r="D191"/>
          <cell r="F191"/>
        </row>
        <row r="192">
          <cell r="D192"/>
          <cell r="F192"/>
        </row>
        <row r="193">
          <cell r="D193"/>
          <cell r="F193"/>
        </row>
        <row r="194">
          <cell r="D194">
            <v>1251</v>
          </cell>
          <cell r="F194"/>
        </row>
        <row r="195">
          <cell r="D195"/>
          <cell r="F195"/>
        </row>
        <row r="196">
          <cell r="D196"/>
          <cell r="F196"/>
        </row>
        <row r="197">
          <cell r="D197">
            <v>2012</v>
          </cell>
          <cell r="F197"/>
        </row>
        <row r="198">
          <cell r="D198">
            <v>52962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157743</v>
          </cell>
          <cell r="F205"/>
        </row>
        <row r="206">
          <cell r="D206">
            <v>22981</v>
          </cell>
          <cell r="F206"/>
        </row>
        <row r="207">
          <cell r="D207"/>
          <cell r="F207"/>
        </row>
        <row r="211">
          <cell r="D211">
            <v>103013</v>
          </cell>
          <cell r="F211"/>
        </row>
        <row r="212">
          <cell r="D212">
            <v>27549</v>
          </cell>
          <cell r="F212"/>
        </row>
        <row r="213">
          <cell r="D213">
            <v>19097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>
            <v>7898</v>
          </cell>
          <cell r="F216"/>
        </row>
        <row r="221">
          <cell r="D221">
            <v>6125533</v>
          </cell>
        </row>
      </sheetData>
      <sheetData sheetId="8"/>
      <sheetData sheetId="9"/>
      <sheetData sheetId="10">
        <row r="9">
          <cell r="C9">
            <v>16370</v>
          </cell>
          <cell r="D9"/>
          <cell r="E9">
            <v>1902</v>
          </cell>
          <cell r="F9">
            <v>1311</v>
          </cell>
          <cell r="G9"/>
          <cell r="H9">
            <v>4958</v>
          </cell>
          <cell r="I9">
            <v>58</v>
          </cell>
          <cell r="J9"/>
          <cell r="K9"/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32940</v>
          </cell>
        </row>
        <row r="30">
          <cell r="N30">
            <v>0.74678202792956894</v>
          </cell>
        </row>
        <row r="32">
          <cell r="N32">
            <v>0.49696417729204617</v>
          </cell>
        </row>
        <row r="34">
          <cell r="N34">
            <v>0.66547420626854747</v>
          </cell>
        </row>
      </sheetData>
      <sheetData sheetId="1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. Rev.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2934520.55</v>
          </cell>
          <cell r="G10">
            <v>1456078.2399999998</v>
          </cell>
        </row>
        <row r="15">
          <cell r="E15">
            <v>0</v>
          </cell>
          <cell r="G15">
            <v>0</v>
          </cell>
        </row>
        <row r="21">
          <cell r="E21">
            <v>813388.35000000009</v>
          </cell>
          <cell r="G21">
            <v>0</v>
          </cell>
        </row>
        <row r="27">
          <cell r="E27">
            <v>23284.829999999998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1236662.74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2287171.14</v>
          </cell>
          <cell r="G67">
            <v>-2106390.0299999998</v>
          </cell>
        </row>
        <row r="85">
          <cell r="C85">
            <v>182.48522468868435</v>
          </cell>
          <cell r="E85">
            <v>194.99420136730888</v>
          </cell>
          <cell r="G85">
            <v>188.45849860335196</v>
          </cell>
          <cell r="I85">
            <v>200.6312761904762</v>
          </cell>
        </row>
      </sheetData>
      <sheetData sheetId="6"/>
      <sheetData sheetId="7"/>
      <sheetData sheetId="8">
        <row r="10">
          <cell r="D10">
            <v>101980.07</v>
          </cell>
          <cell r="F10"/>
        </row>
        <row r="11">
          <cell r="D11"/>
          <cell r="F11"/>
        </row>
        <row r="12">
          <cell r="D12">
            <v>130643.72</v>
          </cell>
          <cell r="F12"/>
        </row>
        <row r="13">
          <cell r="D13">
            <v>1838403.49</v>
          </cell>
          <cell r="F13">
            <v>-1728864</v>
          </cell>
        </row>
        <row r="14">
          <cell r="D14"/>
          <cell r="F14"/>
        </row>
        <row r="15">
          <cell r="D15">
            <v>154781.87</v>
          </cell>
          <cell r="F15">
            <v>-154781.87</v>
          </cell>
        </row>
        <row r="16">
          <cell r="D16"/>
          <cell r="F16">
            <v>187790</v>
          </cell>
        </row>
        <row r="17">
          <cell r="D17"/>
          <cell r="F17"/>
        </row>
        <row r="18">
          <cell r="D18">
            <v>27338.82</v>
          </cell>
          <cell r="F18"/>
        </row>
        <row r="19">
          <cell r="D19">
            <v>9755.0400000000009</v>
          </cell>
          <cell r="F19"/>
        </row>
        <row r="20">
          <cell r="D20">
            <v>12069.38</v>
          </cell>
          <cell r="F20"/>
        </row>
        <row r="21">
          <cell r="D21">
            <v>14300</v>
          </cell>
          <cell r="F21"/>
        </row>
        <row r="22">
          <cell r="D22"/>
          <cell r="F22"/>
        </row>
        <row r="23">
          <cell r="D23">
            <v>11455.98</v>
          </cell>
          <cell r="F23"/>
        </row>
        <row r="24">
          <cell r="D24">
            <v>6948.17</v>
          </cell>
          <cell r="F24"/>
        </row>
        <row r="25">
          <cell r="D25"/>
          <cell r="F25"/>
        </row>
        <row r="26">
          <cell r="D26">
            <v>421089.17</v>
          </cell>
          <cell r="F26"/>
        </row>
        <row r="27">
          <cell r="D27">
            <v>11.55</v>
          </cell>
          <cell r="F27"/>
        </row>
        <row r="28">
          <cell r="D28"/>
          <cell r="F28">
            <v>0</v>
          </cell>
        </row>
        <row r="29">
          <cell r="D29">
            <v>39039.199999999997</v>
          </cell>
          <cell r="F29">
            <v>-39039.199999999997</v>
          </cell>
        </row>
        <row r="30">
          <cell r="D30"/>
          <cell r="F30">
            <v>0</v>
          </cell>
        </row>
        <row r="31">
          <cell r="D31">
            <v>96786.12</v>
          </cell>
          <cell r="F31"/>
        </row>
        <row r="32">
          <cell r="D32">
            <v>55042.45</v>
          </cell>
          <cell r="F32"/>
        </row>
        <row r="33">
          <cell r="D33"/>
          <cell r="F33">
            <v>0</v>
          </cell>
        </row>
        <row r="34">
          <cell r="D34"/>
          <cell r="F34"/>
        </row>
        <row r="35">
          <cell r="D35"/>
          <cell r="F35">
            <v>0</v>
          </cell>
        </row>
        <row r="36">
          <cell r="D36"/>
          <cell r="F36"/>
        </row>
        <row r="37">
          <cell r="D37"/>
          <cell r="F37"/>
        </row>
        <row r="38">
          <cell r="D38"/>
          <cell r="F38"/>
        </row>
        <row r="39">
          <cell r="D39">
            <v>7493.35</v>
          </cell>
          <cell r="F39"/>
        </row>
        <row r="40">
          <cell r="D40">
            <v>7264.91</v>
          </cell>
          <cell r="F40">
            <v>-7264.91</v>
          </cell>
        </row>
        <row r="41">
          <cell r="D41"/>
          <cell r="F41"/>
        </row>
        <row r="42">
          <cell r="D42">
            <v>29.5</v>
          </cell>
          <cell r="F42"/>
        </row>
        <row r="43">
          <cell r="D43">
            <v>4094.76</v>
          </cell>
          <cell r="F43"/>
        </row>
        <row r="44">
          <cell r="D44"/>
          <cell r="F44"/>
        </row>
        <row r="45">
          <cell r="D45">
            <v>649695.68000000005</v>
          </cell>
          <cell r="F45">
            <v>-650311.79</v>
          </cell>
        </row>
        <row r="57">
          <cell r="D57"/>
          <cell r="F57"/>
        </row>
        <row r="58">
          <cell r="D58">
            <v>203302.9</v>
          </cell>
          <cell r="F58"/>
        </row>
        <row r="59">
          <cell r="D59"/>
          <cell r="F59"/>
        </row>
        <row r="60">
          <cell r="D60"/>
          <cell r="F60"/>
        </row>
        <row r="61">
          <cell r="D61">
            <v>21689.599999999999</v>
          </cell>
          <cell r="F61"/>
        </row>
        <row r="62">
          <cell r="D62">
            <v>1499.98</v>
          </cell>
          <cell r="F62"/>
        </row>
        <row r="63">
          <cell r="D63"/>
          <cell r="F63"/>
        </row>
        <row r="64">
          <cell r="D64"/>
          <cell r="F64"/>
        </row>
        <row r="65">
          <cell r="D65">
            <v>2577.88</v>
          </cell>
          <cell r="F65"/>
        </row>
        <row r="66">
          <cell r="D66">
            <v>200</v>
          </cell>
          <cell r="F66"/>
        </row>
        <row r="67">
          <cell r="D67">
            <v>22522.68</v>
          </cell>
          <cell r="F67"/>
        </row>
        <row r="68">
          <cell r="D68"/>
          <cell r="F68"/>
        </row>
        <row r="69">
          <cell r="D69"/>
          <cell r="F69"/>
        </row>
        <row r="70">
          <cell r="D70"/>
          <cell r="F70"/>
        </row>
        <row r="71">
          <cell r="D71"/>
          <cell r="F71"/>
        </row>
        <row r="75">
          <cell r="D75">
            <v>156529</v>
          </cell>
          <cell r="F75"/>
        </row>
        <row r="76">
          <cell r="D76"/>
          <cell r="F76">
            <v>73706.971347807004</v>
          </cell>
        </row>
        <row r="77">
          <cell r="D77">
            <v>4390.01</v>
          </cell>
          <cell r="F77"/>
        </row>
        <row r="78">
          <cell r="D78">
            <v>345.76</v>
          </cell>
          <cell r="F78"/>
        </row>
        <row r="79">
          <cell r="D79">
            <v>5166.16</v>
          </cell>
          <cell r="F79"/>
        </row>
        <row r="80">
          <cell r="D80">
            <v>38220.32</v>
          </cell>
          <cell r="F80"/>
        </row>
        <row r="81">
          <cell r="D81">
            <v>27050.21</v>
          </cell>
          <cell r="F81"/>
        </row>
        <row r="82">
          <cell r="D82">
            <v>26243.3</v>
          </cell>
          <cell r="F82"/>
        </row>
        <row r="83">
          <cell r="D83">
            <v>3252.26</v>
          </cell>
          <cell r="F83"/>
        </row>
        <row r="84">
          <cell r="D84">
            <v>189516.39</v>
          </cell>
          <cell r="F84"/>
        </row>
        <row r="85">
          <cell r="D85"/>
          <cell r="F85"/>
        </row>
        <row r="89">
          <cell r="D89">
            <v>274843.06</v>
          </cell>
          <cell r="F89"/>
        </row>
        <row r="90">
          <cell r="D90"/>
          <cell r="F90">
            <v>129419.14628320377</v>
          </cell>
        </row>
        <row r="91">
          <cell r="D91">
            <v>10124.01</v>
          </cell>
          <cell r="F91"/>
        </row>
        <row r="92">
          <cell r="D92">
            <v>224846.4</v>
          </cell>
          <cell r="F92"/>
        </row>
        <row r="93">
          <cell r="D93">
            <v>31350.15</v>
          </cell>
          <cell r="F93"/>
        </row>
        <row r="94">
          <cell r="D94"/>
          <cell r="F94"/>
        </row>
        <row r="98">
          <cell r="D98">
            <v>25242.79</v>
          </cell>
          <cell r="F98"/>
        </row>
        <row r="99">
          <cell r="D99"/>
          <cell r="F99">
            <v>11886.42104190731</v>
          </cell>
        </row>
        <row r="100">
          <cell r="D100">
            <v>1725.74</v>
          </cell>
          <cell r="F100"/>
        </row>
        <row r="101">
          <cell r="D101"/>
          <cell r="F101"/>
        </row>
        <row r="102">
          <cell r="D102">
            <v>1366.66</v>
          </cell>
          <cell r="F102"/>
        </row>
        <row r="103">
          <cell r="D103"/>
          <cell r="F103"/>
        </row>
        <row r="115">
          <cell r="D115">
            <v>215066.3</v>
          </cell>
          <cell r="F115"/>
        </row>
        <row r="116">
          <cell r="D116"/>
          <cell r="F116">
            <v>101271.23799410247</v>
          </cell>
        </row>
        <row r="117">
          <cell r="D117">
            <v>52572.78</v>
          </cell>
          <cell r="F117"/>
        </row>
        <row r="118">
          <cell r="D118">
            <v>642.26</v>
          </cell>
          <cell r="F118"/>
        </row>
        <row r="119">
          <cell r="D119"/>
          <cell r="F119"/>
        </row>
        <row r="124">
          <cell r="D124"/>
          <cell r="F124"/>
        </row>
        <row r="125">
          <cell r="D125">
            <v>85431.22</v>
          </cell>
          <cell r="F125"/>
        </row>
        <row r="126">
          <cell r="D126"/>
          <cell r="F126"/>
        </row>
        <row r="127">
          <cell r="D127"/>
          <cell r="F127"/>
        </row>
        <row r="128">
          <cell r="D128">
            <v>106822.78</v>
          </cell>
          <cell r="F128"/>
        </row>
        <row r="130">
          <cell r="D130"/>
          <cell r="F130"/>
        </row>
        <row r="131">
          <cell r="D131"/>
          <cell r="F131">
            <v>40228.178067630899</v>
          </cell>
        </row>
        <row r="132">
          <cell r="D132"/>
          <cell r="F132"/>
        </row>
        <row r="133">
          <cell r="D133"/>
          <cell r="F133"/>
        </row>
        <row r="134">
          <cell r="D134"/>
          <cell r="F134">
            <v>50301.117267427064</v>
          </cell>
        </row>
        <row r="136">
          <cell r="D136">
            <v>654281.36</v>
          </cell>
          <cell r="F136"/>
        </row>
        <row r="137">
          <cell r="D137">
            <v>460808.11</v>
          </cell>
          <cell r="F137"/>
        </row>
        <row r="138">
          <cell r="D138">
            <v>1240913.1399999999</v>
          </cell>
          <cell r="F138"/>
        </row>
        <row r="139">
          <cell r="D139"/>
          <cell r="F139"/>
        </row>
        <row r="141">
          <cell r="D141"/>
          <cell r="F141">
            <v>308090.49731950118</v>
          </cell>
        </row>
        <row r="142">
          <cell r="D142"/>
          <cell r="F142">
            <v>216987.07690336677</v>
          </cell>
        </row>
        <row r="143">
          <cell r="D143"/>
          <cell r="F143">
            <v>584325.90290040325</v>
          </cell>
        </row>
        <row r="144">
          <cell r="D144"/>
          <cell r="F144"/>
        </row>
        <row r="146">
          <cell r="D146">
            <v>16800</v>
          </cell>
          <cell r="F146"/>
        </row>
        <row r="147">
          <cell r="D147"/>
          <cell r="F147"/>
        </row>
        <row r="148">
          <cell r="D148"/>
          <cell r="F148"/>
        </row>
        <row r="149">
          <cell r="D149"/>
          <cell r="F149"/>
        </row>
        <row r="150">
          <cell r="D150">
            <v>7513.43</v>
          </cell>
          <cell r="F150"/>
        </row>
        <row r="151">
          <cell r="D151">
            <v>185007.03</v>
          </cell>
          <cell r="F151"/>
        </row>
        <row r="152">
          <cell r="D152">
            <v>793.66</v>
          </cell>
          <cell r="F152"/>
        </row>
        <row r="153">
          <cell r="D153">
            <v>3781.96</v>
          </cell>
          <cell r="F153"/>
        </row>
        <row r="154">
          <cell r="D154"/>
          <cell r="F154"/>
        </row>
        <row r="156">
          <cell r="D156"/>
          <cell r="F156"/>
        </row>
        <row r="157">
          <cell r="D157"/>
          <cell r="F157"/>
        </row>
        <row r="158">
          <cell r="D158"/>
          <cell r="F158"/>
        </row>
        <row r="159">
          <cell r="D159"/>
          <cell r="F159"/>
        </row>
        <row r="160">
          <cell r="D160"/>
          <cell r="F160"/>
        </row>
        <row r="161">
          <cell r="D161"/>
          <cell r="F161"/>
        </row>
        <row r="175">
          <cell r="D175"/>
          <cell r="F175"/>
        </row>
        <row r="176">
          <cell r="D176"/>
          <cell r="F176"/>
        </row>
        <row r="177">
          <cell r="D177">
            <v>179157.92</v>
          </cell>
          <cell r="F177"/>
        </row>
        <row r="178">
          <cell r="D178"/>
          <cell r="F178">
            <v>84362.563334415361</v>
          </cell>
        </row>
        <row r="179">
          <cell r="D179"/>
          <cell r="F179"/>
        </row>
        <row r="180">
          <cell r="D180"/>
          <cell r="F180"/>
        </row>
        <row r="181">
          <cell r="D181"/>
          <cell r="F181"/>
        </row>
        <row r="182">
          <cell r="D182"/>
          <cell r="F182"/>
        </row>
        <row r="183">
          <cell r="D183">
            <v>69744.34</v>
          </cell>
          <cell r="F183"/>
        </row>
        <row r="184">
          <cell r="D184"/>
          <cell r="F184">
            <v>32841.480301105286</v>
          </cell>
        </row>
        <row r="185">
          <cell r="D185"/>
          <cell r="F185"/>
        </row>
        <row r="186">
          <cell r="D186"/>
          <cell r="F186"/>
        </row>
        <row r="187">
          <cell r="D187"/>
          <cell r="F187"/>
        </row>
        <row r="188">
          <cell r="D188">
            <v>3083.95</v>
          </cell>
          <cell r="F188"/>
        </row>
        <row r="189">
          <cell r="D189"/>
          <cell r="F189"/>
        </row>
        <row r="190">
          <cell r="D190"/>
          <cell r="F190"/>
        </row>
        <row r="191">
          <cell r="D191">
            <v>655.07000000000005</v>
          </cell>
          <cell r="F191"/>
        </row>
        <row r="192">
          <cell r="D192"/>
          <cell r="F192"/>
        </row>
        <row r="193">
          <cell r="D193"/>
          <cell r="F193"/>
        </row>
        <row r="194">
          <cell r="D194"/>
          <cell r="F194"/>
        </row>
        <row r="195">
          <cell r="D195"/>
          <cell r="F195"/>
        </row>
        <row r="196">
          <cell r="D196"/>
          <cell r="F196"/>
        </row>
        <row r="197">
          <cell r="D197"/>
          <cell r="F197"/>
        </row>
        <row r="198">
          <cell r="D198">
            <v>5586.95</v>
          </cell>
          <cell r="F198"/>
        </row>
        <row r="199">
          <cell r="D199"/>
          <cell r="F199"/>
        </row>
        <row r="200">
          <cell r="D200"/>
          <cell r="F200"/>
        </row>
        <row r="201">
          <cell r="D201"/>
          <cell r="F201"/>
        </row>
        <row r="202">
          <cell r="D202"/>
          <cell r="F202"/>
        </row>
        <row r="203">
          <cell r="D203"/>
          <cell r="F203"/>
        </row>
        <row r="204">
          <cell r="D204"/>
          <cell r="F204"/>
        </row>
        <row r="205">
          <cell r="D205">
            <v>97779.46</v>
          </cell>
          <cell r="F205"/>
        </row>
        <row r="206">
          <cell r="D206">
            <v>18078.759999999998</v>
          </cell>
          <cell r="F206"/>
        </row>
        <row r="207">
          <cell r="D207"/>
          <cell r="F207"/>
        </row>
        <row r="211">
          <cell r="D211">
            <v>202691.45</v>
          </cell>
          <cell r="F211"/>
        </row>
        <row r="212">
          <cell r="D212"/>
          <cell r="F212">
            <v>95444.121521222623</v>
          </cell>
        </row>
        <row r="213">
          <cell r="D213">
            <v>15260.1</v>
          </cell>
          <cell r="F213"/>
        </row>
        <row r="214">
          <cell r="D214"/>
          <cell r="F214"/>
        </row>
        <row r="215">
          <cell r="D215"/>
          <cell r="F215"/>
        </row>
        <row r="216">
          <cell r="D216"/>
          <cell r="F216"/>
        </row>
        <row r="221">
          <cell r="D221">
            <v>8482700.5199999996</v>
          </cell>
        </row>
      </sheetData>
      <sheetData sheetId="9"/>
      <sheetData sheetId="10"/>
      <sheetData sheetId="11"/>
      <sheetData sheetId="12">
        <row r="9">
          <cell r="C9">
            <v>16481</v>
          </cell>
          <cell r="D9"/>
          <cell r="E9">
            <v>1876</v>
          </cell>
          <cell r="F9">
            <v>114</v>
          </cell>
          <cell r="G9"/>
          <cell r="H9">
            <v>6463</v>
          </cell>
          <cell r="I9"/>
          <cell r="J9"/>
          <cell r="K9"/>
        </row>
        <row r="22">
          <cell r="N22">
            <v>110</v>
          </cell>
        </row>
        <row r="24">
          <cell r="N24">
            <v>110</v>
          </cell>
        </row>
        <row r="28">
          <cell r="N28">
            <v>40260</v>
          </cell>
        </row>
        <row r="30">
          <cell r="N30">
            <v>0.61932439145553897</v>
          </cell>
        </row>
        <row r="32">
          <cell r="N32">
            <v>0.40936413313462494</v>
          </cell>
        </row>
        <row r="34">
          <cell r="N34">
            <v>0.66098500040105879</v>
          </cell>
        </row>
      </sheetData>
      <sheetData sheetId="13"/>
      <sheetData sheetId="1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Cont.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2887429</v>
          </cell>
          <cell r="G10">
            <v>18226</v>
          </cell>
        </row>
        <row r="15">
          <cell r="E15">
            <v>0</v>
          </cell>
          <cell r="G15">
            <v>0</v>
          </cell>
        </row>
        <row r="21">
          <cell r="E21">
            <v>608146</v>
          </cell>
          <cell r="G21">
            <v>498</v>
          </cell>
        </row>
        <row r="27">
          <cell r="E27">
            <v>189954</v>
          </cell>
          <cell r="G27">
            <v>691</v>
          </cell>
        </row>
        <row r="32">
          <cell r="E32">
            <v>0</v>
          </cell>
          <cell r="G32">
            <v>0</v>
          </cell>
        </row>
        <row r="37">
          <cell r="E37">
            <v>212920</v>
          </cell>
          <cell r="G37">
            <v>-13290</v>
          </cell>
        </row>
        <row r="42">
          <cell r="E42">
            <v>275487</v>
          </cell>
          <cell r="G42">
            <v>-2183</v>
          </cell>
        </row>
        <row r="47">
          <cell r="E47">
            <v>0</v>
          </cell>
          <cell r="G47">
            <v>0</v>
          </cell>
        </row>
        <row r="52">
          <cell r="E52">
            <v>161440</v>
          </cell>
          <cell r="G52">
            <v>-4656</v>
          </cell>
        </row>
        <row r="67">
          <cell r="E67">
            <v>313679</v>
          </cell>
          <cell r="G67">
            <v>-313673</v>
          </cell>
        </row>
        <row r="85">
          <cell r="C85">
            <v>184.33333333333334</v>
          </cell>
          <cell r="E85">
            <v>184.30902777777777</v>
          </cell>
          <cell r="G85">
            <v>184.31020408163266</v>
          </cell>
          <cell r="I85">
            <v>184.37065637065638</v>
          </cell>
        </row>
      </sheetData>
      <sheetData sheetId="6"/>
      <sheetData sheetId="7">
        <row r="10">
          <cell r="D10">
            <v>109815</v>
          </cell>
          <cell r="F10">
            <v>4844</v>
          </cell>
        </row>
        <row r="11">
          <cell r="D11">
            <v>0</v>
          </cell>
          <cell r="F11"/>
        </row>
        <row r="12">
          <cell r="D12">
            <v>155408</v>
          </cell>
          <cell r="F12">
            <v>-4844</v>
          </cell>
        </row>
        <row r="13">
          <cell r="D13">
            <v>87965</v>
          </cell>
          <cell r="F13">
            <v>-54733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417445</v>
          </cell>
          <cell r="F16">
            <v>-176633</v>
          </cell>
        </row>
        <row r="17">
          <cell r="D17">
            <v>17317</v>
          </cell>
          <cell r="F17">
            <v>-17317</v>
          </cell>
        </row>
        <row r="18">
          <cell r="D18">
            <v>40871</v>
          </cell>
          <cell r="F18"/>
        </row>
        <row r="19">
          <cell r="D19">
            <v>3429</v>
          </cell>
          <cell r="F19">
            <v>-502</v>
          </cell>
        </row>
        <row r="20">
          <cell r="D20">
            <v>21119</v>
          </cell>
          <cell r="F20">
            <v>-628</v>
          </cell>
        </row>
        <row r="21">
          <cell r="D21">
            <v>48215</v>
          </cell>
          <cell r="F21"/>
        </row>
        <row r="22">
          <cell r="D22">
            <v>0</v>
          </cell>
          <cell r="F22"/>
        </row>
        <row r="23">
          <cell r="D23">
            <v>42446</v>
          </cell>
          <cell r="F23">
            <v>-377</v>
          </cell>
        </row>
        <row r="24">
          <cell r="D24">
            <v>0</v>
          </cell>
          <cell r="F24"/>
        </row>
        <row r="25">
          <cell r="D25">
            <v>0</v>
          </cell>
          <cell r="F25"/>
        </row>
        <row r="26">
          <cell r="D26">
            <v>323257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36230</v>
          </cell>
          <cell r="F29">
            <v>-36230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/>
        </row>
        <row r="32">
          <cell r="D32">
            <v>18599</v>
          </cell>
          <cell r="F32"/>
        </row>
        <row r="33">
          <cell r="D33">
            <v>0</v>
          </cell>
          <cell r="F33">
            <v>0</v>
          </cell>
        </row>
        <row r="34">
          <cell r="D34">
            <v>4953</v>
          </cell>
          <cell r="F34"/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0</v>
          </cell>
          <cell r="F38"/>
        </row>
        <row r="39">
          <cell r="D39">
            <v>10403</v>
          </cell>
          <cell r="F39"/>
        </row>
        <row r="40">
          <cell r="D40">
            <v>0</v>
          </cell>
          <cell r="F40"/>
        </row>
        <row r="41">
          <cell r="D41">
            <v>20699</v>
          </cell>
          <cell r="F41">
            <v>3228</v>
          </cell>
        </row>
        <row r="42">
          <cell r="D42">
            <v>317</v>
          </cell>
          <cell r="F42"/>
        </row>
        <row r="43">
          <cell r="D43">
            <v>7416</v>
          </cell>
          <cell r="F43">
            <v>-7416</v>
          </cell>
        </row>
        <row r="44">
          <cell r="D44">
            <v>0</v>
          </cell>
          <cell r="F44"/>
        </row>
        <row r="45">
          <cell r="D45">
            <v>69255</v>
          </cell>
          <cell r="F45">
            <v>-44867</v>
          </cell>
        </row>
        <row r="57">
          <cell r="D57">
            <v>307836</v>
          </cell>
          <cell r="F57">
            <v>-307836</v>
          </cell>
        </row>
        <row r="58">
          <cell r="D58">
            <v>0</v>
          </cell>
          <cell r="F58">
            <v>15766</v>
          </cell>
        </row>
        <row r="59">
          <cell r="D59">
            <v>403109</v>
          </cell>
          <cell r="F59">
            <v>-329601</v>
          </cell>
        </row>
        <row r="60">
          <cell r="D60">
            <v>29706</v>
          </cell>
          <cell r="F60"/>
        </row>
        <row r="61">
          <cell r="D61">
            <v>14003</v>
          </cell>
          <cell r="F61">
            <v>-8615</v>
          </cell>
        </row>
        <row r="62">
          <cell r="D62">
            <v>0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0</v>
          </cell>
          <cell r="F65">
            <v>8615</v>
          </cell>
        </row>
        <row r="66">
          <cell r="D66">
            <v>0</v>
          </cell>
          <cell r="F66"/>
        </row>
        <row r="67">
          <cell r="D67">
            <v>153969</v>
          </cell>
          <cell r="F67">
            <v>-141644</v>
          </cell>
        </row>
        <row r="68">
          <cell r="D68">
            <v>0</v>
          </cell>
          <cell r="F68"/>
        </row>
        <row r="69">
          <cell r="D69">
            <v>0</v>
          </cell>
          <cell r="F69"/>
        </row>
        <row r="70">
          <cell r="D70">
            <v>0</v>
          </cell>
          <cell r="F70"/>
        </row>
        <row r="71">
          <cell r="D71">
            <v>1229</v>
          </cell>
          <cell r="F71">
            <v>-1049</v>
          </cell>
        </row>
        <row r="75">
          <cell r="D75">
            <v>74740</v>
          </cell>
          <cell r="F75"/>
        </row>
        <row r="76">
          <cell r="D76">
            <v>6958</v>
          </cell>
          <cell r="F76">
            <v>2548</v>
          </cell>
        </row>
        <row r="77">
          <cell r="D77">
            <v>13714</v>
          </cell>
          <cell r="F77"/>
        </row>
        <row r="78">
          <cell r="D78">
            <v>1196</v>
          </cell>
          <cell r="F78"/>
        </row>
        <row r="79">
          <cell r="D79">
            <v>3998</v>
          </cell>
          <cell r="F79"/>
        </row>
        <row r="80">
          <cell r="D80">
            <v>6972</v>
          </cell>
          <cell r="F80"/>
        </row>
        <row r="81">
          <cell r="D81">
            <v>25657</v>
          </cell>
          <cell r="F81"/>
        </row>
        <row r="82">
          <cell r="D82">
            <v>0</v>
          </cell>
          <cell r="F82"/>
        </row>
        <row r="83">
          <cell r="D83">
            <v>4865</v>
          </cell>
          <cell r="F83"/>
        </row>
        <row r="84">
          <cell r="D84">
            <v>89260</v>
          </cell>
          <cell r="F84"/>
        </row>
        <row r="85">
          <cell r="D85">
            <v>12738</v>
          </cell>
          <cell r="F85">
            <v>33290</v>
          </cell>
        </row>
        <row r="89">
          <cell r="D89">
            <v>0</v>
          </cell>
          <cell r="F89"/>
        </row>
        <row r="90">
          <cell r="D90">
            <v>0</v>
          </cell>
          <cell r="F90"/>
        </row>
        <row r="91">
          <cell r="D91">
            <v>424910</v>
          </cell>
          <cell r="F91">
            <v>-120342</v>
          </cell>
        </row>
        <row r="92">
          <cell r="D92">
            <v>2629</v>
          </cell>
          <cell r="F92">
            <v>120342</v>
          </cell>
        </row>
        <row r="93">
          <cell r="D93">
            <v>2418</v>
          </cell>
          <cell r="F93"/>
        </row>
        <row r="94">
          <cell r="D94">
            <v>205</v>
          </cell>
          <cell r="F94">
            <v>102</v>
          </cell>
        </row>
        <row r="98">
          <cell r="D98">
            <v>0</v>
          </cell>
          <cell r="F98"/>
        </row>
        <row r="99">
          <cell r="D99">
            <v>0</v>
          </cell>
          <cell r="F99"/>
        </row>
        <row r="100">
          <cell r="D100">
            <v>0</v>
          </cell>
          <cell r="F100"/>
        </row>
        <row r="101">
          <cell r="D101">
            <v>83271</v>
          </cell>
          <cell r="F101"/>
        </row>
        <row r="102">
          <cell r="D102">
            <v>47</v>
          </cell>
          <cell r="F102"/>
        </row>
        <row r="103">
          <cell r="D103">
            <v>0</v>
          </cell>
          <cell r="F103">
            <v>2</v>
          </cell>
        </row>
        <row r="115">
          <cell r="D115">
            <v>0</v>
          </cell>
          <cell r="F115"/>
        </row>
        <row r="116">
          <cell r="D116">
            <v>0</v>
          </cell>
          <cell r="F116"/>
        </row>
        <row r="117">
          <cell r="D117">
            <v>871</v>
          </cell>
          <cell r="F117"/>
        </row>
        <row r="118">
          <cell r="D118">
            <v>124907</v>
          </cell>
          <cell r="F118"/>
        </row>
        <row r="119">
          <cell r="D119">
            <v>0</v>
          </cell>
          <cell r="F119">
            <v>19</v>
          </cell>
        </row>
        <row r="124">
          <cell r="D124">
            <v>0</v>
          </cell>
          <cell r="F124"/>
        </row>
        <row r="125">
          <cell r="D125">
            <v>315174</v>
          </cell>
          <cell r="F125"/>
        </row>
        <row r="126">
          <cell r="D126">
            <v>0</v>
          </cell>
          <cell r="F126"/>
        </row>
        <row r="127">
          <cell r="D127">
            <v>0</v>
          </cell>
          <cell r="F127"/>
        </row>
        <row r="128">
          <cell r="D128">
            <v>81304</v>
          </cell>
          <cell r="F128"/>
        </row>
        <row r="130">
          <cell r="D130">
            <v>0</v>
          </cell>
          <cell r="F130"/>
        </row>
        <row r="131">
          <cell r="D131">
            <v>27872</v>
          </cell>
          <cell r="F131">
            <v>10745</v>
          </cell>
        </row>
        <row r="132">
          <cell r="D132">
            <v>0</v>
          </cell>
          <cell r="F132"/>
        </row>
        <row r="133">
          <cell r="D133">
            <v>0</v>
          </cell>
          <cell r="F133"/>
        </row>
        <row r="134">
          <cell r="D134">
            <v>8316</v>
          </cell>
          <cell r="F134">
            <v>2772</v>
          </cell>
        </row>
        <row r="136">
          <cell r="D136">
            <v>223157</v>
          </cell>
          <cell r="F136">
            <v>4923</v>
          </cell>
        </row>
        <row r="137">
          <cell r="D137">
            <v>327981</v>
          </cell>
          <cell r="F137">
            <v>7410</v>
          </cell>
        </row>
        <row r="138">
          <cell r="D138">
            <v>471005</v>
          </cell>
          <cell r="F138">
            <v>10121</v>
          </cell>
        </row>
        <row r="139">
          <cell r="D139">
            <v>22454</v>
          </cell>
          <cell r="F139">
            <v>-22454</v>
          </cell>
        </row>
        <row r="141">
          <cell r="D141">
            <v>0</v>
          </cell>
          <cell r="F141">
            <v>31197</v>
          </cell>
        </row>
        <row r="142">
          <cell r="D142">
            <v>0</v>
          </cell>
          <cell r="F142">
            <v>45876</v>
          </cell>
        </row>
        <row r="143">
          <cell r="D143">
            <v>0</v>
          </cell>
          <cell r="F143">
            <v>65811</v>
          </cell>
        </row>
        <row r="144">
          <cell r="D144">
            <v>107273</v>
          </cell>
          <cell r="F144">
            <v>-107273</v>
          </cell>
        </row>
        <row r="146">
          <cell r="D146">
            <v>31700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0</v>
          </cell>
          <cell r="F149"/>
        </row>
        <row r="150">
          <cell r="D150">
            <v>14270</v>
          </cell>
          <cell r="F150"/>
        </row>
        <row r="151">
          <cell r="D151">
            <v>88562</v>
          </cell>
          <cell r="F151">
            <v>263</v>
          </cell>
        </row>
        <row r="152">
          <cell r="D152">
            <v>985</v>
          </cell>
          <cell r="F152"/>
        </row>
        <row r="153">
          <cell r="D153">
            <v>10218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336</v>
          </cell>
          <cell r="F158"/>
        </row>
        <row r="159">
          <cell r="D159">
            <v>0</v>
          </cell>
          <cell r="F159"/>
        </row>
        <row r="160">
          <cell r="D160">
            <v>0</v>
          </cell>
          <cell r="F160"/>
        </row>
        <row r="161">
          <cell r="D161">
            <v>83559</v>
          </cell>
          <cell r="F161">
            <v>81415</v>
          </cell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0</v>
          </cell>
          <cell r="F177"/>
        </row>
        <row r="178">
          <cell r="D178">
            <v>0</v>
          </cell>
          <cell r="F178"/>
        </row>
        <row r="179">
          <cell r="D179">
            <v>0</v>
          </cell>
          <cell r="F179"/>
        </row>
        <row r="180">
          <cell r="D180">
            <v>0</v>
          </cell>
          <cell r="F180"/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0</v>
          </cell>
          <cell r="F183"/>
        </row>
        <row r="184">
          <cell r="D184">
            <v>0</v>
          </cell>
          <cell r="F184"/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10350</v>
          </cell>
          <cell r="F188">
            <v>4</v>
          </cell>
        </row>
        <row r="189">
          <cell r="D189">
            <v>39</v>
          </cell>
          <cell r="F189"/>
        </row>
        <row r="190">
          <cell r="D190">
            <v>0</v>
          </cell>
          <cell r="F190"/>
        </row>
        <row r="191">
          <cell r="D191">
            <v>10377</v>
          </cell>
          <cell r="F191"/>
        </row>
        <row r="192">
          <cell r="D192">
            <v>13418</v>
          </cell>
          <cell r="F192"/>
        </row>
        <row r="193">
          <cell r="D193">
            <v>0</v>
          </cell>
          <cell r="F193"/>
        </row>
        <row r="194">
          <cell r="D194">
            <v>159497</v>
          </cell>
          <cell r="F194">
            <v>-21969</v>
          </cell>
        </row>
        <row r="195">
          <cell r="D195">
            <v>59531</v>
          </cell>
          <cell r="F195">
            <v>27028</v>
          </cell>
        </row>
        <row r="196">
          <cell r="D196">
            <v>0</v>
          </cell>
          <cell r="F196"/>
        </row>
        <row r="197">
          <cell r="D197">
            <v>148658</v>
          </cell>
          <cell r="F197">
            <v>-58733</v>
          </cell>
        </row>
        <row r="198">
          <cell r="D198">
            <v>0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129179</v>
          </cell>
          <cell r="F205"/>
        </row>
        <row r="206">
          <cell r="D206">
            <v>0</v>
          </cell>
          <cell r="F206"/>
        </row>
        <row r="207">
          <cell r="D207">
            <v>4784</v>
          </cell>
          <cell r="F207"/>
        </row>
        <row r="211">
          <cell r="D211">
            <v>89677</v>
          </cell>
          <cell r="F211"/>
        </row>
        <row r="212">
          <cell r="D212">
            <v>8675</v>
          </cell>
          <cell r="F212">
            <v>3057</v>
          </cell>
        </row>
        <row r="213">
          <cell r="D213">
            <v>23895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15153</v>
          </cell>
          <cell r="F216">
            <v>26</v>
          </cell>
        </row>
        <row r="221">
          <cell r="D221">
            <v>5711766</v>
          </cell>
        </row>
      </sheetData>
      <sheetData sheetId="8"/>
      <sheetData sheetId="9"/>
      <sheetData sheetId="10"/>
      <sheetData sheetId="11">
        <row r="9">
          <cell r="C9">
            <v>14872</v>
          </cell>
          <cell r="D9">
            <v>0</v>
          </cell>
          <cell r="E9">
            <v>879</v>
          </cell>
          <cell r="F9">
            <v>320</v>
          </cell>
          <cell r="G9">
            <v>0</v>
          </cell>
          <cell r="H9">
            <v>1083</v>
          </cell>
          <cell r="I9">
            <v>1512</v>
          </cell>
          <cell r="J9">
            <v>0</v>
          </cell>
          <cell r="K9">
            <v>329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36234</v>
          </cell>
        </row>
        <row r="30">
          <cell r="N30">
            <v>0.52423138488712262</v>
          </cell>
        </row>
        <row r="32">
          <cell r="N32">
            <v>0.41044323011536127</v>
          </cell>
        </row>
        <row r="34">
          <cell r="N34">
            <v>0.7829428797051855</v>
          </cell>
        </row>
      </sheetData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273296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751804</v>
          </cell>
          <cell r="G21">
            <v>0</v>
          </cell>
        </row>
        <row r="27">
          <cell r="E27">
            <v>176886</v>
          </cell>
          <cell r="G27">
            <v>0</v>
          </cell>
        </row>
        <row r="32">
          <cell r="E32">
            <v>4264760</v>
          </cell>
          <cell r="G32">
            <v>-2290896</v>
          </cell>
        </row>
        <row r="37">
          <cell r="E37">
            <v>1402177</v>
          </cell>
          <cell r="G37">
            <v>2290896</v>
          </cell>
        </row>
        <row r="42">
          <cell r="E42">
            <v>137467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1944</v>
          </cell>
          <cell r="G52">
            <v>-1944</v>
          </cell>
        </row>
        <row r="67">
          <cell r="E67">
            <v>24861</v>
          </cell>
          <cell r="G67">
            <v>-20702</v>
          </cell>
        </row>
        <row r="85">
          <cell r="C85">
            <v>187.13026121172186</v>
          </cell>
          <cell r="E85">
            <v>187.12319434541376</v>
          </cell>
          <cell r="G85">
            <v>187.12686020644563</v>
          </cell>
          <cell r="I85">
            <v>187.11264932837528</v>
          </cell>
        </row>
      </sheetData>
      <sheetData sheetId="6"/>
      <sheetData sheetId="7">
        <row r="10">
          <cell r="D10">
            <v>0</v>
          </cell>
          <cell r="F10">
            <v>124562</v>
          </cell>
        </row>
        <row r="11">
          <cell r="D11">
            <v>0</v>
          </cell>
          <cell r="F11">
            <v>0</v>
          </cell>
        </row>
        <row r="12">
          <cell r="D12">
            <v>257981</v>
          </cell>
          <cell r="F12">
            <v>-124562</v>
          </cell>
        </row>
        <row r="13">
          <cell r="D13">
            <v>43683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404113</v>
          </cell>
        </row>
        <row r="16">
          <cell r="D16">
            <v>404113</v>
          </cell>
          <cell r="F16">
            <v>-404113</v>
          </cell>
        </row>
        <row r="17">
          <cell r="D17">
            <v>5038</v>
          </cell>
          <cell r="F17">
            <v>-5038</v>
          </cell>
        </row>
        <row r="18">
          <cell r="D18">
            <v>45974</v>
          </cell>
          <cell r="F18">
            <v>0</v>
          </cell>
        </row>
        <row r="19">
          <cell r="D19">
            <v>12652</v>
          </cell>
          <cell r="F19">
            <v>0</v>
          </cell>
        </row>
        <row r="20">
          <cell r="D20">
            <v>23838</v>
          </cell>
          <cell r="F20">
            <v>0</v>
          </cell>
        </row>
        <row r="21">
          <cell r="D21">
            <v>3935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5816</v>
          </cell>
          <cell r="F23">
            <v>0</v>
          </cell>
        </row>
        <row r="24">
          <cell r="D24">
            <v>16492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863</v>
          </cell>
          <cell r="F27">
            <v>-40</v>
          </cell>
        </row>
        <row r="28">
          <cell r="D28">
            <v>0</v>
          </cell>
          <cell r="F28">
            <v>0</v>
          </cell>
        </row>
        <row r="29">
          <cell r="D29">
            <v>54053</v>
          </cell>
          <cell r="F29">
            <v>-54053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64560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804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687</v>
          </cell>
          <cell r="F38">
            <v>-687</v>
          </cell>
        </row>
        <row r="39">
          <cell r="D39">
            <v>8854</v>
          </cell>
          <cell r="F39">
            <v>0</v>
          </cell>
        </row>
        <row r="40">
          <cell r="D40">
            <v>5559</v>
          </cell>
          <cell r="F40">
            <v>-5559</v>
          </cell>
        </row>
        <row r="41">
          <cell r="D41">
            <v>50529</v>
          </cell>
          <cell r="F41">
            <v>0</v>
          </cell>
        </row>
        <row r="42">
          <cell r="D42">
            <v>252</v>
          </cell>
          <cell r="F42">
            <v>0</v>
          </cell>
        </row>
        <row r="43">
          <cell r="D43">
            <v>13196</v>
          </cell>
          <cell r="F43">
            <v>-13196</v>
          </cell>
        </row>
        <row r="44">
          <cell r="D44">
            <v>0</v>
          </cell>
          <cell r="F44">
            <v>0</v>
          </cell>
        </row>
        <row r="45">
          <cell r="D45">
            <v>312042</v>
          </cell>
          <cell r="F45">
            <v>-297182</v>
          </cell>
        </row>
        <row r="57">
          <cell r="D57">
            <v>0</v>
          </cell>
          <cell r="F57">
            <v>0</v>
          </cell>
        </row>
        <row r="58">
          <cell r="D58">
            <v>1239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21326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5005</v>
          </cell>
          <cell r="F65">
            <v>0</v>
          </cell>
        </row>
        <row r="66">
          <cell r="D66">
            <v>24952</v>
          </cell>
          <cell r="F66">
            <v>0</v>
          </cell>
        </row>
        <row r="67">
          <cell r="D67">
            <v>25432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83244</v>
          </cell>
          <cell r="F75">
            <v>0</v>
          </cell>
        </row>
        <row r="76">
          <cell r="D76">
            <v>26986</v>
          </cell>
          <cell r="F76">
            <v>0</v>
          </cell>
        </row>
        <row r="77">
          <cell r="D77">
            <v>8832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1272</v>
          </cell>
          <cell r="F79">
            <v>0</v>
          </cell>
        </row>
        <row r="80">
          <cell r="D80">
            <v>20057</v>
          </cell>
          <cell r="F80">
            <v>0</v>
          </cell>
        </row>
        <row r="81">
          <cell r="D81">
            <v>28114</v>
          </cell>
          <cell r="F81">
            <v>0</v>
          </cell>
        </row>
        <row r="82">
          <cell r="D82">
            <v>17820</v>
          </cell>
          <cell r="F82">
            <v>0</v>
          </cell>
        </row>
        <row r="83">
          <cell r="D83">
            <v>9841</v>
          </cell>
          <cell r="F83">
            <v>0</v>
          </cell>
        </row>
        <row r="84">
          <cell r="D84">
            <v>173520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331684</v>
          </cell>
          <cell r="F89">
            <v>0</v>
          </cell>
        </row>
        <row r="90">
          <cell r="D90">
            <v>91788</v>
          </cell>
          <cell r="F90">
            <v>0</v>
          </cell>
        </row>
        <row r="91">
          <cell r="D91">
            <v>11243</v>
          </cell>
          <cell r="F91">
            <v>0</v>
          </cell>
        </row>
        <row r="92">
          <cell r="D92">
            <v>296305</v>
          </cell>
          <cell r="F92">
            <v>-9070</v>
          </cell>
        </row>
        <row r="93">
          <cell r="D93">
            <v>21247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62359</v>
          </cell>
          <cell r="F98">
            <v>0</v>
          </cell>
        </row>
        <row r="99">
          <cell r="D99">
            <v>17212</v>
          </cell>
          <cell r="F99">
            <v>0</v>
          </cell>
        </row>
        <row r="100">
          <cell r="D100">
            <v>934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5683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144049</v>
          </cell>
          <cell r="F115">
            <v>0</v>
          </cell>
        </row>
        <row r="116">
          <cell r="D116">
            <v>27273</v>
          </cell>
          <cell r="F116">
            <v>0</v>
          </cell>
        </row>
        <row r="117">
          <cell r="D117">
            <v>39700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388386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52104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106640</v>
          </cell>
          <cell r="F131">
            <v>0</v>
          </cell>
        </row>
        <row r="132">
          <cell r="D132"/>
          <cell r="F132">
            <v>0</v>
          </cell>
        </row>
        <row r="133">
          <cell r="D133"/>
          <cell r="F133">
            <v>0</v>
          </cell>
        </row>
        <row r="134">
          <cell r="D134">
            <v>7109</v>
          </cell>
          <cell r="F134">
            <v>0</v>
          </cell>
        </row>
        <row r="136">
          <cell r="D136">
            <v>409223</v>
          </cell>
          <cell r="F136">
            <v>0</v>
          </cell>
        </row>
        <row r="137">
          <cell r="D137">
            <v>404684</v>
          </cell>
          <cell r="F137">
            <v>0</v>
          </cell>
        </row>
        <row r="138">
          <cell r="D138">
            <v>896984</v>
          </cell>
          <cell r="F138">
            <v>30154</v>
          </cell>
        </row>
        <row r="139">
          <cell r="D139">
            <v>30154</v>
          </cell>
          <cell r="F139">
            <v>-30154</v>
          </cell>
        </row>
        <row r="141">
          <cell r="D141">
            <v>398345</v>
          </cell>
          <cell r="F141">
            <v>-304716</v>
          </cell>
        </row>
        <row r="142">
          <cell r="D142">
            <v>0</v>
          </cell>
          <cell r="F142">
            <v>92590</v>
          </cell>
        </row>
        <row r="143">
          <cell r="D143">
            <v>0</v>
          </cell>
          <cell r="F143">
            <v>212126</v>
          </cell>
        </row>
        <row r="144">
          <cell r="D144">
            <v>0</v>
          </cell>
          <cell r="F144">
            <v>0</v>
          </cell>
        </row>
        <row r="146">
          <cell r="D146">
            <v>59150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450</v>
          </cell>
          <cell r="F150">
            <v>0</v>
          </cell>
        </row>
        <row r="151">
          <cell r="D151">
            <v>86210</v>
          </cell>
          <cell r="F151">
            <v>0</v>
          </cell>
        </row>
        <row r="152">
          <cell r="D152">
            <v>12920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20558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583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6499</v>
          </cell>
          <cell r="F193">
            <v>0</v>
          </cell>
        </row>
        <row r="194">
          <cell r="D194">
            <v>190395</v>
          </cell>
          <cell r="F194">
            <v>0</v>
          </cell>
        </row>
        <row r="195">
          <cell r="D195">
            <v>89752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110474</v>
          </cell>
          <cell r="F197">
            <v>0</v>
          </cell>
        </row>
        <row r="198">
          <cell r="D198">
            <v>13527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113319</v>
          </cell>
          <cell r="F205">
            <v>0</v>
          </cell>
        </row>
        <row r="206">
          <cell r="D206">
            <v>19260</v>
          </cell>
          <cell r="F206">
            <v>0</v>
          </cell>
        </row>
        <row r="207">
          <cell r="D207">
            <v>950</v>
          </cell>
          <cell r="F207">
            <v>0</v>
          </cell>
        </row>
        <row r="211">
          <cell r="D211">
            <v>257559</v>
          </cell>
          <cell r="F211">
            <v>0</v>
          </cell>
        </row>
        <row r="212">
          <cell r="D212">
            <v>54177</v>
          </cell>
          <cell r="F212">
            <v>0</v>
          </cell>
        </row>
        <row r="213">
          <cell r="D213">
            <v>18331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5311</v>
          </cell>
          <cell r="F216">
            <v>0</v>
          </cell>
        </row>
        <row r="221">
          <cell r="D221">
            <v>6581092</v>
          </cell>
        </row>
      </sheetData>
      <sheetData sheetId="8"/>
      <sheetData sheetId="9"/>
      <sheetData sheetId="10">
        <row r="9">
          <cell r="C9">
            <v>1569</v>
          </cell>
          <cell r="D9">
            <v>0</v>
          </cell>
          <cell r="E9">
            <v>1213</v>
          </cell>
          <cell r="F9">
            <v>377</v>
          </cell>
          <cell r="G9">
            <v>4981</v>
          </cell>
          <cell r="H9">
            <v>19736</v>
          </cell>
          <cell r="I9">
            <v>782</v>
          </cell>
          <cell r="J9">
            <v>0</v>
          </cell>
          <cell r="K9">
            <v>0</v>
          </cell>
        </row>
        <row r="22">
          <cell r="N22">
            <v>81</v>
          </cell>
        </row>
        <row r="24">
          <cell r="N24">
            <v>81</v>
          </cell>
        </row>
        <row r="28">
          <cell r="N28">
            <v>29646</v>
          </cell>
        </row>
        <row r="30">
          <cell r="N30">
            <v>0.96667341293935105</v>
          </cell>
        </row>
        <row r="32">
          <cell r="N32">
            <v>5.2924509208662214E-2</v>
          </cell>
        </row>
        <row r="34">
          <cell r="N34">
            <v>5.4749110196105795E-2</v>
          </cell>
        </row>
      </sheetData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3120648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1150145</v>
          </cell>
          <cell r="G21">
            <v>0</v>
          </cell>
        </row>
        <row r="27">
          <cell r="E27">
            <v>309329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158303</v>
          </cell>
          <cell r="G37">
            <v>-5339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14737.76</v>
          </cell>
        </row>
        <row r="52">
          <cell r="E52">
            <v>93624</v>
          </cell>
          <cell r="G52">
            <v>-9398.66</v>
          </cell>
        </row>
        <row r="67">
          <cell r="E67">
            <v>71062</v>
          </cell>
          <cell r="G67">
            <v>-1024</v>
          </cell>
        </row>
        <row r="85">
          <cell r="C85">
            <v>202.81512605042016</v>
          </cell>
          <cell r="E85">
            <v>219.26923076923077</v>
          </cell>
          <cell r="G85">
            <v>222.80172413793105</v>
          </cell>
          <cell r="I85">
            <v>236.81176470588235</v>
          </cell>
        </row>
      </sheetData>
      <sheetData sheetId="6"/>
      <sheetData sheetId="7">
        <row r="10">
          <cell r="D10">
            <v>0</v>
          </cell>
          <cell r="F10">
            <v>89408</v>
          </cell>
        </row>
        <row r="11">
          <cell r="D11">
            <v>0</v>
          </cell>
          <cell r="F11">
            <v>0</v>
          </cell>
        </row>
        <row r="12">
          <cell r="D12">
            <v>179932</v>
          </cell>
          <cell r="F12">
            <v>-89408</v>
          </cell>
        </row>
        <row r="13">
          <cell r="D13">
            <v>50899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253517</v>
          </cell>
          <cell r="F15">
            <v>-253517</v>
          </cell>
        </row>
        <row r="16">
          <cell r="D16">
            <v>0</v>
          </cell>
          <cell r="F16">
            <v>297990</v>
          </cell>
        </row>
        <row r="17">
          <cell r="D17">
            <v>878</v>
          </cell>
          <cell r="F17">
            <v>-878</v>
          </cell>
        </row>
        <row r="18">
          <cell r="D18">
            <v>26674</v>
          </cell>
          <cell r="F18">
            <v>0</v>
          </cell>
        </row>
        <row r="19">
          <cell r="D19">
            <v>16141</v>
          </cell>
          <cell r="F19">
            <v>0</v>
          </cell>
        </row>
        <row r="20">
          <cell r="D20">
            <v>11845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23174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320948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120586</v>
          </cell>
          <cell r="F29">
            <v>-120586</v>
          </cell>
        </row>
        <row r="30">
          <cell r="D30">
            <v>1826</v>
          </cell>
          <cell r="F30">
            <v>-1826</v>
          </cell>
        </row>
        <row r="31">
          <cell r="D31">
            <v>82245</v>
          </cell>
          <cell r="F31">
            <v>0</v>
          </cell>
        </row>
        <row r="32">
          <cell r="D32">
            <v>93605</v>
          </cell>
          <cell r="F32">
            <v>-16266</v>
          </cell>
        </row>
        <row r="33">
          <cell r="D33">
            <v>0</v>
          </cell>
          <cell r="F33">
            <v>0</v>
          </cell>
        </row>
        <row r="34">
          <cell r="D34">
            <v>319</v>
          </cell>
          <cell r="F34">
            <v>0</v>
          </cell>
        </row>
        <row r="35">
          <cell r="D35">
            <v>4680</v>
          </cell>
          <cell r="F35">
            <v>-4680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3464</v>
          </cell>
          <cell r="F39">
            <v>0</v>
          </cell>
        </row>
        <row r="40">
          <cell r="D40">
            <v>12640</v>
          </cell>
          <cell r="F40">
            <v>-12640</v>
          </cell>
        </row>
        <row r="41">
          <cell r="D41">
            <v>7116</v>
          </cell>
          <cell r="F41">
            <v>0</v>
          </cell>
        </row>
        <row r="42">
          <cell r="D42">
            <v>1463</v>
          </cell>
          <cell r="F42">
            <v>0</v>
          </cell>
        </row>
        <row r="43">
          <cell r="D43">
            <v>14243</v>
          </cell>
          <cell r="F43">
            <v>-14243</v>
          </cell>
        </row>
        <row r="44">
          <cell r="D44">
            <v>0</v>
          </cell>
          <cell r="F44">
            <v>0</v>
          </cell>
        </row>
        <row r="45">
          <cell r="D45">
            <v>1094075</v>
          </cell>
          <cell r="F45">
            <v>-244116</v>
          </cell>
        </row>
        <row r="57">
          <cell r="D57">
            <v>768014</v>
          </cell>
          <cell r="F57">
            <v>-44020</v>
          </cell>
        </row>
        <row r="58">
          <cell r="D58">
            <v>37614</v>
          </cell>
          <cell r="F58">
            <v>41770</v>
          </cell>
        </row>
        <row r="59">
          <cell r="D59">
            <v>0</v>
          </cell>
          <cell r="F59">
            <v>0</v>
          </cell>
        </row>
        <row r="60">
          <cell r="D60">
            <v>10449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15607</v>
          </cell>
          <cell r="F62">
            <v>-13230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46874</v>
          </cell>
          <cell r="F67">
            <v>15296</v>
          </cell>
        </row>
        <row r="68">
          <cell r="D68">
            <v>0</v>
          </cell>
          <cell r="F68">
            <v>0</v>
          </cell>
        </row>
        <row r="69">
          <cell r="D69">
            <v>4929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52015</v>
          </cell>
          <cell r="F75">
            <v>0</v>
          </cell>
        </row>
        <row r="76">
          <cell r="D76">
            <v>7800</v>
          </cell>
          <cell r="F76">
            <v>0</v>
          </cell>
        </row>
        <row r="77">
          <cell r="D77">
            <v>11671</v>
          </cell>
          <cell r="F77">
            <v>0</v>
          </cell>
        </row>
        <row r="78">
          <cell r="D78">
            <v>4781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33140</v>
          </cell>
          <cell r="F80">
            <v>0</v>
          </cell>
        </row>
        <row r="81">
          <cell r="D81">
            <v>9619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4266</v>
          </cell>
          <cell r="F83">
            <v>0</v>
          </cell>
        </row>
        <row r="84">
          <cell r="D84">
            <v>104648</v>
          </cell>
          <cell r="F84">
            <v>0</v>
          </cell>
        </row>
        <row r="85">
          <cell r="D85">
            <v>23257</v>
          </cell>
          <cell r="F85">
            <v>0</v>
          </cell>
        </row>
        <row r="89">
          <cell r="D89">
            <v>287906</v>
          </cell>
          <cell r="F89">
            <v>0</v>
          </cell>
        </row>
        <row r="90">
          <cell r="D90">
            <v>28060</v>
          </cell>
          <cell r="F90">
            <v>0</v>
          </cell>
        </row>
        <row r="91">
          <cell r="D91">
            <v>670</v>
          </cell>
          <cell r="F91">
            <v>0</v>
          </cell>
        </row>
        <row r="92">
          <cell r="D92">
            <v>133035</v>
          </cell>
          <cell r="F92">
            <v>-374</v>
          </cell>
        </row>
        <row r="93">
          <cell r="D93">
            <v>17309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4528</v>
          </cell>
          <cell r="F100">
            <v>0</v>
          </cell>
        </row>
        <row r="101">
          <cell r="D101">
            <v>53640</v>
          </cell>
          <cell r="F101">
            <v>0</v>
          </cell>
        </row>
        <row r="102">
          <cell r="D102">
            <v>9907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7794</v>
          </cell>
          <cell r="F117">
            <v>0</v>
          </cell>
        </row>
        <row r="118">
          <cell r="D118">
            <v>81716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0</v>
          </cell>
          <cell r="F125">
            <v>179704</v>
          </cell>
        </row>
        <row r="126">
          <cell r="D126">
            <v>0</v>
          </cell>
          <cell r="F126">
            <v>19858.560000000001</v>
          </cell>
        </row>
        <row r="127">
          <cell r="D127">
            <v>0</v>
          </cell>
          <cell r="F127">
            <v>0</v>
          </cell>
        </row>
        <row r="128">
          <cell r="D128">
            <v>252739</v>
          </cell>
          <cell r="F128">
            <v>-199562.34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42659</v>
          </cell>
          <cell r="F134">
            <v>0</v>
          </cell>
        </row>
        <row r="136">
          <cell r="D136">
            <v>323745</v>
          </cell>
          <cell r="F136">
            <v>0</v>
          </cell>
        </row>
        <row r="137">
          <cell r="D137">
            <v>393961</v>
          </cell>
          <cell r="F137">
            <v>0</v>
          </cell>
        </row>
        <row r="138">
          <cell r="D138">
            <v>565621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40302</v>
          </cell>
          <cell r="F141">
            <v>0</v>
          </cell>
        </row>
        <row r="142">
          <cell r="D142">
            <v>53340</v>
          </cell>
          <cell r="F142">
            <v>0</v>
          </cell>
        </row>
        <row r="143">
          <cell r="D143">
            <v>72678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56084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285236</v>
          </cell>
          <cell r="F148">
            <v>-2575.6520380188458</v>
          </cell>
        </row>
        <row r="149">
          <cell r="D149">
            <v>0</v>
          </cell>
          <cell r="F149">
            <v>0</v>
          </cell>
        </row>
        <row r="150">
          <cell r="D150">
            <v>2965</v>
          </cell>
          <cell r="F150">
            <v>0</v>
          </cell>
        </row>
        <row r="151">
          <cell r="D151">
            <v>51014</v>
          </cell>
          <cell r="F151">
            <v>0</v>
          </cell>
        </row>
        <row r="152">
          <cell r="D152">
            <v>33279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20460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1637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202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3891</v>
          </cell>
          <cell r="F193">
            <v>-3891</v>
          </cell>
        </row>
        <row r="194">
          <cell r="D194">
            <v>378253</v>
          </cell>
          <cell r="F194">
            <v>-23981.25</v>
          </cell>
        </row>
        <row r="195">
          <cell r="D195">
            <v>44452</v>
          </cell>
          <cell r="F195">
            <v>-2818.28</v>
          </cell>
        </row>
        <row r="196">
          <cell r="D196">
            <v>0</v>
          </cell>
          <cell r="F196">
            <v>0</v>
          </cell>
        </row>
        <row r="197">
          <cell r="D197">
            <v>58087</v>
          </cell>
          <cell r="F197">
            <v>-3682.73</v>
          </cell>
        </row>
        <row r="198">
          <cell r="D198">
            <v>16281</v>
          </cell>
          <cell r="F198">
            <v>0</v>
          </cell>
        </row>
        <row r="199">
          <cell r="D199">
            <v>3820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3856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123361</v>
          </cell>
          <cell r="F205">
            <v>0</v>
          </cell>
        </row>
        <row r="206">
          <cell r="D206">
            <v>7427</v>
          </cell>
          <cell r="F206">
            <v>0</v>
          </cell>
        </row>
        <row r="207">
          <cell r="D207">
            <v>2671</v>
          </cell>
          <cell r="F207">
            <v>0</v>
          </cell>
        </row>
        <row r="211">
          <cell r="D211">
            <v>225071</v>
          </cell>
          <cell r="F211">
            <v>0</v>
          </cell>
        </row>
        <row r="212">
          <cell r="D212">
            <v>41598</v>
          </cell>
          <cell r="F212">
            <v>0</v>
          </cell>
        </row>
        <row r="213">
          <cell r="D213">
            <v>16441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12615</v>
          </cell>
          <cell r="F216">
            <v>0</v>
          </cell>
        </row>
        <row r="221">
          <cell r="D221">
            <v>7213265</v>
          </cell>
        </row>
      </sheetData>
      <sheetData sheetId="8"/>
      <sheetData sheetId="9"/>
      <sheetData sheetId="10">
        <row r="9">
          <cell r="C9">
            <v>16110</v>
          </cell>
          <cell r="D9">
            <v>0</v>
          </cell>
          <cell r="E9">
            <v>2278</v>
          </cell>
          <cell r="F9">
            <v>767</v>
          </cell>
          <cell r="G9"/>
          <cell r="H9">
            <v>696</v>
          </cell>
          <cell r="I9">
            <v>1637</v>
          </cell>
          <cell r="J9">
            <v>79</v>
          </cell>
          <cell r="K9">
            <v>151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43920</v>
          </cell>
        </row>
        <row r="30">
          <cell r="N30">
            <v>0.49448998178506376</v>
          </cell>
        </row>
        <row r="32">
          <cell r="N32">
            <v>0.36680327868852458</v>
          </cell>
        </row>
        <row r="34">
          <cell r="N34">
            <v>0.74178101114283079</v>
          </cell>
        </row>
      </sheetData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436226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2182970</v>
          </cell>
          <cell r="G21">
            <v>0</v>
          </cell>
        </row>
        <row r="27">
          <cell r="E27">
            <v>660681</v>
          </cell>
          <cell r="G27">
            <v>0</v>
          </cell>
        </row>
        <row r="32">
          <cell r="E32">
            <v>6015783</v>
          </cell>
          <cell r="G32">
            <v>-2721734</v>
          </cell>
        </row>
        <row r="37">
          <cell r="E37">
            <v>2208257</v>
          </cell>
          <cell r="G37">
            <v>2721734</v>
          </cell>
        </row>
        <row r="42">
          <cell r="E42">
            <v>50589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130015</v>
          </cell>
          <cell r="G52">
            <v>0</v>
          </cell>
        </row>
        <row r="67">
          <cell r="E67">
            <v>41324</v>
          </cell>
          <cell r="G67">
            <v>-38597</v>
          </cell>
        </row>
        <row r="85">
          <cell r="C85">
            <v>220.71954413943701</v>
          </cell>
          <cell r="E85">
            <v>220.71952461508539</v>
          </cell>
          <cell r="G85">
            <v>220.71949290257029</v>
          </cell>
          <cell r="I85">
            <v>220.71947498373547</v>
          </cell>
        </row>
      </sheetData>
      <sheetData sheetId="6"/>
      <sheetData sheetId="7">
        <row r="10">
          <cell r="D10">
            <v>0</v>
          </cell>
          <cell r="F10">
            <v>146106</v>
          </cell>
        </row>
        <row r="11">
          <cell r="D11">
            <v>0</v>
          </cell>
          <cell r="F11">
            <v>0</v>
          </cell>
        </row>
        <row r="12">
          <cell r="D12">
            <v>408782</v>
          </cell>
          <cell r="F12">
            <v>-146106</v>
          </cell>
        </row>
        <row r="13">
          <cell r="D13">
            <v>106146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675343</v>
          </cell>
        </row>
        <row r="16">
          <cell r="D16">
            <v>675343</v>
          </cell>
          <cell r="F16">
            <v>-675343</v>
          </cell>
        </row>
        <row r="17">
          <cell r="D17">
            <v>16793</v>
          </cell>
          <cell r="F17">
            <v>-16793</v>
          </cell>
        </row>
        <row r="18">
          <cell r="D18">
            <v>84259</v>
          </cell>
          <cell r="F18">
            <v>0</v>
          </cell>
        </row>
        <row r="19">
          <cell r="D19">
            <v>6369</v>
          </cell>
          <cell r="F19">
            <v>0</v>
          </cell>
        </row>
        <row r="20">
          <cell r="D20">
            <v>44551</v>
          </cell>
          <cell r="F20">
            <v>0</v>
          </cell>
        </row>
        <row r="21">
          <cell r="D21">
            <v>7138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22956</v>
          </cell>
          <cell r="F23">
            <v>0</v>
          </cell>
        </row>
        <row r="24">
          <cell r="D24">
            <v>14308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859</v>
          </cell>
          <cell r="F27">
            <v>-215</v>
          </cell>
        </row>
        <row r="28">
          <cell r="D28">
            <v>0</v>
          </cell>
          <cell r="F28">
            <v>0</v>
          </cell>
        </row>
        <row r="29">
          <cell r="D29">
            <v>41389</v>
          </cell>
          <cell r="F29">
            <v>-41389</v>
          </cell>
        </row>
        <row r="30">
          <cell r="D30">
            <v>3000</v>
          </cell>
          <cell r="F30">
            <v>-3000</v>
          </cell>
        </row>
        <row r="31">
          <cell r="D31">
            <v>0</v>
          </cell>
          <cell r="F31">
            <v>0</v>
          </cell>
        </row>
        <row r="32">
          <cell r="D32">
            <v>84822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762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76377</v>
          </cell>
          <cell r="F36">
            <v>0</v>
          </cell>
        </row>
        <row r="37">
          <cell r="D37">
            <v>8892</v>
          </cell>
          <cell r="F37">
            <v>0</v>
          </cell>
        </row>
        <row r="38">
          <cell r="D38">
            <v>858</v>
          </cell>
          <cell r="F38">
            <v>-858</v>
          </cell>
        </row>
        <row r="39">
          <cell r="D39">
            <v>15522</v>
          </cell>
          <cell r="F39">
            <v>0</v>
          </cell>
        </row>
        <row r="40">
          <cell r="D40">
            <v>14163</v>
          </cell>
          <cell r="F40">
            <v>-14163</v>
          </cell>
        </row>
        <row r="41">
          <cell r="D41">
            <v>86912</v>
          </cell>
          <cell r="F41">
            <v>0</v>
          </cell>
        </row>
        <row r="42">
          <cell r="D42">
            <v>737</v>
          </cell>
          <cell r="F42">
            <v>0</v>
          </cell>
        </row>
        <row r="43">
          <cell r="D43">
            <v>23998</v>
          </cell>
          <cell r="F43">
            <v>-23998</v>
          </cell>
        </row>
        <row r="44">
          <cell r="D44">
            <v>0</v>
          </cell>
          <cell r="F44">
            <v>0</v>
          </cell>
        </row>
        <row r="45">
          <cell r="D45">
            <v>432742</v>
          </cell>
          <cell r="F45">
            <v>-424526</v>
          </cell>
        </row>
        <row r="57">
          <cell r="D57">
            <v>0</v>
          </cell>
          <cell r="F57">
            <v>0</v>
          </cell>
        </row>
        <row r="58">
          <cell r="D58">
            <v>925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18872</v>
          </cell>
          <cell r="F61">
            <v>0</v>
          </cell>
        </row>
        <row r="62">
          <cell r="D62">
            <v>397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1908</v>
          </cell>
          <cell r="F65">
            <v>0</v>
          </cell>
        </row>
        <row r="66">
          <cell r="D66">
            <v>72577</v>
          </cell>
          <cell r="F66">
            <v>0</v>
          </cell>
        </row>
        <row r="67">
          <cell r="D67">
            <v>29837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1611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91821</v>
          </cell>
          <cell r="F75">
            <v>0</v>
          </cell>
        </row>
        <row r="76">
          <cell r="D76">
            <v>16820</v>
          </cell>
          <cell r="F76">
            <v>0</v>
          </cell>
        </row>
        <row r="77">
          <cell r="D77">
            <v>20002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34303</v>
          </cell>
          <cell r="F79">
            <v>0</v>
          </cell>
        </row>
        <row r="80">
          <cell r="D80">
            <v>9779</v>
          </cell>
          <cell r="F80">
            <v>0</v>
          </cell>
        </row>
        <row r="81">
          <cell r="D81">
            <v>54116</v>
          </cell>
          <cell r="F81">
            <v>0</v>
          </cell>
        </row>
        <row r="82">
          <cell r="D82">
            <v>64861</v>
          </cell>
          <cell r="F82">
            <v>0</v>
          </cell>
        </row>
        <row r="83">
          <cell r="D83">
            <v>23129</v>
          </cell>
          <cell r="F83">
            <v>0</v>
          </cell>
        </row>
        <row r="84">
          <cell r="D84">
            <v>242822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386749</v>
          </cell>
          <cell r="F89">
            <v>0</v>
          </cell>
        </row>
        <row r="90">
          <cell r="D90">
            <v>67907</v>
          </cell>
          <cell r="F90">
            <v>0</v>
          </cell>
        </row>
        <row r="91">
          <cell r="D91">
            <v>24620</v>
          </cell>
          <cell r="F91">
            <v>0</v>
          </cell>
        </row>
        <row r="92">
          <cell r="D92">
            <v>369655</v>
          </cell>
          <cell r="F92">
            <v>994</v>
          </cell>
        </row>
        <row r="93">
          <cell r="D93">
            <v>36849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61406</v>
          </cell>
          <cell r="F98">
            <v>0</v>
          </cell>
        </row>
        <row r="99">
          <cell r="D99">
            <v>14772</v>
          </cell>
          <cell r="F99">
            <v>0</v>
          </cell>
        </row>
        <row r="100">
          <cell r="D100">
            <v>1094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18342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214591</v>
          </cell>
          <cell r="F115">
            <v>0</v>
          </cell>
        </row>
        <row r="116">
          <cell r="D116">
            <v>46834</v>
          </cell>
          <cell r="F116">
            <v>0</v>
          </cell>
        </row>
        <row r="117">
          <cell r="D117">
            <v>72950</v>
          </cell>
          <cell r="F117">
            <v>0</v>
          </cell>
        </row>
        <row r="118">
          <cell r="D118">
            <v>471</v>
          </cell>
          <cell r="F118">
            <v>0</v>
          </cell>
        </row>
        <row r="119">
          <cell r="D119">
            <v>149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527336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44388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56953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4814</v>
          </cell>
          <cell r="F134">
            <v>0</v>
          </cell>
        </row>
        <row r="136">
          <cell r="D136">
            <v>1202725</v>
          </cell>
          <cell r="F136">
            <v>0</v>
          </cell>
        </row>
        <row r="137">
          <cell r="D137">
            <v>614800</v>
          </cell>
          <cell r="F137">
            <v>0</v>
          </cell>
        </row>
        <row r="138">
          <cell r="D138">
            <v>1562440</v>
          </cell>
          <cell r="F138">
            <v>126123</v>
          </cell>
        </row>
        <row r="139">
          <cell r="D139">
            <v>126123</v>
          </cell>
          <cell r="F139">
            <v>-126123</v>
          </cell>
        </row>
        <row r="141">
          <cell r="D141">
            <v>823057</v>
          </cell>
          <cell r="F141">
            <v>-540716</v>
          </cell>
        </row>
        <row r="142">
          <cell r="D142">
            <v>0</v>
          </cell>
          <cell r="F142">
            <v>144325</v>
          </cell>
        </row>
        <row r="143">
          <cell r="D143">
            <v>0</v>
          </cell>
          <cell r="F143">
            <v>396392</v>
          </cell>
        </row>
        <row r="144">
          <cell r="D144">
            <v>0</v>
          </cell>
          <cell r="F144">
            <v>0</v>
          </cell>
        </row>
        <row r="146">
          <cell r="D146">
            <v>47375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557</v>
          </cell>
          <cell r="F150">
            <v>0</v>
          </cell>
        </row>
        <row r="151">
          <cell r="D151">
            <v>193441</v>
          </cell>
          <cell r="F151">
            <v>0</v>
          </cell>
        </row>
        <row r="152">
          <cell r="D152">
            <v>29444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25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27871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746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24872</v>
          </cell>
          <cell r="F193">
            <v>0</v>
          </cell>
        </row>
        <row r="194">
          <cell r="D194">
            <v>396561</v>
          </cell>
          <cell r="F194">
            <v>0</v>
          </cell>
        </row>
        <row r="195">
          <cell r="D195">
            <v>178431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305629</v>
          </cell>
          <cell r="F197">
            <v>0</v>
          </cell>
        </row>
        <row r="198">
          <cell r="D198">
            <v>63421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412788</v>
          </cell>
          <cell r="F205">
            <v>0</v>
          </cell>
        </row>
        <row r="206">
          <cell r="D206">
            <v>10000</v>
          </cell>
          <cell r="F206">
            <v>0</v>
          </cell>
        </row>
        <row r="207">
          <cell r="D207">
            <v>5199</v>
          </cell>
          <cell r="F207">
            <v>0</v>
          </cell>
        </row>
        <row r="211">
          <cell r="D211">
            <v>228749</v>
          </cell>
          <cell r="F211">
            <v>0</v>
          </cell>
        </row>
        <row r="212">
          <cell r="D212">
            <v>68657</v>
          </cell>
          <cell r="F212">
            <v>0</v>
          </cell>
        </row>
        <row r="213">
          <cell r="D213">
            <v>13867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13272</v>
          </cell>
          <cell r="F216">
            <v>0</v>
          </cell>
        </row>
        <row r="221">
          <cell r="D221">
            <v>11161388</v>
          </cell>
        </row>
      </sheetData>
      <sheetData sheetId="8"/>
      <sheetData sheetId="9"/>
      <sheetData sheetId="10">
        <row r="9">
          <cell r="C9">
            <v>2442</v>
          </cell>
          <cell r="D9">
            <v>0</v>
          </cell>
          <cell r="E9">
            <v>3811</v>
          </cell>
          <cell r="F9">
            <v>1212</v>
          </cell>
          <cell r="G9">
            <v>8150</v>
          </cell>
          <cell r="H9">
            <v>22336</v>
          </cell>
          <cell r="I9">
            <v>254</v>
          </cell>
          <cell r="J9">
            <v>0</v>
          </cell>
          <cell r="K9">
            <v>318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39528</v>
          </cell>
        </row>
        <row r="30">
          <cell r="N30">
            <v>0.97457498482088645</v>
          </cell>
        </row>
        <row r="32">
          <cell r="N32">
            <v>6.1778992106860962E-2</v>
          </cell>
        </row>
        <row r="34">
          <cell r="N34">
            <v>6.3390701658749327E-2</v>
          </cell>
        </row>
      </sheetData>
      <sheetData sheetId="1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1626417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1533534</v>
          </cell>
          <cell r="G21">
            <v>0</v>
          </cell>
        </row>
        <row r="27">
          <cell r="E27">
            <v>179015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461285</v>
          </cell>
          <cell r="G37">
            <v>0</v>
          </cell>
        </row>
        <row r="42">
          <cell r="E42">
            <v>229365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272166</v>
          </cell>
          <cell r="G52">
            <v>0</v>
          </cell>
        </row>
        <row r="67">
          <cell r="E67">
            <v>88045</v>
          </cell>
          <cell r="G67">
            <v>-16527</v>
          </cell>
        </row>
        <row r="85">
          <cell r="C85">
            <v>164.10010649627264</v>
          </cell>
          <cell r="E85">
            <v>164.09956076134699</v>
          </cell>
          <cell r="G85">
            <v>164.09941520467837</v>
          </cell>
          <cell r="I85">
            <v>164.10059171597632</v>
          </cell>
        </row>
      </sheetData>
      <sheetData sheetId="6"/>
      <sheetData sheetId="7">
        <row r="10">
          <cell r="D10">
            <v>0</v>
          </cell>
          <cell r="F10">
            <v>119036</v>
          </cell>
        </row>
        <row r="11">
          <cell r="D11">
            <v>0</v>
          </cell>
          <cell r="F11">
            <v>0</v>
          </cell>
        </row>
        <row r="12">
          <cell r="D12">
            <v>193871</v>
          </cell>
          <cell r="F12">
            <v>-119036</v>
          </cell>
        </row>
        <row r="13">
          <cell r="D13">
            <v>49589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216876</v>
          </cell>
          <cell r="F16">
            <v>-34804</v>
          </cell>
        </row>
        <row r="17">
          <cell r="D17">
            <v>541</v>
          </cell>
          <cell r="F17">
            <v>-541</v>
          </cell>
        </row>
        <row r="18">
          <cell r="D18">
            <v>23418</v>
          </cell>
          <cell r="F18">
            <v>0</v>
          </cell>
        </row>
        <row r="19">
          <cell r="D19">
            <v>9950</v>
          </cell>
          <cell r="F19">
            <v>0</v>
          </cell>
        </row>
        <row r="20">
          <cell r="D20">
            <v>10638</v>
          </cell>
          <cell r="F20">
            <v>-42</v>
          </cell>
        </row>
        <row r="21">
          <cell r="D21">
            <v>8631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8232</v>
          </cell>
          <cell r="F23">
            <v>0</v>
          </cell>
        </row>
        <row r="24">
          <cell r="D24">
            <v>10435</v>
          </cell>
          <cell r="F24">
            <v>0</v>
          </cell>
        </row>
        <row r="25">
          <cell r="D25">
            <v>2767</v>
          </cell>
          <cell r="F25">
            <v>0</v>
          </cell>
        </row>
        <row r="26">
          <cell r="D26">
            <v>242974</v>
          </cell>
          <cell r="F26">
            <v>0</v>
          </cell>
        </row>
        <row r="27">
          <cell r="D27">
            <v>176378</v>
          </cell>
          <cell r="F27">
            <v>-171534</v>
          </cell>
        </row>
        <row r="28">
          <cell r="D28">
            <v>0</v>
          </cell>
          <cell r="F28">
            <v>0</v>
          </cell>
        </row>
        <row r="29">
          <cell r="D29">
            <v>74603</v>
          </cell>
          <cell r="F29">
            <v>-74603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55333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163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37282</v>
          </cell>
          <cell r="F36">
            <v>0</v>
          </cell>
        </row>
        <row r="37">
          <cell r="D37">
            <v>4413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4618</v>
          </cell>
          <cell r="F39">
            <v>0</v>
          </cell>
        </row>
        <row r="40">
          <cell r="D40">
            <v>2049</v>
          </cell>
          <cell r="F40">
            <v>-2063</v>
          </cell>
        </row>
        <row r="41">
          <cell r="D41">
            <v>38728</v>
          </cell>
          <cell r="F41">
            <v>0</v>
          </cell>
        </row>
        <row r="42">
          <cell r="D42">
            <v>1519</v>
          </cell>
          <cell r="F42">
            <v>0</v>
          </cell>
        </row>
        <row r="43">
          <cell r="D43">
            <v>8053</v>
          </cell>
          <cell r="F43">
            <v>-8053</v>
          </cell>
        </row>
        <row r="44">
          <cell r="D44">
            <v>0</v>
          </cell>
          <cell r="F44">
            <v>0</v>
          </cell>
        </row>
        <row r="45">
          <cell r="D45">
            <v>8022</v>
          </cell>
          <cell r="F45">
            <v>-15377</v>
          </cell>
        </row>
        <row r="57">
          <cell r="D57">
            <v>0</v>
          </cell>
          <cell r="F57">
            <v>0</v>
          </cell>
        </row>
        <row r="58">
          <cell r="D58">
            <v>14650</v>
          </cell>
          <cell r="F58">
            <v>0</v>
          </cell>
        </row>
        <row r="59">
          <cell r="D59">
            <v>0</v>
          </cell>
          <cell r="F59">
            <v>171453</v>
          </cell>
        </row>
        <row r="60">
          <cell r="D60">
            <v>11595</v>
          </cell>
          <cell r="F60">
            <v>0</v>
          </cell>
        </row>
        <row r="61">
          <cell r="D61">
            <v>9733</v>
          </cell>
          <cell r="F61">
            <v>0</v>
          </cell>
        </row>
        <row r="62">
          <cell r="D62">
            <v>925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4136</v>
          </cell>
          <cell r="F65">
            <v>0</v>
          </cell>
        </row>
        <row r="66">
          <cell r="D66">
            <v>30244</v>
          </cell>
          <cell r="F66">
            <v>70</v>
          </cell>
        </row>
        <row r="67">
          <cell r="D67">
            <v>279055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3217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32671</v>
          </cell>
          <cell r="F75">
            <v>0</v>
          </cell>
        </row>
        <row r="76">
          <cell r="D76">
            <v>9060</v>
          </cell>
          <cell r="F76">
            <v>0</v>
          </cell>
        </row>
        <row r="77">
          <cell r="D77">
            <v>6569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519</v>
          </cell>
          <cell r="F79">
            <v>0</v>
          </cell>
        </row>
        <row r="80">
          <cell r="D80">
            <v>6123</v>
          </cell>
          <cell r="F80">
            <v>0</v>
          </cell>
        </row>
        <row r="81">
          <cell r="D81">
            <v>11192</v>
          </cell>
          <cell r="F81">
            <v>0</v>
          </cell>
        </row>
        <row r="82">
          <cell r="D82">
            <v>7534</v>
          </cell>
          <cell r="F82">
            <v>0</v>
          </cell>
        </row>
        <row r="83">
          <cell r="D83">
            <v>8283</v>
          </cell>
          <cell r="F83">
            <v>0</v>
          </cell>
        </row>
        <row r="84">
          <cell r="D84">
            <v>72758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97073</v>
          </cell>
          <cell r="F89">
            <v>0</v>
          </cell>
        </row>
        <row r="90">
          <cell r="D90">
            <v>30133</v>
          </cell>
          <cell r="F90">
            <v>0</v>
          </cell>
        </row>
        <row r="91">
          <cell r="D91">
            <v>119474</v>
          </cell>
          <cell r="F91">
            <v>0</v>
          </cell>
        </row>
        <row r="92">
          <cell r="D92">
            <v>55721</v>
          </cell>
          <cell r="F92">
            <v>-869</v>
          </cell>
        </row>
        <row r="93">
          <cell r="D93">
            <v>10692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126</v>
          </cell>
          <cell r="F100">
            <v>0</v>
          </cell>
        </row>
        <row r="101">
          <cell r="D101">
            <v>42460</v>
          </cell>
          <cell r="F101">
            <v>0</v>
          </cell>
        </row>
        <row r="102">
          <cell r="D102">
            <v>4938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7154</v>
          </cell>
          <cell r="F117">
            <v>0</v>
          </cell>
        </row>
        <row r="118">
          <cell r="D118">
            <v>63691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147750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41374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21324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14370</v>
          </cell>
          <cell r="F134">
            <v>0</v>
          </cell>
        </row>
        <row r="136">
          <cell r="D136">
            <v>172868</v>
          </cell>
          <cell r="F136">
            <v>0</v>
          </cell>
        </row>
        <row r="137">
          <cell r="D137">
            <v>235232</v>
          </cell>
          <cell r="F137">
            <v>0</v>
          </cell>
        </row>
        <row r="138">
          <cell r="D138">
            <v>384738</v>
          </cell>
          <cell r="F138">
            <v>19947</v>
          </cell>
        </row>
        <row r="139">
          <cell r="D139">
            <v>19947</v>
          </cell>
          <cell r="F139">
            <v>-19947</v>
          </cell>
        </row>
        <row r="141">
          <cell r="D141">
            <v>159603</v>
          </cell>
          <cell r="F141">
            <v>-125656</v>
          </cell>
        </row>
        <row r="142">
          <cell r="D142">
            <v>0</v>
          </cell>
          <cell r="F142">
            <v>46194</v>
          </cell>
        </row>
        <row r="143">
          <cell r="D143">
            <v>0</v>
          </cell>
          <cell r="F143">
            <v>79461</v>
          </cell>
        </row>
        <row r="144">
          <cell r="D144">
            <v>0</v>
          </cell>
          <cell r="F144">
            <v>0</v>
          </cell>
        </row>
        <row r="146">
          <cell r="D146">
            <v>24275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198</v>
          </cell>
          <cell r="F150">
            <v>0</v>
          </cell>
        </row>
        <row r="151">
          <cell r="D151">
            <v>84523</v>
          </cell>
          <cell r="F151">
            <v>-517</v>
          </cell>
        </row>
        <row r="152">
          <cell r="D152">
            <v>2102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8605</v>
          </cell>
          <cell r="F161">
            <v>-88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4219</v>
          </cell>
          <cell r="F193">
            <v>0</v>
          </cell>
        </row>
        <row r="194">
          <cell r="D194">
            <v>225608</v>
          </cell>
          <cell r="F194">
            <v>-3046</v>
          </cell>
        </row>
        <row r="195">
          <cell r="D195">
            <v>30970</v>
          </cell>
          <cell r="F195">
            <v>-418</v>
          </cell>
        </row>
        <row r="196">
          <cell r="D196">
            <v>0</v>
          </cell>
          <cell r="F196">
            <v>0</v>
          </cell>
        </row>
        <row r="197">
          <cell r="D197">
            <v>206194</v>
          </cell>
          <cell r="F197">
            <v>-2784</v>
          </cell>
        </row>
        <row r="198">
          <cell r="D198">
            <v>16903</v>
          </cell>
          <cell r="F198">
            <v>-140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124174</v>
          </cell>
          <cell r="F205">
            <v>-1892</v>
          </cell>
        </row>
        <row r="206">
          <cell r="D206">
            <v>706</v>
          </cell>
          <cell r="F206">
            <v>0</v>
          </cell>
        </row>
        <row r="207">
          <cell r="D207">
            <v>4651</v>
          </cell>
          <cell r="F207">
            <v>-58</v>
          </cell>
        </row>
        <row r="211">
          <cell r="D211">
            <v>60297</v>
          </cell>
          <cell r="F211">
            <v>0</v>
          </cell>
        </row>
        <row r="212">
          <cell r="D212">
            <v>28998</v>
          </cell>
          <cell r="F212">
            <v>0</v>
          </cell>
        </row>
        <row r="213">
          <cell r="D213">
            <v>2438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2708</v>
          </cell>
          <cell r="F216">
            <v>0</v>
          </cell>
        </row>
        <row r="221">
          <cell r="D221">
            <v>4153584</v>
          </cell>
        </row>
      </sheetData>
      <sheetData sheetId="8"/>
      <sheetData sheetId="9"/>
      <sheetData sheetId="10">
        <row r="9">
          <cell r="C9">
            <v>8347</v>
          </cell>
          <cell r="D9">
            <v>0</v>
          </cell>
          <cell r="E9">
            <v>2940</v>
          </cell>
          <cell r="F9">
            <v>376</v>
          </cell>
          <cell r="G9">
            <v>0</v>
          </cell>
          <cell r="H9">
            <v>2811</v>
          </cell>
          <cell r="I9">
            <v>1221</v>
          </cell>
          <cell r="J9">
            <v>0</v>
          </cell>
          <cell r="K9">
            <v>851</v>
          </cell>
        </row>
        <row r="22">
          <cell r="N22">
            <v>84</v>
          </cell>
        </row>
        <row r="24">
          <cell r="N24">
            <v>84</v>
          </cell>
        </row>
        <row r="28">
          <cell r="N28">
            <v>30744</v>
          </cell>
        </row>
        <row r="30">
          <cell r="N30">
            <v>0.53818631277647666</v>
          </cell>
        </row>
        <row r="32">
          <cell r="N32">
            <v>0.2715001301066875</v>
          </cell>
        </row>
        <row r="34">
          <cell r="N34">
            <v>0.50447238003142758</v>
          </cell>
        </row>
      </sheetData>
      <sheetData sheetId="1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2576700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899005</v>
          </cell>
          <cell r="G21">
            <v>0</v>
          </cell>
        </row>
        <row r="27">
          <cell r="E27">
            <v>469179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244131</v>
          </cell>
          <cell r="G37">
            <v>0</v>
          </cell>
        </row>
        <row r="42">
          <cell r="E42">
            <v>565723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9516</v>
          </cell>
          <cell r="G52">
            <v>0</v>
          </cell>
        </row>
        <row r="67">
          <cell r="E67">
            <v>12335</v>
          </cell>
          <cell r="G67">
            <v>-6612</v>
          </cell>
        </row>
        <row r="85">
          <cell r="C85">
            <v>179.375</v>
          </cell>
          <cell r="E85">
            <v>179.37686567164178</v>
          </cell>
          <cell r="G85">
            <v>179.3753581661891</v>
          </cell>
          <cell r="I85">
            <v>179.376953125</v>
          </cell>
        </row>
      </sheetData>
      <sheetData sheetId="6"/>
      <sheetData sheetId="7">
        <row r="10">
          <cell r="D10">
            <v>0</v>
          </cell>
          <cell r="F10">
            <v>120270</v>
          </cell>
        </row>
        <row r="11">
          <cell r="D11">
            <v>0</v>
          </cell>
          <cell r="F11">
            <v>0</v>
          </cell>
        </row>
        <row r="12">
          <cell r="D12">
            <v>258862</v>
          </cell>
          <cell r="F12">
            <v>-120270</v>
          </cell>
        </row>
        <row r="13">
          <cell r="D13">
            <v>21747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237156</v>
          </cell>
          <cell r="F16">
            <v>-38558</v>
          </cell>
        </row>
        <row r="17">
          <cell r="D17">
            <v>916</v>
          </cell>
          <cell r="F17">
            <v>-916</v>
          </cell>
        </row>
        <row r="18">
          <cell r="D18">
            <v>10721</v>
          </cell>
          <cell r="F18">
            <v>0</v>
          </cell>
        </row>
        <row r="19">
          <cell r="D19">
            <v>10746</v>
          </cell>
          <cell r="F19">
            <v>0</v>
          </cell>
        </row>
        <row r="20">
          <cell r="D20">
            <v>12234</v>
          </cell>
          <cell r="F20">
            <v>0</v>
          </cell>
        </row>
        <row r="21">
          <cell r="D21">
            <v>22536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5910</v>
          </cell>
          <cell r="F23">
            <v>0</v>
          </cell>
        </row>
        <row r="24">
          <cell r="D24">
            <v>10021</v>
          </cell>
          <cell r="F24">
            <v>0</v>
          </cell>
        </row>
        <row r="25">
          <cell r="D25">
            <v>2892</v>
          </cell>
          <cell r="F25">
            <v>0</v>
          </cell>
        </row>
        <row r="26">
          <cell r="D26">
            <v>336007</v>
          </cell>
          <cell r="F26">
            <v>0</v>
          </cell>
        </row>
        <row r="27">
          <cell r="D27">
            <v>15319</v>
          </cell>
          <cell r="F27">
            <v>-140</v>
          </cell>
        </row>
        <row r="28">
          <cell r="D28">
            <v>0</v>
          </cell>
          <cell r="F28">
            <v>0</v>
          </cell>
        </row>
        <row r="29">
          <cell r="D29">
            <v>132899</v>
          </cell>
          <cell r="F29">
            <v>-132899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54207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151</v>
          </cell>
          <cell r="F34">
            <v>0</v>
          </cell>
        </row>
        <row r="35">
          <cell r="D35">
            <v>125000</v>
          </cell>
          <cell r="F35">
            <v>-125000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74</v>
          </cell>
          <cell r="F38">
            <v>-74</v>
          </cell>
        </row>
        <row r="39">
          <cell r="D39">
            <v>3581</v>
          </cell>
          <cell r="F39">
            <v>0</v>
          </cell>
        </row>
        <row r="40">
          <cell r="D40">
            <v>5289</v>
          </cell>
          <cell r="F40">
            <v>-5289</v>
          </cell>
        </row>
        <row r="41">
          <cell r="D41">
            <v>56107</v>
          </cell>
          <cell r="F41">
            <v>-487</v>
          </cell>
        </row>
        <row r="42">
          <cell r="D42">
            <v>2928</v>
          </cell>
          <cell r="F42">
            <v>0</v>
          </cell>
        </row>
        <row r="43">
          <cell r="D43">
            <v>4717</v>
          </cell>
          <cell r="F43">
            <v>-4717</v>
          </cell>
        </row>
        <row r="44">
          <cell r="D44">
            <v>0</v>
          </cell>
          <cell r="F44">
            <v>0</v>
          </cell>
        </row>
        <row r="45">
          <cell r="D45">
            <v>6448</v>
          </cell>
          <cell r="F45">
            <v>-5874</v>
          </cell>
        </row>
        <row r="57">
          <cell r="D57">
            <v>0</v>
          </cell>
          <cell r="F57">
            <v>0</v>
          </cell>
        </row>
        <row r="58">
          <cell r="D58">
            <v>88569</v>
          </cell>
          <cell r="F58">
            <v>0</v>
          </cell>
        </row>
        <row r="59">
          <cell r="D59">
            <v>65434</v>
          </cell>
          <cell r="F59">
            <v>0</v>
          </cell>
        </row>
        <row r="60">
          <cell r="D60">
            <v>28615</v>
          </cell>
          <cell r="F60">
            <v>0</v>
          </cell>
        </row>
        <row r="61">
          <cell r="D61">
            <v>19340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36695</v>
          </cell>
          <cell r="F66">
            <v>48</v>
          </cell>
        </row>
        <row r="67">
          <cell r="D67">
            <v>36863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4017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44552</v>
          </cell>
          <cell r="F75">
            <v>0</v>
          </cell>
        </row>
        <row r="76">
          <cell r="D76">
            <v>11502</v>
          </cell>
          <cell r="F76">
            <v>0</v>
          </cell>
        </row>
        <row r="77">
          <cell r="D77">
            <v>8223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5532</v>
          </cell>
          <cell r="F79">
            <v>0</v>
          </cell>
        </row>
        <row r="80">
          <cell r="D80">
            <v>26676</v>
          </cell>
          <cell r="F80">
            <v>0</v>
          </cell>
        </row>
        <row r="81">
          <cell r="D81">
            <v>26306</v>
          </cell>
          <cell r="F81">
            <v>0</v>
          </cell>
        </row>
        <row r="82">
          <cell r="D82">
            <v>5893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69267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75031</v>
          </cell>
          <cell r="F89">
            <v>0</v>
          </cell>
        </row>
        <row r="90">
          <cell r="D90">
            <v>15126</v>
          </cell>
          <cell r="F90">
            <v>0</v>
          </cell>
        </row>
        <row r="91">
          <cell r="D91">
            <v>247300</v>
          </cell>
          <cell r="F91">
            <v>0</v>
          </cell>
        </row>
        <row r="92">
          <cell r="D92">
            <v>48551</v>
          </cell>
          <cell r="F92">
            <v>-598</v>
          </cell>
        </row>
        <row r="93">
          <cell r="D93">
            <v>13607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455</v>
          </cell>
          <cell r="F100">
            <v>0</v>
          </cell>
        </row>
        <row r="101">
          <cell r="D101">
            <v>56149</v>
          </cell>
          <cell r="F101">
            <v>0</v>
          </cell>
        </row>
        <row r="102">
          <cell r="D102">
            <v>9895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9663</v>
          </cell>
          <cell r="F117">
            <v>0</v>
          </cell>
        </row>
        <row r="118">
          <cell r="D118">
            <v>103341</v>
          </cell>
          <cell r="F118">
            <v>0</v>
          </cell>
        </row>
        <row r="119">
          <cell r="D119">
            <v>30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170512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57895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18230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22459</v>
          </cell>
          <cell r="F134">
            <v>0</v>
          </cell>
        </row>
        <row r="136">
          <cell r="D136">
            <v>444399</v>
          </cell>
          <cell r="F136">
            <v>0</v>
          </cell>
        </row>
        <row r="137">
          <cell r="D137">
            <v>120277</v>
          </cell>
          <cell r="F137">
            <v>0</v>
          </cell>
        </row>
        <row r="138">
          <cell r="D138">
            <v>523281</v>
          </cell>
          <cell r="F138">
            <v>14537</v>
          </cell>
        </row>
        <row r="139">
          <cell r="D139">
            <v>14537</v>
          </cell>
          <cell r="F139">
            <v>-14537</v>
          </cell>
        </row>
        <row r="141">
          <cell r="D141">
            <v>267867</v>
          </cell>
          <cell r="F141">
            <v>-159894</v>
          </cell>
        </row>
        <row r="142">
          <cell r="D142">
            <v>0</v>
          </cell>
          <cell r="F142">
            <v>29223</v>
          </cell>
        </row>
        <row r="143">
          <cell r="D143">
            <v>0</v>
          </cell>
          <cell r="F143">
            <v>130671</v>
          </cell>
        </row>
        <row r="144">
          <cell r="D144">
            <v>0</v>
          </cell>
          <cell r="F144">
            <v>0</v>
          </cell>
        </row>
        <row r="146">
          <cell r="D146">
            <v>43857</v>
          </cell>
          <cell r="F146">
            <v>0</v>
          </cell>
        </row>
        <row r="147">
          <cell r="D147">
            <v>7732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25300</v>
          </cell>
          <cell r="F149">
            <v>0</v>
          </cell>
        </row>
        <row r="150">
          <cell r="D150">
            <v>2762</v>
          </cell>
          <cell r="F150">
            <v>0</v>
          </cell>
        </row>
        <row r="151">
          <cell r="D151">
            <v>54781</v>
          </cell>
          <cell r="F151">
            <v>-163</v>
          </cell>
        </row>
        <row r="152">
          <cell r="D152">
            <v>5744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1190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14214</v>
          </cell>
          <cell r="F161">
            <v>-17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582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172</v>
          </cell>
          <cell r="F193">
            <v>0</v>
          </cell>
        </row>
        <row r="194">
          <cell r="D194">
            <v>194024</v>
          </cell>
          <cell r="F194">
            <v>-2619</v>
          </cell>
        </row>
        <row r="195">
          <cell r="D195">
            <v>72700</v>
          </cell>
          <cell r="F195">
            <v>-981</v>
          </cell>
        </row>
        <row r="196">
          <cell r="D196">
            <v>0</v>
          </cell>
          <cell r="F196">
            <v>0</v>
          </cell>
        </row>
        <row r="197">
          <cell r="D197">
            <v>173404</v>
          </cell>
          <cell r="F197">
            <v>-2341</v>
          </cell>
        </row>
        <row r="198">
          <cell r="D198">
            <v>19326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104481</v>
          </cell>
          <cell r="F205">
            <v>-1610</v>
          </cell>
        </row>
        <row r="206">
          <cell r="D206">
            <v>159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147149</v>
          </cell>
          <cell r="F211">
            <v>0</v>
          </cell>
        </row>
        <row r="212">
          <cell r="D212">
            <v>30058</v>
          </cell>
          <cell r="F212">
            <v>0</v>
          </cell>
        </row>
        <row r="213">
          <cell r="D213">
            <v>4074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2167</v>
          </cell>
          <cell r="F216">
            <v>0</v>
          </cell>
        </row>
        <row r="221">
          <cell r="D221">
            <v>4936433</v>
          </cell>
        </row>
      </sheetData>
      <sheetData sheetId="8"/>
      <sheetData sheetId="9"/>
      <sheetData sheetId="10">
        <row r="9">
          <cell r="C9">
            <v>13911</v>
          </cell>
          <cell r="D9">
            <v>0</v>
          </cell>
          <cell r="E9">
            <v>1474</v>
          </cell>
          <cell r="F9">
            <v>1104</v>
          </cell>
          <cell r="G9">
            <v>0</v>
          </cell>
          <cell r="H9">
            <v>1361</v>
          </cell>
          <cell r="I9">
            <v>3020</v>
          </cell>
          <cell r="J9">
            <v>0</v>
          </cell>
          <cell r="K9">
            <v>52</v>
          </cell>
        </row>
        <row r="22">
          <cell r="N22">
            <v>77</v>
          </cell>
        </row>
        <row r="24">
          <cell r="N24">
            <v>77</v>
          </cell>
        </row>
        <row r="28">
          <cell r="N28">
            <v>28182</v>
          </cell>
        </row>
        <row r="30">
          <cell r="N30">
            <v>0.74238875878220145</v>
          </cell>
        </row>
        <row r="32">
          <cell r="N32">
            <v>0.49361294443261655</v>
          </cell>
        </row>
        <row r="34">
          <cell r="N34">
            <v>0.6648981932893604</v>
          </cell>
        </row>
      </sheetData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7736738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1458068</v>
          </cell>
          <cell r="G21">
            <v>0</v>
          </cell>
        </row>
        <row r="27">
          <cell r="E27">
            <v>1724138</v>
          </cell>
          <cell r="G27">
            <v>0</v>
          </cell>
        </row>
        <row r="32">
          <cell r="E32">
            <v>358226</v>
          </cell>
          <cell r="G32">
            <v>0</v>
          </cell>
        </row>
        <row r="37">
          <cell r="E37">
            <v>299215</v>
          </cell>
          <cell r="G37">
            <v>0</v>
          </cell>
        </row>
        <row r="42">
          <cell r="E42">
            <v>821244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408233</v>
          </cell>
          <cell r="G52">
            <v>0</v>
          </cell>
        </row>
        <row r="67">
          <cell r="E67">
            <v>206013</v>
          </cell>
          <cell r="G67">
            <v>-21182</v>
          </cell>
        </row>
        <row r="85">
          <cell r="C85">
            <v>168.95228215767634</v>
          </cell>
          <cell r="E85">
            <v>168.95229007633588</v>
          </cell>
          <cell r="G85">
            <v>168.95294117647057</v>
          </cell>
          <cell r="I85">
            <v>168.95294117647057</v>
          </cell>
        </row>
      </sheetData>
      <sheetData sheetId="6"/>
      <sheetData sheetId="7">
        <row r="10">
          <cell r="D10">
            <v>0</v>
          </cell>
          <cell r="F10">
            <v>136667</v>
          </cell>
        </row>
        <row r="11">
          <cell r="D11">
            <v>0</v>
          </cell>
          <cell r="F11">
            <v>0</v>
          </cell>
        </row>
        <row r="12">
          <cell r="D12">
            <v>390320</v>
          </cell>
          <cell r="F12">
            <v>-136667</v>
          </cell>
        </row>
        <row r="13">
          <cell r="D13">
            <v>44007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645845</v>
          </cell>
          <cell r="F16">
            <v>-1569</v>
          </cell>
        </row>
        <row r="17">
          <cell r="D17">
            <v>452</v>
          </cell>
          <cell r="F17">
            <v>-452</v>
          </cell>
        </row>
        <row r="18">
          <cell r="D18">
            <v>17499</v>
          </cell>
          <cell r="F18">
            <v>0</v>
          </cell>
        </row>
        <row r="19">
          <cell r="D19">
            <v>11998</v>
          </cell>
          <cell r="F19">
            <v>0</v>
          </cell>
        </row>
        <row r="20">
          <cell r="D20">
            <v>24928</v>
          </cell>
          <cell r="F20">
            <v>0</v>
          </cell>
        </row>
        <row r="21">
          <cell r="D21">
            <v>28045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30226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4102</v>
          </cell>
          <cell r="F25">
            <v>0</v>
          </cell>
        </row>
        <row r="26">
          <cell r="D26">
            <v>682967</v>
          </cell>
          <cell r="F26">
            <v>0</v>
          </cell>
        </row>
        <row r="27">
          <cell r="D27">
            <v>80267</v>
          </cell>
          <cell r="F27">
            <v>-741</v>
          </cell>
        </row>
        <row r="28">
          <cell r="D28">
            <v>0</v>
          </cell>
          <cell r="F28">
            <v>0</v>
          </cell>
        </row>
        <row r="29">
          <cell r="D29">
            <v>659497</v>
          </cell>
          <cell r="F29">
            <v>-659497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128667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542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187</v>
          </cell>
          <cell r="F38">
            <v>-187</v>
          </cell>
        </row>
        <row r="39">
          <cell r="D39">
            <v>5827</v>
          </cell>
          <cell r="F39">
            <v>0</v>
          </cell>
        </row>
        <row r="40">
          <cell r="D40">
            <v>4485</v>
          </cell>
          <cell r="F40">
            <v>-4485</v>
          </cell>
        </row>
        <row r="41">
          <cell r="D41">
            <v>228498</v>
          </cell>
          <cell r="F41">
            <v>-4323</v>
          </cell>
        </row>
        <row r="42">
          <cell r="D42">
            <v>12670</v>
          </cell>
          <cell r="F42">
            <v>0</v>
          </cell>
        </row>
        <row r="43">
          <cell r="D43">
            <v>11087</v>
          </cell>
          <cell r="F43">
            <v>-11087</v>
          </cell>
        </row>
        <row r="44">
          <cell r="D44">
            <v>0</v>
          </cell>
          <cell r="F44">
            <v>0</v>
          </cell>
        </row>
        <row r="45">
          <cell r="D45">
            <v>11723</v>
          </cell>
          <cell r="F45">
            <v>-18445</v>
          </cell>
        </row>
        <row r="57">
          <cell r="D57">
            <v>1200000</v>
          </cell>
          <cell r="F57">
            <v>0</v>
          </cell>
        </row>
        <row r="58">
          <cell r="D58">
            <v>39336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121206</v>
          </cell>
          <cell r="F60">
            <v>0</v>
          </cell>
        </row>
        <row r="61">
          <cell r="D61">
            <v>16230</v>
          </cell>
          <cell r="F61">
            <v>0</v>
          </cell>
        </row>
        <row r="62">
          <cell r="D62">
            <v>883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223016</v>
          </cell>
          <cell r="F66">
            <v>190</v>
          </cell>
        </row>
        <row r="67">
          <cell r="D67">
            <v>65770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6162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66223</v>
          </cell>
          <cell r="F75">
            <v>0</v>
          </cell>
        </row>
        <row r="76">
          <cell r="D76">
            <v>13990</v>
          </cell>
          <cell r="F76">
            <v>0</v>
          </cell>
        </row>
        <row r="77">
          <cell r="D77">
            <v>14358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12979</v>
          </cell>
          <cell r="F79">
            <v>0</v>
          </cell>
        </row>
        <row r="80">
          <cell r="D80">
            <v>35471</v>
          </cell>
          <cell r="F80">
            <v>0</v>
          </cell>
        </row>
        <row r="81">
          <cell r="D81">
            <v>26024</v>
          </cell>
          <cell r="F81">
            <v>0</v>
          </cell>
        </row>
        <row r="82">
          <cell r="D82">
            <v>2991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178372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212728</v>
          </cell>
          <cell r="F89">
            <v>0</v>
          </cell>
        </row>
        <row r="90">
          <cell r="D90">
            <v>41606</v>
          </cell>
          <cell r="F90">
            <v>0</v>
          </cell>
        </row>
        <row r="91">
          <cell r="D91">
            <v>418158</v>
          </cell>
          <cell r="F91">
            <v>0</v>
          </cell>
        </row>
        <row r="92">
          <cell r="D92">
            <v>141699</v>
          </cell>
          <cell r="F92">
            <v>-1896</v>
          </cell>
        </row>
        <row r="93">
          <cell r="D93">
            <v>25584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277</v>
          </cell>
          <cell r="F100">
            <v>0</v>
          </cell>
        </row>
        <row r="101">
          <cell r="D101">
            <v>94658</v>
          </cell>
          <cell r="F101">
            <v>0</v>
          </cell>
        </row>
        <row r="102">
          <cell r="D102">
            <v>15790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19802</v>
          </cell>
          <cell r="F117">
            <v>0</v>
          </cell>
        </row>
        <row r="118">
          <cell r="D118">
            <v>257101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271013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85536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12210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26854</v>
          </cell>
          <cell r="F134">
            <v>0</v>
          </cell>
        </row>
        <row r="136">
          <cell r="D136">
            <v>1827995</v>
          </cell>
          <cell r="F136">
            <v>0</v>
          </cell>
        </row>
        <row r="137">
          <cell r="D137">
            <v>806846</v>
          </cell>
          <cell r="F137">
            <v>0</v>
          </cell>
        </row>
        <row r="138">
          <cell r="D138">
            <v>1385155</v>
          </cell>
          <cell r="F138">
            <v>47289</v>
          </cell>
        </row>
        <row r="139">
          <cell r="D139">
            <v>47289</v>
          </cell>
          <cell r="F139">
            <v>-47289</v>
          </cell>
        </row>
        <row r="141">
          <cell r="D141">
            <v>944095</v>
          </cell>
          <cell r="F141">
            <v>-519782</v>
          </cell>
        </row>
        <row r="142">
          <cell r="D142">
            <v>0</v>
          </cell>
          <cell r="F142">
            <v>187284</v>
          </cell>
        </row>
        <row r="143">
          <cell r="D143">
            <v>0</v>
          </cell>
          <cell r="F143">
            <v>332498</v>
          </cell>
        </row>
        <row r="144">
          <cell r="D144">
            <v>0</v>
          </cell>
          <cell r="F144">
            <v>0</v>
          </cell>
        </row>
        <row r="146">
          <cell r="D146">
            <v>119709</v>
          </cell>
          <cell r="F146">
            <v>0</v>
          </cell>
        </row>
        <row r="147">
          <cell r="D147">
            <v>54281</v>
          </cell>
          <cell r="F147">
            <v>0</v>
          </cell>
        </row>
        <row r="148">
          <cell r="D148">
            <v>3241</v>
          </cell>
          <cell r="F148">
            <v>0</v>
          </cell>
        </row>
        <row r="149">
          <cell r="D149">
            <v>16147</v>
          </cell>
          <cell r="F149">
            <v>0</v>
          </cell>
        </row>
        <row r="150">
          <cell r="D150">
            <v>22122</v>
          </cell>
          <cell r="F150">
            <v>0</v>
          </cell>
        </row>
        <row r="151">
          <cell r="D151">
            <v>402579</v>
          </cell>
          <cell r="F151">
            <v>-2426</v>
          </cell>
        </row>
        <row r="152">
          <cell r="D152">
            <v>21333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241951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2409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30</v>
          </cell>
          <cell r="F160">
            <v>0</v>
          </cell>
        </row>
        <row r="161">
          <cell r="D161">
            <v>25628</v>
          </cell>
          <cell r="F161">
            <v>-289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292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12</v>
          </cell>
          <cell r="F191">
            <v>0</v>
          </cell>
        </row>
        <row r="192">
          <cell r="D192">
            <v>486</v>
          </cell>
          <cell r="F192">
            <v>0</v>
          </cell>
        </row>
        <row r="193">
          <cell r="D193">
            <v>7211</v>
          </cell>
          <cell r="F193">
            <v>0</v>
          </cell>
        </row>
        <row r="194">
          <cell r="D194">
            <v>634967</v>
          </cell>
          <cell r="F194">
            <v>-8572</v>
          </cell>
        </row>
        <row r="195">
          <cell r="D195">
            <v>176189</v>
          </cell>
          <cell r="F195">
            <v>-2379</v>
          </cell>
        </row>
        <row r="196">
          <cell r="D196">
            <v>0</v>
          </cell>
          <cell r="F196">
            <v>0</v>
          </cell>
        </row>
        <row r="197">
          <cell r="D197">
            <v>500457</v>
          </cell>
          <cell r="F197">
            <v>-6756</v>
          </cell>
        </row>
        <row r="198">
          <cell r="D198">
            <v>107014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404998</v>
          </cell>
          <cell r="F205">
            <v>-5743</v>
          </cell>
        </row>
        <row r="206">
          <cell r="D206">
            <v>25375</v>
          </cell>
          <cell r="F206">
            <v>0</v>
          </cell>
        </row>
        <row r="207">
          <cell r="D207">
            <v>16822</v>
          </cell>
          <cell r="F207">
            <v>0</v>
          </cell>
        </row>
        <row r="211">
          <cell r="D211">
            <v>170186</v>
          </cell>
          <cell r="F211">
            <v>0</v>
          </cell>
        </row>
        <row r="212">
          <cell r="D212">
            <v>41571</v>
          </cell>
          <cell r="F212">
            <v>0</v>
          </cell>
        </row>
        <row r="213">
          <cell r="D213">
            <v>7478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4139</v>
          </cell>
          <cell r="F216">
            <v>0</v>
          </cell>
        </row>
        <row r="221">
          <cell r="D221">
            <v>14687873</v>
          </cell>
        </row>
      </sheetData>
      <sheetData sheetId="8"/>
      <sheetData sheetId="9"/>
      <sheetData sheetId="10">
        <row r="9">
          <cell r="C9">
            <v>29805</v>
          </cell>
          <cell r="D9">
            <v>0</v>
          </cell>
          <cell r="E9">
            <v>2308</v>
          </cell>
          <cell r="F9">
            <v>3368</v>
          </cell>
          <cell r="G9">
            <v>442</v>
          </cell>
          <cell r="H9">
            <v>1771</v>
          </cell>
          <cell r="I9">
            <v>3835</v>
          </cell>
          <cell r="J9">
            <v>0</v>
          </cell>
          <cell r="K9">
            <v>1468</v>
          </cell>
        </row>
        <row r="22">
          <cell r="N22">
            <v>184</v>
          </cell>
        </row>
        <row r="24">
          <cell r="N24">
            <v>184</v>
          </cell>
        </row>
        <row r="28">
          <cell r="N28">
            <v>67344</v>
          </cell>
        </row>
        <row r="30">
          <cell r="N30">
            <v>0.63846816345925395</v>
          </cell>
        </row>
        <row r="32">
          <cell r="N32">
            <v>0.44257840342124022</v>
          </cell>
        </row>
        <row r="34">
          <cell r="N34">
            <v>0.69318789683001147</v>
          </cell>
        </row>
      </sheetData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(2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E10">
            <v>2584138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873189</v>
          </cell>
          <cell r="G21">
            <v>0</v>
          </cell>
        </row>
        <row r="27">
          <cell r="E27">
            <v>717399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44394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390819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2135</v>
          </cell>
          <cell r="G67">
            <v>0</v>
          </cell>
        </row>
      </sheetData>
      <sheetData sheetId="7"/>
      <sheetData sheetId="8">
        <row r="10">
          <cell r="D10">
            <v>120135</v>
          </cell>
          <cell r="F10">
            <v>7265</v>
          </cell>
        </row>
        <row r="11">
          <cell r="D11">
            <v>0</v>
          </cell>
          <cell r="F11"/>
        </row>
        <row r="12">
          <cell r="D12">
            <v>155274</v>
          </cell>
          <cell r="F12">
            <v>9387</v>
          </cell>
        </row>
        <row r="13">
          <cell r="D13">
            <v>444617</v>
          </cell>
          <cell r="F13">
            <v>-406666</v>
          </cell>
        </row>
        <row r="14">
          <cell r="D14">
            <v>0</v>
          </cell>
          <cell r="F14"/>
        </row>
        <row r="15">
          <cell r="D15">
            <v>0</v>
          </cell>
          <cell r="F15"/>
        </row>
        <row r="16">
          <cell r="D16">
            <v>230213</v>
          </cell>
          <cell r="F16">
            <v>107083</v>
          </cell>
        </row>
        <row r="17">
          <cell r="D17">
            <v>0</v>
          </cell>
          <cell r="F17"/>
        </row>
        <row r="18">
          <cell r="D18">
            <v>11045</v>
          </cell>
          <cell r="F18"/>
        </row>
        <row r="19">
          <cell r="D19">
            <v>14405</v>
          </cell>
          <cell r="F19">
            <v>-2073</v>
          </cell>
        </row>
        <row r="20">
          <cell r="D20">
            <v>19841</v>
          </cell>
          <cell r="F20"/>
        </row>
        <row r="21">
          <cell r="D21">
            <v>2084</v>
          </cell>
          <cell r="F21"/>
        </row>
        <row r="22">
          <cell r="D22">
            <v>0</v>
          </cell>
          <cell r="F22"/>
        </row>
        <row r="23">
          <cell r="D23">
            <v>5249</v>
          </cell>
          <cell r="F23"/>
        </row>
        <row r="24">
          <cell r="D24">
            <v>38564</v>
          </cell>
          <cell r="F24">
            <v>-8000</v>
          </cell>
        </row>
        <row r="25">
          <cell r="D25">
            <v>0</v>
          </cell>
          <cell r="F25"/>
        </row>
        <row r="26">
          <cell r="D26">
            <v>288540</v>
          </cell>
          <cell r="F26"/>
        </row>
        <row r="27">
          <cell r="D27">
            <v>0</v>
          </cell>
          <cell r="F27"/>
        </row>
        <row r="28">
          <cell r="D28">
            <v>0</v>
          </cell>
          <cell r="F28">
            <v>0</v>
          </cell>
        </row>
        <row r="29">
          <cell r="D29">
            <v>108603</v>
          </cell>
          <cell r="F29">
            <v>-108603</v>
          </cell>
        </row>
        <row r="30">
          <cell r="D30">
            <v>0</v>
          </cell>
          <cell r="F30">
            <v>0</v>
          </cell>
        </row>
        <row r="31">
          <cell r="D31">
            <v>31867</v>
          </cell>
          <cell r="F31"/>
        </row>
        <row r="32">
          <cell r="D32">
            <v>71133</v>
          </cell>
          <cell r="F32">
            <v>-24313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/>
        </row>
        <row r="35">
          <cell r="D35">
            <v>5000</v>
          </cell>
          <cell r="F35">
            <v>-5000</v>
          </cell>
        </row>
        <row r="36">
          <cell r="D36">
            <v>0</v>
          </cell>
          <cell r="F36"/>
        </row>
        <row r="37">
          <cell r="D37">
            <v>0</v>
          </cell>
          <cell r="F37"/>
        </row>
        <row r="38">
          <cell r="D38">
            <v>300</v>
          </cell>
          <cell r="F38">
            <v>-300</v>
          </cell>
        </row>
        <row r="39">
          <cell r="D39">
            <v>6590</v>
          </cell>
          <cell r="F39"/>
        </row>
        <row r="40">
          <cell r="D40">
            <v>14671</v>
          </cell>
          <cell r="F40"/>
        </row>
        <row r="41">
          <cell r="D41">
            <v>16333</v>
          </cell>
          <cell r="F41"/>
        </row>
        <row r="42">
          <cell r="D42">
            <v>4561</v>
          </cell>
          <cell r="F42"/>
        </row>
        <row r="43">
          <cell r="D43">
            <v>3697</v>
          </cell>
          <cell r="F43"/>
        </row>
        <row r="44">
          <cell r="D44">
            <v>0</v>
          </cell>
          <cell r="F44"/>
        </row>
        <row r="45">
          <cell r="D45">
            <v>19922</v>
          </cell>
          <cell r="F45">
            <v>-1857</v>
          </cell>
        </row>
        <row r="57">
          <cell r="D57">
            <v>450000</v>
          </cell>
          <cell r="F57"/>
        </row>
        <row r="58">
          <cell r="D58">
            <v>1977</v>
          </cell>
          <cell r="F58"/>
        </row>
        <row r="59">
          <cell r="D59">
            <v>0</v>
          </cell>
          <cell r="F59"/>
        </row>
        <row r="60">
          <cell r="D60">
            <v>33725</v>
          </cell>
          <cell r="F60"/>
        </row>
        <row r="61">
          <cell r="D61">
            <v>5437</v>
          </cell>
          <cell r="F61"/>
        </row>
        <row r="62">
          <cell r="D62">
            <v>1033</v>
          </cell>
          <cell r="F62"/>
        </row>
        <row r="63">
          <cell r="D63">
            <v>0</v>
          </cell>
          <cell r="F63"/>
        </row>
        <row r="64">
          <cell r="D64">
            <v>0</v>
          </cell>
          <cell r="F64"/>
        </row>
        <row r="65">
          <cell r="D65">
            <v>3610</v>
          </cell>
          <cell r="F65"/>
        </row>
        <row r="66">
          <cell r="D66">
            <v>6219</v>
          </cell>
          <cell r="F66"/>
        </row>
        <row r="67">
          <cell r="D67">
            <v>47283</v>
          </cell>
          <cell r="F67"/>
        </row>
        <row r="68">
          <cell r="D68">
            <v>0</v>
          </cell>
          <cell r="F68"/>
        </row>
        <row r="69">
          <cell r="D69">
            <v>9039</v>
          </cell>
          <cell r="F69"/>
        </row>
        <row r="70">
          <cell r="D70">
            <v>0</v>
          </cell>
          <cell r="F70"/>
        </row>
        <row r="71">
          <cell r="D71">
            <v>0</v>
          </cell>
          <cell r="F71"/>
        </row>
        <row r="75">
          <cell r="D75">
            <v>30451</v>
          </cell>
          <cell r="F75">
            <v>1841</v>
          </cell>
        </row>
        <row r="76">
          <cell r="D76">
            <v>0</v>
          </cell>
          <cell r="F76">
            <v>4185</v>
          </cell>
        </row>
        <row r="77">
          <cell r="D77">
            <v>8312</v>
          </cell>
          <cell r="F77"/>
        </row>
        <row r="78">
          <cell r="D78">
            <v>0</v>
          </cell>
          <cell r="F78"/>
        </row>
        <row r="79">
          <cell r="D79">
            <v>6983</v>
          </cell>
          <cell r="F79"/>
        </row>
        <row r="80">
          <cell r="D80">
            <v>14548</v>
          </cell>
          <cell r="F80"/>
        </row>
        <row r="81">
          <cell r="D81">
            <v>6982</v>
          </cell>
          <cell r="F81"/>
        </row>
        <row r="82">
          <cell r="D82">
            <v>2461</v>
          </cell>
          <cell r="F82"/>
        </row>
        <row r="83">
          <cell r="D83">
            <v>0</v>
          </cell>
          <cell r="F83"/>
        </row>
        <row r="84">
          <cell r="D84">
            <v>91238</v>
          </cell>
          <cell r="F84"/>
        </row>
        <row r="85">
          <cell r="D85">
            <v>0</v>
          </cell>
          <cell r="F85"/>
        </row>
        <row r="89">
          <cell r="D89">
            <v>126241</v>
          </cell>
          <cell r="F89">
            <v>7634</v>
          </cell>
        </row>
        <row r="90">
          <cell r="D90">
            <v>0</v>
          </cell>
          <cell r="F90">
            <v>17351</v>
          </cell>
        </row>
        <row r="91">
          <cell r="D91">
            <v>8598</v>
          </cell>
          <cell r="F91"/>
        </row>
        <row r="92">
          <cell r="D92">
            <v>140279</v>
          </cell>
          <cell r="F92"/>
        </row>
        <row r="93">
          <cell r="D93">
            <v>11790</v>
          </cell>
          <cell r="F93"/>
        </row>
        <row r="94">
          <cell r="D94">
            <v>109</v>
          </cell>
          <cell r="F94"/>
        </row>
        <row r="98">
          <cell r="D98">
            <v>15931</v>
          </cell>
          <cell r="F98">
            <v>963</v>
          </cell>
        </row>
        <row r="99">
          <cell r="D99">
            <v>0</v>
          </cell>
          <cell r="F99">
            <v>2189</v>
          </cell>
        </row>
        <row r="100">
          <cell r="D100">
            <v>3820</v>
          </cell>
          <cell r="F100"/>
        </row>
        <row r="101">
          <cell r="D101">
            <v>508</v>
          </cell>
          <cell r="F101"/>
        </row>
        <row r="102">
          <cell r="D102">
            <v>2704</v>
          </cell>
          <cell r="F102"/>
        </row>
        <row r="103">
          <cell r="D103">
            <v>0</v>
          </cell>
          <cell r="F103"/>
        </row>
        <row r="115">
          <cell r="D115">
            <v>48045</v>
          </cell>
          <cell r="F115">
            <v>2905</v>
          </cell>
        </row>
        <row r="116">
          <cell r="D116">
            <v>0</v>
          </cell>
          <cell r="F116">
            <v>6604</v>
          </cell>
        </row>
        <row r="117">
          <cell r="D117">
            <v>9705</v>
          </cell>
          <cell r="F117"/>
        </row>
        <row r="118">
          <cell r="D118">
            <v>1751</v>
          </cell>
          <cell r="F118"/>
        </row>
        <row r="119">
          <cell r="D119">
            <v>107</v>
          </cell>
          <cell r="F119"/>
        </row>
        <row r="124">
          <cell r="D124">
            <v>0</v>
          </cell>
          <cell r="F124"/>
        </row>
        <row r="125">
          <cell r="D125">
            <v>110736</v>
          </cell>
          <cell r="F125">
            <v>6697</v>
          </cell>
        </row>
        <row r="126">
          <cell r="D126">
            <v>25847</v>
          </cell>
          <cell r="F126">
            <v>1563</v>
          </cell>
        </row>
        <row r="127">
          <cell r="D127">
            <v>0</v>
          </cell>
          <cell r="F127"/>
        </row>
        <row r="128">
          <cell r="D128">
            <v>25358</v>
          </cell>
          <cell r="F128">
            <v>1533</v>
          </cell>
        </row>
        <row r="130">
          <cell r="D130">
            <v>0</v>
          </cell>
          <cell r="F130"/>
        </row>
        <row r="131">
          <cell r="D131">
            <v>0</v>
          </cell>
          <cell r="F131">
            <v>15219</v>
          </cell>
        </row>
        <row r="132">
          <cell r="D132">
            <v>0</v>
          </cell>
          <cell r="F132">
            <v>3552</v>
          </cell>
        </row>
        <row r="133">
          <cell r="D133">
            <v>0</v>
          </cell>
          <cell r="F133"/>
        </row>
        <row r="134">
          <cell r="D134">
            <v>0</v>
          </cell>
          <cell r="F134">
            <v>3485</v>
          </cell>
        </row>
        <row r="136">
          <cell r="D136">
            <v>317208</v>
          </cell>
          <cell r="F136">
            <v>19183</v>
          </cell>
        </row>
        <row r="137">
          <cell r="D137">
            <v>264053</v>
          </cell>
          <cell r="F137">
            <v>15968</v>
          </cell>
        </row>
        <row r="138">
          <cell r="D138">
            <v>437907</v>
          </cell>
          <cell r="F138">
            <v>26482</v>
          </cell>
        </row>
        <row r="139">
          <cell r="D139">
            <v>77310</v>
          </cell>
          <cell r="F139">
            <v>4675</v>
          </cell>
        </row>
        <row r="141">
          <cell r="D141">
            <v>0</v>
          </cell>
          <cell r="F141">
            <v>43598</v>
          </cell>
        </row>
        <row r="142">
          <cell r="D142">
            <v>0</v>
          </cell>
          <cell r="F142">
            <v>36293</v>
          </cell>
        </row>
        <row r="143">
          <cell r="D143">
            <v>0</v>
          </cell>
          <cell r="F143">
            <v>60188</v>
          </cell>
        </row>
        <row r="144">
          <cell r="D144">
            <v>0</v>
          </cell>
          <cell r="F144">
            <v>10626</v>
          </cell>
        </row>
        <row r="146">
          <cell r="D146">
            <v>23000</v>
          </cell>
          <cell r="F146"/>
        </row>
        <row r="147">
          <cell r="D147">
            <v>0</v>
          </cell>
          <cell r="F147"/>
        </row>
        <row r="148">
          <cell r="D148">
            <v>0</v>
          </cell>
          <cell r="F148"/>
        </row>
        <row r="149">
          <cell r="D149">
            <v>755</v>
          </cell>
          <cell r="F149"/>
        </row>
        <row r="150">
          <cell r="D150">
            <v>6977</v>
          </cell>
          <cell r="F150"/>
        </row>
        <row r="151">
          <cell r="D151">
            <v>73105</v>
          </cell>
          <cell r="F151"/>
        </row>
        <row r="152">
          <cell r="D152">
            <v>2896</v>
          </cell>
          <cell r="F152"/>
        </row>
        <row r="153">
          <cell r="D153">
            <v>0</v>
          </cell>
          <cell r="F153"/>
        </row>
        <row r="154">
          <cell r="D154">
            <v>0</v>
          </cell>
          <cell r="F154"/>
        </row>
        <row r="156">
          <cell r="D156">
            <v>0</v>
          </cell>
          <cell r="F156"/>
        </row>
        <row r="157">
          <cell r="D157">
            <v>0</v>
          </cell>
          <cell r="F157"/>
        </row>
        <row r="158">
          <cell r="D158">
            <v>0</v>
          </cell>
          <cell r="F158"/>
        </row>
        <row r="159">
          <cell r="D159">
            <v>0</v>
          </cell>
          <cell r="F159"/>
        </row>
        <row r="160">
          <cell r="D160"/>
          <cell r="F160"/>
        </row>
        <row r="161">
          <cell r="D161">
            <v>-127</v>
          </cell>
          <cell r="F161"/>
        </row>
        <row r="175">
          <cell r="D175">
            <v>0</v>
          </cell>
          <cell r="F175"/>
        </row>
        <row r="176">
          <cell r="D176">
            <v>0</v>
          </cell>
          <cell r="F176"/>
        </row>
        <row r="177">
          <cell r="D177">
            <v>149237</v>
          </cell>
          <cell r="F177">
            <v>9025</v>
          </cell>
        </row>
        <row r="178">
          <cell r="D178">
            <v>0</v>
          </cell>
          <cell r="F178">
            <v>20511</v>
          </cell>
        </row>
        <row r="179">
          <cell r="D179">
            <v>26335</v>
          </cell>
          <cell r="F179">
            <v>1593</v>
          </cell>
        </row>
        <row r="180">
          <cell r="D180">
            <v>0</v>
          </cell>
          <cell r="F180">
            <v>3620</v>
          </cell>
        </row>
        <row r="181">
          <cell r="D181">
            <v>0</v>
          </cell>
          <cell r="F181"/>
        </row>
        <row r="182">
          <cell r="D182">
            <v>0</v>
          </cell>
          <cell r="F182"/>
        </row>
        <row r="183">
          <cell r="D183">
            <v>91470</v>
          </cell>
          <cell r="F183">
            <v>5532</v>
          </cell>
        </row>
        <row r="184">
          <cell r="D184">
            <v>0</v>
          </cell>
          <cell r="F184">
            <v>12572</v>
          </cell>
        </row>
        <row r="185">
          <cell r="D185">
            <v>0</v>
          </cell>
          <cell r="F185"/>
        </row>
        <row r="186">
          <cell r="D186">
            <v>0</v>
          </cell>
          <cell r="F186"/>
        </row>
        <row r="187">
          <cell r="D187">
            <v>0</v>
          </cell>
          <cell r="F187"/>
        </row>
        <row r="188">
          <cell r="D188">
            <v>82</v>
          </cell>
          <cell r="F188"/>
        </row>
        <row r="189">
          <cell r="D189">
            <v>0</v>
          </cell>
          <cell r="F189"/>
        </row>
        <row r="190">
          <cell r="D190">
            <v>0</v>
          </cell>
          <cell r="F190"/>
        </row>
        <row r="191">
          <cell r="D191">
            <v>0</v>
          </cell>
          <cell r="F191"/>
        </row>
        <row r="192">
          <cell r="D192">
            <v>0</v>
          </cell>
          <cell r="F192"/>
        </row>
        <row r="193">
          <cell r="D193">
            <v>0</v>
          </cell>
          <cell r="F193"/>
        </row>
        <row r="194">
          <cell r="D194">
            <v>630</v>
          </cell>
          <cell r="F194"/>
        </row>
        <row r="195">
          <cell r="D195">
            <v>0</v>
          </cell>
          <cell r="F195"/>
        </row>
        <row r="196">
          <cell r="D196">
            <v>0</v>
          </cell>
          <cell r="F196"/>
        </row>
        <row r="197">
          <cell r="D197">
            <v>0</v>
          </cell>
          <cell r="F197"/>
        </row>
        <row r="198">
          <cell r="D198">
            <v>22921</v>
          </cell>
          <cell r="F198"/>
        </row>
        <row r="199">
          <cell r="D199">
            <v>0</v>
          </cell>
          <cell r="F199"/>
        </row>
        <row r="200">
          <cell r="D200">
            <v>0</v>
          </cell>
          <cell r="F200"/>
        </row>
        <row r="201">
          <cell r="D201">
            <v>0</v>
          </cell>
          <cell r="F201"/>
        </row>
        <row r="202">
          <cell r="D202">
            <v>0</v>
          </cell>
          <cell r="F202"/>
        </row>
        <row r="203">
          <cell r="D203">
            <v>0</v>
          </cell>
          <cell r="F203"/>
        </row>
        <row r="204">
          <cell r="D204">
            <v>0</v>
          </cell>
          <cell r="F204"/>
        </row>
        <row r="205">
          <cell r="D205">
            <v>127759</v>
          </cell>
          <cell r="F205">
            <v>-16</v>
          </cell>
        </row>
        <row r="206">
          <cell r="D206">
            <v>9016</v>
          </cell>
          <cell r="F206"/>
        </row>
        <row r="207">
          <cell r="D207">
            <v>62928</v>
          </cell>
          <cell r="F207">
            <v>-1562</v>
          </cell>
        </row>
        <row r="211">
          <cell r="D211">
            <v>48104</v>
          </cell>
          <cell r="F211">
            <v>2909</v>
          </cell>
        </row>
        <row r="212">
          <cell r="D212">
            <v>0</v>
          </cell>
          <cell r="F212">
            <v>6612</v>
          </cell>
        </row>
        <row r="213">
          <cell r="D213">
            <v>1663</v>
          </cell>
          <cell r="F213"/>
        </row>
        <row r="214">
          <cell r="D214">
            <v>0</v>
          </cell>
          <cell r="F214"/>
        </row>
        <row r="215">
          <cell r="D215">
            <v>0</v>
          </cell>
          <cell r="F215"/>
        </row>
        <row r="216">
          <cell r="D216">
            <v>1699</v>
          </cell>
          <cell r="F216"/>
        </row>
        <row r="221">
          <cell r="D221">
            <v>4608399</v>
          </cell>
        </row>
      </sheetData>
      <sheetData sheetId="9"/>
      <sheetData sheetId="10"/>
      <sheetData sheetId="11"/>
      <sheetData sheetId="12"/>
      <sheetData sheetId="13">
        <row r="9">
          <cell r="C9">
            <v>13499</v>
          </cell>
          <cell r="D9"/>
          <cell r="E9">
            <v>1815</v>
          </cell>
          <cell r="F9">
            <v>1897</v>
          </cell>
          <cell r="G9"/>
          <cell r="H9">
            <v>171</v>
          </cell>
          <cell r="I9"/>
          <cell r="J9">
            <v>2080</v>
          </cell>
          <cell r="K9"/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32940</v>
          </cell>
        </row>
        <row r="30">
          <cell r="N30">
            <v>0.59083181542197938</v>
          </cell>
        </row>
        <row r="32">
          <cell r="N32">
            <v>0.40980570734669097</v>
          </cell>
        </row>
        <row r="34">
          <cell r="N34">
            <v>0.6936080567259274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6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4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0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0.bin"/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3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28CAB"/>
    <pageSetUpPr fitToPage="1"/>
  </sheetPr>
  <dimension ref="A1:T245"/>
  <sheetViews>
    <sheetView showGridLines="0" zoomScale="125" zoomScaleNormal="125" workbookViewId="0">
      <pane xSplit="2" topLeftCell="C1" activePane="topRight" state="frozen"/>
      <selection activeCell="A14" sqref="A14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435" t="s">
        <v>644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479" t="s">
        <v>410</v>
      </c>
      <c r="D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377" t="s">
        <v>610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 t="s">
        <v>611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'[1]Sch B'!E10</f>
        <v>1783089</v>
      </c>
      <c r="D11" s="558">
        <f>'[1]Sch B'!G10</f>
        <v>0</v>
      </c>
      <c r="E11" s="171">
        <f>C11+D11</f>
        <v>1783089</v>
      </c>
      <c r="F11" s="171"/>
      <c r="G11" s="171">
        <f t="shared" ref="G11:G20" si="0">E11+F11</f>
        <v>1783089</v>
      </c>
      <c r="H11" s="172">
        <f t="shared" ref="H11:H21" si="1">IF($G$21=0,0,G11/$G$21)</f>
        <v>0.62197018319822517</v>
      </c>
      <c r="I11" s="336"/>
      <c r="J11" s="368" t="s">
        <v>344</v>
      </c>
      <c r="K11" s="369">
        <f>G21</f>
        <v>2866840</v>
      </c>
      <c r="M11" s="359">
        <f>IFERROR(G11/G219,0)</f>
        <v>169.43072976054731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'[1]Sch B'!E15</f>
        <v>0</v>
      </c>
      <c r="D12" s="558">
        <f>'[1]Sch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2535155.5499999998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'[1]Sch B'!E21</f>
        <v>428047</v>
      </c>
      <c r="D13" s="558">
        <f>'[1]Sch B'!G21</f>
        <v>0</v>
      </c>
      <c r="E13" s="171">
        <f t="shared" si="2"/>
        <v>428047</v>
      </c>
      <c r="F13" s="171"/>
      <c r="G13" s="171">
        <f t="shared" si="0"/>
        <v>428047</v>
      </c>
      <c r="H13" s="172">
        <f t="shared" si="1"/>
        <v>0.14930969290228963</v>
      </c>
      <c r="I13" s="336"/>
      <c r="J13" s="370" t="s">
        <v>346</v>
      </c>
      <c r="K13" s="371">
        <f>G228</f>
        <v>14001</v>
      </c>
      <c r="M13" s="359">
        <f t="shared" si="3"/>
        <v>680.51987281399045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'[1]Sch B'!E27</f>
        <v>67178</v>
      </c>
      <c r="D14" s="558">
        <f>'[1]Sch B'!G27</f>
        <v>0</v>
      </c>
      <c r="E14" s="171">
        <f t="shared" si="2"/>
        <v>67178</v>
      </c>
      <c r="F14" s="175"/>
      <c r="G14" s="175">
        <f>E14+F14</f>
        <v>67178</v>
      </c>
      <c r="H14" s="176">
        <f t="shared" si="1"/>
        <v>2.3432769181398333E-2</v>
      </c>
      <c r="I14" s="337"/>
      <c r="J14" s="370" t="s">
        <v>347</v>
      </c>
      <c r="K14" s="371">
        <f>G231</f>
        <v>52</v>
      </c>
      <c r="M14" s="359">
        <f t="shared" si="3"/>
        <v>159.18957345971563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'[1]Sch B'!E32</f>
        <v>0</v>
      </c>
      <c r="D15" s="558">
        <f>'[1]Sch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19032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'[1]Sch B'!E37</f>
        <v>350810</v>
      </c>
      <c r="D16" s="558">
        <f>'[1]Sch B'!G37</f>
        <v>0</v>
      </c>
      <c r="E16" s="171">
        <f t="shared" si="2"/>
        <v>350810</v>
      </c>
      <c r="F16" s="171"/>
      <c r="G16" s="171">
        <f t="shared" si="0"/>
        <v>350810</v>
      </c>
      <c r="H16" s="172">
        <f t="shared" si="1"/>
        <v>0.12236818238897183</v>
      </c>
      <c r="I16" s="336"/>
      <c r="J16" s="372"/>
      <c r="K16" s="371"/>
      <c r="M16" s="359">
        <f t="shared" si="3"/>
        <v>182.90406673618352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'[1]Sch B'!E42</f>
        <v>78156</v>
      </c>
      <c r="D17" s="558">
        <f>'[1]Sch B'!G42</f>
        <v>0</v>
      </c>
      <c r="E17" s="171">
        <f t="shared" si="2"/>
        <v>78156</v>
      </c>
      <c r="F17" s="171"/>
      <c r="G17" s="171">
        <f>E17+F17</f>
        <v>78156</v>
      </c>
      <c r="H17" s="172">
        <f t="shared" si="1"/>
        <v>2.7262072525847274E-2</v>
      </c>
      <c r="I17" s="336"/>
      <c r="J17" s="370" t="s">
        <v>156</v>
      </c>
      <c r="K17" s="371">
        <f>J208</f>
        <v>71060.659999999989</v>
      </c>
      <c r="M17" s="359">
        <f t="shared" si="3"/>
        <v>153.85039370078741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'[1]Sch B'!E47</f>
        <v>0</v>
      </c>
      <c r="D18" s="558">
        <f>'[1]Sch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75636.42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'[1]Sch B'!E52</f>
        <v>0</v>
      </c>
      <c r="D19" s="558">
        <f>'[1]Sch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'[1]Sch B'!E67</f>
        <v>159560</v>
      </c>
      <c r="D20" s="558">
        <f>'[1]Sch B'!G67</f>
        <v>0</v>
      </c>
      <c r="E20" s="171">
        <f t="shared" si="2"/>
        <v>159560</v>
      </c>
      <c r="F20" s="171"/>
      <c r="G20" s="171">
        <f t="shared" si="0"/>
        <v>159560</v>
      </c>
      <c r="H20" s="172">
        <f t="shared" si="1"/>
        <v>5.5657099803267711E-2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2866840</v>
      </c>
      <c r="D21" s="558">
        <f>SUM(D11:D20)</f>
        <v>0</v>
      </c>
      <c r="E21" s="171">
        <f>SUM(E11:E20)</f>
        <v>2866840</v>
      </c>
      <c r="F21" s="171">
        <f>SUM(F11:F20)</f>
        <v>0</v>
      </c>
      <c r="G21" s="171">
        <f>SUM(G11:G20)</f>
        <v>2866840</v>
      </c>
      <c r="H21" s="172">
        <f t="shared" si="1"/>
        <v>1</v>
      </c>
      <c r="I21" s="336"/>
      <c r="J21" s="168"/>
      <c r="K21" s="168"/>
      <c r="M21" s="359">
        <f>IFERROR(G21/G228,0)</f>
        <v>204.75966002428399</v>
      </c>
      <c r="N21" s="359">
        <f>SUMMARY!J24</f>
        <v>278.37842406091033</v>
      </c>
      <c r="P21"/>
      <c r="Q21"/>
    </row>
    <row r="22" spans="1:17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'[1]Sch C'!D10</f>
        <v>66267</v>
      </c>
      <c r="D25" s="558">
        <f>'[1]Sch C'!F10</f>
        <v>3685.37</v>
      </c>
      <c r="E25" s="171">
        <f t="shared" ref="E25:E60" si="4">C25+D25</f>
        <v>69952.37</v>
      </c>
      <c r="F25" s="171"/>
      <c r="G25" s="182">
        <f>E25+F25</f>
        <v>69952.37</v>
      </c>
      <c r="H25" s="172">
        <f>IF($G$208=0,0,G25/$G$208)</f>
        <v>2.7592930145844501E-2</v>
      </c>
      <c r="I25" s="336"/>
      <c r="J25" s="183">
        <v>2126.75</v>
      </c>
      <c r="K25" s="183">
        <v>2230.75</v>
      </c>
      <c r="M25" s="359">
        <f>G25/G$228</f>
        <v>4.9962409827869436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'[1]Sch C'!D11</f>
        <v>0</v>
      </c>
      <c r="D26" s="558">
        <f>'[1]Sch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'[1]Sch C'!D12</f>
        <v>38380</v>
      </c>
      <c r="D27" s="558">
        <f>'[1]Sch C'!F12</f>
        <v>2134.4699999999998</v>
      </c>
      <c r="E27" s="171">
        <f t="shared" si="4"/>
        <v>40514.47</v>
      </c>
      <c r="F27" s="171"/>
      <c r="G27" s="171">
        <f t="shared" si="5"/>
        <v>40514.47</v>
      </c>
      <c r="H27" s="172">
        <f t="shared" si="6"/>
        <v>1.5981058834831655E-2</v>
      </c>
      <c r="I27" s="336"/>
      <c r="J27" s="185">
        <v>2073.9499999999998</v>
      </c>
      <c r="K27" s="185">
        <v>2194.6799999999998</v>
      </c>
      <c r="M27" s="359">
        <f t="shared" si="7"/>
        <v>2.8936840225698166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'[1]Sch C'!D13</f>
        <v>224339</v>
      </c>
      <c r="D28" s="558">
        <f>'[1]Sch C'!F13</f>
        <v>-208097</v>
      </c>
      <c r="E28" s="171">
        <f t="shared" si="4"/>
        <v>16242</v>
      </c>
      <c r="F28" s="171"/>
      <c r="G28" s="171">
        <f t="shared" si="5"/>
        <v>16242</v>
      </c>
      <c r="H28" s="172">
        <f t="shared" si="6"/>
        <v>6.4067074700800905E-3</v>
      </c>
      <c r="I28" s="336"/>
      <c r="J28" s="168"/>
      <c r="K28" s="168"/>
      <c r="M28" s="359">
        <f t="shared" si="7"/>
        <v>1.1600599957145918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'[1]Sch C'!D14</f>
        <v>0</v>
      </c>
      <c r="D29" s="558">
        <f>'[1]Sch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'[1]Sch C'!D15</f>
        <v>0</v>
      </c>
      <c r="D30" s="558">
        <f>'[1]Sch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'[1]Sch C'!D16</f>
        <v>216121</v>
      </c>
      <c r="D31" s="558">
        <f>'[1]Sch C'!F16</f>
        <v>-16319.78</v>
      </c>
      <c r="E31" s="171">
        <f t="shared" si="4"/>
        <v>199801.22</v>
      </c>
      <c r="F31" s="171"/>
      <c r="G31" s="171">
        <f t="shared" si="5"/>
        <v>199801.22</v>
      </c>
      <c r="H31" s="172">
        <f t="shared" si="6"/>
        <v>7.881221331764042E-2</v>
      </c>
      <c r="I31" s="336"/>
      <c r="J31" s="168"/>
      <c r="K31" s="168"/>
      <c r="M31" s="359">
        <f t="shared" si="7"/>
        <v>14.270496393114778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'[1]Sch C'!D17</f>
        <v>0</v>
      </c>
      <c r="D32" s="558">
        <f>'[1]Sch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'[1]Sch C'!D18</f>
        <v>7835</v>
      </c>
      <c r="D33" s="558">
        <f>'[1]Sch C'!F18</f>
        <v>0</v>
      </c>
      <c r="E33" s="171">
        <f t="shared" si="4"/>
        <v>7835</v>
      </c>
      <c r="F33" s="171"/>
      <c r="G33" s="171">
        <f t="shared" si="5"/>
        <v>7835</v>
      </c>
      <c r="H33" s="172">
        <f t="shared" si="6"/>
        <v>3.0905401445682499E-3</v>
      </c>
      <c r="I33" s="336"/>
      <c r="J33" s="168"/>
      <c r="K33" s="168"/>
      <c r="M33" s="359">
        <f t="shared" si="7"/>
        <v>0.55960288550817794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'[1]Sch C'!D19</f>
        <v>6543</v>
      </c>
      <c r="D34" s="558">
        <f>'[1]Sch C'!F19</f>
        <v>0</v>
      </c>
      <c r="E34" s="171">
        <f t="shared" si="4"/>
        <v>6543</v>
      </c>
      <c r="F34" s="171"/>
      <c r="G34" s="171">
        <f t="shared" si="5"/>
        <v>6543</v>
      </c>
      <c r="H34" s="172">
        <f t="shared" si="6"/>
        <v>2.5809067218774801E-3</v>
      </c>
      <c r="I34" s="336"/>
      <c r="J34" s="168"/>
      <c r="K34" s="168"/>
      <c r="M34" s="359">
        <f t="shared" si="7"/>
        <v>0.46732376258838654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'[1]Sch C'!D20</f>
        <v>4199</v>
      </c>
      <c r="D35" s="558">
        <f>'[1]Sch C'!F20</f>
        <v>0</v>
      </c>
      <c r="E35" s="171">
        <f t="shared" si="4"/>
        <v>4199</v>
      </c>
      <c r="F35" s="171"/>
      <c r="G35" s="171">
        <f t="shared" si="5"/>
        <v>4199</v>
      </c>
      <c r="H35" s="172">
        <f t="shared" si="6"/>
        <v>1.6563086237450007E-3</v>
      </c>
      <c r="I35" s="336"/>
      <c r="J35" s="168"/>
      <c r="K35" s="168"/>
      <c r="M35" s="359">
        <f t="shared" si="7"/>
        <v>0.29990714948932218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'[1]Sch C'!D21</f>
        <v>12566</v>
      </c>
      <c r="D36" s="558">
        <f>'[1]Sch C'!F21</f>
        <v>0</v>
      </c>
      <c r="E36" s="171">
        <f t="shared" si="4"/>
        <v>12566</v>
      </c>
      <c r="F36" s="171"/>
      <c r="G36" s="171">
        <f t="shared" si="5"/>
        <v>12566</v>
      </c>
      <c r="H36" s="172">
        <f t="shared" si="6"/>
        <v>4.956697824715332E-3</v>
      </c>
      <c r="I36" s="336"/>
      <c r="J36" s="168"/>
      <c r="K36" s="168"/>
      <c r="M36" s="359">
        <f t="shared" si="7"/>
        <v>0.89750732090564955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'[1]Sch C'!D22</f>
        <v>0</v>
      </c>
      <c r="D37" s="558">
        <f>'[1]Sch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'[1]Sch C'!D23</f>
        <v>6115</v>
      </c>
      <c r="D38" s="558">
        <f>'[1]Sch C'!F23</f>
        <v>0</v>
      </c>
      <c r="E38" s="171">
        <f t="shared" si="4"/>
        <v>6115</v>
      </c>
      <c r="F38" s="171"/>
      <c r="G38" s="171">
        <f t="shared" si="5"/>
        <v>6115</v>
      </c>
      <c r="H38" s="172">
        <f t="shared" si="6"/>
        <v>2.4120807892833245E-3</v>
      </c>
      <c r="I38" s="336"/>
      <c r="J38" s="168"/>
      <c r="K38" s="168"/>
      <c r="M38" s="359">
        <f t="shared" si="7"/>
        <v>0.43675451753446182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'[1]Sch C'!D24</f>
        <v>0</v>
      </c>
      <c r="D39" s="558">
        <f>'[1]Sch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'[1]Sch C'!D25</f>
        <v>0</v>
      </c>
      <c r="D40" s="558">
        <f>'[1]Sch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'[1]Sch C'!D26</f>
        <v>237299</v>
      </c>
      <c r="D41" s="558">
        <f>'[1]Sch C'!F26</f>
        <v>0</v>
      </c>
      <c r="E41" s="171">
        <f t="shared" si="4"/>
        <v>237299</v>
      </c>
      <c r="F41" s="171"/>
      <c r="G41" s="171">
        <f t="shared" si="5"/>
        <v>237299</v>
      </c>
      <c r="H41" s="172">
        <f t="shared" si="6"/>
        <v>9.3603329389393891E-2</v>
      </c>
      <c r="I41" s="336"/>
      <c r="J41" s="168"/>
      <c r="K41" s="168"/>
      <c r="M41" s="359">
        <f t="shared" si="7"/>
        <v>16.948717948717949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'[1]Sch C'!D27</f>
        <v>0</v>
      </c>
      <c r="D42" s="558">
        <f>'[1]Sch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'[1]Sch C'!D28</f>
        <v>0</v>
      </c>
      <c r="D43" s="558">
        <f>'[1]Sch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'[1]Sch C'!D29</f>
        <v>197406</v>
      </c>
      <c r="D44" s="558">
        <f>'[1]Sch C'!F29</f>
        <v>-197406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'[1]Sch C'!D30</f>
        <v>0</v>
      </c>
      <c r="D45" s="558">
        <f>'[1]Sch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'[1]Sch C'!D31</f>
        <v>37160</v>
      </c>
      <c r="D46" s="558">
        <f>'[1]Sch C'!F31</f>
        <v>0</v>
      </c>
      <c r="E46" s="171">
        <f t="shared" si="4"/>
        <v>37160</v>
      </c>
      <c r="F46" s="171"/>
      <c r="G46" s="171">
        <f t="shared" si="5"/>
        <v>37160</v>
      </c>
      <c r="H46" s="172">
        <f t="shared" si="6"/>
        <v>1.4657877699062688E-2</v>
      </c>
      <c r="I46" s="336"/>
      <c r="J46" s="168"/>
      <c r="K46" s="168"/>
      <c r="M46" s="359">
        <f t="shared" si="7"/>
        <v>2.6540961359902866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'[1]Sch C'!D32</f>
        <v>14431</v>
      </c>
      <c r="D47" s="558">
        <f>'[1]Sch C'!F32</f>
        <v>0</v>
      </c>
      <c r="E47" s="171">
        <f t="shared" si="4"/>
        <v>14431</v>
      </c>
      <c r="F47" s="171"/>
      <c r="G47" s="171">
        <f t="shared" si="5"/>
        <v>14431</v>
      </c>
      <c r="H47" s="172">
        <f t="shared" si="6"/>
        <v>5.6923528814632309E-3</v>
      </c>
      <c r="I47" s="336"/>
      <c r="J47" s="168"/>
      <c r="K47" s="168"/>
      <c r="M47" s="359">
        <f t="shared" si="7"/>
        <v>1.0307120919934289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'[1]Sch C'!D33</f>
        <v>0</v>
      </c>
      <c r="D48" s="558">
        <f>'[1]Sch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'[1]Sch C'!D34</f>
        <v>0</v>
      </c>
      <c r="D49" s="558">
        <f>'[1]Sch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'[1]Sch C'!D35</f>
        <v>0</v>
      </c>
      <c r="D50" s="558">
        <f>'[1]Sch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'[1]Sch C'!D36</f>
        <v>0</v>
      </c>
      <c r="D51" s="558">
        <f>'[1]Sch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'[1]Sch C'!D37</f>
        <v>0</v>
      </c>
      <c r="D52" s="558">
        <f>'[1]Sch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'[1]Sch C'!D38</f>
        <v>0</v>
      </c>
      <c r="D53" s="558">
        <f>'[1]Sch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'[1]Sch C'!D39</f>
        <v>1269</v>
      </c>
      <c r="D54" s="558">
        <f>'[1]Sch C'!F39</f>
        <v>0</v>
      </c>
      <c r="E54" s="171">
        <f t="shared" si="4"/>
        <v>1269</v>
      </c>
      <c r="F54" s="171"/>
      <c r="G54" s="171">
        <f t="shared" si="5"/>
        <v>1269</v>
      </c>
      <c r="H54" s="172">
        <f t="shared" si="6"/>
        <v>5.0056100107940128E-4</v>
      </c>
      <c r="I54" s="336"/>
      <c r="J54" s="168"/>
      <c r="K54" s="168"/>
      <c r="M54" s="359">
        <f t="shared" si="7"/>
        <v>9.0636383115491756E-2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'[1]Sch C'!D40</f>
        <v>7492</v>
      </c>
      <c r="D55" s="558">
        <f>'[1]Sch C'!F40</f>
        <v>-7492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'[1]Sch C'!D41</f>
        <v>0</v>
      </c>
      <c r="D56" s="558">
        <f>'[1]Sch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'[1]Sch C'!D42</f>
        <v>0</v>
      </c>
      <c r="D57" s="558">
        <f>'[1]Sch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'[1]Sch C'!D43</f>
        <v>5938</v>
      </c>
      <c r="D58" s="558">
        <f>'[1]Sch C'!F43</f>
        <v>0</v>
      </c>
      <c r="E58" s="171">
        <f t="shared" si="4"/>
        <v>5938</v>
      </c>
      <c r="F58" s="171"/>
      <c r="G58" s="171">
        <f t="shared" si="5"/>
        <v>5938</v>
      </c>
      <c r="H58" s="172">
        <f t="shared" si="6"/>
        <v>2.342262588187143E-3</v>
      </c>
      <c r="I58" s="336"/>
      <c r="J58" s="168"/>
      <c r="K58" s="168"/>
      <c r="M58" s="359">
        <f t="shared" si="7"/>
        <v>0.42411256338832942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'[1]Sch C'!D44</f>
        <v>0</v>
      </c>
      <c r="D59" s="558">
        <f>'[1]Sch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'[1]Sch C'!D45</f>
        <v>38655</v>
      </c>
      <c r="D60" s="558">
        <f>'[1]Sch C'!F45</f>
        <v>0</v>
      </c>
      <c r="E60" s="171">
        <f t="shared" si="4"/>
        <v>38655</v>
      </c>
      <c r="F60" s="171"/>
      <c r="G60" s="171">
        <f t="shared" si="5"/>
        <v>38655</v>
      </c>
      <c r="H60" s="172">
        <f t="shared" si="6"/>
        <v>1.5247585103801619E-2</v>
      </c>
      <c r="I60" s="336"/>
      <c r="J60" s="168"/>
      <c r="K60" s="168"/>
      <c r="M60" s="359">
        <f t="shared" si="7"/>
        <v>2.7608742232697665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1122015</v>
      </c>
      <c r="D61" s="558">
        <f>SUM(D25:D60)</f>
        <v>-423494.94</v>
      </c>
      <c r="E61" s="171">
        <f t="shared" ref="E61:F61" si="8">SUM(E25:E60)</f>
        <v>698520.06</v>
      </c>
      <c r="F61" s="171">
        <f t="shared" si="8"/>
        <v>0</v>
      </c>
      <c r="G61" s="171">
        <f>SUM(G25:G60)</f>
        <v>698520.06</v>
      </c>
      <c r="H61" s="186">
        <f t="shared" si="6"/>
        <v>0.27553341253557406</v>
      </c>
      <c r="I61" s="338"/>
      <c r="J61" s="168"/>
      <c r="K61" s="168"/>
      <c r="M61" s="364">
        <f>G61/G$228</f>
        <v>49.890726376687383</v>
      </c>
      <c r="N61" s="359">
        <f>SUMMARY!J64</f>
        <v>53.728790309602623</v>
      </c>
      <c r="O61" s="354">
        <f>M61/N61-1</f>
        <v>-7.1434028400771288E-2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'[1]Sch C'!D57</f>
        <v>283985</v>
      </c>
      <c r="D64" s="558">
        <f>'[1]Sch C'!F57</f>
        <v>-283985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'[1]Sch C'!D58</f>
        <v>0</v>
      </c>
      <c r="D65" s="558">
        <f>'[1]Sch C'!F58</f>
        <v>0</v>
      </c>
      <c r="E65" s="171">
        <f t="shared" si="9"/>
        <v>0</v>
      </c>
      <c r="F65" s="171"/>
      <c r="G65" s="171">
        <f t="shared" si="10"/>
        <v>0</v>
      </c>
      <c r="H65" s="172">
        <f t="shared" si="11"/>
        <v>0</v>
      </c>
      <c r="I65" s="336"/>
      <c r="J65" s="190"/>
      <c r="K65" s="168"/>
      <c r="M65" s="359">
        <f t="shared" si="12"/>
        <v>0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'[1]Sch C'!D59</f>
        <v>0</v>
      </c>
      <c r="D66" s="558">
        <f>'[1]Sch C'!F59</f>
        <v>131387.81</v>
      </c>
      <c r="E66" s="171">
        <f t="shared" si="9"/>
        <v>131387.81</v>
      </c>
      <c r="F66" s="171"/>
      <c r="G66" s="171">
        <f t="shared" si="10"/>
        <v>131387.81</v>
      </c>
      <c r="H66" s="172">
        <f t="shared" si="11"/>
        <v>5.1826330735405962E-2</v>
      </c>
      <c r="I66" s="336"/>
      <c r="J66" s="190"/>
      <c r="K66" s="168"/>
      <c r="M66" s="359">
        <f t="shared" si="12"/>
        <v>9.384173273337618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'[1]Sch C'!D60</f>
        <v>0</v>
      </c>
      <c r="D67" s="558">
        <f>'[1]Sch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'[1]Sch C'!D61</f>
        <v>4059</v>
      </c>
      <c r="D68" s="558">
        <f>'[1]Sch C'!F61</f>
        <v>0</v>
      </c>
      <c r="E68" s="171">
        <f t="shared" si="9"/>
        <v>4059</v>
      </c>
      <c r="F68" s="171"/>
      <c r="G68" s="171">
        <f t="shared" si="10"/>
        <v>4059</v>
      </c>
      <c r="H68" s="172">
        <f t="shared" si="11"/>
        <v>1.6010851878497162E-3</v>
      </c>
      <c r="I68" s="336"/>
      <c r="J68" s="193"/>
      <c r="K68" s="168"/>
      <c r="M68" s="359">
        <f t="shared" si="12"/>
        <v>0.28990786372401972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'[1]Sch C'!D62</f>
        <v>0</v>
      </c>
      <c r="D69" s="558">
        <f>'[1]Sch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'[1]Sch C'!D63</f>
        <v>0</v>
      </c>
      <c r="D70" s="558">
        <f>'[1]Sch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'[1]Sch C'!D64</f>
        <v>0</v>
      </c>
      <c r="D71" s="558">
        <f>'[1]Sch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'[1]Sch C'!D65</f>
        <v>4115</v>
      </c>
      <c r="D72" s="558">
        <f>'[1]Sch C'!F65</f>
        <v>0</v>
      </c>
      <c r="E72" s="171">
        <f t="shared" si="9"/>
        <v>4115</v>
      </c>
      <c r="F72" s="171"/>
      <c r="G72" s="171">
        <f t="shared" si="10"/>
        <v>4115</v>
      </c>
      <c r="H72" s="172">
        <f t="shared" si="11"/>
        <v>1.62317456220783E-3</v>
      </c>
      <c r="I72" s="336"/>
      <c r="J72" s="195"/>
      <c r="K72" s="168"/>
      <c r="M72" s="359">
        <f t="shared" si="12"/>
        <v>0.29390757803014073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'[1]Sch C'!D66</f>
        <v>0</v>
      </c>
      <c r="D73" s="558">
        <f>'[1]Sch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'[1]Sch C'!D67</f>
        <v>80947</v>
      </c>
      <c r="D74" s="558">
        <f>'[1]Sch C'!F67</f>
        <v>0</v>
      </c>
      <c r="E74" s="171">
        <f t="shared" si="9"/>
        <v>80947</v>
      </c>
      <c r="F74" s="171"/>
      <c r="G74" s="171">
        <f t="shared" si="10"/>
        <v>80947</v>
      </c>
      <c r="H74" s="172">
        <f t="shared" si="11"/>
        <v>3.1929796181540029E-2</v>
      </c>
      <c r="I74" s="336"/>
      <c r="J74" s="195"/>
      <c r="K74" s="168"/>
      <c r="M74" s="359">
        <f t="shared" si="12"/>
        <v>5.7815156060281412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'[1]Sch C'!D68</f>
        <v>0</v>
      </c>
      <c r="D75" s="558">
        <f>'[1]Sch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'[1]Sch C'!D69</f>
        <v>0</v>
      </c>
      <c r="D76" s="558">
        <f>'[1]Sch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'[1]Sch C'!D70</f>
        <v>0</v>
      </c>
      <c r="D77" s="558">
        <f>'[1]Sch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'[1]Sch C'!D71</f>
        <v>0</v>
      </c>
      <c r="D78" s="558">
        <f>'[1]Sch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373106</v>
      </c>
      <c r="D79" s="558">
        <f>SUM(D64:D78)</f>
        <v>-152597.19</v>
      </c>
      <c r="E79" s="171">
        <f t="shared" ref="E79:F79" si="13">SUM(E64:E78)</f>
        <v>220508.81</v>
      </c>
      <c r="F79" s="171">
        <f t="shared" si="13"/>
        <v>0</v>
      </c>
      <c r="G79" s="171">
        <f>SUM(G64:G78)</f>
        <v>220508.81</v>
      </c>
      <c r="H79" s="172">
        <f t="shared" si="11"/>
        <v>8.6980386667003529E-2</v>
      </c>
      <c r="I79" s="336"/>
      <c r="J79" s="195"/>
      <c r="K79" s="168"/>
      <c r="M79" s="359">
        <f t="shared" si="12"/>
        <v>15.74950432111992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'[1]Sch C'!D75</f>
        <v>26567</v>
      </c>
      <c r="D82" s="558">
        <f>'[1]Sch C'!F75</f>
        <v>1477.5</v>
      </c>
      <c r="E82" s="171">
        <f t="shared" ref="E82:E92" si="14">C82+D82</f>
        <v>28044.5</v>
      </c>
      <c r="F82" s="171"/>
      <c r="G82" s="171">
        <f t="shared" ref="G82:G92" si="15">E82+F82</f>
        <v>28044.5</v>
      </c>
      <c r="H82" s="172">
        <f t="shared" ref="H82:H93" si="16">IF($G$208=0,0,G82/$G$208)</f>
        <v>1.1062240342609353E-2</v>
      </c>
      <c r="I82" s="336"/>
      <c r="J82" s="183">
        <v>1645.3</v>
      </c>
      <c r="K82" s="183">
        <v>1719.32</v>
      </c>
      <c r="M82" s="359">
        <f t="shared" ref="M82:M92" si="17">G82/G$228</f>
        <v>2.0030354974644666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'[1]Sch C'!D76</f>
        <v>0</v>
      </c>
      <c r="D83" s="558">
        <f>'[1]Sch C'!F76</f>
        <v>4133.68</v>
      </c>
      <c r="E83" s="171">
        <f t="shared" si="14"/>
        <v>4133.68</v>
      </c>
      <c r="F83" s="171"/>
      <c r="G83" s="171">
        <f t="shared" si="15"/>
        <v>4133.68</v>
      </c>
      <c r="H83" s="172">
        <f t="shared" si="16"/>
        <v>1.6305429463687152E-3</v>
      </c>
      <c r="I83" s="336"/>
      <c r="J83" s="168"/>
      <c r="K83" s="168"/>
      <c r="M83" s="359">
        <f t="shared" si="17"/>
        <v>0.29524176844511107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'[1]Sch C'!D77</f>
        <v>17896</v>
      </c>
      <c r="D84" s="558">
        <f>'[1]Sch C'!F77</f>
        <v>0</v>
      </c>
      <c r="E84" s="171">
        <f t="shared" si="14"/>
        <v>17896</v>
      </c>
      <c r="F84" s="171"/>
      <c r="G84" s="171">
        <f t="shared" si="15"/>
        <v>17896</v>
      </c>
      <c r="H84" s="172">
        <f t="shared" si="16"/>
        <v>7.0591329198715245E-3</v>
      </c>
      <c r="I84" s="336"/>
      <c r="J84" s="168"/>
      <c r="K84" s="168"/>
      <c r="M84" s="359">
        <f t="shared" si="17"/>
        <v>1.2781944146846653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'[1]Sch C'!D78</f>
        <v>0</v>
      </c>
      <c r="D85" s="558">
        <f>'[1]Sch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'[1]Sch C'!D79</f>
        <v>0</v>
      </c>
      <c r="D86" s="558">
        <f>'[1]Sch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'[1]Sch C'!D80</f>
        <v>37790</v>
      </c>
      <c r="D87" s="558">
        <f>'[1]Sch C'!F80</f>
        <v>0</v>
      </c>
      <c r="E87" s="171">
        <f t="shared" si="14"/>
        <v>37790</v>
      </c>
      <c r="F87" s="171"/>
      <c r="G87" s="171">
        <f t="shared" si="15"/>
        <v>37790</v>
      </c>
      <c r="H87" s="172">
        <f t="shared" si="16"/>
        <v>1.4906383160591468E-2</v>
      </c>
      <c r="I87" s="336"/>
      <c r="J87" s="168"/>
      <c r="K87" s="168"/>
      <c r="M87" s="359">
        <f t="shared" si="17"/>
        <v>2.6990929219341475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'[1]Sch C'!D81</f>
        <v>642</v>
      </c>
      <c r="D88" s="558">
        <f>'[1]Sch C'!F81</f>
        <v>0</v>
      </c>
      <c r="E88" s="171">
        <f t="shared" si="14"/>
        <v>642</v>
      </c>
      <c r="F88" s="171"/>
      <c r="G88" s="171">
        <f t="shared" si="15"/>
        <v>642</v>
      </c>
      <c r="H88" s="172">
        <f t="shared" si="16"/>
        <v>2.5323889889123372E-4</v>
      </c>
      <c r="I88" s="336"/>
      <c r="J88" s="168"/>
      <c r="K88" s="168"/>
      <c r="M88" s="359">
        <f t="shared" si="17"/>
        <v>4.5853867580887081E-2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'[1]Sch C'!D82</f>
        <v>0</v>
      </c>
      <c r="D89" s="558">
        <f>'[1]Sch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'[1]Sch C'!D83</f>
        <v>0</v>
      </c>
      <c r="D90" s="558">
        <f>'[1]Sch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'[1]Sch C'!D84</f>
        <v>38035</v>
      </c>
      <c r="D91" s="558">
        <f>'[1]Sch C'!F84</f>
        <v>0</v>
      </c>
      <c r="E91" s="171">
        <f t="shared" si="14"/>
        <v>38035</v>
      </c>
      <c r="F91" s="171"/>
      <c r="G91" s="171">
        <f t="shared" si="15"/>
        <v>38035</v>
      </c>
      <c r="H91" s="172">
        <f t="shared" si="16"/>
        <v>1.5003024173408217E-2</v>
      </c>
      <c r="I91" s="336"/>
      <c r="J91" s="168"/>
      <c r="K91" s="168"/>
      <c r="M91" s="359">
        <f t="shared" si="17"/>
        <v>2.7165916720234269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'[1]Sch C'!D85</f>
        <v>0</v>
      </c>
      <c r="D92" s="558">
        <f>'[1]Sch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120930</v>
      </c>
      <c r="D93" s="558">
        <f>SUM(D82:D92)</f>
        <v>5611.18</v>
      </c>
      <c r="E93" s="171">
        <f t="shared" ref="E93:F93" si="18">SUM(E82:E92)</f>
        <v>126541.18</v>
      </c>
      <c r="F93" s="171">
        <f t="shared" si="18"/>
        <v>0</v>
      </c>
      <c r="G93" s="171">
        <f>SUM(G82:G92)</f>
        <v>126541.18</v>
      </c>
      <c r="H93" s="172">
        <f t="shared" si="16"/>
        <v>4.9914562441740508E-2</v>
      </c>
      <c r="I93" s="336"/>
      <c r="J93" s="168"/>
      <c r="K93" s="168"/>
      <c r="M93" s="364">
        <f>G93/G$228</f>
        <v>9.0380101421327037</v>
      </c>
      <c r="N93" s="359">
        <f>SUMMARY!J96</f>
        <v>11.458724454710746</v>
      </c>
      <c r="O93" s="354">
        <f>M93/N93-1</f>
        <v>-0.21125512897579735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'[1]Sch C'!D89</f>
        <v>104324</v>
      </c>
      <c r="D96" s="558">
        <f>'[1]Sch C'!F89</f>
        <v>5801.88</v>
      </c>
      <c r="E96" s="171">
        <f t="shared" ref="E96:E101" si="19">C96+D96</f>
        <v>110125.88</v>
      </c>
      <c r="F96" s="171"/>
      <c r="G96" s="171">
        <f t="shared" ref="G96:G101" si="20">E96+F96</f>
        <v>110125.88</v>
      </c>
      <c r="H96" s="172">
        <f t="shared" ref="H96:H102" si="21">IF($G$208=0,0,G96/$G$208)</f>
        <v>4.3439496247084333E-2</v>
      </c>
      <c r="I96" s="336"/>
      <c r="J96" s="183">
        <v>8504.1999999999989</v>
      </c>
      <c r="K96" s="183">
        <v>9218.7000000000007</v>
      </c>
      <c r="M96" s="364">
        <f t="shared" ref="M96:M101" si="22">G96/G$228</f>
        <v>7.865572459110064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'[1]Sch C'!D90</f>
        <v>0</v>
      </c>
      <c r="D97" s="558">
        <f>'[1]Sch C'!F90</f>
        <v>16232.23</v>
      </c>
      <c r="E97" s="171">
        <f t="shared" si="19"/>
        <v>16232.23</v>
      </c>
      <c r="F97" s="171"/>
      <c r="G97" s="171">
        <f t="shared" si="20"/>
        <v>16232.23</v>
      </c>
      <c r="H97" s="172">
        <f t="shared" si="21"/>
        <v>6.4028536631608266E-3</v>
      </c>
      <c r="I97" s="336"/>
      <c r="J97" s="168"/>
      <c r="K97" s="168"/>
      <c r="M97" s="364">
        <f t="shared" si="22"/>
        <v>1.1593621884151131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'[1]Sch C'!D91</f>
        <v>0</v>
      </c>
      <c r="D98" s="558">
        <f>'[1]Sch C'!F91</f>
        <v>0</v>
      </c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I98" s="336"/>
      <c r="J98" s="168"/>
      <c r="K98" s="168"/>
      <c r="M98" s="364">
        <f t="shared" si="22"/>
        <v>0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'[1]Sch C'!D92</f>
        <v>80889</v>
      </c>
      <c r="D99" s="558">
        <f>'[1]Sch C'!F92</f>
        <v>0</v>
      </c>
      <c r="E99" s="171">
        <f t="shared" si="19"/>
        <v>80889</v>
      </c>
      <c r="F99" s="171"/>
      <c r="G99" s="171">
        <f t="shared" si="20"/>
        <v>80889</v>
      </c>
      <c r="H99" s="172">
        <f t="shared" si="21"/>
        <v>3.1906917900954838E-2</v>
      </c>
      <c r="I99" s="336"/>
      <c r="J99" s="168"/>
      <c r="K99" s="168"/>
      <c r="M99" s="364">
        <f t="shared" si="22"/>
        <v>5.7773730447825153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'[1]Sch C'!D93</f>
        <v>7936</v>
      </c>
      <c r="D100" s="558">
        <f>'[1]Sch C'!F93</f>
        <v>0</v>
      </c>
      <c r="E100" s="171">
        <f t="shared" si="19"/>
        <v>7936</v>
      </c>
      <c r="F100" s="171"/>
      <c r="G100" s="171">
        <f t="shared" si="20"/>
        <v>7936</v>
      </c>
      <c r="H100" s="172">
        <f t="shared" si="21"/>
        <v>3.1303799090355621E-3</v>
      </c>
      <c r="I100" s="336"/>
      <c r="J100" s="168"/>
      <c r="K100" s="168"/>
      <c r="M100" s="364">
        <f t="shared" si="22"/>
        <v>0.56681665595314623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'[1]Sch C'!D94</f>
        <v>0</v>
      </c>
      <c r="D101" s="558">
        <f>'[1]Sch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193149</v>
      </c>
      <c r="D102" s="558">
        <f>SUM(D96:D101)</f>
        <v>22034.11</v>
      </c>
      <c r="E102" s="171">
        <f t="shared" ref="E102:F102" si="23">SUM(E96:E101)</f>
        <v>215183.11</v>
      </c>
      <c r="F102" s="171">
        <f t="shared" si="23"/>
        <v>0</v>
      </c>
      <c r="G102" s="171">
        <f>SUM(G96:G101)</f>
        <v>215183.11</v>
      </c>
      <c r="H102" s="172">
        <f t="shared" si="21"/>
        <v>8.4879647720235554E-2</v>
      </c>
      <c r="I102" s="336"/>
      <c r="J102" s="168"/>
      <c r="K102" s="168"/>
      <c r="M102" s="364">
        <f>G102/G$228</f>
        <v>15.369124348260838</v>
      </c>
      <c r="N102" s="359">
        <f>SUMMARY!J105</f>
        <v>19.901077037785338</v>
      </c>
      <c r="O102" s="354">
        <f>M102/N102-1</f>
        <v>-0.22772399106439678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'[1]Sch C'!D98</f>
        <v>22241</v>
      </c>
      <c r="D105" s="558">
        <f>'[1]Sch C'!F98</f>
        <v>1236.9100000000001</v>
      </c>
      <c r="E105" s="171">
        <f t="shared" ref="E105:E110" si="24">C105+D105</f>
        <v>23477.91</v>
      </c>
      <c r="F105" s="171"/>
      <c r="G105" s="171">
        <f t="shared" ref="G105:G110" si="25">E105+F105</f>
        <v>23477.91</v>
      </c>
      <c r="H105" s="172">
        <f t="shared" ref="H105:H111" si="26">IF($G$208=0,0,G105/$G$208)</f>
        <v>9.2609346988590108E-3</v>
      </c>
      <c r="I105" s="336"/>
      <c r="J105" s="183">
        <v>2452.35</v>
      </c>
      <c r="K105" s="183">
        <v>2629.35</v>
      </c>
      <c r="M105" s="364">
        <f t="shared" ref="M105:M110" si="27">G105/G$228</f>
        <v>1.6768737947289478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'[1]Sch C'!D99</f>
        <v>0</v>
      </c>
      <c r="D106" s="558">
        <f>'[1]Sch C'!F99</f>
        <v>3460.58</v>
      </c>
      <c r="E106" s="171">
        <f t="shared" si="24"/>
        <v>3460.58</v>
      </c>
      <c r="F106" s="171"/>
      <c r="G106" s="171">
        <f t="shared" si="25"/>
        <v>3460.58</v>
      </c>
      <c r="H106" s="172">
        <f t="shared" si="26"/>
        <v>1.3650365556464573E-3</v>
      </c>
      <c r="I106" s="336"/>
      <c r="J106" s="168"/>
      <c r="K106" s="168"/>
      <c r="M106" s="364">
        <f t="shared" si="27"/>
        <v>0.2471666309549318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'[1]Sch C'!D100</f>
        <v>2742</v>
      </c>
      <c r="D107" s="558">
        <f>'[1]Sch C'!F100</f>
        <v>0</v>
      </c>
      <c r="E107" s="171">
        <f t="shared" si="24"/>
        <v>2742</v>
      </c>
      <c r="F107" s="171"/>
      <c r="G107" s="171">
        <f t="shared" si="25"/>
        <v>2742</v>
      </c>
      <c r="H107" s="172">
        <f t="shared" si="26"/>
        <v>1.0815904373205031E-3</v>
      </c>
      <c r="I107" s="336"/>
      <c r="J107" s="168"/>
      <c r="K107" s="168"/>
      <c r="M107" s="364">
        <f t="shared" si="27"/>
        <v>0.19584315406042427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'[1]Sch C'!D101</f>
        <v>0</v>
      </c>
      <c r="D108" s="558">
        <f>'[1]Sch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'[1]Sch C'!D102</f>
        <v>0</v>
      </c>
      <c r="D109" s="558">
        <f>'[1]Sch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'[1]Sch C'!D103</f>
        <v>0</v>
      </c>
      <c r="D110" s="558">
        <f>'[1]Sch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24983</v>
      </c>
      <c r="D111" s="558">
        <f>SUM(D105:D110)</f>
        <v>4697.49</v>
      </c>
      <c r="E111" s="171">
        <f t="shared" ref="E111:F111" si="28">SUM(E105:E110)</f>
        <v>29680.489999999998</v>
      </c>
      <c r="F111" s="171">
        <f t="shared" si="28"/>
        <v>0</v>
      </c>
      <c r="G111" s="171">
        <f>SUM(G105:G110)</f>
        <v>29680.489999999998</v>
      </c>
      <c r="H111" s="172">
        <f t="shared" si="26"/>
        <v>1.1707561691825972E-2</v>
      </c>
      <c r="I111" s="336"/>
      <c r="J111" s="168"/>
      <c r="K111" s="168"/>
      <c r="M111" s="364">
        <f>G111/G$228</f>
        <v>2.1198835797443039</v>
      </c>
      <c r="N111" s="359">
        <f>SUMMARY!J114</f>
        <v>2.4242384372309496</v>
      </c>
      <c r="O111" s="354">
        <f>M111/N111-1</f>
        <v>-0.12554658519245765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'[1]Sch C'!D115</f>
        <v>37131</v>
      </c>
      <c r="D114" s="558">
        <f>'[1]Sch C'!F115</f>
        <v>2065</v>
      </c>
      <c r="E114" s="171">
        <f t="shared" ref="E114:E118" si="29">C114+D114</f>
        <v>39196</v>
      </c>
      <c r="F114" s="171"/>
      <c r="G114" s="171">
        <f>E114+F114</f>
        <v>39196</v>
      </c>
      <c r="H114" s="172">
        <f t="shared" ref="H114:H119" si="30">IF($G$208=0,0,G114/$G$208)</f>
        <v>1.5460984238225541E-2</v>
      </c>
      <c r="I114" s="336"/>
      <c r="J114" s="183">
        <v>4119.1499999999996</v>
      </c>
      <c r="K114" s="183">
        <v>4456.1499999999996</v>
      </c>
      <c r="M114" s="364">
        <f t="shared" ref="M114:M119" si="31">G114/G$228</f>
        <v>2.7995143204056854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'[1]Sch C'!D116</f>
        <v>0</v>
      </c>
      <c r="D115" s="558">
        <f>'[1]Sch C'!F116</f>
        <v>5777.38</v>
      </c>
      <c r="E115" s="171">
        <f t="shared" si="29"/>
        <v>5777.38</v>
      </c>
      <c r="F115" s="171"/>
      <c r="G115" s="171">
        <f>E115+F115</f>
        <v>5777.38</v>
      </c>
      <c r="H115" s="172">
        <f t="shared" si="30"/>
        <v>2.2789055290907104E-3</v>
      </c>
      <c r="I115" s="336"/>
      <c r="J115" s="168"/>
      <c r="K115" s="168"/>
      <c r="M115" s="364">
        <f t="shared" si="31"/>
        <v>0.41264052567673737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'[1]Sch C'!D117</f>
        <v>9638</v>
      </c>
      <c r="D116" s="558">
        <f>'[1]Sch C'!F117</f>
        <v>0</v>
      </c>
      <c r="E116" s="171">
        <f t="shared" si="29"/>
        <v>9638</v>
      </c>
      <c r="F116" s="171"/>
      <c r="G116" s="171">
        <f>E116+F116</f>
        <v>9638</v>
      </c>
      <c r="H116" s="172">
        <f t="shared" si="30"/>
        <v>3.8017391082768078E-3</v>
      </c>
      <c r="I116" s="336"/>
      <c r="J116" s="168"/>
      <c r="K116" s="168"/>
      <c r="M116" s="364">
        <f t="shared" si="31"/>
        <v>0.68837940147132348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'[1]Sch C'!D118</f>
        <v>0</v>
      </c>
      <c r="D117" s="558">
        <f>'[1]Sch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'[1]Sch C'!D119</f>
        <v>0</v>
      </c>
      <c r="D118" s="558">
        <f>'[1]Sch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46769</v>
      </c>
      <c r="D119" s="558">
        <f>SUM(D114:D118)</f>
        <v>7842.38</v>
      </c>
      <c r="E119" s="171">
        <f t="shared" ref="E119:F119" si="32">SUM(E114:E118)</f>
        <v>54611.38</v>
      </c>
      <c r="F119" s="171">
        <f t="shared" si="32"/>
        <v>0</v>
      </c>
      <c r="G119" s="171">
        <f>SUM(G114:G118)</f>
        <v>54611.38</v>
      </c>
      <c r="H119" s="172">
        <f t="shared" si="30"/>
        <v>2.154162887559306E-2</v>
      </c>
      <c r="I119" s="336"/>
      <c r="J119" s="168"/>
      <c r="K119" s="168"/>
      <c r="M119" s="364">
        <f t="shared" si="31"/>
        <v>3.9005342475537459</v>
      </c>
      <c r="N119" s="359">
        <f>SUMMARY!J122</f>
        <v>6.0247597205909562</v>
      </c>
      <c r="O119" s="354">
        <f>M119/N119-1</f>
        <v>-0.35258260437793021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 t="s">
        <v>608</v>
      </c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271" t="s">
        <v>612</v>
      </c>
      <c r="C123" s="558">
        <f>'[1]Sch C'!D124</f>
        <v>24000</v>
      </c>
      <c r="D123" s="558">
        <f>'[1]Sch C'!F124</f>
        <v>0</v>
      </c>
      <c r="E123" s="171">
        <f t="shared" ref="E123:E127" si="33">C123+D123</f>
        <v>24000</v>
      </c>
      <c r="F123" s="171">
        <v>-24000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271" t="s">
        <v>613</v>
      </c>
      <c r="C124" s="558">
        <f>'[1]Sch C'!D125</f>
        <v>112509</v>
      </c>
      <c r="D124" s="558">
        <f>'[1]Sch C'!F125</f>
        <v>6257.08</v>
      </c>
      <c r="E124" s="171">
        <f t="shared" si="33"/>
        <v>118766.08</v>
      </c>
      <c r="F124" s="171"/>
      <c r="G124" s="171">
        <f>E124+F124</f>
        <v>118766.08</v>
      </c>
      <c r="H124" s="172">
        <f>IF($G$208=0,0,G124/$G$208)</f>
        <v>4.6847650038673173E-2</v>
      </c>
      <c r="I124" s="336"/>
      <c r="J124" s="183">
        <v>3721.7100000000005</v>
      </c>
      <c r="K124" s="183">
        <v>4146.71</v>
      </c>
      <c r="M124" s="364">
        <f t="shared" si="34"/>
        <v>8.4826855224626811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271" t="s">
        <v>614</v>
      </c>
      <c r="C125" s="558">
        <f>'[1]Sch C'!D126</f>
        <v>0</v>
      </c>
      <c r="D125" s="558">
        <f>'[1]Sch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271" t="s">
        <v>615</v>
      </c>
      <c r="C126" s="558">
        <f>'[1]Sch C'!D127</f>
        <v>0</v>
      </c>
      <c r="D126" s="558">
        <f>'[1]Sch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271" t="s">
        <v>616</v>
      </c>
      <c r="C127" s="558">
        <f>'[1]Sch C'!D128</f>
        <v>13431</v>
      </c>
      <c r="D127" s="558">
        <f>'[1]Sch C'!F128</f>
        <v>746.95</v>
      </c>
      <c r="E127" s="171">
        <f t="shared" si="33"/>
        <v>14177.95</v>
      </c>
      <c r="F127" s="171"/>
      <c r="G127" s="171">
        <f>E127+F127</f>
        <v>14177.95</v>
      </c>
      <c r="H127" s="172">
        <f>IF($G$208=0,0,G127/$G$208)</f>
        <v>5.5925365210825039E-3</v>
      </c>
      <c r="I127" s="336"/>
      <c r="J127" s="183">
        <v>1039.05</v>
      </c>
      <c r="K127" s="183">
        <v>1080.05</v>
      </c>
      <c r="M127" s="364">
        <f t="shared" si="34"/>
        <v>1.0126383829726449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271" t="s">
        <v>612</v>
      </c>
      <c r="C129" s="558">
        <f>'[1]Sch C'!D130</f>
        <v>0</v>
      </c>
      <c r="D129" s="558">
        <f>'[1]Sch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271" t="s">
        <v>613</v>
      </c>
      <c r="C130" s="558">
        <f>'[1]Sch C'!D131</f>
        <v>0</v>
      </c>
      <c r="D130" s="558">
        <f>'[1]Sch C'!F131</f>
        <v>17505.78</v>
      </c>
      <c r="E130" s="171">
        <f t="shared" si="35"/>
        <v>17505.78</v>
      </c>
      <c r="F130" s="171"/>
      <c r="G130" s="171">
        <f>E130+F130</f>
        <v>17505.78</v>
      </c>
      <c r="H130" s="172">
        <f>IF($G$208=0,0,G130/$G$208)</f>
        <v>6.9052094259068244E-3</v>
      </c>
      <c r="I130" s="336"/>
      <c r="J130" s="204"/>
      <c r="K130" s="204"/>
      <c r="M130" s="364">
        <f t="shared" si="34"/>
        <v>1.2503235483179771</v>
      </c>
      <c r="N130" s="359">
        <f>SUMMARY!J133</f>
        <v>1.2770660565872531</v>
      </c>
      <c r="P130"/>
      <c r="Q130"/>
    </row>
    <row r="131" spans="1:17" s="167" customFormat="1">
      <c r="B131" s="271" t="s">
        <v>614</v>
      </c>
      <c r="C131" s="558">
        <f>'[1]Sch C'!D132</f>
        <v>0</v>
      </c>
      <c r="D131" s="558">
        <f>'[1]Sch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271" t="s">
        <v>615</v>
      </c>
      <c r="C132" s="558">
        <f>'[1]Sch C'!D133</f>
        <v>0</v>
      </c>
      <c r="D132" s="558">
        <f>'[1]Sch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271" t="s">
        <v>616</v>
      </c>
      <c r="C133" s="558">
        <f>'[1]Sch C'!D134</f>
        <v>0</v>
      </c>
      <c r="D133" s="558">
        <f>'[1]Sch C'!F134</f>
        <v>2089.79</v>
      </c>
      <c r="E133" s="171">
        <f t="shared" si="35"/>
        <v>2089.79</v>
      </c>
      <c r="F133" s="171"/>
      <c r="G133" s="171">
        <f>E133+F133</f>
        <v>2089.79</v>
      </c>
      <c r="H133" s="172">
        <f>IF($G$208=0,0,G133/$G$208)</f>
        <v>8.2432417214004883E-4</v>
      </c>
      <c r="I133" s="336"/>
      <c r="J133" s="168"/>
      <c r="K133" s="168"/>
      <c r="M133" s="364">
        <f t="shared" si="34"/>
        <v>0.1492600528533676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271" t="s">
        <v>617</v>
      </c>
      <c r="C135" s="558">
        <f>'[1]Sch C'!D136</f>
        <v>90545</v>
      </c>
      <c r="D135" s="558">
        <f>'[1]Sch C'!F136</f>
        <v>5035.57</v>
      </c>
      <c r="E135" s="171">
        <f t="shared" ref="E135:E138" si="36">C135+D135</f>
        <v>95580.57</v>
      </c>
      <c r="F135" s="171"/>
      <c r="G135" s="171">
        <f>E135+F135</f>
        <v>95580.57</v>
      </c>
      <c r="H135" s="172">
        <f>IF($G$208=0,0,G135/$G$208)</f>
        <v>3.7702053430212601E-2</v>
      </c>
      <c r="I135" s="336"/>
      <c r="J135" s="183">
        <v>3575.5</v>
      </c>
      <c r="K135" s="183">
        <v>3892.96</v>
      </c>
      <c r="M135" s="364">
        <f t="shared" si="34"/>
        <v>6.8266959502892659</v>
      </c>
      <c r="N135" s="359">
        <f>SUMMARY!J138</f>
        <v>22.831883555057285</v>
      </c>
      <c r="P135"/>
      <c r="Q135"/>
    </row>
    <row r="136" spans="1:17" s="167" customFormat="1">
      <c r="A136" s="169"/>
      <c r="B136" s="271" t="s">
        <v>618</v>
      </c>
      <c r="C136" s="558">
        <f>'[1]Sch C'!D137</f>
        <v>159523</v>
      </c>
      <c r="D136" s="558">
        <f>'[1]Sch C'!F137</f>
        <v>8871.7199999999993</v>
      </c>
      <c r="E136" s="171">
        <f t="shared" si="36"/>
        <v>168394.72</v>
      </c>
      <c r="F136" s="171"/>
      <c r="G136" s="171">
        <f>E136+F136</f>
        <v>168394.72</v>
      </c>
      <c r="H136" s="172">
        <f>IF($G$208=0,0,G136/$G$208)</f>
        <v>6.6423821607317163E-2</v>
      </c>
      <c r="I136" s="336"/>
      <c r="J136" s="183">
        <v>6840.65</v>
      </c>
      <c r="K136" s="183">
        <v>7153.55</v>
      </c>
      <c r="M136" s="364">
        <f t="shared" si="34"/>
        <v>12.027335190343546</v>
      </c>
      <c r="N136" s="359">
        <f>SUMMARY!J139</f>
        <v>12.148107264801752</v>
      </c>
      <c r="P136"/>
      <c r="Q136"/>
    </row>
    <row r="137" spans="1:17" s="167" customFormat="1">
      <c r="A137" s="169"/>
      <c r="B137" s="271" t="s">
        <v>619</v>
      </c>
      <c r="C137" s="558">
        <f>'[1]Sch C'!D138</f>
        <v>336548</v>
      </c>
      <c r="D137" s="558">
        <f>'[1]Sch C'!F138</f>
        <v>18716.79</v>
      </c>
      <c r="E137" s="171">
        <f t="shared" si="36"/>
        <v>355264.79</v>
      </c>
      <c r="F137" s="171"/>
      <c r="G137" s="171">
        <f>E137+F137</f>
        <v>355264.79</v>
      </c>
      <c r="H137" s="172">
        <f>IF($G$208=0,0,G137/$G$208)</f>
        <v>0.14013530254583392</v>
      </c>
      <c r="I137" s="336"/>
      <c r="J137" s="183">
        <v>31069.3</v>
      </c>
      <c r="K137" s="183">
        <v>32810.85</v>
      </c>
      <c r="M137" s="364">
        <f t="shared" si="34"/>
        <v>25.374243982572672</v>
      </c>
      <c r="N137" s="359">
        <f>SUMMARY!J140</f>
        <v>29.755103028612584</v>
      </c>
      <c r="P137"/>
      <c r="Q137"/>
    </row>
    <row r="138" spans="1:17" s="167" customFormat="1">
      <c r="A138" s="169"/>
      <c r="B138" s="271" t="s">
        <v>620</v>
      </c>
      <c r="C138" s="558">
        <f>'[1]Sch C'!D139</f>
        <v>0</v>
      </c>
      <c r="D138" s="558">
        <f>'[1]Sch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271" t="s">
        <v>617</v>
      </c>
      <c r="C140" s="558">
        <f>'[1]Sch C'!D141</f>
        <v>0</v>
      </c>
      <c r="D140" s="558">
        <f>'[1]Sch C'!F141</f>
        <v>14088.3</v>
      </c>
      <c r="E140" s="171">
        <f t="shared" ref="E140:E143" si="37">C140+D140</f>
        <v>14088.3</v>
      </c>
      <c r="F140" s="171"/>
      <c r="G140" s="171">
        <f>E140+F140</f>
        <v>14088.3</v>
      </c>
      <c r="H140" s="172">
        <f>IF($G$208=0,0,G140/$G$208)</f>
        <v>5.5571737994538446E-3</v>
      </c>
      <c r="I140" s="336"/>
      <c r="J140" s="168"/>
      <c r="K140" s="168"/>
      <c r="M140" s="364">
        <f t="shared" si="34"/>
        <v>1.0062352689093637</v>
      </c>
      <c r="N140" s="359">
        <f>SUMMARY!J143</f>
        <v>4.2102596407658526</v>
      </c>
      <c r="P140"/>
      <c r="Q140"/>
    </row>
    <row r="141" spans="1:17" s="167" customFormat="1">
      <c r="A141" s="169"/>
      <c r="B141" s="271" t="s">
        <v>618</v>
      </c>
      <c r="C141" s="558">
        <f>'[1]Sch C'!D142</f>
        <v>0</v>
      </c>
      <c r="D141" s="558">
        <f>'[1]Sch C'!F142</f>
        <v>24820.89</v>
      </c>
      <c r="E141" s="171">
        <f t="shared" si="37"/>
        <v>24820.89</v>
      </c>
      <c r="F141" s="171"/>
      <c r="G141" s="171">
        <f>E141+F141</f>
        <v>24820.89</v>
      </c>
      <c r="H141" s="172">
        <f>IF($G$208=0,0,G141/$G$208)</f>
        <v>9.7906773412779358E-3</v>
      </c>
      <c r="I141" s="336"/>
      <c r="J141" s="168"/>
      <c r="K141" s="168"/>
      <c r="M141" s="364">
        <f t="shared" si="34"/>
        <v>1.7727940861367044</v>
      </c>
      <c r="N141" s="359">
        <f>SUMMARY!J144</f>
        <v>2.2256603513522144</v>
      </c>
      <c r="P141"/>
      <c r="Q141"/>
    </row>
    <row r="142" spans="1:17" s="167" customFormat="1">
      <c r="A142" s="169"/>
      <c r="B142" s="271" t="s">
        <v>619</v>
      </c>
      <c r="C142" s="558">
        <f>'[1]Sch C'!D143</f>
        <v>0</v>
      </c>
      <c r="D142" s="558">
        <f>'[1]Sch C'!F143</f>
        <v>52365</v>
      </c>
      <c r="E142" s="171">
        <f t="shared" si="37"/>
        <v>52365</v>
      </c>
      <c r="F142" s="171"/>
      <c r="G142" s="171">
        <f>E142+F142</f>
        <v>52365</v>
      </c>
      <c r="H142" s="172">
        <f>IF($G$208=0,0,G142/$G$208)</f>
        <v>2.0655537290404136E-2</v>
      </c>
      <c r="I142" s="336"/>
      <c r="J142" s="168"/>
      <c r="K142" s="168"/>
      <c r="M142" s="364">
        <f t="shared" si="34"/>
        <v>3.7400899935718876</v>
      </c>
      <c r="N142" s="359">
        <f>SUMMARY!J145</f>
        <v>5.5063490246705751</v>
      </c>
      <c r="P142"/>
      <c r="Q142"/>
    </row>
    <row r="143" spans="1:17" s="167" customFormat="1">
      <c r="A143" s="169"/>
      <c r="B143" s="271" t="s">
        <v>620</v>
      </c>
      <c r="C143" s="558">
        <f>'[1]Sch C'!D144</f>
        <v>0</v>
      </c>
      <c r="D143" s="558">
        <f>'[1]Sch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/>
      <c r="F144" s="196" t="s">
        <v>609</v>
      </c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271" t="s">
        <v>612</v>
      </c>
      <c r="C145" s="558">
        <f>'[1]Sch C'!D146</f>
        <v>0</v>
      </c>
      <c r="D145" s="558">
        <f>'[1]Sch C'!F146</f>
        <v>0</v>
      </c>
      <c r="E145" s="171">
        <f t="shared" ref="E145:E153" si="38">C145+D145</f>
        <v>0</v>
      </c>
      <c r="F145" s="171">
        <v>24000</v>
      </c>
      <c r="G145" s="171">
        <f t="shared" ref="G145:G153" si="39">E145+F145</f>
        <v>24000</v>
      </c>
      <c r="H145" s="172">
        <f t="shared" ref="H145:H153" si="40">IF($G$208=0,0,G145/$G$208)</f>
        <v>9.466874724905934E-3</v>
      </c>
      <c r="I145" s="336"/>
      <c r="J145" s="183">
        <v>0</v>
      </c>
      <c r="K145" s="183">
        <v>0</v>
      </c>
      <c r="M145" s="364">
        <f t="shared" si="34"/>
        <v>1.7141632740518535</v>
      </c>
      <c r="N145" s="359">
        <f>SUMMARY!J148</f>
        <v>1.6451259729597054</v>
      </c>
      <c r="P145"/>
      <c r="Q145"/>
    </row>
    <row r="146" spans="1:17" s="167" customFormat="1">
      <c r="A146" s="169"/>
      <c r="B146" s="271" t="s">
        <v>613</v>
      </c>
      <c r="C146" s="558">
        <f>'[1]Sch C'!D147</f>
        <v>0</v>
      </c>
      <c r="D146" s="558">
        <f>'[1]Sch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271" t="s">
        <v>614</v>
      </c>
      <c r="C147" s="558">
        <f>'[1]Sch C'!D148</f>
        <v>0</v>
      </c>
      <c r="D147" s="558">
        <f>'[1]Sch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271" t="s">
        <v>615</v>
      </c>
      <c r="C148" s="558">
        <f>'[1]Sch C'!D149</f>
        <v>0</v>
      </c>
      <c r="D148" s="558">
        <f>'[1]Sch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271" t="s">
        <v>616</v>
      </c>
      <c r="C149" s="558">
        <f>'[1]Sch C'!D150</f>
        <v>3696</v>
      </c>
      <c r="D149" s="558">
        <f>'[1]Sch C'!F150</f>
        <v>0</v>
      </c>
      <c r="E149" s="171">
        <f t="shared" si="38"/>
        <v>3696</v>
      </c>
      <c r="F149" s="171"/>
      <c r="G149" s="171">
        <f t="shared" si="39"/>
        <v>3696</v>
      </c>
      <c r="H149" s="172">
        <f t="shared" si="40"/>
        <v>1.4578987076355138E-3</v>
      </c>
      <c r="I149" s="336"/>
      <c r="J149" s="183">
        <v>0</v>
      </c>
      <c r="K149" s="183">
        <v>0</v>
      </c>
      <c r="M149" s="364">
        <f t="shared" si="34"/>
        <v>0.26398114420398544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'[1]Sch C'!D151</f>
        <v>48868</v>
      </c>
      <c r="D150" s="558">
        <f>'[1]Sch C'!F151</f>
        <v>0</v>
      </c>
      <c r="E150" s="171">
        <f t="shared" si="38"/>
        <v>48868</v>
      </c>
      <c r="F150" s="171"/>
      <c r="G150" s="171">
        <f t="shared" si="39"/>
        <v>48868</v>
      </c>
      <c r="H150" s="172">
        <f t="shared" si="40"/>
        <v>1.9276134752362631E-2</v>
      </c>
      <c r="I150" s="336"/>
      <c r="J150" s="168"/>
      <c r="K150" s="168"/>
      <c r="M150" s="364">
        <f t="shared" si="34"/>
        <v>3.4903221198485821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'[1]Sch C'!D152</f>
        <v>0</v>
      </c>
      <c r="D151" s="558">
        <f>'[1]Sch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6"/>
      <c r="J151" s="168"/>
      <c r="K151" s="168"/>
      <c r="M151" s="364">
        <f t="shared" si="34"/>
        <v>0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'[1]Sch C'!D153</f>
        <v>0</v>
      </c>
      <c r="D152" s="558">
        <f>'[1]Sch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'[1]Sch C'!D154</f>
        <v>0</v>
      </c>
      <c r="D153" s="558">
        <f>'[1]Sch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'[1]Sch C'!D156</f>
        <v>0</v>
      </c>
      <c r="D155" s="558">
        <f>'[1]Sch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'[1]Sch C'!D157</f>
        <v>0</v>
      </c>
      <c r="D156" s="558">
        <f>'[1]Sch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'[1]Sch C'!D158</f>
        <v>0</v>
      </c>
      <c r="D157" s="558">
        <f>'[1]Sch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'[1]Sch C'!D159</f>
        <v>0</v>
      </c>
      <c r="D158" s="558">
        <f>'[1]Sch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'[1]Sch C'!D160</f>
        <v>0</v>
      </c>
      <c r="D159" s="558">
        <f>'[1]Sch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'[1]Sch C'!D161</f>
        <v>3242</v>
      </c>
      <c r="D160" s="558">
        <f>'[1]Sch C'!F161</f>
        <v>0</v>
      </c>
      <c r="E160" s="171">
        <f t="shared" si="41"/>
        <v>3242</v>
      </c>
      <c r="F160" s="171"/>
      <c r="G160" s="171">
        <f t="shared" si="42"/>
        <v>3242</v>
      </c>
      <c r="H160" s="172">
        <f t="shared" si="43"/>
        <v>1.2788169940893767E-3</v>
      </c>
      <c r="I160" s="336"/>
      <c r="J160" s="168"/>
      <c r="K160" s="168"/>
      <c r="M160" s="364">
        <f t="shared" si="34"/>
        <v>0.23155488893650453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792362</v>
      </c>
      <c r="D161" s="558">
        <f>SUM(D123:D160)</f>
        <v>150497.87</v>
      </c>
      <c r="E161" s="171">
        <f t="shared" ref="E161:F161" si="44">SUM(E123:E160)</f>
        <v>942859.87</v>
      </c>
      <c r="F161" s="171">
        <f t="shared" si="44"/>
        <v>0</v>
      </c>
      <c r="G161" s="171">
        <f>SUM(G123:G160)</f>
        <v>942859.87</v>
      </c>
      <c r="H161" s="172">
        <f t="shared" si="43"/>
        <v>0.37191401135129559</v>
      </c>
      <c r="I161" s="336"/>
      <c r="J161" s="168"/>
      <c r="K161" s="168"/>
      <c r="M161" s="364">
        <f>G161/G$228</f>
        <v>67.342323405471035</v>
      </c>
      <c r="N161" s="359">
        <f>SUMMARY!J164</f>
        <v>105.56901037202306</v>
      </c>
      <c r="O161" s="354">
        <f>M161/N161-1</f>
        <v>-0.36210140487101239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'[1]Sch C'!D175</f>
        <v>0</v>
      </c>
      <c r="D164" s="558">
        <f>'[1]Sch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'[1]Sch C'!D176</f>
        <v>0</v>
      </c>
      <c r="D165" s="558">
        <f>'[1]Sch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'[1]Sch C'!D177</f>
        <v>0</v>
      </c>
      <c r="D166" s="558">
        <f>'[1]Sch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'[1]Sch C'!D178</f>
        <v>0</v>
      </c>
      <c r="D167" s="558">
        <f>'[1]Sch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'[1]Sch C'!D179</f>
        <v>0</v>
      </c>
      <c r="D168" s="558">
        <f>'[1]Sch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'[1]Sch C'!D180</f>
        <v>0</v>
      </c>
      <c r="D169" s="558">
        <f>'[1]Sch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'[1]Sch C'!D181</f>
        <v>0</v>
      </c>
      <c r="D170" s="558">
        <f>'[1]Sch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'[1]Sch C'!D182</f>
        <v>0</v>
      </c>
      <c r="D171" s="558">
        <f>'[1]Sch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'[1]Sch C'!D183</f>
        <v>0</v>
      </c>
      <c r="D172" s="558">
        <f>'[1]Sch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'[1]Sch C'!D184</f>
        <v>0</v>
      </c>
      <c r="D173" s="558">
        <f>'[1]Sch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'[1]Sch C'!D185</f>
        <v>0</v>
      </c>
      <c r="D174" s="558">
        <f>'[1]Sch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'[1]Sch C'!D186</f>
        <v>0</v>
      </c>
      <c r="D175" s="558">
        <f>'[1]Sch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'[1]Sch C'!D187</f>
        <v>0</v>
      </c>
      <c r="D176" s="558">
        <f>'[1]Sch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/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'[1]Sch C'!D188</f>
        <v>0</v>
      </c>
      <c r="D177" s="558">
        <f>'[1]Sch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'[1]Sch C'!D189</f>
        <v>0</v>
      </c>
      <c r="D178" s="558">
        <f>'[1]Sch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'[1]Sch C'!D190</f>
        <v>0</v>
      </c>
      <c r="D179" s="558">
        <f>'[1]Sch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'[1]Sch C'!D191</f>
        <v>69</v>
      </c>
      <c r="D180" s="558">
        <f>'[1]Sch C'!F191</f>
        <v>0</v>
      </c>
      <c r="E180" s="171">
        <f t="shared" si="45"/>
        <v>69</v>
      </c>
      <c r="F180" s="216"/>
      <c r="G180" s="171">
        <f t="shared" si="46"/>
        <v>69</v>
      </c>
      <c r="H180" s="172">
        <f t="shared" si="47"/>
        <v>2.7217264834104561E-5</v>
      </c>
      <c r="I180" s="336"/>
      <c r="J180" s="223"/>
      <c r="K180" s="218"/>
      <c r="L180" s="220"/>
      <c r="M180" s="364">
        <f t="shared" si="48"/>
        <v>4.9282194128990788E-3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'[1]Sch C'!D192</f>
        <v>0</v>
      </c>
      <c r="D181" s="558">
        <f>'[1]Sch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'[1]Sch C'!D193</f>
        <v>0</v>
      </c>
      <c r="D182" s="558">
        <f>'[1]Sch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'[1]Sch C'!D194</f>
        <v>69016</v>
      </c>
      <c r="D183" s="558">
        <f>'[1]Sch C'!F194</f>
        <v>0</v>
      </c>
      <c r="E183" s="171">
        <f t="shared" si="45"/>
        <v>69016</v>
      </c>
      <c r="F183" s="216"/>
      <c r="G183" s="171">
        <f t="shared" si="46"/>
        <v>69016</v>
      </c>
      <c r="H183" s="172">
        <f t="shared" si="47"/>
        <v>2.7223576083921164E-2</v>
      </c>
      <c r="I183" s="336"/>
      <c r="J183" s="223"/>
      <c r="K183" s="218"/>
      <c r="M183" s="364">
        <f t="shared" si="48"/>
        <v>4.9293621884151131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'[1]Sch C'!D195</f>
        <v>3810</v>
      </c>
      <c r="D184" s="558">
        <f>'[1]Sch C'!F195</f>
        <v>0</v>
      </c>
      <c r="E184" s="171">
        <f t="shared" si="45"/>
        <v>3810</v>
      </c>
      <c r="F184" s="216"/>
      <c r="G184" s="171">
        <f t="shared" si="46"/>
        <v>3810</v>
      </c>
      <c r="H184" s="172">
        <f t="shared" si="47"/>
        <v>1.5028663625788171E-3</v>
      </c>
      <c r="I184" s="336"/>
      <c r="J184" s="223"/>
      <c r="K184" s="218"/>
      <c r="M184" s="364">
        <f t="shared" si="48"/>
        <v>0.27212341975573173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'[1]Sch C'!D196</f>
        <v>0</v>
      </c>
      <c r="D185" s="558">
        <f>'[1]Sch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'[1]Sch C'!D197</f>
        <v>48346</v>
      </c>
      <c r="D186" s="558">
        <f>'[1]Sch C'!F197</f>
        <v>0</v>
      </c>
      <c r="E186" s="171">
        <f t="shared" si="45"/>
        <v>48346</v>
      </c>
      <c r="F186" s="216"/>
      <c r="G186" s="171">
        <f t="shared" si="46"/>
        <v>48346</v>
      </c>
      <c r="H186" s="172">
        <f t="shared" si="47"/>
        <v>1.9070230227095929E-2</v>
      </c>
      <c r="I186" s="336"/>
      <c r="J186" s="223"/>
      <c r="K186" s="218"/>
      <c r="M186" s="364">
        <f t="shared" si="48"/>
        <v>3.4530390686379544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'[1]Sch C'!D198</f>
        <v>4403</v>
      </c>
      <c r="D187" s="558">
        <f>'[1]Sch C'!F198</f>
        <v>0</v>
      </c>
      <c r="E187" s="171">
        <f t="shared" si="45"/>
        <v>4403</v>
      </c>
      <c r="F187" s="216"/>
      <c r="G187" s="171">
        <f t="shared" si="46"/>
        <v>4403</v>
      </c>
      <c r="H187" s="172">
        <f t="shared" si="47"/>
        <v>1.7367770589067012E-3</v>
      </c>
      <c r="I187" s="336"/>
      <c r="J187" s="223"/>
      <c r="K187" s="218"/>
      <c r="M187" s="364">
        <f t="shared" si="48"/>
        <v>0.31447753731876293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'[1]Sch C'!D199</f>
        <v>0</v>
      </c>
      <c r="D188" s="558">
        <f>'[1]Sch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'[1]Sch C'!D200</f>
        <v>0</v>
      </c>
      <c r="D189" s="558">
        <f>'[1]Sch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'[1]Sch C'!D201</f>
        <v>0</v>
      </c>
      <c r="D190" s="558">
        <f>'[1]Sch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'[1]Sch C'!D202</f>
        <v>0</v>
      </c>
      <c r="D191" s="558">
        <f>'[1]Sch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'[1]Sch C'!D203</f>
        <v>0</v>
      </c>
      <c r="D192" s="558">
        <f>'[1]Sch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'[1]Sch C'!D204</f>
        <v>0</v>
      </c>
      <c r="D193" s="558">
        <f>'[1]Sch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'[1]Sch C'!D205</f>
        <v>41611</v>
      </c>
      <c r="D194" s="558">
        <f>'[1]Sch C'!F205</f>
        <v>0</v>
      </c>
      <c r="E194" s="171">
        <f t="shared" si="45"/>
        <v>41611</v>
      </c>
      <c r="F194" s="216"/>
      <c r="G194" s="171">
        <f t="shared" si="46"/>
        <v>41611</v>
      </c>
      <c r="H194" s="172">
        <f t="shared" si="47"/>
        <v>1.64135885074192E-2</v>
      </c>
      <c r="I194" s="336"/>
      <c r="J194" s="223"/>
      <c r="K194" s="218"/>
      <c r="M194" s="364">
        <f t="shared" si="48"/>
        <v>2.9720019998571532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'[1]Sch C'!D206</f>
        <v>2996</v>
      </c>
      <c r="D195" s="558">
        <f>'[1]Sch C'!F206</f>
        <v>0</v>
      </c>
      <c r="E195" s="171">
        <f t="shared" si="45"/>
        <v>2996</v>
      </c>
      <c r="F195" s="216"/>
      <c r="G195" s="171">
        <f t="shared" si="46"/>
        <v>2996</v>
      </c>
      <c r="H195" s="172">
        <f t="shared" si="47"/>
        <v>1.1817815281590907E-3</v>
      </c>
      <c r="I195" s="336"/>
      <c r="J195" s="223"/>
      <c r="K195" s="218"/>
      <c r="M195" s="364">
        <f t="shared" si="48"/>
        <v>0.21398471537747304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'[1]Sch C'!D207</f>
        <v>0</v>
      </c>
      <c r="D196" s="558">
        <f>'[1]Sch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170251</v>
      </c>
      <c r="D197" s="558">
        <f>SUM(D164:D196)</f>
        <v>0</v>
      </c>
      <c r="E197" s="171">
        <f t="shared" ref="E197:F197" si="49">SUM(E164:E196)</f>
        <v>170251</v>
      </c>
      <c r="F197" s="171">
        <f t="shared" si="49"/>
        <v>0</v>
      </c>
      <c r="G197" s="171">
        <f>SUM(G164:G196)</f>
        <v>170251</v>
      </c>
      <c r="H197" s="172">
        <f>IF($G$208=0,0,G197/$G$208)</f>
        <v>6.7156037032915006E-2</v>
      </c>
      <c r="I197" s="336"/>
      <c r="J197" s="168"/>
      <c r="K197" s="168"/>
      <c r="M197" s="364">
        <f>G197/G$228</f>
        <v>12.159917148775088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'[1]Sch C'!D211</f>
        <v>54892</v>
      </c>
      <c r="D200" s="558">
        <f>'[1]Sch C'!F211</f>
        <v>3052.76</v>
      </c>
      <c r="E200" s="171">
        <f t="shared" ref="E200:E205" si="50">C200+D200</f>
        <v>57944.76</v>
      </c>
      <c r="F200" s="171"/>
      <c r="G200" s="171">
        <f t="shared" ref="G200:G205" si="51">E200+F200</f>
        <v>57944.76</v>
      </c>
      <c r="H200" s="172">
        <f t="shared" ref="H200:H206" si="52">IF($G$208=0,0,G200/$G$208)</f>
        <v>2.2856490995197515E-2</v>
      </c>
      <c r="I200" s="336"/>
      <c r="J200" s="183">
        <v>3892.7500000000005</v>
      </c>
      <c r="K200" s="183">
        <v>4103.3500000000004</v>
      </c>
      <c r="M200" s="364">
        <f t="shared" ref="M200:M205" si="53">G200/G$228</f>
        <v>4.1386158131562034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'[1]Sch C'!D212</f>
        <v>0</v>
      </c>
      <c r="D201" s="558">
        <f>'[1]Sch C'!F212</f>
        <v>8540.89</v>
      </c>
      <c r="E201" s="171">
        <f t="shared" si="50"/>
        <v>8540.89</v>
      </c>
      <c r="F201" s="171"/>
      <c r="G201" s="171">
        <f t="shared" si="51"/>
        <v>8540.89</v>
      </c>
      <c r="H201" s="172">
        <f t="shared" si="52"/>
        <v>3.3689806528834098E-3</v>
      </c>
      <c r="I201" s="336"/>
      <c r="J201" s="168"/>
      <c r="K201" s="168"/>
      <c r="M201" s="364">
        <f t="shared" si="53"/>
        <v>0.61001999857153055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'[1]Sch C'!D213</f>
        <v>7771</v>
      </c>
      <c r="D202" s="558">
        <f>'[1]Sch C'!F213</f>
        <v>0</v>
      </c>
      <c r="E202" s="171">
        <f t="shared" si="50"/>
        <v>7771</v>
      </c>
      <c r="F202" s="171"/>
      <c r="G202" s="171">
        <f t="shared" si="51"/>
        <v>7771</v>
      </c>
      <c r="H202" s="172">
        <f t="shared" si="52"/>
        <v>3.0652951453018339E-3</v>
      </c>
      <c r="I202" s="336"/>
      <c r="J202" s="168"/>
      <c r="K202" s="168"/>
      <c r="M202" s="364">
        <f t="shared" si="53"/>
        <v>0.55503178344403969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'[1]Sch C'!D214</f>
        <v>0</v>
      </c>
      <c r="D203" s="558">
        <f>'[1]Sch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'[1]Sch C'!D215</f>
        <v>0</v>
      </c>
      <c r="D204" s="558">
        <f>'[1]Sch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'[1]Sch C'!D216</f>
        <v>2743</v>
      </c>
      <c r="D205" s="558">
        <f>'[1]Sch C'!F216</f>
        <v>0</v>
      </c>
      <c r="E205" s="171">
        <f t="shared" si="50"/>
        <v>2743</v>
      </c>
      <c r="F205" s="171"/>
      <c r="G205" s="171">
        <f t="shared" si="51"/>
        <v>2743</v>
      </c>
      <c r="H205" s="172">
        <f t="shared" si="52"/>
        <v>1.0819848904340408E-3</v>
      </c>
      <c r="I205" s="336"/>
      <c r="J205" s="168"/>
      <c r="K205" s="168"/>
      <c r="M205" s="364">
        <f t="shared" si="53"/>
        <v>0.19591457753017641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65406</v>
      </c>
      <c r="D206" s="558">
        <f>SUM(D200:D205)</f>
        <v>11593.65</v>
      </c>
      <c r="E206" s="171">
        <f t="shared" ref="E206:F206" si="54">SUM(E200:E205)</f>
        <v>76999.649999999994</v>
      </c>
      <c r="F206" s="171">
        <f t="shared" si="54"/>
        <v>0</v>
      </c>
      <c r="G206" s="171">
        <f>SUM(G200:G205)</f>
        <v>76999.649999999994</v>
      </c>
      <c r="H206" s="172">
        <f t="shared" si="52"/>
        <v>3.0372751683816798E-2</v>
      </c>
      <c r="I206" s="336"/>
      <c r="J206" s="168"/>
      <c r="K206" s="168"/>
      <c r="M206" s="364">
        <f>G206/G$228</f>
        <v>5.4995821727019498</v>
      </c>
      <c r="N206" s="359">
        <f>SUMMARY!J209</f>
        <v>7.1515095990067339</v>
      </c>
      <c r="O206" s="354">
        <f>M206/N206-1</f>
        <v>-0.23099003132628371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2908971</v>
      </c>
      <c r="D208" s="558">
        <f>SUM(D25:D206)/2</f>
        <v>-373815.45</v>
      </c>
      <c r="E208" s="171">
        <f t="shared" ref="E208:F208" si="55">SUM(E25:E206)/2</f>
        <v>2535155.5499999998</v>
      </c>
      <c r="F208" s="171">
        <f t="shared" si="55"/>
        <v>0</v>
      </c>
      <c r="G208" s="171">
        <f>SUM(G25:G206)/2</f>
        <v>2535155.5499999998</v>
      </c>
      <c r="H208" s="172">
        <f>IF($G$208=0,0,G208/$G$208)</f>
        <v>1</v>
      </c>
      <c r="I208" s="336"/>
      <c r="J208" s="183">
        <f>SUM(J25:J200)</f>
        <v>71060.659999999989</v>
      </c>
      <c r="K208" s="183">
        <f>SUM(K25:K200)</f>
        <v>75636.42</v>
      </c>
      <c r="M208" s="364">
        <f>G208/G$228</f>
        <v>181.06960574244695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-1.5816337742086493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'[1]Sch C'!D221</f>
        <v>2908971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-42131</v>
      </c>
      <c r="D215" s="558">
        <f>D21-D208</f>
        <v>373815.45</v>
      </c>
      <c r="E215" s="171">
        <f t="shared" ref="E215:F215" si="56">E21-E208</f>
        <v>331684.45000000019</v>
      </c>
      <c r="F215" s="171">
        <f t="shared" si="56"/>
        <v>0</v>
      </c>
      <c r="G215" s="171">
        <f>G21-G208</f>
        <v>331684.45000000019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'[1]Sch D'!C9</f>
        <v>10524</v>
      </c>
      <c r="D219" s="592"/>
      <c r="E219" s="235">
        <f t="shared" ref="E219:G227" si="57">C219+D219</f>
        <v>10524</v>
      </c>
      <c r="F219" s="234"/>
      <c r="G219" s="235">
        <f t="shared" si="57"/>
        <v>10524</v>
      </c>
      <c r="H219" s="172">
        <f t="shared" ref="H219:H228" si="58">IF($G$228=0,0,G219/$G$228)</f>
        <v>0.75166059567173771</v>
      </c>
      <c r="I219" s="336"/>
      <c r="J219" s="168"/>
      <c r="K219" s="168"/>
    </row>
    <row r="220" spans="1:17">
      <c r="A220" s="163"/>
      <c r="B220" s="170" t="s">
        <v>217</v>
      </c>
      <c r="C220" s="592">
        <f>'[1]Sch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'[1]Sch D'!E9</f>
        <v>629</v>
      </c>
      <c r="D221" s="592"/>
      <c r="E221" s="235">
        <f t="shared" si="59"/>
        <v>629</v>
      </c>
      <c r="F221" s="234"/>
      <c r="G221" s="235">
        <f t="shared" si="57"/>
        <v>629</v>
      </c>
      <c r="H221" s="172">
        <f t="shared" si="58"/>
        <v>4.4925362474108992E-2</v>
      </c>
      <c r="I221" s="336"/>
      <c r="J221" s="168"/>
      <c r="K221" s="168"/>
    </row>
    <row r="222" spans="1:17">
      <c r="A222" s="163"/>
      <c r="B222" s="202" t="s">
        <v>334</v>
      </c>
      <c r="C222" s="592">
        <f>'[1]Sch D'!F9</f>
        <v>422</v>
      </c>
      <c r="D222" s="592"/>
      <c r="E222" s="235">
        <f>C222+D222</f>
        <v>422</v>
      </c>
      <c r="F222" s="234"/>
      <c r="G222" s="235">
        <f>E222+F222</f>
        <v>422</v>
      </c>
      <c r="H222" s="172">
        <f t="shared" si="58"/>
        <v>3.0140704235411757E-2</v>
      </c>
      <c r="I222" s="336"/>
      <c r="J222" s="168"/>
      <c r="K222" s="168"/>
    </row>
    <row r="223" spans="1:17">
      <c r="A223" s="163"/>
      <c r="B223" s="170" t="s">
        <v>73</v>
      </c>
      <c r="C223" s="592">
        <f>'[1]Sch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'[1]Sch D'!H9</f>
        <v>1918</v>
      </c>
      <c r="D224" s="592"/>
      <c r="E224" s="235">
        <f t="shared" si="59"/>
        <v>1918</v>
      </c>
      <c r="F224" s="234"/>
      <c r="G224" s="235">
        <f t="shared" si="57"/>
        <v>1918</v>
      </c>
      <c r="H224" s="172">
        <f t="shared" si="58"/>
        <v>0.13699021498464395</v>
      </c>
      <c r="I224" s="336"/>
      <c r="J224" s="168"/>
      <c r="K224" s="168"/>
    </row>
    <row r="225" spans="1:11">
      <c r="A225" s="163"/>
      <c r="B225" s="170" t="s">
        <v>236</v>
      </c>
      <c r="C225" s="592">
        <f>'[1]Sch D'!I9</f>
        <v>508</v>
      </c>
      <c r="D225" s="592"/>
      <c r="E225" s="235">
        <f t="shared" si="59"/>
        <v>508</v>
      </c>
      <c r="F225" s="234"/>
      <c r="G225" s="235">
        <f t="shared" si="57"/>
        <v>508</v>
      </c>
      <c r="H225" s="172">
        <f t="shared" si="58"/>
        <v>3.6283122634097567E-2</v>
      </c>
      <c r="I225" s="336"/>
      <c r="J225" s="168"/>
      <c r="K225" s="168"/>
    </row>
    <row r="226" spans="1:11">
      <c r="A226" s="163"/>
      <c r="B226" s="170" t="s">
        <v>235</v>
      </c>
      <c r="C226" s="592">
        <f>'[1]Sch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'[1]Sch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14001</v>
      </c>
      <c r="D228" s="592">
        <f>SUM(D219:D227)</f>
        <v>0</v>
      </c>
      <c r="E228" s="237">
        <f>SUM(E219:E227)</f>
        <v>14001</v>
      </c>
      <c r="F228" s="237">
        <f>SUM(F219:F227)</f>
        <v>0</v>
      </c>
      <c r="G228" s="237">
        <f>SUM(G219:G227)</f>
        <v>14001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'[1]Sch D'!N22</f>
        <v>52</v>
      </c>
      <c r="D231" s="559"/>
      <c r="E231" s="235">
        <f>C231+D231</f>
        <v>52</v>
      </c>
      <c r="F231" s="235"/>
      <c r="G231" s="235">
        <f>E231+F231</f>
        <v>52</v>
      </c>
      <c r="H231" s="167"/>
      <c r="J231" s="168"/>
      <c r="K231" s="168"/>
    </row>
    <row r="232" spans="1:11">
      <c r="A232" s="163"/>
      <c r="B232" s="202" t="s">
        <v>290</v>
      </c>
      <c r="C232" s="593">
        <f>'[1]Sch D'!N24</f>
        <v>52</v>
      </c>
      <c r="D232" s="559"/>
      <c r="E232" s="235">
        <f>C232+D232</f>
        <v>52</v>
      </c>
      <c r="F232" s="235"/>
      <c r="G232" s="235">
        <f>E232+F232</f>
        <v>52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'[1]Sch D'!N28</f>
        <v>19032</v>
      </c>
      <c r="D235" s="483"/>
      <c r="E235" s="234">
        <f>E231*E233</f>
        <v>19032</v>
      </c>
      <c r="F235" s="239"/>
      <c r="G235" s="234">
        <f>G231*G233</f>
        <v>19032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'[1]Sch D'!N30</f>
        <v>0.73565573770491799</v>
      </c>
      <c r="D236" s="239"/>
      <c r="E236" s="244">
        <f>IFERROR(E228/E235,"0")</f>
        <v>0.73565573770491799</v>
      </c>
      <c r="F236" s="245"/>
      <c r="G236" s="244">
        <f>IFERROR(G228/G235,"0")</f>
        <v>0.73565573770491799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'[1]Sch D'!N32</f>
        <v>0.55296343001261039</v>
      </c>
      <c r="D237" s="239"/>
      <c r="E237" s="244">
        <f>IFERROR((E219+E220)/E235,"0")</f>
        <v>0.55296343001261039</v>
      </c>
      <c r="F237" s="245"/>
      <c r="G237" s="244">
        <f>IFERROR((G219+G220)/G235,"0")</f>
        <v>0.55296343001261039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'[1]Sch D'!N34</f>
        <v>0.75166059567173782</v>
      </c>
      <c r="D238" s="239"/>
      <c r="E238" s="244">
        <f>IFERROR((E237/E236),"0")</f>
        <v>0.75166059567173782</v>
      </c>
      <c r="F238" s="245"/>
      <c r="G238" s="244">
        <f>IFERROR((G237/G236),"0")</f>
        <v>0.75166059567173782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185.98685939553201</v>
      </c>
    </row>
    <row r="242" spans="2:7">
      <c r="F242" s="142" t="s">
        <v>341</v>
      </c>
      <c r="G242" s="558">
        <v>182.0042643923241</v>
      </c>
    </row>
    <row r="243" spans="2:7">
      <c r="F243" s="142" t="s">
        <v>342</v>
      </c>
      <c r="G243" s="558">
        <v>179.68122270742359</v>
      </c>
    </row>
    <row r="244" spans="2:7">
      <c r="F244" s="142" t="s">
        <v>343</v>
      </c>
      <c r="G244" s="558">
        <v>180.95652173913044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14" sqref="F14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  <customSheetView guid="{8B6AA640-12E9-11D5-ABB1-E7A21A3D4A14}" showGridLines="0" showRuler="0">
      <pageMargins left="0.75" right="0.75" top="1" bottom="1" header="0.5" footer="0.5"/>
      <headerFooter alignWithMargins="0"/>
    </customSheetView>
  </customSheetViews>
  <phoneticPr fontId="0" type="noConversion"/>
  <printOptions horizontalCentered="1"/>
  <pageMargins left="0" right="0" top="0" bottom="1" header="0.5" footer="0.5"/>
  <pageSetup scale="49" fitToHeight="4" orientation="landscape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E28CAB"/>
  </sheetPr>
  <dimension ref="A1:Q245"/>
  <sheetViews>
    <sheetView showGridLines="0" topLeftCell="A219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650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556" t="s">
        <v>492</v>
      </c>
      <c r="D1" s="472"/>
      <c r="E1" s="472"/>
      <c r="F1" s="472"/>
      <c r="G1" s="472"/>
      <c r="H1" s="472"/>
      <c r="I1" s="649"/>
    </row>
    <row r="2" spans="1:17" ht="23">
      <c r="B2" s="143" t="s">
        <v>189</v>
      </c>
      <c r="C2" s="246" t="s">
        <v>584</v>
      </c>
      <c r="D2" s="246"/>
      <c r="E2" s="144"/>
      <c r="I2" s="650" t="s">
        <v>641</v>
      </c>
    </row>
    <row r="3" spans="1:17">
      <c r="A3" s="145"/>
      <c r="B3" s="140" t="s">
        <v>79</v>
      </c>
      <c r="C3" s="489">
        <v>42186</v>
      </c>
      <c r="D3" s="144"/>
      <c r="E3" s="400"/>
      <c r="F3" s="400" t="s">
        <v>583</v>
      </c>
      <c r="I3" s="660" t="s">
        <v>643</v>
      </c>
    </row>
    <row r="4" spans="1:17">
      <c r="A4" s="145"/>
      <c r="B4" s="148" t="s">
        <v>80</v>
      </c>
      <c r="C4" s="489">
        <v>42551</v>
      </c>
      <c r="D4" s="144"/>
      <c r="E4" s="400"/>
      <c r="F4" s="400" t="s">
        <v>582</v>
      </c>
      <c r="G4" s="150"/>
      <c r="I4" s="660" t="s">
        <v>642</v>
      </c>
    </row>
    <row r="5" spans="1:17">
      <c r="A5" s="145"/>
      <c r="B5" s="148"/>
      <c r="C5" s="151"/>
      <c r="D5" s="144"/>
      <c r="F5" s="460" t="s">
        <v>491</v>
      </c>
      <c r="I5" s="650" t="s">
        <v>698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651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652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652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 t="s">
        <v>486</v>
      </c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580" t="s">
        <v>487</v>
      </c>
      <c r="D10" s="165"/>
      <c r="E10" s="165"/>
      <c r="F10" s="575" t="s">
        <v>480</v>
      </c>
      <c r="G10" s="165"/>
      <c r="H10" s="166"/>
      <c r="I10" s="653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'[10]Sch B'!E10</f>
        <v>3204953</v>
      </c>
      <c r="D11" s="558">
        <f>'[10]Sch B'!G10</f>
        <v>0</v>
      </c>
      <c r="E11" s="490">
        <f>C11+D11-54745.05</f>
        <v>3150207.95</v>
      </c>
      <c r="F11" s="490">
        <f>845483-15067.52</f>
        <v>830415.48</v>
      </c>
      <c r="G11" s="171">
        <f t="shared" ref="G11:G20" si="0">E11+F11</f>
        <v>3980623.43</v>
      </c>
      <c r="H11" s="172">
        <f t="shared" ref="H11:H21" si="1">IF($G$21=0,0,G11/$G$21)</f>
        <v>0.53285470886125774</v>
      </c>
      <c r="I11" s="673" t="s">
        <v>693</v>
      </c>
      <c r="J11" s="368" t="s">
        <v>344</v>
      </c>
      <c r="K11" s="369">
        <f>G21</f>
        <v>7470373</v>
      </c>
      <c r="M11" s="359">
        <f>IFERROR(G11/G219,0)</f>
        <v>184.97320771375465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'[10]Sch B'!E15</f>
        <v>0</v>
      </c>
      <c r="D12" s="558">
        <f>'[10]Sch B'!G15</f>
        <v>0</v>
      </c>
      <c r="E12" s="171">
        <f t="shared" ref="E12:E19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648"/>
      <c r="J12" s="370" t="s">
        <v>345</v>
      </c>
      <c r="K12" s="371">
        <f>G208</f>
        <v>7026809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'[10]Sch B'!E21</f>
        <v>768181</v>
      </c>
      <c r="D13" s="558">
        <f>'[10]Sch B'!G21</f>
        <v>0</v>
      </c>
      <c r="E13" s="171">
        <f t="shared" si="2"/>
        <v>768181</v>
      </c>
      <c r="F13" s="171">
        <v>106275</v>
      </c>
      <c r="G13" s="171">
        <f t="shared" si="0"/>
        <v>874456</v>
      </c>
      <c r="H13" s="172">
        <f t="shared" si="1"/>
        <v>0.11705653787300849</v>
      </c>
      <c r="I13" s="648"/>
      <c r="J13" s="370" t="s">
        <v>346</v>
      </c>
      <c r="K13" s="371">
        <f>G228</f>
        <v>32308</v>
      </c>
      <c r="M13" s="359">
        <f t="shared" si="3"/>
        <v>584.92040133779267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'[10]Sch B'!E27</f>
        <v>1198447</v>
      </c>
      <c r="D14" s="558">
        <f>'[10]Sch B'!G27</f>
        <v>0</v>
      </c>
      <c r="E14" s="171">
        <f t="shared" si="2"/>
        <v>1198447</v>
      </c>
      <c r="F14" s="175">
        <v>219294</v>
      </c>
      <c r="G14" s="175">
        <f>E14+F14</f>
        <v>1417741</v>
      </c>
      <c r="H14" s="176">
        <f t="shared" si="1"/>
        <v>0.18978182213926936</v>
      </c>
      <c r="I14" s="654"/>
      <c r="J14" s="370" t="s">
        <v>347</v>
      </c>
      <c r="K14" s="371">
        <f>G231</f>
        <v>120</v>
      </c>
      <c r="M14" s="359">
        <f t="shared" si="3"/>
        <v>449.22084917617235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'[10]Sch B'!E32</f>
        <v>-872</v>
      </c>
      <c r="D15" s="558">
        <f>'[10]Sch B'!G32</f>
        <v>0</v>
      </c>
      <c r="E15" s="171">
        <f t="shared" si="2"/>
        <v>-872</v>
      </c>
      <c r="F15" s="490">
        <v>872</v>
      </c>
      <c r="G15" s="171">
        <f t="shared" si="0"/>
        <v>0</v>
      </c>
      <c r="H15" s="172">
        <f t="shared" si="1"/>
        <v>0</v>
      </c>
      <c r="I15" s="674" t="s">
        <v>420</v>
      </c>
      <c r="J15" s="370" t="s">
        <v>348</v>
      </c>
      <c r="K15" s="371">
        <f>G235</f>
        <v>43920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'[10]Sch B'!E37</f>
        <v>526086</v>
      </c>
      <c r="D16" s="558">
        <f>'[10]Sch B'!G37</f>
        <v>0</v>
      </c>
      <c r="E16" s="171">
        <f t="shared" si="2"/>
        <v>526086</v>
      </c>
      <c r="F16" s="171">
        <v>67020</v>
      </c>
      <c r="G16" s="171">
        <f t="shared" si="0"/>
        <v>593106</v>
      </c>
      <c r="H16" s="172">
        <f t="shared" si="1"/>
        <v>7.9394429167057662E-2</v>
      </c>
      <c r="I16" s="648"/>
      <c r="J16" s="372"/>
      <c r="K16" s="371"/>
      <c r="M16" s="359">
        <f t="shared" si="3"/>
        <v>187.69177215189873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'[10]Sch B'!E42</f>
        <v>0</v>
      </c>
      <c r="D17" s="558">
        <f>'[10]Sch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J17" s="370" t="s">
        <v>156</v>
      </c>
      <c r="K17" s="371">
        <f>J208</f>
        <v>192944.89803921565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'[10]Sch B'!E47</f>
        <v>427574</v>
      </c>
      <c r="D18" s="558">
        <f>'[10]Sch B'!G47</f>
        <v>0</v>
      </c>
      <c r="E18" s="171">
        <f t="shared" si="2"/>
        <v>427574</v>
      </c>
      <c r="F18" s="490">
        <f>106437+126</f>
        <v>106563</v>
      </c>
      <c r="G18" s="171">
        <f>E18+F18</f>
        <v>534137</v>
      </c>
      <c r="H18" s="172">
        <f t="shared" si="1"/>
        <v>7.1500713552054229E-2</v>
      </c>
      <c r="I18" s="674" t="s">
        <v>424</v>
      </c>
      <c r="J18" s="373" t="s">
        <v>252</v>
      </c>
      <c r="K18" s="374">
        <f>K208</f>
        <v>202515</v>
      </c>
      <c r="M18" s="359">
        <f t="shared" si="3"/>
        <v>179.42122942559624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'[10]Sch B'!E52</f>
        <v>126</v>
      </c>
      <c r="D19" s="558">
        <f>'[10]Sch B'!G52</f>
        <v>0</v>
      </c>
      <c r="E19" s="171">
        <f t="shared" si="2"/>
        <v>126</v>
      </c>
      <c r="F19" s="490">
        <v>-126</v>
      </c>
      <c r="G19" s="171">
        <f t="shared" si="0"/>
        <v>0</v>
      </c>
      <c r="H19" s="172">
        <f t="shared" si="1"/>
        <v>0</v>
      </c>
      <c r="I19" s="674" t="s">
        <v>424</v>
      </c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'[10]Sch B'!E67</f>
        <v>1089</v>
      </c>
      <c r="D20" s="558">
        <f>'[10]Sch B'!G67</f>
        <v>0</v>
      </c>
      <c r="E20" s="490">
        <f>C20+D20-872+54745.05</f>
        <v>54962.05</v>
      </c>
      <c r="F20" s="490">
        <f>280+15067.52</f>
        <v>15347.52</v>
      </c>
      <c r="G20" s="171">
        <f t="shared" si="0"/>
        <v>70309.570000000007</v>
      </c>
      <c r="H20" s="172">
        <f t="shared" si="1"/>
        <v>9.4117884073526194E-3</v>
      </c>
      <c r="I20" s="674" t="s">
        <v>697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6125584</v>
      </c>
      <c r="D21" s="558">
        <f>SUM(D11:D20)</f>
        <v>0</v>
      </c>
      <c r="E21" s="171">
        <f>SUM(E11:E20)</f>
        <v>6124712</v>
      </c>
      <c r="F21" s="171">
        <f>SUM(F11:F20)</f>
        <v>1345661</v>
      </c>
      <c r="G21" s="171">
        <f>SUM(G11:G20)</f>
        <v>7470373</v>
      </c>
      <c r="H21" s="172">
        <f t="shared" si="1"/>
        <v>1</v>
      </c>
      <c r="I21" s="648"/>
      <c r="J21" s="168"/>
      <c r="K21" s="168"/>
      <c r="M21" s="359">
        <f>IFERROR(G21/G228,0)</f>
        <v>231.22362882258264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F24" s="401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'[10]Sch C'!D10</f>
        <v>126829</v>
      </c>
      <c r="D25" s="558">
        <f>'[10]Sch C'!F10</f>
        <v>7533</v>
      </c>
      <c r="E25" s="171">
        <f t="shared" ref="E25:E60" si="4">C25+D25</f>
        <v>134362</v>
      </c>
      <c r="F25" s="171">
        <v>42599</v>
      </c>
      <c r="G25" s="182">
        <f>E25+F25</f>
        <v>176961</v>
      </c>
      <c r="H25" s="172">
        <f>IF($G$208=0,0,G25/$G$208)</f>
        <v>2.518369291096428E-2</v>
      </c>
      <c r="I25" s="648"/>
      <c r="J25" s="183">
        <f>2590+825</f>
        <v>3415</v>
      </c>
      <c r="K25" s="183">
        <f>2744+870</f>
        <v>3614</v>
      </c>
      <c r="M25" s="359">
        <f>G25/G$228</f>
        <v>5.4773121208369444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'[10]Sch C'!D11</f>
        <v>0</v>
      </c>
      <c r="D26" s="558">
        <f>'[10]Sch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648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'[10]Sch C'!D12</f>
        <v>201007</v>
      </c>
      <c r="D27" s="558">
        <f>'[10]Sch C'!F12</f>
        <v>11935</v>
      </c>
      <c r="E27" s="171">
        <f t="shared" si="4"/>
        <v>212942</v>
      </c>
      <c r="F27" s="171">
        <v>38601</v>
      </c>
      <c r="G27" s="171">
        <f t="shared" si="5"/>
        <v>251543</v>
      </c>
      <c r="H27" s="172">
        <f t="shared" si="6"/>
        <v>3.5797614535986393E-2</v>
      </c>
      <c r="I27" s="648"/>
      <c r="J27" s="185">
        <f>12182+2219</f>
        <v>14401</v>
      </c>
      <c r="K27" s="185">
        <f>12905+2339</f>
        <v>15244</v>
      </c>
      <c r="M27" s="359">
        <f t="shared" si="7"/>
        <v>7.7857806116132231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'[10]Sch C'!D13</f>
        <v>579646</v>
      </c>
      <c r="D28" s="558">
        <f>'[10]Sch C'!F13</f>
        <v>-536401</v>
      </c>
      <c r="E28" s="171">
        <f t="shared" si="4"/>
        <v>43245</v>
      </c>
      <c r="F28" s="171">
        <v>10294</v>
      </c>
      <c r="G28" s="171">
        <f t="shared" si="5"/>
        <v>53539</v>
      </c>
      <c r="H28" s="172">
        <f t="shared" si="6"/>
        <v>7.619247940281286E-3</v>
      </c>
      <c r="I28" s="648"/>
      <c r="J28" s="168"/>
      <c r="K28" s="168"/>
      <c r="M28" s="359">
        <f t="shared" si="7"/>
        <v>1.6571437414881762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'[10]Sch C'!D14</f>
        <v>0</v>
      </c>
      <c r="D29" s="558">
        <f>'[10]Sch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648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'[10]Sch C'!D15</f>
        <v>0</v>
      </c>
      <c r="D30" s="558">
        <f>'[10]Sch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648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'[10]Sch C'!D16</f>
        <v>304939</v>
      </c>
      <c r="D31" s="558">
        <f>'[10]Sch C'!F16</f>
        <v>125776</v>
      </c>
      <c r="E31" s="171">
        <f t="shared" si="4"/>
        <v>430715</v>
      </c>
      <c r="F31" s="171">
        <v>97877</v>
      </c>
      <c r="G31" s="171">
        <f t="shared" si="5"/>
        <v>528592</v>
      </c>
      <c r="H31" s="172">
        <f t="shared" si="6"/>
        <v>7.5225041693889785E-2</v>
      </c>
      <c r="I31" s="648"/>
      <c r="J31" s="168"/>
      <c r="K31" s="168"/>
      <c r="M31" s="359">
        <f t="shared" si="7"/>
        <v>16.361025133093971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'[10]Sch C'!D17</f>
        <v>0</v>
      </c>
      <c r="D32" s="558">
        <f>'[10]Sch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648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'[10]Sch C'!D18</f>
        <v>6395</v>
      </c>
      <c r="D33" s="558">
        <f>'[10]Sch C'!F18</f>
        <v>0</v>
      </c>
      <c r="E33" s="171">
        <f t="shared" si="4"/>
        <v>6395</v>
      </c>
      <c r="F33" s="171">
        <v>1297</v>
      </c>
      <c r="G33" s="171">
        <f t="shared" si="5"/>
        <v>7692</v>
      </c>
      <c r="H33" s="172">
        <f t="shared" si="6"/>
        <v>1.0946647333092447E-3</v>
      </c>
      <c r="I33" s="648"/>
      <c r="J33" s="168"/>
      <c r="K33" s="168"/>
      <c r="M33" s="359">
        <f t="shared" si="7"/>
        <v>0.23808344682431595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'[10]Sch C'!D19</f>
        <v>16452</v>
      </c>
      <c r="D34" s="558">
        <f>'[10]Sch C'!F19</f>
        <v>-3187</v>
      </c>
      <c r="E34" s="171">
        <f t="shared" si="4"/>
        <v>13265</v>
      </c>
      <c r="F34" s="171">
        <v>5810</v>
      </c>
      <c r="G34" s="171">
        <f t="shared" si="5"/>
        <v>19075</v>
      </c>
      <c r="H34" s="172">
        <f t="shared" si="6"/>
        <v>2.714603456561862E-3</v>
      </c>
      <c r="I34" s="648"/>
      <c r="J34" s="168"/>
      <c r="K34" s="168"/>
      <c r="M34" s="359">
        <f t="shared" si="7"/>
        <v>0.59041104370434572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'[10]Sch C'!D20</f>
        <v>27286</v>
      </c>
      <c r="D35" s="558">
        <f>'[10]Sch C'!F20</f>
        <v>0</v>
      </c>
      <c r="E35" s="171">
        <f t="shared" si="4"/>
        <v>27286</v>
      </c>
      <c r="F35" s="171">
        <v>6104</v>
      </c>
      <c r="G35" s="171">
        <f t="shared" si="5"/>
        <v>33390</v>
      </c>
      <c r="H35" s="172">
        <f t="shared" si="6"/>
        <v>4.7518012799266356E-3</v>
      </c>
      <c r="I35" s="648"/>
      <c r="J35" s="168"/>
      <c r="K35" s="168"/>
      <c r="M35" s="359">
        <f t="shared" si="7"/>
        <v>1.0334901572365978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'[10]Sch C'!D21</f>
        <v>2249</v>
      </c>
      <c r="D36" s="558">
        <f>'[10]Sch C'!F21</f>
        <v>0</v>
      </c>
      <c r="E36" s="171">
        <f t="shared" si="4"/>
        <v>2249</v>
      </c>
      <c r="F36" s="171">
        <v>1897</v>
      </c>
      <c r="G36" s="171">
        <f t="shared" si="5"/>
        <v>4146</v>
      </c>
      <c r="H36" s="172">
        <f t="shared" si="6"/>
        <v>5.9002599899897663E-4</v>
      </c>
      <c r="I36" s="648"/>
      <c r="J36" s="168"/>
      <c r="K36" s="168"/>
      <c r="M36" s="359">
        <f t="shared" si="7"/>
        <v>0.12832734926334036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'[10]Sch C'!D22</f>
        <v>0</v>
      </c>
      <c r="D37" s="558">
        <f>'[10]Sch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648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'[10]Sch C'!D23</f>
        <v>7304</v>
      </c>
      <c r="D38" s="558">
        <f>'[10]Sch C'!F23</f>
        <v>0</v>
      </c>
      <c r="E38" s="171">
        <f t="shared" si="4"/>
        <v>7304</v>
      </c>
      <c r="F38" s="171">
        <v>811</v>
      </c>
      <c r="G38" s="171">
        <f t="shared" si="5"/>
        <v>8115</v>
      </c>
      <c r="H38" s="172">
        <f t="shared" si="6"/>
        <v>1.1548627549147843E-3</v>
      </c>
      <c r="I38" s="648"/>
      <c r="J38" s="168"/>
      <c r="K38" s="168"/>
      <c r="M38" s="359">
        <f t="shared" si="7"/>
        <v>0.2511761792744831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'[10]Sch C'!D24</f>
        <v>49362</v>
      </c>
      <c r="D39" s="558">
        <f>'[10]Sch C'!F24</f>
        <v>-11000</v>
      </c>
      <c r="E39" s="171">
        <f t="shared" si="4"/>
        <v>38362</v>
      </c>
      <c r="F39" s="171">
        <v>7816</v>
      </c>
      <c r="G39" s="171">
        <f t="shared" si="5"/>
        <v>46178</v>
      </c>
      <c r="H39" s="172">
        <f t="shared" si="6"/>
        <v>6.5716885146586456E-3</v>
      </c>
      <c r="I39" s="648"/>
      <c r="J39" s="168"/>
      <c r="K39" s="168"/>
      <c r="M39" s="359">
        <f t="shared" si="7"/>
        <v>1.4293054351863315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'[10]Sch C'!D25</f>
        <v>0</v>
      </c>
      <c r="D40" s="558">
        <f>'[10]Sch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648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'[10]Sch C'!D26</f>
        <v>422936</v>
      </c>
      <c r="D41" s="558">
        <f>'[10]Sch C'!F26</f>
        <v>0</v>
      </c>
      <c r="E41" s="171">
        <f t="shared" si="4"/>
        <v>422936</v>
      </c>
      <c r="F41" s="171">
        <v>83741</v>
      </c>
      <c r="G41" s="171">
        <f t="shared" si="5"/>
        <v>506677</v>
      </c>
      <c r="H41" s="172">
        <f t="shared" si="6"/>
        <v>7.2106271851134704E-2</v>
      </c>
      <c r="I41" s="648"/>
      <c r="J41" s="168"/>
      <c r="K41" s="168"/>
      <c r="M41" s="359">
        <f t="shared" si="7"/>
        <v>15.682710164665098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'[10]Sch C'!D27</f>
        <v>0</v>
      </c>
      <c r="D42" s="558">
        <f>'[10]Sch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648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'[10]Sch C'!D28</f>
        <v>0</v>
      </c>
      <c r="D43" s="558">
        <f>'[10]Sch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648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'[10]Sch C'!D29</f>
        <v>53486</v>
      </c>
      <c r="D44" s="558">
        <f>'[10]Sch C'!F29</f>
        <v>-53486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648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'[10]Sch C'!D30</f>
        <v>0</v>
      </c>
      <c r="D45" s="558">
        <f>'[10]Sch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648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'[10]Sch C'!D31</f>
        <v>39820</v>
      </c>
      <c r="D46" s="558">
        <f>'[10]Sch C'!F31</f>
        <v>0</v>
      </c>
      <c r="E46" s="171">
        <f t="shared" si="4"/>
        <v>39820</v>
      </c>
      <c r="F46" s="171">
        <v>6364</v>
      </c>
      <c r="G46" s="171">
        <f t="shared" si="5"/>
        <v>46184</v>
      </c>
      <c r="H46" s="172">
        <f t="shared" si="6"/>
        <v>6.5725423873055321E-3</v>
      </c>
      <c r="I46" s="648"/>
      <c r="J46" s="168"/>
      <c r="K46" s="168"/>
      <c r="M46" s="359">
        <f t="shared" si="7"/>
        <v>1.4294911477033552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'[10]Sch C'!D32</f>
        <v>88000</v>
      </c>
      <c r="D47" s="558">
        <f>'[10]Sch C'!F32</f>
        <v>-30078</v>
      </c>
      <c r="E47" s="171">
        <f t="shared" si="4"/>
        <v>57922</v>
      </c>
      <c r="F47" s="171">
        <v>11584</v>
      </c>
      <c r="G47" s="171">
        <f t="shared" si="5"/>
        <v>69506</v>
      </c>
      <c r="H47" s="172">
        <f t="shared" si="6"/>
        <v>9.8915453657556374E-3</v>
      </c>
      <c r="I47" s="648"/>
      <c r="J47" s="168"/>
      <c r="K47" s="168"/>
      <c r="M47" s="359">
        <f t="shared" si="7"/>
        <v>2.1513557013742726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'[10]Sch C'!D33</f>
        <v>0</v>
      </c>
      <c r="D48" s="558">
        <f>'[10]Sch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648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'[10]Sch C'!D34</f>
        <v>0</v>
      </c>
      <c r="D49" s="558">
        <f>'[10]Sch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648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'[10]Sch C'!D35</f>
        <v>0</v>
      </c>
      <c r="D50" s="558">
        <f>'[10]Sch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648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'[10]Sch C'!D36</f>
        <v>0</v>
      </c>
      <c r="D51" s="558">
        <f>'[10]Sch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648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'[10]Sch C'!D37</f>
        <v>0</v>
      </c>
      <c r="D52" s="558">
        <f>'[10]Sch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648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'[10]Sch C'!D38</f>
        <v>0</v>
      </c>
      <c r="D53" s="558">
        <f>'[10]Sch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648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'[10]Sch C'!D39</f>
        <v>9569</v>
      </c>
      <c r="D54" s="558">
        <f>'[10]Sch C'!F39</f>
        <v>0</v>
      </c>
      <c r="E54" s="171">
        <f t="shared" si="4"/>
        <v>9569</v>
      </c>
      <c r="F54" s="171">
        <v>1371</v>
      </c>
      <c r="G54" s="171">
        <f t="shared" si="5"/>
        <v>10940</v>
      </c>
      <c r="H54" s="172">
        <f t="shared" si="6"/>
        <v>1.5568944594907873E-3</v>
      </c>
      <c r="I54" s="648"/>
      <c r="J54" s="168"/>
      <c r="K54" s="168"/>
      <c r="M54" s="359">
        <f t="shared" si="7"/>
        <v>0.33861582270645041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'[10]Sch C'!D40</f>
        <v>5560</v>
      </c>
      <c r="D55" s="558">
        <f>'[10]Sch C'!F40</f>
        <v>0</v>
      </c>
      <c r="E55" s="171">
        <f t="shared" si="4"/>
        <v>5560</v>
      </c>
      <c r="F55" s="171">
        <v>410</v>
      </c>
      <c r="G55" s="171">
        <f t="shared" si="5"/>
        <v>5970</v>
      </c>
      <c r="H55" s="172">
        <f t="shared" si="6"/>
        <v>8.4960328365265084E-4</v>
      </c>
      <c r="I55" s="648"/>
      <c r="J55" s="168"/>
      <c r="K55" s="168"/>
      <c r="M55" s="359">
        <f t="shared" si="7"/>
        <v>0.18478395443852916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'[10]Sch C'!D41</f>
        <v>23459</v>
      </c>
      <c r="D56" s="558">
        <f>'[10]Sch C'!F41</f>
        <v>0</v>
      </c>
      <c r="E56" s="171">
        <f t="shared" si="4"/>
        <v>23459</v>
      </c>
      <c r="F56" s="171">
        <v>4277</v>
      </c>
      <c r="G56" s="171">
        <f t="shared" si="5"/>
        <v>27736</v>
      </c>
      <c r="H56" s="172">
        <f t="shared" si="6"/>
        <v>3.9471686223433713E-3</v>
      </c>
      <c r="I56" s="648"/>
      <c r="J56" s="168"/>
      <c r="K56" s="168"/>
      <c r="M56" s="359">
        <f t="shared" si="7"/>
        <v>0.85848706202798064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'[10]Sch C'!D42</f>
        <v>11295</v>
      </c>
      <c r="D57" s="558">
        <f>'[10]Sch C'!F42</f>
        <v>0</v>
      </c>
      <c r="E57" s="171">
        <f t="shared" si="4"/>
        <v>11295</v>
      </c>
      <c r="F57" s="171">
        <v>2151</v>
      </c>
      <c r="G57" s="171">
        <f t="shared" si="5"/>
        <v>13446</v>
      </c>
      <c r="H57" s="172">
        <f t="shared" si="6"/>
        <v>1.9135286016739605E-3</v>
      </c>
      <c r="I57" s="648"/>
      <c r="J57" s="168"/>
      <c r="K57" s="168"/>
      <c r="M57" s="359">
        <f t="shared" si="7"/>
        <v>0.4161817506499938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'[10]Sch C'!D43</f>
        <v>14880</v>
      </c>
      <c r="D58" s="558">
        <f>'[10]Sch C'!F43</f>
        <v>0</v>
      </c>
      <c r="E58" s="171">
        <f t="shared" si="4"/>
        <v>14880</v>
      </c>
      <c r="F58" s="171">
        <v>1433</v>
      </c>
      <c r="G58" s="171">
        <f t="shared" si="5"/>
        <v>16313</v>
      </c>
      <c r="H58" s="172">
        <f t="shared" si="6"/>
        <v>2.321537414778173E-3</v>
      </c>
      <c r="I58" s="648"/>
      <c r="J58" s="168"/>
      <c r="K58" s="168"/>
      <c r="M58" s="359">
        <f t="shared" si="7"/>
        <v>0.50492138170112666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'[10]Sch C'!D44</f>
        <v>0</v>
      </c>
      <c r="D59" s="558">
        <f>'[10]Sch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648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'[10]Sch C'!D45</f>
        <v>17745</v>
      </c>
      <c r="D60" s="558">
        <f>'[10]Sch C'!F45</f>
        <v>-838</v>
      </c>
      <c r="E60" s="171">
        <f t="shared" si="4"/>
        <v>16907</v>
      </c>
      <c r="F60" s="171">
        <v>3362</v>
      </c>
      <c r="G60" s="171">
        <f t="shared" si="5"/>
        <v>20269</v>
      </c>
      <c r="H60" s="172">
        <f t="shared" si="6"/>
        <v>2.8845241132923923E-3</v>
      </c>
      <c r="I60" s="648"/>
      <c r="J60" s="168"/>
      <c r="K60" s="168"/>
      <c r="M60" s="359">
        <f t="shared" si="7"/>
        <v>0.62736783459205148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2008219</v>
      </c>
      <c r="D61" s="558">
        <f>SUM(D25:D60)</f>
        <v>-489746</v>
      </c>
      <c r="E61" s="171">
        <f t="shared" ref="E61:F61" si="8">SUM(E25:E60)</f>
        <v>1518473</v>
      </c>
      <c r="F61" s="171">
        <f t="shared" si="8"/>
        <v>327799</v>
      </c>
      <c r="G61" s="171">
        <f>SUM(G25:G60)</f>
        <v>1846272</v>
      </c>
      <c r="H61" s="186">
        <f t="shared" si="6"/>
        <v>0.26274685991891911</v>
      </c>
      <c r="I61" s="655"/>
      <c r="J61" s="168"/>
      <c r="K61" s="168"/>
      <c r="M61" s="364">
        <f>G61/G$228</f>
        <v>57.14597003838059</v>
      </c>
      <c r="N61" s="359">
        <f>SUMMARY!J64</f>
        <v>53.728790309602623</v>
      </c>
      <c r="O61" s="354">
        <f>M61/N61-1</f>
        <v>6.3600533514472923E-2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656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656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'[10]Sch C'!D57</f>
        <v>585000</v>
      </c>
      <c r="D64" s="558">
        <f>'[10]Sch C'!F57</f>
        <v>0</v>
      </c>
      <c r="E64" s="171">
        <f t="shared" ref="E64:E78" si="9">C64+D64</f>
        <v>585000</v>
      </c>
      <c r="F64" s="171">
        <v>105485</v>
      </c>
      <c r="G64" s="171">
        <f t="shared" ref="G64:G78" si="10">E64+F64</f>
        <v>690485</v>
      </c>
      <c r="H64" s="172">
        <f t="shared" ref="H64:H79" si="11">IF($G$208=0,0,G64/$G$208)</f>
        <v>9.8264375764304968E-2</v>
      </c>
      <c r="I64" s="648"/>
      <c r="J64" s="190"/>
      <c r="K64" s="168"/>
      <c r="M64" s="359">
        <f t="shared" ref="M64:M79" si="12">G64/G$228</f>
        <v>21.371951219512194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'[10]Sch C'!D58</f>
        <v>472</v>
      </c>
      <c r="D65" s="558">
        <f>'[10]Sch C'!F58</f>
        <v>0</v>
      </c>
      <c r="E65" s="171">
        <f t="shared" si="9"/>
        <v>472</v>
      </c>
      <c r="F65" s="171">
        <v>112</v>
      </c>
      <c r="G65" s="171">
        <f t="shared" si="10"/>
        <v>584</v>
      </c>
      <c r="H65" s="172">
        <f t="shared" si="11"/>
        <v>8.3110270963676405E-5</v>
      </c>
      <c r="I65" s="648"/>
      <c r="J65" s="190"/>
      <c r="K65" s="168"/>
      <c r="M65" s="359">
        <f t="shared" si="12"/>
        <v>1.8076018323635014E-2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'[10]Sch C'!D59</f>
        <v>0</v>
      </c>
      <c r="D66" s="558">
        <f>'[10]Sch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648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'[10]Sch C'!D60</f>
        <v>51031</v>
      </c>
      <c r="D67" s="558">
        <f>'[10]Sch C'!F60</f>
        <v>0</v>
      </c>
      <c r="E67" s="171">
        <f t="shared" si="9"/>
        <v>51031</v>
      </c>
      <c r="F67" s="171">
        <v>10325</v>
      </c>
      <c r="G67" s="171">
        <f t="shared" si="10"/>
        <v>61356</v>
      </c>
      <c r="H67" s="172">
        <f t="shared" si="11"/>
        <v>8.7317016870673437E-3</v>
      </c>
      <c r="I67" s="648"/>
      <c r="J67" s="193"/>
      <c r="K67" s="168"/>
      <c r="M67" s="359">
        <f t="shared" si="12"/>
        <v>1.8990961990838182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'[10]Sch C'!D61</f>
        <v>6845</v>
      </c>
      <c r="D68" s="558">
        <f>'[10]Sch C'!F61</f>
        <v>0</v>
      </c>
      <c r="E68" s="171">
        <f t="shared" si="9"/>
        <v>6845</v>
      </c>
      <c r="F68" s="171">
        <v>1292</v>
      </c>
      <c r="G68" s="171">
        <f t="shared" si="10"/>
        <v>8137</v>
      </c>
      <c r="H68" s="172">
        <f t="shared" si="11"/>
        <v>1.1579936212867035E-3</v>
      </c>
      <c r="I68" s="648"/>
      <c r="J68" s="193"/>
      <c r="K68" s="168"/>
      <c r="M68" s="359">
        <f t="shared" si="12"/>
        <v>0.25185712517023645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'[10]Sch C'!D62</f>
        <v>7070</v>
      </c>
      <c r="D69" s="558">
        <f>'[10]Sch C'!F62</f>
        <v>0</v>
      </c>
      <c r="E69" s="171">
        <f t="shared" si="9"/>
        <v>7070</v>
      </c>
      <c r="F69" s="171">
        <v>1414</v>
      </c>
      <c r="G69" s="171">
        <f t="shared" si="10"/>
        <v>8484</v>
      </c>
      <c r="H69" s="172">
        <f t="shared" si="11"/>
        <v>1.2073759226983399E-3</v>
      </c>
      <c r="I69" s="648"/>
      <c r="J69" s="195"/>
      <c r="K69" s="168"/>
      <c r="M69" s="359">
        <f t="shared" si="12"/>
        <v>0.26259749907143742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'[10]Sch C'!D63</f>
        <v>0</v>
      </c>
      <c r="D70" s="558">
        <f>'[10]Sch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648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'[10]Sch C'!D64</f>
        <v>0</v>
      </c>
      <c r="D71" s="558">
        <f>'[10]Sch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648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'[10]Sch C'!D65</f>
        <v>6076</v>
      </c>
      <c r="D72" s="558">
        <f>'[10]Sch C'!F65</f>
        <v>0</v>
      </c>
      <c r="E72" s="171">
        <f t="shared" si="9"/>
        <v>6076</v>
      </c>
      <c r="F72" s="171">
        <v>1333</v>
      </c>
      <c r="G72" s="171">
        <f t="shared" si="10"/>
        <v>7409</v>
      </c>
      <c r="H72" s="172">
        <f t="shared" si="11"/>
        <v>1.0543904067977371E-3</v>
      </c>
      <c r="I72" s="648"/>
      <c r="J72" s="195"/>
      <c r="K72" s="168"/>
      <c r="M72" s="359">
        <f t="shared" si="12"/>
        <v>0.22932400643803391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'[10]Sch C'!D66</f>
        <v>1892</v>
      </c>
      <c r="D73" s="558">
        <f>'[10]Sch C'!F66</f>
        <v>0</v>
      </c>
      <c r="E73" s="171">
        <f t="shared" si="9"/>
        <v>1892</v>
      </c>
      <c r="F73" s="171">
        <v>261</v>
      </c>
      <c r="G73" s="171">
        <f t="shared" si="10"/>
        <v>2153</v>
      </c>
      <c r="H73" s="172">
        <f t="shared" si="11"/>
        <v>3.0639796812464949E-4</v>
      </c>
      <c r="I73" s="648"/>
      <c r="J73" s="195"/>
      <c r="K73" s="168"/>
      <c r="M73" s="359">
        <f t="shared" si="12"/>
        <v>6.6639841525318808E-2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'[10]Sch C'!D67</f>
        <v>43815</v>
      </c>
      <c r="D74" s="558">
        <f>'[10]Sch C'!F67</f>
        <v>0</v>
      </c>
      <c r="E74" s="171">
        <f t="shared" si="9"/>
        <v>43815</v>
      </c>
      <c r="F74" s="171">
        <v>9341</v>
      </c>
      <c r="G74" s="171">
        <f t="shared" si="10"/>
        <v>53156</v>
      </c>
      <c r="H74" s="172">
        <f t="shared" si="11"/>
        <v>7.5647424029883269E-3</v>
      </c>
      <c r="I74" s="648"/>
      <c r="J74" s="195"/>
      <c r="K74" s="168"/>
      <c r="M74" s="359">
        <f t="shared" si="12"/>
        <v>1.6452890924848336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'[10]Sch C'!D68</f>
        <v>0</v>
      </c>
      <c r="D75" s="558">
        <f>'[10]Sch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648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'[10]Sch C'!D69</f>
        <v>7082</v>
      </c>
      <c r="D76" s="558">
        <f>'[10]Sch C'!F69</f>
        <v>0</v>
      </c>
      <c r="E76" s="171">
        <f t="shared" si="9"/>
        <v>7082</v>
      </c>
      <c r="F76" s="171">
        <v>1139</v>
      </c>
      <c r="G76" s="171">
        <f t="shared" si="10"/>
        <v>8221</v>
      </c>
      <c r="H76" s="172">
        <f t="shared" si="11"/>
        <v>1.1699478383431227E-3</v>
      </c>
      <c r="I76" s="648"/>
      <c r="J76" s="195"/>
      <c r="K76" s="168"/>
      <c r="M76" s="359">
        <f t="shared" si="12"/>
        <v>0.25445710040856756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'[10]Sch C'!D70</f>
        <v>0</v>
      </c>
      <c r="D77" s="558">
        <f>'[10]Sch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648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'[10]Sch C'!D71</f>
        <v>0</v>
      </c>
      <c r="D78" s="558">
        <f>'[10]Sch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648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709283</v>
      </c>
      <c r="D79" s="558">
        <f>SUM(D64:D78)</f>
        <v>0</v>
      </c>
      <c r="E79" s="171">
        <f t="shared" ref="E79:F79" si="13">SUM(E64:E78)</f>
        <v>709283</v>
      </c>
      <c r="F79" s="171">
        <f t="shared" si="13"/>
        <v>130702</v>
      </c>
      <c r="G79" s="171">
        <f>SUM(G64:G78)</f>
        <v>839985</v>
      </c>
      <c r="H79" s="172">
        <f t="shared" si="11"/>
        <v>0.11954003588257486</v>
      </c>
      <c r="I79" s="648"/>
      <c r="J79" s="195"/>
      <c r="K79" s="168"/>
      <c r="M79" s="359">
        <f t="shared" si="12"/>
        <v>25.999288102018077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648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65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'[10]Sch C'!D75</f>
        <v>53921</v>
      </c>
      <c r="D82" s="558">
        <f>'[10]Sch C'!F75</f>
        <v>3202</v>
      </c>
      <c r="E82" s="171">
        <f t="shared" ref="E82:E92" si="14">C82+D82</f>
        <v>57123</v>
      </c>
      <c r="F82" s="171">
        <v>10566</v>
      </c>
      <c r="G82" s="171">
        <f t="shared" ref="G82:G92" si="15">E82+F82</f>
        <v>67689</v>
      </c>
      <c r="H82" s="172">
        <f t="shared" ref="H82:H93" si="16">IF($G$208=0,0,G82/$G$208)</f>
        <v>9.6329642658566639E-3</v>
      </c>
      <c r="I82" s="648"/>
      <c r="J82" s="183">
        <f>3495+649</f>
        <v>4144</v>
      </c>
      <c r="K82" s="183">
        <f>3703+685</f>
        <v>4388</v>
      </c>
      <c r="M82" s="359">
        <f t="shared" ref="M82:M92" si="17">G82/G$228</f>
        <v>2.0951157608022779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'[10]Sch C'!D76</f>
        <v>0</v>
      </c>
      <c r="D83" s="558">
        <f>'[10]Sch C'!F76</f>
        <v>7072</v>
      </c>
      <c r="E83" s="171">
        <f t="shared" si="14"/>
        <v>7072</v>
      </c>
      <c r="F83" s="171">
        <v>1306</v>
      </c>
      <c r="G83" s="171">
        <f t="shared" si="15"/>
        <v>8378</v>
      </c>
      <c r="H83" s="172">
        <f t="shared" si="16"/>
        <v>1.1922908392700015E-3</v>
      </c>
      <c r="I83" s="648"/>
      <c r="J83" s="168"/>
      <c r="K83" s="168"/>
      <c r="M83" s="359">
        <f t="shared" si="17"/>
        <v>0.25931657793735297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'[10]Sch C'!D77</f>
        <v>15695</v>
      </c>
      <c r="D84" s="558">
        <f>'[10]Sch C'!F77</f>
        <v>0</v>
      </c>
      <c r="E84" s="171">
        <f t="shared" si="14"/>
        <v>15695</v>
      </c>
      <c r="F84" s="171">
        <v>2852</v>
      </c>
      <c r="G84" s="171">
        <f t="shared" si="15"/>
        <v>18547</v>
      </c>
      <c r="H84" s="172">
        <f t="shared" si="16"/>
        <v>2.6394626636357982E-3</v>
      </c>
      <c r="I84" s="648"/>
      <c r="J84" s="168"/>
      <c r="K84" s="168"/>
      <c r="M84" s="359">
        <f t="shared" si="17"/>
        <v>0.57406834220626468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'[10]Sch C'!D78</f>
        <v>0</v>
      </c>
      <c r="D85" s="558">
        <f>'[10]Sch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648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'[10]Sch C'!D79</f>
        <v>5630</v>
      </c>
      <c r="D86" s="558">
        <f>'[10]Sch C'!F79</f>
        <v>0</v>
      </c>
      <c r="E86" s="171">
        <f t="shared" si="14"/>
        <v>5630</v>
      </c>
      <c r="F86" s="171">
        <v>822</v>
      </c>
      <c r="G86" s="171">
        <f>E86+F86</f>
        <v>6452</v>
      </c>
      <c r="H86" s="172">
        <f t="shared" si="16"/>
        <v>9.1819771961924683E-4</v>
      </c>
      <c r="I86" s="648"/>
      <c r="J86" s="168"/>
      <c r="K86" s="168"/>
      <c r="M86" s="359">
        <f t="shared" si="17"/>
        <v>0.19970285997276216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'[10]Sch C'!D80</f>
        <v>22433</v>
      </c>
      <c r="D87" s="558">
        <f>'[10]Sch C'!F80</f>
        <v>0</v>
      </c>
      <c r="E87" s="171">
        <f t="shared" si="14"/>
        <v>22433</v>
      </c>
      <c r="F87" s="171">
        <v>3925</v>
      </c>
      <c r="G87" s="171">
        <f t="shared" si="15"/>
        <v>26358</v>
      </c>
      <c r="H87" s="172">
        <f t="shared" si="16"/>
        <v>3.7510625377749703E-3</v>
      </c>
      <c r="I87" s="648"/>
      <c r="J87" s="168"/>
      <c r="K87" s="168"/>
      <c r="M87" s="359">
        <f t="shared" si="17"/>
        <v>0.81583508728488296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'[10]Sch C'!D81</f>
        <v>5881</v>
      </c>
      <c r="D88" s="558">
        <f>'[10]Sch C'!F81</f>
        <v>0</v>
      </c>
      <c r="E88" s="171">
        <f t="shared" si="14"/>
        <v>5881</v>
      </c>
      <c r="F88" s="171">
        <v>1871</v>
      </c>
      <c r="G88" s="171">
        <f t="shared" si="15"/>
        <v>7752</v>
      </c>
      <c r="H88" s="172">
        <f t="shared" si="16"/>
        <v>1.1032034597781154E-3</v>
      </c>
      <c r="I88" s="648"/>
      <c r="J88" s="168"/>
      <c r="K88" s="168"/>
      <c r="M88" s="359">
        <f t="shared" si="17"/>
        <v>0.23994057199455243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'[10]Sch C'!D82</f>
        <v>118</v>
      </c>
      <c r="D89" s="558">
        <f>'[10]Sch C'!F82</f>
        <v>0</v>
      </c>
      <c r="E89" s="171">
        <f t="shared" si="14"/>
        <v>118</v>
      </c>
      <c r="F89" s="171">
        <v>0</v>
      </c>
      <c r="G89" s="171">
        <f t="shared" si="15"/>
        <v>118</v>
      </c>
      <c r="H89" s="172">
        <f t="shared" si="16"/>
        <v>1.6792828722112697E-5</v>
      </c>
      <c r="I89" s="648"/>
      <c r="J89" s="168"/>
      <c r="K89" s="168"/>
      <c r="M89" s="359">
        <f t="shared" si="17"/>
        <v>3.652346168131732E-3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'[10]Sch C'!D83</f>
        <v>0</v>
      </c>
      <c r="D90" s="558">
        <f>'[10]Sch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648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'[10]Sch C'!D84</f>
        <v>100795</v>
      </c>
      <c r="D91" s="558">
        <f>'[10]Sch C'!F84</f>
        <v>0</v>
      </c>
      <c r="E91" s="171">
        <f t="shared" si="14"/>
        <v>100795</v>
      </c>
      <c r="F91" s="171">
        <v>16585</v>
      </c>
      <c r="G91" s="171">
        <f t="shared" si="15"/>
        <v>117380</v>
      </c>
      <c r="H91" s="172">
        <f t="shared" si="16"/>
        <v>1.6704595215267699E-2</v>
      </c>
      <c r="I91" s="648"/>
      <c r="J91" s="168"/>
      <c r="K91" s="168"/>
      <c r="M91" s="359">
        <f t="shared" si="17"/>
        <v>3.6331558747059551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'[10]Sch C'!D85</f>
        <v>0</v>
      </c>
      <c r="D92" s="558">
        <f>'[10]Sch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648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204473</v>
      </c>
      <c r="D93" s="558">
        <f>SUM(D82:D92)</f>
        <v>10274</v>
      </c>
      <c r="E93" s="171">
        <f t="shared" ref="E93:F93" si="18">SUM(E82:E92)</f>
        <v>214747</v>
      </c>
      <c r="F93" s="171">
        <f t="shared" si="18"/>
        <v>37927</v>
      </c>
      <c r="G93" s="171">
        <f>SUM(G82:G92)</f>
        <v>252674</v>
      </c>
      <c r="H93" s="172">
        <f t="shared" si="16"/>
        <v>3.5958569529924607E-2</v>
      </c>
      <c r="I93" s="648"/>
      <c r="J93" s="168"/>
      <c r="K93" s="168"/>
      <c r="M93" s="364">
        <f>G93/G$228</f>
        <v>7.8207874210721799</v>
      </c>
      <c r="N93" s="359">
        <f>SUMMARY!J96</f>
        <v>11.458724454710746</v>
      </c>
      <c r="O93" s="354">
        <f>M93/N93-1</f>
        <v>-0.31748184957384062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65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65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'[10]Sch C'!D89</f>
        <v>171955</v>
      </c>
      <c r="D96" s="558">
        <f>'[10]Sch C'!F89</f>
        <v>10213</v>
      </c>
      <c r="E96" s="171">
        <f t="shared" ref="E96:E101" si="19">C96+D96</f>
        <v>182168</v>
      </c>
      <c r="F96" s="171">
        <v>36411</v>
      </c>
      <c r="G96" s="171">
        <f t="shared" ref="G96:G101" si="20">E96+F96</f>
        <v>218579</v>
      </c>
      <c r="H96" s="172">
        <f t="shared" ref="H96:H102" si="21">IF($G$208=0,0,G96/$G$208)</f>
        <v>3.110643821398874E-2</v>
      </c>
      <c r="I96" s="648"/>
      <c r="J96" s="183">
        <f>16086+3230</f>
        <v>19316</v>
      </c>
      <c r="K96" s="183">
        <f>17041+3406</f>
        <v>20447</v>
      </c>
      <c r="M96" s="364">
        <f t="shared" ref="M96:M101" si="22">G96/G$228</f>
        <v>6.7654760430853038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'[10]Sch C'!D90</f>
        <v>0</v>
      </c>
      <c r="D97" s="558">
        <f>'[10]Sch C'!F90</f>
        <v>22553</v>
      </c>
      <c r="E97" s="171">
        <f t="shared" si="19"/>
        <v>22553</v>
      </c>
      <c r="F97" s="171">
        <v>4498</v>
      </c>
      <c r="G97" s="171">
        <f t="shared" si="20"/>
        <v>27051</v>
      </c>
      <c r="H97" s="172">
        <f t="shared" si="21"/>
        <v>3.8496848284904285E-3</v>
      </c>
      <c r="I97" s="648"/>
      <c r="J97" s="168"/>
      <c r="K97" s="168"/>
      <c r="M97" s="364">
        <f t="shared" si="22"/>
        <v>0.83728488300111426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'[10]Sch C'!D91</f>
        <v>7655</v>
      </c>
      <c r="D98" s="558">
        <f>'[10]Sch C'!F91</f>
        <v>0</v>
      </c>
      <c r="E98" s="171">
        <f t="shared" si="19"/>
        <v>7655</v>
      </c>
      <c r="F98" s="171">
        <v>1789</v>
      </c>
      <c r="G98" s="171">
        <f t="shared" si="20"/>
        <v>9444</v>
      </c>
      <c r="H98" s="172">
        <f t="shared" si="21"/>
        <v>1.3439955462002738E-3</v>
      </c>
      <c r="I98" s="648"/>
      <c r="J98" s="168"/>
      <c r="K98" s="168"/>
      <c r="M98" s="364">
        <f t="shared" si="22"/>
        <v>0.29231150179522097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'[10]Sch C'!D92</f>
        <v>160142</v>
      </c>
      <c r="D99" s="558">
        <f>'[10]Sch C'!F92</f>
        <v>0</v>
      </c>
      <c r="E99" s="171">
        <f t="shared" si="19"/>
        <v>160142</v>
      </c>
      <c r="F99" s="171">
        <v>34376</v>
      </c>
      <c r="G99" s="171">
        <f t="shared" si="20"/>
        <v>194518</v>
      </c>
      <c r="H99" s="172">
        <f t="shared" si="21"/>
        <v>2.768226658786371E-2</v>
      </c>
      <c r="I99" s="648"/>
      <c r="J99" s="168"/>
      <c r="K99" s="168"/>
      <c r="M99" s="364">
        <f t="shared" si="22"/>
        <v>6.0207378977343069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'[10]Sch C'!D93</f>
        <v>26089</v>
      </c>
      <c r="D100" s="558">
        <f>'[10]Sch C'!F93</f>
        <v>0</v>
      </c>
      <c r="E100" s="171">
        <f t="shared" si="19"/>
        <v>26089</v>
      </c>
      <c r="F100" s="171">
        <v>5374</v>
      </c>
      <c r="G100" s="171">
        <f t="shared" si="20"/>
        <v>31463</v>
      </c>
      <c r="H100" s="172">
        <f t="shared" si="21"/>
        <v>4.4775658481680664E-3</v>
      </c>
      <c r="I100" s="648"/>
      <c r="J100" s="168"/>
      <c r="K100" s="168"/>
      <c r="M100" s="364">
        <f t="shared" si="22"/>
        <v>0.9738454871858363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'[10]Sch C'!D94</f>
        <v>0</v>
      </c>
      <c r="D101" s="558">
        <f>'[10]Sch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648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365841</v>
      </c>
      <c r="D102" s="558">
        <f>SUM(D96:D101)</f>
        <v>32766</v>
      </c>
      <c r="E102" s="171">
        <f t="shared" ref="E102:F102" si="23">SUM(E96:E101)</f>
        <v>398607</v>
      </c>
      <c r="F102" s="171">
        <f t="shared" si="23"/>
        <v>82448</v>
      </c>
      <c r="G102" s="171">
        <f>SUM(G96:G101)</f>
        <v>481055</v>
      </c>
      <c r="H102" s="172">
        <f t="shared" si="21"/>
        <v>6.845995102471121E-2</v>
      </c>
      <c r="I102" s="648"/>
      <c r="J102" s="168"/>
      <c r="K102" s="168"/>
      <c r="M102" s="364">
        <f>G102/G$228</f>
        <v>14.889655812801783</v>
      </c>
      <c r="N102" s="359">
        <f>SUMMARY!J105</f>
        <v>19.901077037785338</v>
      </c>
      <c r="O102" s="354">
        <f>M102/N102-1</f>
        <v>-0.25181658336725099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65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65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'[10]Sch C'!D98</f>
        <v>27305</v>
      </c>
      <c r="D105" s="558">
        <f>'[10]Sch C'!F98</f>
        <v>1622</v>
      </c>
      <c r="E105" s="171">
        <f t="shared" ref="E105:E110" si="24">C105+D105</f>
        <v>28927</v>
      </c>
      <c r="F105" s="171">
        <v>4938</v>
      </c>
      <c r="G105" s="171">
        <f t="shared" ref="G105:G110" si="25">E105+F105</f>
        <v>33865</v>
      </c>
      <c r="H105" s="172">
        <f t="shared" ref="H105:H111" si="26">IF($G$208=0,0,G105/$G$208)</f>
        <v>4.8193995311385292E-3</v>
      </c>
      <c r="I105" s="648"/>
      <c r="J105" s="183">
        <f>2886+495</f>
        <v>3381</v>
      </c>
      <c r="K105" s="183">
        <f>3057+522</f>
        <v>3579</v>
      </c>
      <c r="M105" s="364">
        <f t="shared" ref="M105:M110" si="27">G105/G$228</f>
        <v>1.0481923981676364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'[10]Sch C'!D99</f>
        <v>0</v>
      </c>
      <c r="D106" s="558">
        <f>'[10]Sch C'!F99</f>
        <v>3581</v>
      </c>
      <c r="E106" s="171">
        <f t="shared" si="24"/>
        <v>3581</v>
      </c>
      <c r="F106" s="171">
        <v>610</v>
      </c>
      <c r="G106" s="171">
        <f t="shared" si="25"/>
        <v>4191</v>
      </c>
      <c r="H106" s="172">
        <f t="shared" si="26"/>
        <v>5.9643004385062973E-4</v>
      </c>
      <c r="I106" s="648"/>
      <c r="J106" s="168"/>
      <c r="K106" s="168"/>
      <c r="M106" s="364">
        <f t="shared" si="27"/>
        <v>0.12972019314101771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'[10]Sch C'!D100</f>
        <v>5793</v>
      </c>
      <c r="D107" s="558">
        <f>'[10]Sch C'!F100</f>
        <v>0</v>
      </c>
      <c r="E107" s="171">
        <f t="shared" si="24"/>
        <v>5793</v>
      </c>
      <c r="F107" s="171">
        <v>726</v>
      </c>
      <c r="G107" s="171">
        <f t="shared" si="25"/>
        <v>6519</v>
      </c>
      <c r="H107" s="172">
        <f t="shared" si="26"/>
        <v>9.2773263084281929E-4</v>
      </c>
      <c r="I107" s="648"/>
      <c r="J107" s="168"/>
      <c r="K107" s="168"/>
      <c r="M107" s="364">
        <f t="shared" si="27"/>
        <v>0.20177664974619289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'[10]Sch C'!D101</f>
        <v>0</v>
      </c>
      <c r="D108" s="558">
        <f>'[10]Sch C'!F101</f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I108" s="648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'[10]Sch C'!D102</f>
        <v>669</v>
      </c>
      <c r="D109" s="558">
        <f>'[10]Sch C'!F102</f>
        <v>0</v>
      </c>
      <c r="E109" s="171">
        <f t="shared" si="24"/>
        <v>669</v>
      </c>
      <c r="F109" s="171">
        <v>182</v>
      </c>
      <c r="G109" s="171">
        <f t="shared" si="25"/>
        <v>851</v>
      </c>
      <c r="H109" s="172">
        <f t="shared" si="26"/>
        <v>1.2110760375015174E-4</v>
      </c>
      <c r="I109" s="648"/>
      <c r="J109" s="168"/>
      <c r="K109" s="168"/>
      <c r="M109" s="364">
        <f t="shared" si="27"/>
        <v>2.6340225331187322E-2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'[10]Sch C'!D103</f>
        <v>0</v>
      </c>
      <c r="D110" s="558">
        <f>'[10]Sch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648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33767</v>
      </c>
      <c r="D111" s="558">
        <f>SUM(D105:D110)</f>
        <v>5203</v>
      </c>
      <c r="E111" s="171">
        <f t="shared" ref="E111:F111" si="28">SUM(E105:E110)</f>
        <v>38970</v>
      </c>
      <c r="F111" s="171">
        <f t="shared" si="28"/>
        <v>6456</v>
      </c>
      <c r="G111" s="171">
        <f>SUM(G105:G110)</f>
        <v>45426</v>
      </c>
      <c r="H111" s="172">
        <f t="shared" si="26"/>
        <v>6.4646698095821306E-3</v>
      </c>
      <c r="I111" s="648"/>
      <c r="J111" s="168"/>
      <c r="K111" s="168"/>
      <c r="M111" s="364">
        <f>G111/G$228</f>
        <v>1.4060294663860344</v>
      </c>
      <c r="N111" s="359">
        <f>SUMMARY!J114</f>
        <v>2.4242384372309496</v>
      </c>
      <c r="O111" s="354">
        <f>M111/N111-1</f>
        <v>-0.42001189124282234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65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65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'[10]Sch C'!D115</f>
        <v>95560</v>
      </c>
      <c r="D114" s="558">
        <f>'[10]Sch C'!F115</f>
        <v>5676</v>
      </c>
      <c r="E114" s="171">
        <f t="shared" ref="E114:E118" si="29">C114+D114</f>
        <v>101236</v>
      </c>
      <c r="F114" s="171">
        <v>21723</v>
      </c>
      <c r="G114" s="171">
        <f>E114+F114</f>
        <v>122959</v>
      </c>
      <c r="H114" s="172">
        <f t="shared" ref="H114:H119" si="30">IF($G$208=0,0,G114/$G$208)</f>
        <v>1.7498554464764875E-2</v>
      </c>
      <c r="I114" s="648"/>
      <c r="J114" s="183">
        <f>10571+2279</f>
        <v>12850</v>
      </c>
      <c r="K114" s="183">
        <f>11199+2403</f>
        <v>13602</v>
      </c>
      <c r="M114" s="364">
        <f t="shared" ref="M114:M119" si="31">G114/G$228</f>
        <v>3.8058375634517767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'[10]Sch C'!D116</f>
        <v>0</v>
      </c>
      <c r="D115" s="558">
        <f>'[10]Sch C'!F116</f>
        <v>12533</v>
      </c>
      <c r="E115" s="171">
        <f t="shared" si="29"/>
        <v>12533</v>
      </c>
      <c r="F115" s="171">
        <v>2684</v>
      </c>
      <c r="G115" s="171">
        <f>E115+F115</f>
        <v>15217</v>
      </c>
      <c r="H115" s="172">
        <f t="shared" si="30"/>
        <v>2.1655633446134655E-3</v>
      </c>
      <c r="I115" s="648"/>
      <c r="J115" s="168"/>
      <c r="K115" s="168"/>
      <c r="M115" s="364">
        <f t="shared" si="31"/>
        <v>0.4709978952581404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'[10]Sch C'!D117</f>
        <v>14303</v>
      </c>
      <c r="D116" s="558">
        <f>'[10]Sch C'!F117</f>
        <v>0</v>
      </c>
      <c r="E116" s="171">
        <f t="shared" si="29"/>
        <v>14303</v>
      </c>
      <c r="F116" s="171">
        <v>2500</v>
      </c>
      <c r="G116" s="171">
        <f>E116+F116</f>
        <v>16803</v>
      </c>
      <c r="H116" s="172">
        <f t="shared" si="30"/>
        <v>2.391270347607285E-3</v>
      </c>
      <c r="I116" s="648"/>
      <c r="J116" s="168"/>
      <c r="K116" s="168"/>
      <c r="M116" s="364">
        <f t="shared" si="31"/>
        <v>0.52008790392472448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'[10]Sch C'!D118</f>
        <v>4930</v>
      </c>
      <c r="D117" s="558">
        <f>'[10]Sch C'!F118</f>
        <v>0</v>
      </c>
      <c r="E117" s="171">
        <f t="shared" si="29"/>
        <v>4930</v>
      </c>
      <c r="F117" s="171">
        <v>295</v>
      </c>
      <c r="G117" s="171">
        <f>E117+F117</f>
        <v>5225</v>
      </c>
      <c r="H117" s="172">
        <f t="shared" si="30"/>
        <v>7.4358076333083765E-4</v>
      </c>
      <c r="I117" s="648"/>
      <c r="J117" s="168"/>
      <c r="K117" s="168"/>
      <c r="M117" s="364">
        <f t="shared" si="31"/>
        <v>0.16172465024142627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'[10]Sch C'!D119</f>
        <v>0</v>
      </c>
      <c r="D118" s="558">
        <f>'[10]Sch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648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114793</v>
      </c>
      <c r="D119" s="558">
        <f>SUM(D114:D118)</f>
        <v>18209</v>
      </c>
      <c r="E119" s="171">
        <f t="shared" ref="E119:F119" si="32">SUM(E114:E118)</f>
        <v>133002</v>
      </c>
      <c r="F119" s="171">
        <f t="shared" si="32"/>
        <v>27202</v>
      </c>
      <c r="G119" s="171">
        <f>SUM(G114:G118)</f>
        <v>160204</v>
      </c>
      <c r="H119" s="172">
        <f t="shared" si="30"/>
        <v>2.2798968920316461E-2</v>
      </c>
      <c r="I119" s="648"/>
      <c r="J119" s="168"/>
      <c r="K119" s="168"/>
      <c r="M119" s="364">
        <f t="shared" si="31"/>
        <v>4.9586480128760675</v>
      </c>
      <c r="N119" s="359">
        <f>SUMMARY!J122</f>
        <v>6.0247597205909562</v>
      </c>
      <c r="O119" s="354">
        <f>M119/N119-1</f>
        <v>-0.17695505831895919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648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65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65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'[10]Sch C'!D124</f>
        <v>0</v>
      </c>
      <c r="D123" s="558">
        <f>'[10]Sch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648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'[10]Sch C'!D125</f>
        <v>133294</v>
      </c>
      <c r="D124" s="558">
        <f>'[10]Sch C'!F125</f>
        <v>7917</v>
      </c>
      <c r="E124" s="171">
        <f t="shared" si="33"/>
        <v>141211</v>
      </c>
      <c r="F124" s="171">
        <v>22163</v>
      </c>
      <c r="G124" s="171">
        <f>E124+F124</f>
        <v>163374</v>
      </c>
      <c r="H124" s="172">
        <f>IF($G$208=0,0,G124/$G$208)</f>
        <v>2.3250098302088473E-2</v>
      </c>
      <c r="I124" s="648"/>
      <c r="J124" s="183">
        <f>3180+501</f>
        <v>3681</v>
      </c>
      <c r="K124" s="183">
        <f>3369+529</f>
        <v>3898</v>
      </c>
      <c r="M124" s="364">
        <f t="shared" si="34"/>
        <v>5.0567661260368952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'[10]Sch C'!D126</f>
        <v>41934</v>
      </c>
      <c r="D125" s="558">
        <f>'[10]Sch C'!F126</f>
        <v>2491</v>
      </c>
      <c r="E125" s="171">
        <f t="shared" si="33"/>
        <v>44425</v>
      </c>
      <c r="F125" s="171">
        <v>11966</v>
      </c>
      <c r="G125" s="171">
        <f>E125+F125</f>
        <v>56391</v>
      </c>
      <c r="H125" s="172">
        <f>IF($G$208=0,0,G125/$G$208)</f>
        <v>8.0251220717682814E-3</v>
      </c>
      <c r="I125" s="648"/>
      <c r="J125" s="183">
        <f>1344+364</f>
        <v>1708</v>
      </c>
      <c r="K125" s="183">
        <f>1424+383</f>
        <v>1807</v>
      </c>
      <c r="M125" s="364">
        <f t="shared" si="34"/>
        <v>1.74541909124675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'[10]Sch C'!D127</f>
        <v>0</v>
      </c>
      <c r="D126" s="558">
        <f>'[10]Sch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648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'[10]Sch C'!D128</f>
        <v>76752</v>
      </c>
      <c r="D127" s="558">
        <f>'[10]Sch C'!F128</f>
        <v>4558</v>
      </c>
      <c r="E127" s="171">
        <f t="shared" si="33"/>
        <v>81310</v>
      </c>
      <c r="F127" s="171">
        <v>16090</v>
      </c>
      <c r="G127" s="171">
        <f>E127+F127</f>
        <v>97400</v>
      </c>
      <c r="H127" s="172">
        <f>IF($G$208=0,0,G127/$G$208)</f>
        <v>1.3861199301133701E-2</v>
      </c>
      <c r="I127" s="648"/>
      <c r="J127" s="183">
        <f>5447+1083</f>
        <v>6530</v>
      </c>
      <c r="K127" s="183">
        <f>5770+1142</f>
        <v>6912</v>
      </c>
      <c r="M127" s="364">
        <f t="shared" si="34"/>
        <v>3.0147331930172094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657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'[10]Sch C'!D130</f>
        <v>0</v>
      </c>
      <c r="D129" s="558">
        <f>'[10]Sch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648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'[10]Sch C'!D131</f>
        <v>0</v>
      </c>
      <c r="D130" s="558">
        <f>'[10]Sch C'!F131</f>
        <v>17482</v>
      </c>
      <c r="E130" s="171">
        <f t="shared" si="35"/>
        <v>17482</v>
      </c>
      <c r="F130" s="171">
        <v>2738</v>
      </c>
      <c r="G130" s="171">
        <f>E130+F130</f>
        <v>20220</v>
      </c>
      <c r="H130" s="172">
        <f>IF($G$208=0,0,G130/$G$208)</f>
        <v>2.8775508200094809E-3</v>
      </c>
      <c r="I130" s="648"/>
      <c r="J130" s="204"/>
      <c r="K130" s="204"/>
      <c r="M130" s="364">
        <f t="shared" si="34"/>
        <v>0.62585118236969173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'[10]Sch C'!D132</f>
        <v>0</v>
      </c>
      <c r="D131" s="558">
        <f>'[10]Sch C'!F132</f>
        <v>5500</v>
      </c>
      <c r="E131" s="171">
        <f t="shared" si="35"/>
        <v>5500</v>
      </c>
      <c r="F131" s="171">
        <v>1478</v>
      </c>
      <c r="G131" s="171">
        <f>E131+F131</f>
        <v>6978</v>
      </c>
      <c r="H131" s="172">
        <f>IF($G$208=0,0,G131/$G$208)</f>
        <v>9.9305388832968133E-4</v>
      </c>
      <c r="I131" s="648"/>
      <c r="J131" s="168"/>
      <c r="K131" s="168"/>
      <c r="M131" s="364">
        <f t="shared" si="34"/>
        <v>0.21598365729850191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'[10]Sch C'!D133</f>
        <v>0</v>
      </c>
      <c r="D132" s="558">
        <f>'[10]Sch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648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'[10]Sch C'!D134</f>
        <v>0</v>
      </c>
      <c r="D133" s="558">
        <f>'[10]Sch C'!F134</f>
        <v>10066</v>
      </c>
      <c r="E133" s="171">
        <f t="shared" si="35"/>
        <v>10066</v>
      </c>
      <c r="F133" s="171">
        <v>1988</v>
      </c>
      <c r="G133" s="171">
        <f>E133+F133</f>
        <v>12054</v>
      </c>
      <c r="H133" s="172">
        <f>IF($G$208=0,0,G133/$G$208)</f>
        <v>1.7154301475961564E-3</v>
      </c>
      <c r="I133" s="648"/>
      <c r="J133" s="168"/>
      <c r="K133" s="168"/>
      <c r="M133" s="364">
        <f t="shared" si="34"/>
        <v>0.37309644670050762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48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'[10]Sch C'!D136</f>
        <v>486382</v>
      </c>
      <c r="D135" s="558">
        <f>'[10]Sch C'!F136</f>
        <v>28887</v>
      </c>
      <c r="E135" s="171">
        <f t="shared" ref="E135:E138" si="36">C135+D135</f>
        <v>515269</v>
      </c>
      <c r="F135" s="171">
        <v>121794</v>
      </c>
      <c r="G135" s="171">
        <f>E135+F135</f>
        <v>637063</v>
      </c>
      <c r="H135" s="172">
        <f>IF($G$208=0,0,G135/$G$208)</f>
        <v>9.0661778340637975E-2</v>
      </c>
      <c r="I135" s="648"/>
      <c r="J135" s="183">
        <f>17168+4077</f>
        <v>21245</v>
      </c>
      <c r="K135" s="183">
        <f>18188+4299</f>
        <v>22487</v>
      </c>
      <c r="M135" s="364">
        <f t="shared" si="34"/>
        <v>19.718428872105981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'[10]Sch C'!D137</f>
        <v>254982</v>
      </c>
      <c r="D136" s="558">
        <f>'[10]Sch C'!F137</f>
        <v>15144</v>
      </c>
      <c r="E136" s="171">
        <f t="shared" si="36"/>
        <v>270126</v>
      </c>
      <c r="F136" s="171">
        <v>44133</v>
      </c>
      <c r="G136" s="171">
        <f>E136+F136</f>
        <v>314259</v>
      </c>
      <c r="H136" s="172">
        <f>IF($G$208=0,0,G136/$G$208)</f>
        <v>4.4722860689681475E-2</v>
      </c>
      <c r="I136" s="648"/>
      <c r="J136" s="183">
        <f>10183+1672</f>
        <v>11855</v>
      </c>
      <c r="K136" s="183">
        <f>10788+1763</f>
        <v>12551</v>
      </c>
      <c r="M136" s="364">
        <f t="shared" si="34"/>
        <v>9.7269716478890675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'[10]Sch C'!D138</f>
        <v>410372</v>
      </c>
      <c r="D137" s="558">
        <f>'[10]Sch C'!F138</f>
        <v>24373</v>
      </c>
      <c r="E137" s="171">
        <f t="shared" si="36"/>
        <v>434745</v>
      </c>
      <c r="F137" s="171">
        <v>104728</v>
      </c>
      <c r="G137" s="171">
        <f>E137+F137</f>
        <v>539473</v>
      </c>
      <c r="H137" s="172">
        <f>IF($G$208=0,0,G137/$G$208)</f>
        <v>7.6773539739019514E-2</v>
      </c>
      <c r="I137" s="648"/>
      <c r="J137" s="183">
        <f>35407+8570</f>
        <v>43977</v>
      </c>
      <c r="K137" s="183">
        <f>37510+9036</f>
        <v>46546</v>
      </c>
      <c r="M137" s="364">
        <f t="shared" si="34"/>
        <v>16.697814782716357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'[10]Sch C'!D139</f>
        <v>216601</v>
      </c>
      <c r="D138" s="558">
        <f>'[10]Sch C'!F139</f>
        <v>12864</v>
      </c>
      <c r="E138" s="171">
        <f t="shared" si="36"/>
        <v>229465</v>
      </c>
      <c r="F138" s="171">
        <v>21883</v>
      </c>
      <c r="G138" s="171">
        <f>E138+F138</f>
        <v>251348</v>
      </c>
      <c r="H138" s="172">
        <f>IF($G$208=0,0,G138/$G$208)</f>
        <v>3.5769863674962564E-2</v>
      </c>
      <c r="I138" s="648"/>
      <c r="J138" s="183">
        <f>20300+1945</f>
        <v>22245</v>
      </c>
      <c r="K138" s="183">
        <f>21506+2051</f>
        <v>23557</v>
      </c>
      <c r="M138" s="364">
        <f t="shared" si="34"/>
        <v>7.7797449548099538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48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'[10]Sch C'!D141</f>
        <v>0</v>
      </c>
      <c r="D140" s="558">
        <f>'[10]Sch C'!F141</f>
        <v>63789</v>
      </c>
      <c r="E140" s="171">
        <f t="shared" ref="E140:E143" si="37">C140+D140</f>
        <v>63789</v>
      </c>
      <c r="F140" s="171">
        <v>15047</v>
      </c>
      <c r="G140" s="171">
        <f>E140+F140</f>
        <v>78836</v>
      </c>
      <c r="H140" s="172">
        <f>IF($G$208=0,0,G140/$G$208)</f>
        <v>1.1219317331665056E-2</v>
      </c>
      <c r="I140" s="648"/>
      <c r="J140" s="168"/>
      <c r="K140" s="168"/>
      <c r="M140" s="364">
        <f t="shared" si="34"/>
        <v>2.4401386653460442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'[10]Sch C'!D142</f>
        <v>0</v>
      </c>
      <c r="D141" s="558">
        <f>'[10]Sch C'!F142</f>
        <v>33442</v>
      </c>
      <c r="E141" s="171">
        <f t="shared" si="37"/>
        <v>33442</v>
      </c>
      <c r="F141" s="171">
        <v>5452</v>
      </c>
      <c r="G141" s="171">
        <f>E141+F141</f>
        <v>38894</v>
      </c>
      <c r="H141" s="172">
        <f>IF($G$208=0,0,G141/$G$208)</f>
        <v>5.5350871213377222E-3</v>
      </c>
      <c r="I141" s="648"/>
      <c r="J141" s="168"/>
      <c r="K141" s="168"/>
      <c r="M141" s="364">
        <f t="shared" si="34"/>
        <v>1.2038504395196237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'[10]Sch C'!D143</f>
        <v>0</v>
      </c>
      <c r="D142" s="558">
        <f>'[10]Sch C'!F143</f>
        <v>53821</v>
      </c>
      <c r="E142" s="171">
        <f t="shared" si="37"/>
        <v>53821</v>
      </c>
      <c r="F142" s="171">
        <v>12939</v>
      </c>
      <c r="G142" s="171">
        <f>E142+F142</f>
        <v>66760</v>
      </c>
      <c r="H142" s="172">
        <f>IF($G$208=0,0,G142/$G$208)</f>
        <v>9.5007563176969807E-3</v>
      </c>
      <c r="I142" s="648"/>
      <c r="J142" s="168"/>
      <c r="K142" s="168"/>
      <c r="M142" s="364">
        <f t="shared" si="34"/>
        <v>2.0663612727497833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'[10]Sch C'!D144</f>
        <v>0</v>
      </c>
      <c r="D143" s="558">
        <f>'[10]Sch C'!F144</f>
        <v>28408</v>
      </c>
      <c r="E143" s="171">
        <f t="shared" si="37"/>
        <v>28408</v>
      </c>
      <c r="F143" s="171">
        <v>2704</v>
      </c>
      <c r="G143" s="171">
        <f>E143+F143</f>
        <v>31112</v>
      </c>
      <c r="H143" s="172">
        <f>IF($G$208=0,0,G143/$G$208)</f>
        <v>4.4276142983251717E-3</v>
      </c>
      <c r="I143" s="648"/>
      <c r="J143" s="168"/>
      <c r="K143" s="168"/>
      <c r="M143" s="364">
        <f t="shared" si="34"/>
        <v>0.96298130493995293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48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'[10]Sch C'!D146</f>
        <v>22000</v>
      </c>
      <c r="D145" s="558">
        <f>'[10]Sch C'!F146</f>
        <v>0</v>
      </c>
      <c r="E145" s="171">
        <f t="shared" ref="E145:E153" si="38">C145+D145</f>
        <v>22000</v>
      </c>
      <c r="F145" s="171">
        <v>3000</v>
      </c>
      <c r="G145" s="171">
        <f t="shared" ref="G145:G153" si="39">E145+F145</f>
        <v>25000</v>
      </c>
      <c r="H145" s="172">
        <f t="shared" ref="H145:H153" si="40">IF($G$208=0,0,G145/$G$208)</f>
        <v>3.5578026953628594E-3</v>
      </c>
      <c r="I145" s="648"/>
      <c r="J145" s="183">
        <v>0</v>
      </c>
      <c r="K145" s="183">
        <v>0</v>
      </c>
      <c r="M145" s="364">
        <f t="shared" si="34"/>
        <v>0.77380215426519749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'[10]Sch C'!D147</f>
        <v>3672</v>
      </c>
      <c r="D146" s="558">
        <f>'[10]Sch C'!F147</f>
        <v>0</v>
      </c>
      <c r="E146" s="171">
        <f t="shared" si="38"/>
        <v>3672</v>
      </c>
      <c r="F146" s="171">
        <v>6132</v>
      </c>
      <c r="G146" s="171">
        <f t="shared" si="39"/>
        <v>9804</v>
      </c>
      <c r="H146" s="172">
        <f t="shared" si="40"/>
        <v>1.395227905013499E-3</v>
      </c>
      <c r="I146" s="648"/>
      <c r="J146" s="183">
        <v>91.8</v>
      </c>
      <c r="K146" s="183">
        <v>0</v>
      </c>
      <c r="M146" s="364">
        <f t="shared" si="34"/>
        <v>0.30345425281663985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'[10]Sch C'!D148</f>
        <v>12110</v>
      </c>
      <c r="D147" s="558">
        <f>'[10]Sch C'!F148</f>
        <v>0</v>
      </c>
      <c r="E147" s="171">
        <f t="shared" si="38"/>
        <v>12110</v>
      </c>
      <c r="F147" s="171">
        <v>723</v>
      </c>
      <c r="G147" s="171">
        <f t="shared" si="39"/>
        <v>12833</v>
      </c>
      <c r="H147" s="172">
        <f t="shared" si="40"/>
        <v>1.8262912795836631E-3</v>
      </c>
      <c r="I147" s="648"/>
      <c r="J147" s="183">
        <v>403.66666666666669</v>
      </c>
      <c r="K147" s="183">
        <v>0</v>
      </c>
      <c r="M147" s="364">
        <f t="shared" si="34"/>
        <v>0.39720812182741116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'[10]Sch C'!D149</f>
        <v>9992</v>
      </c>
      <c r="D148" s="558">
        <f>'[10]Sch C'!F149</f>
        <v>0</v>
      </c>
      <c r="E148" s="171">
        <f t="shared" si="38"/>
        <v>9992</v>
      </c>
      <c r="F148" s="171">
        <v>18334</v>
      </c>
      <c r="G148" s="171">
        <f t="shared" si="39"/>
        <v>28326</v>
      </c>
      <c r="H148" s="172">
        <f t="shared" si="40"/>
        <v>4.0311327659539346E-3</v>
      </c>
      <c r="I148" s="648"/>
      <c r="J148" s="183">
        <v>587.76470588235293</v>
      </c>
      <c r="K148" s="183">
        <v>0</v>
      </c>
      <c r="M148" s="364">
        <f t="shared" si="34"/>
        <v>0.87674879286863938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'[10]Sch C'!D150</f>
        <v>8305</v>
      </c>
      <c r="D149" s="558">
        <f>'[10]Sch C'!F150</f>
        <v>0</v>
      </c>
      <c r="E149" s="171">
        <f t="shared" si="38"/>
        <v>8305</v>
      </c>
      <c r="F149" s="171">
        <v>1826</v>
      </c>
      <c r="G149" s="171">
        <f t="shared" si="39"/>
        <v>10131</v>
      </c>
      <c r="H149" s="172">
        <f t="shared" si="40"/>
        <v>1.4417639642688453E-3</v>
      </c>
      <c r="I149" s="648"/>
      <c r="J149" s="183">
        <v>553.66666666666663</v>
      </c>
      <c r="K149" s="183">
        <v>0</v>
      </c>
      <c r="M149" s="364">
        <f t="shared" si="34"/>
        <v>0.31357558499442861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'[10]Sch C'!D151</f>
        <v>92041</v>
      </c>
      <c r="D150" s="558">
        <f>'[10]Sch C'!F151</f>
        <v>0</v>
      </c>
      <c r="E150" s="171">
        <f t="shared" si="38"/>
        <v>92041</v>
      </c>
      <c r="F150" s="171">
        <v>20636</v>
      </c>
      <c r="G150" s="171">
        <f t="shared" si="39"/>
        <v>112677</v>
      </c>
      <c r="H150" s="172">
        <f t="shared" si="40"/>
        <v>1.6035301372216038E-2</v>
      </c>
      <c r="I150" s="648"/>
      <c r="J150" s="168"/>
      <c r="K150" s="168"/>
      <c r="M150" s="364">
        <f t="shared" si="34"/>
        <v>3.4875882134455862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'[10]Sch C'!D152</f>
        <v>1588</v>
      </c>
      <c r="D151" s="558">
        <f>'[10]Sch C'!F152</f>
        <v>0</v>
      </c>
      <c r="E151" s="171">
        <f t="shared" si="38"/>
        <v>1588</v>
      </c>
      <c r="F151" s="171">
        <v>28</v>
      </c>
      <c r="G151" s="171">
        <f t="shared" si="39"/>
        <v>1616</v>
      </c>
      <c r="H151" s="172">
        <f t="shared" si="40"/>
        <v>2.2997636622825525E-4</v>
      </c>
      <c r="I151" s="648"/>
      <c r="J151" s="168"/>
      <c r="K151" s="168"/>
      <c r="M151" s="364">
        <f t="shared" si="34"/>
        <v>5.0018571251702365E-2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'[10]Sch C'!D153</f>
        <v>0</v>
      </c>
      <c r="D152" s="558">
        <f>'[10]Sch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648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'[10]Sch C'!D154</f>
        <v>0</v>
      </c>
      <c r="D153" s="558">
        <f>'[10]Sch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648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648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'[10]Sch C'!D156</f>
        <v>0</v>
      </c>
      <c r="D155" s="558">
        <f>'[10]Sch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648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'[10]Sch C'!D157</f>
        <v>0</v>
      </c>
      <c r="D156" s="558">
        <f>'[10]Sch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648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'[10]Sch C'!D158</f>
        <v>0</v>
      </c>
      <c r="D157" s="558">
        <f>'[10]Sch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648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'[10]Sch C'!D159</f>
        <v>0</v>
      </c>
      <c r="D158" s="558">
        <f>'[10]Sch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648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'[10]Sch C'!D160</f>
        <v>0</v>
      </c>
      <c r="D159" s="558">
        <f>'[10]Sch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648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'[10]Sch C'!D161</f>
        <v>3050</v>
      </c>
      <c r="D160" s="558">
        <f>'[10]Sch C'!F161</f>
        <v>0</v>
      </c>
      <c r="E160" s="171">
        <f t="shared" si="41"/>
        <v>3050</v>
      </c>
      <c r="F160" s="171">
        <v>1694</v>
      </c>
      <c r="G160" s="171">
        <f t="shared" si="42"/>
        <v>4744</v>
      </c>
      <c r="H160" s="172">
        <f t="shared" si="43"/>
        <v>6.7512863947205624E-4</v>
      </c>
      <c r="I160" s="648"/>
      <c r="J160" s="168"/>
      <c r="K160" s="168"/>
      <c r="M160" s="364">
        <f t="shared" si="34"/>
        <v>0.14683669679336386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1773075</v>
      </c>
      <c r="D161" s="558">
        <f>SUM(D123:D160)</f>
        <v>308742</v>
      </c>
      <c r="E161" s="171">
        <f t="shared" ref="E161:F161" si="44">SUM(E123:E160)</f>
        <v>2081817</v>
      </c>
      <c r="F161" s="171">
        <f t="shared" si="44"/>
        <v>437476</v>
      </c>
      <c r="G161" s="171">
        <f>SUM(G123:G160)</f>
        <v>2519293</v>
      </c>
      <c r="H161" s="172">
        <f t="shared" si="43"/>
        <v>0.35852589703235138</v>
      </c>
      <c r="I161" s="648"/>
      <c r="J161" s="168"/>
      <c r="K161" s="168"/>
      <c r="M161" s="364">
        <f>G161/G$228</f>
        <v>77.977374025009283</v>
      </c>
      <c r="N161" s="359">
        <f>SUMMARY!J164</f>
        <v>105.56901037202306</v>
      </c>
      <c r="O161" s="354">
        <f>M161/N161-1</f>
        <v>-0.26136113476655132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648"/>
      <c r="J162" s="168"/>
      <c r="K162" s="168"/>
      <c r="M162" s="359"/>
      <c r="N162" s="359"/>
      <c r="P162"/>
      <c r="Q162"/>
    </row>
    <row r="163" spans="1:17" s="167" customFormat="1" ht="26.5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648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'[10]Sch C'!D175</f>
        <v>0</v>
      </c>
      <c r="D164" s="558">
        <f>'[10]Sch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658"/>
      <c r="J164" s="217">
        <v>0</v>
      </c>
      <c r="K164" s="217">
        <v>0</v>
      </c>
      <c r="L164" s="219"/>
      <c r="M164" s="364">
        <f>G164/G$228</f>
        <v>0</v>
      </c>
      <c r="N164" s="359">
        <f>SUMMARY!J167</f>
        <v>0</v>
      </c>
      <c r="O164" s="220"/>
      <c r="P164"/>
      <c r="Q164"/>
    </row>
    <row r="165" spans="1:17" s="221" customFormat="1">
      <c r="A165" s="215" t="s">
        <v>123</v>
      </c>
      <c r="B165" s="148" t="s">
        <v>103</v>
      </c>
      <c r="C165" s="558">
        <f>'[10]Sch C'!D176</f>
        <v>0</v>
      </c>
      <c r="D165" s="558">
        <f>'[10]Sch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659"/>
      <c r="J165" s="222"/>
      <c r="K165" s="222"/>
      <c r="L165" s="219"/>
      <c r="M165" s="364">
        <f t="shared" ref="M165:M196" si="48">G165/G$228</f>
        <v>0</v>
      </c>
      <c r="N165" s="359">
        <f>SUMMARY!J168</f>
        <v>0</v>
      </c>
      <c r="O165" s="220"/>
      <c r="P165"/>
      <c r="Q165"/>
    </row>
    <row r="166" spans="1:17" s="221" customFormat="1">
      <c r="A166" s="215" t="s">
        <v>124</v>
      </c>
      <c r="B166" s="148" t="s">
        <v>104</v>
      </c>
      <c r="C166" s="558">
        <f>'[10]Sch C'!D177</f>
        <v>222361</v>
      </c>
      <c r="D166" s="558">
        <f>'[10]Sch C'!F177</f>
        <v>13206</v>
      </c>
      <c r="E166" s="171">
        <f t="shared" si="45"/>
        <v>235567</v>
      </c>
      <c r="F166" s="216">
        <v>48090</v>
      </c>
      <c r="G166" s="171">
        <f t="shared" si="46"/>
        <v>283657</v>
      </c>
      <c r="H166" s="172">
        <f t="shared" si="47"/>
        <v>4.0367825566341706E-2</v>
      </c>
      <c r="I166" s="658"/>
      <c r="J166" s="217">
        <f>7132+1463</f>
        <v>8595</v>
      </c>
      <c r="K166" s="217">
        <f>7556+1542</f>
        <v>9098</v>
      </c>
      <c r="L166" s="219"/>
      <c r="M166" s="364">
        <f t="shared" si="48"/>
        <v>8.7797759068961252</v>
      </c>
      <c r="N166" s="359">
        <f>SUMMARY!J169</f>
        <v>4.9060338253170936</v>
      </c>
      <c r="O166" s="220"/>
      <c r="P166"/>
      <c r="Q166"/>
    </row>
    <row r="167" spans="1:17" s="221" customFormat="1">
      <c r="A167" s="215" t="s">
        <v>157</v>
      </c>
      <c r="B167" s="148" t="s">
        <v>105</v>
      </c>
      <c r="C167" s="558">
        <f>'[10]Sch C'!D178</f>
        <v>0</v>
      </c>
      <c r="D167" s="558">
        <f>'[10]Sch C'!F178</f>
        <v>29163</v>
      </c>
      <c r="E167" s="171">
        <f t="shared" si="45"/>
        <v>29163</v>
      </c>
      <c r="F167" s="216">
        <v>5941</v>
      </c>
      <c r="G167" s="171">
        <f t="shared" si="46"/>
        <v>35104</v>
      </c>
      <c r="H167" s="172">
        <f t="shared" si="47"/>
        <v>4.9957242327207125E-3</v>
      </c>
      <c r="I167" s="659"/>
      <c r="J167" s="222"/>
      <c r="K167" s="222"/>
      <c r="L167" s="219"/>
      <c r="M167" s="364">
        <f t="shared" si="48"/>
        <v>1.0865420329330198</v>
      </c>
      <c r="N167" s="359">
        <f>SUMMARY!J170</f>
        <v>0.8546059303297695</v>
      </c>
      <c r="O167" s="220"/>
      <c r="P167"/>
      <c r="Q167"/>
    </row>
    <row r="168" spans="1:17" s="221" customFormat="1">
      <c r="A168" s="215" t="s">
        <v>158</v>
      </c>
      <c r="B168" s="148" t="s">
        <v>316</v>
      </c>
      <c r="C168" s="558">
        <f>'[10]Sch C'!D179</f>
        <v>37594</v>
      </c>
      <c r="D168" s="558">
        <f>'[10]Sch C'!F179</f>
        <v>2233</v>
      </c>
      <c r="E168" s="171">
        <f t="shared" si="45"/>
        <v>39827</v>
      </c>
      <c r="F168" s="216">
        <v>6543</v>
      </c>
      <c r="G168" s="171">
        <f t="shared" si="46"/>
        <v>46370</v>
      </c>
      <c r="H168" s="172">
        <f t="shared" si="47"/>
        <v>6.5990124393590322E-3</v>
      </c>
      <c r="I168" s="658"/>
      <c r="J168" s="217">
        <f>1062+175</f>
        <v>1237</v>
      </c>
      <c r="K168" s="217">
        <f>1125+185</f>
        <v>1310</v>
      </c>
      <c r="L168" s="219"/>
      <c r="M168" s="364">
        <f t="shared" si="48"/>
        <v>1.4352482357310883</v>
      </c>
      <c r="N168" s="359">
        <f>SUMMARY!J171</f>
        <v>0.79511806658504303</v>
      </c>
      <c r="O168" s="220"/>
      <c r="P168"/>
      <c r="Q168"/>
    </row>
    <row r="169" spans="1:17" s="221" customFormat="1">
      <c r="A169" s="215" t="s">
        <v>86</v>
      </c>
      <c r="B169" s="148" t="s">
        <v>317</v>
      </c>
      <c r="C169" s="558">
        <f>'[10]Sch C'!D180</f>
        <v>0</v>
      </c>
      <c r="D169" s="558">
        <f>'[10]Sch C'!F180</f>
        <v>4931</v>
      </c>
      <c r="E169" s="171">
        <f t="shared" si="45"/>
        <v>4931</v>
      </c>
      <c r="F169" s="216">
        <v>809</v>
      </c>
      <c r="G169" s="171">
        <f t="shared" si="46"/>
        <v>5740</v>
      </c>
      <c r="H169" s="172">
        <f t="shared" si="47"/>
        <v>8.1687149885531257E-4</v>
      </c>
      <c r="I169" s="659"/>
      <c r="J169" s="222"/>
      <c r="K169" s="222"/>
      <c r="L169" s="219"/>
      <c r="M169" s="364">
        <f t="shared" si="48"/>
        <v>0.17766497461928935</v>
      </c>
      <c r="N169" s="359">
        <f>SUMMARY!J172</f>
        <v>0.1405217057636943</v>
      </c>
      <c r="O169" s="220"/>
      <c r="P169"/>
      <c r="Q169"/>
    </row>
    <row r="170" spans="1:17" s="221" customFormat="1">
      <c r="A170" s="215" t="s">
        <v>96</v>
      </c>
      <c r="B170" s="148" t="s">
        <v>318</v>
      </c>
      <c r="C170" s="558">
        <f>'[10]Sch C'!D181</f>
        <v>0</v>
      </c>
      <c r="D170" s="558">
        <f>'[10]Sch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658"/>
      <c r="J170" s="217">
        <v>0</v>
      </c>
      <c r="K170" s="217">
        <v>0</v>
      </c>
      <c r="L170" s="219"/>
      <c r="M170" s="364">
        <f t="shared" si="48"/>
        <v>0</v>
      </c>
      <c r="N170" s="359">
        <f>SUMMARY!J173</f>
        <v>0.14856138086857354</v>
      </c>
      <c r="O170" s="220"/>
      <c r="P170"/>
      <c r="Q170"/>
    </row>
    <row r="171" spans="1:17" s="221" customFormat="1">
      <c r="A171" s="215" t="s">
        <v>125</v>
      </c>
      <c r="B171" s="148" t="s">
        <v>109</v>
      </c>
      <c r="C171" s="558">
        <f>'[10]Sch C'!D182</f>
        <v>0</v>
      </c>
      <c r="D171" s="558">
        <f>'[10]Sch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659"/>
      <c r="J171" s="222"/>
      <c r="K171" s="222"/>
      <c r="L171" s="219"/>
      <c r="M171" s="364">
        <f t="shared" si="48"/>
        <v>0</v>
      </c>
      <c r="N171" s="359">
        <f>SUMMARY!J174</f>
        <v>2.2545547697802093E-2</v>
      </c>
      <c r="O171" s="220"/>
      <c r="P171"/>
      <c r="Q171"/>
    </row>
    <row r="172" spans="1:17" s="221" customFormat="1">
      <c r="A172" s="215" t="s">
        <v>126</v>
      </c>
      <c r="B172" s="148" t="s">
        <v>319</v>
      </c>
      <c r="C172" s="558">
        <f>'[10]Sch C'!D183</f>
        <v>95398</v>
      </c>
      <c r="D172" s="558">
        <f>'[10]Sch C'!F183</f>
        <v>5666</v>
      </c>
      <c r="E172" s="171">
        <f t="shared" si="45"/>
        <v>101064</v>
      </c>
      <c r="F172" s="216">
        <v>17844</v>
      </c>
      <c r="G172" s="171">
        <f t="shared" si="46"/>
        <v>118908</v>
      </c>
      <c r="H172" s="172">
        <f t="shared" si="47"/>
        <v>1.6922048116008278E-2</v>
      </c>
      <c r="I172" s="658"/>
      <c r="J172" s="217">
        <f>3192+566</f>
        <v>3758</v>
      </c>
      <c r="K172" s="217">
        <f>3382+597</f>
        <v>3979</v>
      </c>
      <c r="L172" s="219"/>
      <c r="M172" s="364">
        <f t="shared" si="48"/>
        <v>3.680450662374644</v>
      </c>
      <c r="N172" s="359">
        <f>SUMMARY!J175</f>
        <v>2.8660001223726335</v>
      </c>
      <c r="O172" s="220"/>
      <c r="P172"/>
      <c r="Q172"/>
    </row>
    <row r="173" spans="1:17" s="221" customFormat="1">
      <c r="A173" s="215" t="s">
        <v>127</v>
      </c>
      <c r="B173" s="148" t="s">
        <v>111</v>
      </c>
      <c r="C173" s="558">
        <f>'[10]Sch C'!D184</f>
        <v>0</v>
      </c>
      <c r="D173" s="558">
        <f>'[10]Sch C'!F184</f>
        <v>12512</v>
      </c>
      <c r="E173" s="171">
        <f t="shared" si="45"/>
        <v>12512</v>
      </c>
      <c r="F173" s="216">
        <v>2204</v>
      </c>
      <c r="G173" s="171">
        <f t="shared" si="46"/>
        <v>14716</v>
      </c>
      <c r="H173" s="172">
        <f t="shared" si="47"/>
        <v>2.0942649785983935E-3</v>
      </c>
      <c r="I173" s="659"/>
      <c r="J173" s="222"/>
      <c r="K173" s="222"/>
      <c r="L173" s="219"/>
      <c r="M173" s="364">
        <f t="shared" si="48"/>
        <v>0.45549090008666582</v>
      </c>
      <c r="N173" s="359">
        <f>SUMMARY!J176</f>
        <v>0.45922325087038773</v>
      </c>
      <c r="O173" s="220"/>
      <c r="P173"/>
      <c r="Q173"/>
    </row>
    <row r="174" spans="1:17" s="221" customFormat="1">
      <c r="A174" s="215" t="s">
        <v>128</v>
      </c>
      <c r="B174" s="148" t="s">
        <v>320</v>
      </c>
      <c r="C174" s="558">
        <f>'[10]Sch C'!D185</f>
        <v>0</v>
      </c>
      <c r="D174" s="558">
        <f>'[10]Sch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658"/>
      <c r="J174" s="217">
        <v>0</v>
      </c>
      <c r="K174" s="217">
        <v>0</v>
      </c>
      <c r="L174" s="219"/>
      <c r="M174" s="364">
        <f t="shared" si="48"/>
        <v>0</v>
      </c>
      <c r="N174" s="359">
        <f>SUMMARY!J177</f>
        <v>0</v>
      </c>
      <c r="O174" s="220"/>
      <c r="P174"/>
      <c r="Q174"/>
    </row>
    <row r="175" spans="1:17" s="221" customFormat="1">
      <c r="A175" s="215" t="s">
        <v>129</v>
      </c>
      <c r="B175" s="148" t="s">
        <v>321</v>
      </c>
      <c r="C175" s="558">
        <f>'[10]Sch C'!D186</f>
        <v>0</v>
      </c>
      <c r="D175" s="558">
        <f>'[10]Sch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648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</row>
    <row r="176" spans="1:17" s="221" customFormat="1">
      <c r="A176" s="224" t="s">
        <v>293</v>
      </c>
      <c r="B176" s="148" t="s">
        <v>154</v>
      </c>
      <c r="C176" s="558">
        <f>'[10]Sch C'!D187</f>
        <v>0</v>
      </c>
      <c r="D176" s="558">
        <f>'[10]Sch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648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</row>
    <row r="177" spans="1:17" s="221" customFormat="1">
      <c r="A177" s="224" t="s">
        <v>294</v>
      </c>
      <c r="B177" s="148" t="s">
        <v>322</v>
      </c>
      <c r="C177" s="558">
        <f>'[10]Sch C'!D188</f>
        <v>340</v>
      </c>
      <c r="D177" s="558">
        <f>'[10]Sch C'!F188</f>
        <v>0</v>
      </c>
      <c r="E177" s="171">
        <f t="shared" si="45"/>
        <v>340</v>
      </c>
      <c r="F177" s="216">
        <v>71</v>
      </c>
      <c r="G177" s="171">
        <f t="shared" si="46"/>
        <v>411</v>
      </c>
      <c r="H177" s="172">
        <f t="shared" si="47"/>
        <v>5.849027631176541E-5</v>
      </c>
      <c r="I177" s="648"/>
      <c r="J177" s="223"/>
      <c r="K177" s="218"/>
      <c r="L177" s="220"/>
      <c r="M177" s="364">
        <f t="shared" si="48"/>
        <v>1.2721307416119846E-2</v>
      </c>
      <c r="N177" s="359">
        <f>SUMMARY!J180</f>
        <v>0.30705480193530821</v>
      </c>
      <c r="O177" s="220"/>
      <c r="P177"/>
      <c r="Q177"/>
    </row>
    <row r="178" spans="1:17" s="221" customFormat="1">
      <c r="A178" s="224" t="s">
        <v>295</v>
      </c>
      <c r="B178" s="148" t="s">
        <v>323</v>
      </c>
      <c r="C178" s="558">
        <f>'[10]Sch C'!D189</f>
        <v>0</v>
      </c>
      <c r="D178" s="558">
        <f>'[10]Sch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648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</row>
    <row r="179" spans="1:17" s="221" customFormat="1">
      <c r="A179" s="224" t="s">
        <v>296</v>
      </c>
      <c r="B179" s="148" t="s">
        <v>324</v>
      </c>
      <c r="C179" s="558">
        <f>'[10]Sch C'!D190</f>
        <v>0</v>
      </c>
      <c r="D179" s="558">
        <f>'[10]Sch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648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</row>
    <row r="180" spans="1:17" s="221" customFormat="1">
      <c r="A180" s="224" t="s">
        <v>297</v>
      </c>
      <c r="B180" s="148" t="s">
        <v>325</v>
      </c>
      <c r="C180" s="558">
        <f>'[10]Sch C'!D191</f>
        <v>84</v>
      </c>
      <c r="D180" s="558">
        <f>'[10]Sch C'!F191</f>
        <v>0</v>
      </c>
      <c r="E180" s="171">
        <f t="shared" si="45"/>
        <v>84</v>
      </c>
      <c r="F180" s="216">
        <v>0</v>
      </c>
      <c r="G180" s="171">
        <f t="shared" si="46"/>
        <v>84</v>
      </c>
      <c r="H180" s="172">
        <f t="shared" si="47"/>
        <v>1.1954217056419207E-5</v>
      </c>
      <c r="I180" s="648"/>
      <c r="J180" s="223"/>
      <c r="K180" s="218"/>
      <c r="L180" s="220"/>
      <c r="M180" s="364">
        <f t="shared" si="48"/>
        <v>2.5999752383310637E-3</v>
      </c>
      <c r="N180" s="359">
        <f>SUMMARY!J183</f>
        <v>0.1333235617560114</v>
      </c>
      <c r="O180" s="220"/>
      <c r="P180"/>
      <c r="Q180"/>
    </row>
    <row r="181" spans="1:17" s="221" customFormat="1">
      <c r="A181" s="224" t="s">
        <v>298</v>
      </c>
      <c r="B181" s="148" t="s">
        <v>117</v>
      </c>
      <c r="C181" s="558">
        <f>'[10]Sch C'!D192</f>
        <v>0</v>
      </c>
      <c r="D181" s="558">
        <f>'[10]Sch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648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</row>
    <row r="182" spans="1:17" s="221" customFormat="1">
      <c r="A182" s="224" t="s">
        <v>132</v>
      </c>
      <c r="B182" s="148" t="s">
        <v>118</v>
      </c>
      <c r="C182" s="558">
        <f>'[10]Sch C'!D193</f>
        <v>0</v>
      </c>
      <c r="D182" s="558">
        <f>'[10]Sch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648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</row>
    <row r="183" spans="1:17" s="221" customFormat="1">
      <c r="A183" s="224" t="s">
        <v>133</v>
      </c>
      <c r="B183" s="148" t="s">
        <v>119</v>
      </c>
      <c r="C183" s="558">
        <f>'[10]Sch C'!D194</f>
        <v>0</v>
      </c>
      <c r="D183" s="558">
        <f>'[10]Sch C'!F194</f>
        <v>0</v>
      </c>
      <c r="E183" s="171">
        <f t="shared" si="45"/>
        <v>0</v>
      </c>
      <c r="F183" s="216">
        <v>0</v>
      </c>
      <c r="G183" s="171">
        <f t="shared" si="46"/>
        <v>0</v>
      </c>
      <c r="H183" s="172">
        <f t="shared" si="47"/>
        <v>0</v>
      </c>
      <c r="I183" s="648"/>
      <c r="J183" s="223"/>
      <c r="K183" s="218"/>
      <c r="L183" s="220"/>
      <c r="M183" s="364">
        <f t="shared" si="48"/>
        <v>0</v>
      </c>
      <c r="N183" s="359">
        <f>SUMMARY!J186</f>
        <v>7.2780776577335544</v>
      </c>
      <c r="O183" s="220"/>
      <c r="P183"/>
      <c r="Q183"/>
    </row>
    <row r="184" spans="1:17" s="221" customFormat="1">
      <c r="A184" s="224" t="s">
        <v>134</v>
      </c>
      <c r="B184" s="148" t="s">
        <v>326</v>
      </c>
      <c r="C184" s="558">
        <f>'[10]Sch C'!D195</f>
        <v>332</v>
      </c>
      <c r="D184" s="558">
        <f>'[10]Sch C'!F195</f>
        <v>0</v>
      </c>
      <c r="E184" s="171">
        <f t="shared" si="45"/>
        <v>332</v>
      </c>
      <c r="F184" s="216">
        <v>0</v>
      </c>
      <c r="G184" s="171">
        <f t="shared" si="46"/>
        <v>332</v>
      </c>
      <c r="H184" s="172">
        <f t="shared" si="47"/>
        <v>4.7247619794418774E-5</v>
      </c>
      <c r="I184" s="648"/>
      <c r="J184" s="223"/>
      <c r="K184" s="218"/>
      <c r="L184" s="220"/>
      <c r="M184" s="364">
        <f t="shared" si="48"/>
        <v>1.0276092608641823E-2</v>
      </c>
      <c r="N184" s="359">
        <f>SUMMARY!J187</f>
        <v>1.7471448792019588</v>
      </c>
      <c r="O184" s="220"/>
      <c r="P184"/>
      <c r="Q184"/>
    </row>
    <row r="185" spans="1:17" s="221" customFormat="1">
      <c r="A185" s="224" t="s">
        <v>135</v>
      </c>
      <c r="B185" s="148" t="s">
        <v>327</v>
      </c>
      <c r="C185" s="558">
        <f>'[10]Sch C'!D196</f>
        <v>0</v>
      </c>
      <c r="D185" s="558">
        <f>'[10]Sch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648"/>
      <c r="J185" s="223"/>
      <c r="K185" s="218"/>
      <c r="L185" s="220"/>
      <c r="M185" s="364">
        <f t="shared" si="48"/>
        <v>0</v>
      </c>
      <c r="N185" s="359">
        <f>SUMMARY!J188</f>
        <v>0.10202169826083787</v>
      </c>
      <c r="O185" s="220"/>
      <c r="P185"/>
      <c r="Q185"/>
    </row>
    <row r="186" spans="1:17" s="221" customFormat="1">
      <c r="A186" s="224" t="s">
        <v>136</v>
      </c>
      <c r="B186" s="148" t="s">
        <v>328</v>
      </c>
      <c r="C186" s="558">
        <f>'[10]Sch C'!D197</f>
        <v>0</v>
      </c>
      <c r="D186" s="558">
        <f>'[10]Sch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648"/>
      <c r="J186" s="223"/>
      <c r="K186" s="218"/>
      <c r="L186" s="220"/>
      <c r="M186" s="364">
        <f t="shared" si="48"/>
        <v>0</v>
      </c>
      <c r="N186" s="359">
        <f>SUMMARY!J189</f>
        <v>5.0164683871805966</v>
      </c>
      <c r="O186" s="220"/>
      <c r="P186"/>
      <c r="Q186"/>
    </row>
    <row r="187" spans="1:17" s="221" customFormat="1">
      <c r="A187" s="224" t="s">
        <v>137</v>
      </c>
      <c r="B187" s="148" t="s">
        <v>122</v>
      </c>
      <c r="C187" s="558">
        <f>'[10]Sch C'!D198</f>
        <v>20278</v>
      </c>
      <c r="D187" s="558">
        <f>'[10]Sch C'!F198</f>
        <v>0</v>
      </c>
      <c r="E187" s="171">
        <f t="shared" si="45"/>
        <v>20278</v>
      </c>
      <c r="F187" s="216">
        <v>7043</v>
      </c>
      <c r="G187" s="171">
        <f t="shared" si="46"/>
        <v>27321</v>
      </c>
      <c r="H187" s="172">
        <f t="shared" si="47"/>
        <v>3.8881090976003473E-3</v>
      </c>
      <c r="I187" s="648"/>
      <c r="J187" s="223"/>
      <c r="K187" s="218"/>
      <c r="L187" s="220"/>
      <c r="M187" s="364">
        <f t="shared" si="48"/>
        <v>0.84564194626717837</v>
      </c>
      <c r="N187" s="359">
        <f>SUMMARY!J190</f>
        <v>1.4762344610483848</v>
      </c>
      <c r="O187" s="220"/>
      <c r="P187"/>
      <c r="Q187"/>
    </row>
    <row r="188" spans="1:17" s="221" customFormat="1">
      <c r="A188" s="224" t="s">
        <v>275</v>
      </c>
      <c r="B188" s="148" t="s">
        <v>329</v>
      </c>
      <c r="C188" s="558">
        <f>'[10]Sch C'!D199</f>
        <v>0</v>
      </c>
      <c r="D188" s="558">
        <f>'[10]Sch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648"/>
      <c r="J188" s="223"/>
      <c r="K188" s="218"/>
      <c r="L188" s="220"/>
      <c r="M188" s="364">
        <f t="shared" si="48"/>
        <v>0</v>
      </c>
      <c r="N188" s="359">
        <f>SUMMARY!J191</f>
        <v>0.3719273123267644</v>
      </c>
      <c r="O188" s="220"/>
      <c r="P188"/>
      <c r="Q188"/>
    </row>
    <row r="189" spans="1:17" s="221" customFormat="1">
      <c r="A189" s="224" t="s">
        <v>277</v>
      </c>
      <c r="B189" s="148" t="s">
        <v>278</v>
      </c>
      <c r="C189" s="558">
        <f>'[10]Sch C'!D200</f>
        <v>0</v>
      </c>
      <c r="D189" s="558">
        <f>'[10]Sch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648"/>
      <c r="J189" s="223"/>
      <c r="K189" s="218"/>
      <c r="L189" s="220"/>
      <c r="M189" s="364">
        <f t="shared" si="48"/>
        <v>0</v>
      </c>
      <c r="N189" s="359">
        <f>SUMMARY!J192</f>
        <v>1.1168537736152406E-3</v>
      </c>
      <c r="O189" s="220"/>
      <c r="P189"/>
      <c r="Q189"/>
    </row>
    <row r="190" spans="1:17" s="221" customFormat="1">
      <c r="A190" s="225" t="s">
        <v>279</v>
      </c>
      <c r="B190" s="226" t="s">
        <v>280</v>
      </c>
      <c r="C190" s="558">
        <f>'[10]Sch C'!D201</f>
        <v>0</v>
      </c>
      <c r="D190" s="558">
        <f>'[10]Sch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648"/>
      <c r="J190" s="223"/>
      <c r="K190" s="218"/>
      <c r="L190" s="220"/>
      <c r="M190" s="364">
        <f t="shared" si="48"/>
        <v>0</v>
      </c>
      <c r="N190" s="359">
        <f>SUMMARY!J193</f>
        <v>9.491156275925049E-3</v>
      </c>
      <c r="O190" s="220"/>
      <c r="P190"/>
      <c r="Q190"/>
    </row>
    <row r="191" spans="1:17" s="221" customFormat="1">
      <c r="A191" s="225" t="s">
        <v>281</v>
      </c>
      <c r="B191" s="226" t="s">
        <v>282</v>
      </c>
      <c r="C191" s="558">
        <f>'[10]Sch C'!D202</f>
        <v>0</v>
      </c>
      <c r="D191" s="558">
        <f>'[10]Sch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648"/>
      <c r="J191" s="223"/>
      <c r="K191" s="218"/>
      <c r="L191" s="220"/>
      <c r="M191" s="364">
        <f t="shared" si="48"/>
        <v>0</v>
      </c>
      <c r="N191" s="359">
        <f>SUMMARY!J194</f>
        <v>1.256942821802872E-4</v>
      </c>
      <c r="O191" s="220"/>
      <c r="P191"/>
      <c r="Q191"/>
    </row>
    <row r="192" spans="1:17" s="221" customFormat="1">
      <c r="A192" s="225" t="s">
        <v>283</v>
      </c>
      <c r="B192" s="226" t="s">
        <v>330</v>
      </c>
      <c r="C192" s="558">
        <f>'[10]Sch C'!D203</f>
        <v>0</v>
      </c>
      <c r="D192" s="558">
        <f>'[10]Sch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648"/>
      <c r="J192" s="223"/>
      <c r="K192" s="218"/>
      <c r="L192" s="220"/>
      <c r="M192" s="364">
        <f t="shared" si="48"/>
        <v>0</v>
      </c>
      <c r="N192" s="359">
        <f>SUMMARY!J195</f>
        <v>6.3845219287057137E-2</v>
      </c>
      <c r="O192" s="220"/>
      <c r="P192"/>
      <c r="Q192"/>
    </row>
    <row r="193" spans="1:17" s="221" customFormat="1">
      <c r="A193" s="225" t="s">
        <v>285</v>
      </c>
      <c r="B193" s="226" t="s">
        <v>331</v>
      </c>
      <c r="C193" s="558">
        <f>'[10]Sch C'!D204</f>
        <v>0</v>
      </c>
      <c r="D193" s="558">
        <f>'[10]Sch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648"/>
      <c r="J193" s="223"/>
      <c r="K193" s="218"/>
      <c r="L193" s="220"/>
      <c r="M193" s="364">
        <f t="shared" si="48"/>
        <v>0</v>
      </c>
      <c r="N193" s="359">
        <f>SUMMARY!J196</f>
        <v>0</v>
      </c>
      <c r="O193" s="220"/>
      <c r="P193"/>
      <c r="Q193"/>
    </row>
    <row r="194" spans="1:17" s="221" customFormat="1">
      <c r="A194" s="224" t="s">
        <v>138</v>
      </c>
      <c r="B194" s="148" t="s">
        <v>332</v>
      </c>
      <c r="C194" s="558">
        <f>'[10]Sch C'!D205</f>
        <v>136473</v>
      </c>
      <c r="D194" s="558">
        <f>'[10]Sch C'!F205</f>
        <v>0</v>
      </c>
      <c r="E194" s="171">
        <f t="shared" si="45"/>
        <v>136473</v>
      </c>
      <c r="F194" s="216">
        <v>21566</v>
      </c>
      <c r="G194" s="171">
        <f t="shared" si="46"/>
        <v>158039</v>
      </c>
      <c r="H194" s="172">
        <f t="shared" si="47"/>
        <v>2.249086320689804E-2</v>
      </c>
      <c r="I194" s="648"/>
      <c r="J194" s="223"/>
      <c r="K194" s="218"/>
      <c r="L194" s="220"/>
      <c r="M194" s="364">
        <f t="shared" si="48"/>
        <v>4.8916367463167019</v>
      </c>
      <c r="N194" s="359">
        <f>SUMMARY!J197</f>
        <v>9.4138592764245246</v>
      </c>
      <c r="O194" s="220"/>
      <c r="P194"/>
      <c r="Q194"/>
    </row>
    <row r="195" spans="1:17" s="221" customFormat="1">
      <c r="A195" s="224" t="s">
        <v>139</v>
      </c>
      <c r="B195" s="148" t="s">
        <v>67</v>
      </c>
      <c r="C195" s="558">
        <f>'[10]Sch C'!D206</f>
        <v>1833</v>
      </c>
      <c r="D195" s="558">
        <f>'[10]Sch C'!F206</f>
        <v>0</v>
      </c>
      <c r="E195" s="171">
        <f t="shared" si="45"/>
        <v>1833</v>
      </c>
      <c r="F195" s="216">
        <v>186</v>
      </c>
      <c r="G195" s="171">
        <f t="shared" si="46"/>
        <v>2019</v>
      </c>
      <c r="H195" s="172">
        <f t="shared" si="47"/>
        <v>2.8732814567750456E-4</v>
      </c>
      <c r="I195" s="648"/>
      <c r="J195" s="223"/>
      <c r="K195" s="218"/>
      <c r="L195" s="220"/>
      <c r="M195" s="364">
        <f t="shared" si="48"/>
        <v>6.249226197845735E-2</v>
      </c>
      <c r="N195" s="359">
        <f>SUMMARY!J198</f>
        <v>0.50303072526897752</v>
      </c>
      <c r="O195" s="220"/>
      <c r="P195"/>
      <c r="Q195"/>
    </row>
    <row r="196" spans="1:17" s="221" customFormat="1">
      <c r="A196" s="225" t="s">
        <v>143</v>
      </c>
      <c r="B196" s="194" t="s">
        <v>333</v>
      </c>
      <c r="C196" s="558">
        <f>'[10]Sch C'!D207</f>
        <v>12906</v>
      </c>
      <c r="D196" s="558">
        <f>'[10]Sch C'!F207</f>
        <v>-292</v>
      </c>
      <c r="E196" s="171">
        <f t="shared" si="45"/>
        <v>12614</v>
      </c>
      <c r="F196" s="216">
        <v>5012</v>
      </c>
      <c r="G196" s="171">
        <f t="shared" si="46"/>
        <v>17626</v>
      </c>
      <c r="H196" s="172">
        <f t="shared" si="47"/>
        <v>2.5083932123386304E-3</v>
      </c>
      <c r="I196" s="648"/>
      <c r="J196" s="223"/>
      <c r="K196" s="218"/>
      <c r="L196" s="220"/>
      <c r="M196" s="364">
        <f t="shared" si="48"/>
        <v>0.54556147084313478</v>
      </c>
      <c r="N196" s="359">
        <f>SUMMARY!J199</f>
        <v>0.37420738931321718</v>
      </c>
      <c r="O196" s="220"/>
      <c r="P196"/>
      <c r="Q196"/>
    </row>
    <row r="197" spans="1:17" s="167" customFormat="1" ht="26.5">
      <c r="A197" s="163"/>
      <c r="B197" s="212" t="s">
        <v>130</v>
      </c>
      <c r="C197" s="558">
        <f>SUM(C164:C196)</f>
        <v>527599</v>
      </c>
      <c r="D197" s="558">
        <f>SUM(D164:D196)</f>
        <v>67419</v>
      </c>
      <c r="E197" s="171">
        <f t="shared" ref="E197:F197" si="49">SUM(E164:E196)</f>
        <v>595018</v>
      </c>
      <c r="F197" s="171">
        <f t="shared" si="49"/>
        <v>115309</v>
      </c>
      <c r="G197" s="171">
        <f>SUM(G164:G196)</f>
        <v>710327</v>
      </c>
      <c r="H197" s="172">
        <f>IF($G$208=0,0,G197/$G$208)</f>
        <v>0.10108813260756055</v>
      </c>
      <c r="I197" s="648"/>
      <c r="J197" s="168"/>
      <c r="K197" s="168"/>
      <c r="M197" s="364">
        <f>G197/G$228</f>
        <v>21.986102513309397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65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65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'[10]Sch C'!D211</f>
        <v>113850</v>
      </c>
      <c r="D200" s="558">
        <f>'[10]Sch C'!F211</f>
        <v>6762</v>
      </c>
      <c r="E200" s="171">
        <f t="shared" ref="E200:E205" si="50">C200+D200</f>
        <v>120612</v>
      </c>
      <c r="F200" s="171">
        <v>23054</v>
      </c>
      <c r="G200" s="171">
        <f t="shared" ref="G200:G205" si="51">E200+F200</f>
        <v>143666</v>
      </c>
      <c r="H200" s="172">
        <f t="shared" ref="H200:H206" si="52">IF($G$208=0,0,G200/$G$208)</f>
        <v>2.0445411281280024E-2</v>
      </c>
      <c r="I200" s="648"/>
      <c r="J200" s="183">
        <f>7525+1445</f>
        <v>8970</v>
      </c>
      <c r="K200" s="183">
        <f>7972+1524</f>
        <v>9496</v>
      </c>
      <c r="M200" s="364">
        <f t="shared" ref="M200:M205" si="53">G200/G$228</f>
        <v>4.4467624117865547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'[10]Sch C'!D212</f>
        <v>0</v>
      </c>
      <c r="D201" s="558">
        <f>'[10]Sch C'!F212</f>
        <v>14932</v>
      </c>
      <c r="E201" s="171">
        <f t="shared" si="50"/>
        <v>14932</v>
      </c>
      <c r="F201" s="171">
        <v>2848</v>
      </c>
      <c r="G201" s="171">
        <f t="shared" si="51"/>
        <v>17780</v>
      </c>
      <c r="H201" s="172">
        <f t="shared" si="52"/>
        <v>2.5303092769420658E-3</v>
      </c>
      <c r="I201" s="648"/>
      <c r="J201" s="168"/>
      <c r="K201" s="168"/>
      <c r="M201" s="364">
        <f t="shared" si="53"/>
        <v>0.5503280921134085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'[10]Sch C'!D213</f>
        <v>2284</v>
      </c>
      <c r="D202" s="558">
        <f>'[10]Sch C'!F213</f>
        <v>0</v>
      </c>
      <c r="E202" s="171">
        <f t="shared" si="50"/>
        <v>2284</v>
      </c>
      <c r="F202" s="171">
        <v>462</v>
      </c>
      <c r="G202" s="171">
        <f t="shared" si="51"/>
        <v>2746</v>
      </c>
      <c r="H202" s="172">
        <f t="shared" si="52"/>
        <v>3.907890480586565E-4</v>
      </c>
      <c r="I202" s="648"/>
      <c r="J202" s="168"/>
      <c r="K202" s="168"/>
      <c r="M202" s="364">
        <f t="shared" si="53"/>
        <v>8.499442862448929E-2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'[10]Sch C'!D214</f>
        <v>0</v>
      </c>
      <c r="D203" s="558">
        <f>'[10]Sch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648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'[10]Sch C'!D215</f>
        <v>0</v>
      </c>
      <c r="D204" s="558">
        <f>'[10]Sch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648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'[10]Sch C'!D216</f>
        <v>5956</v>
      </c>
      <c r="D205" s="558">
        <f>'[10]Sch C'!F216</f>
        <v>0</v>
      </c>
      <c r="E205" s="171">
        <f t="shared" si="50"/>
        <v>5956</v>
      </c>
      <c r="F205" s="171">
        <v>1425</v>
      </c>
      <c r="G205" s="171">
        <f t="shared" si="51"/>
        <v>7381</v>
      </c>
      <c r="H205" s="172">
        <f t="shared" si="52"/>
        <v>1.0504056677789306E-3</v>
      </c>
      <c r="I205" s="648"/>
      <c r="J205" s="168"/>
      <c r="K205" s="168"/>
      <c r="M205" s="364">
        <f t="shared" si="53"/>
        <v>0.22845734802525691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122090</v>
      </c>
      <c r="D206" s="558">
        <f>SUM(D200:D205)</f>
        <v>21694</v>
      </c>
      <c r="E206" s="171">
        <f t="shared" ref="E206:F206" si="54">SUM(E200:E205)</f>
        <v>143784</v>
      </c>
      <c r="F206" s="171">
        <f t="shared" si="54"/>
        <v>27789</v>
      </c>
      <c r="G206" s="171">
        <f>SUM(G200:G205)</f>
        <v>171573</v>
      </c>
      <c r="H206" s="172">
        <f t="shared" si="52"/>
        <v>2.4416915274059675E-2</v>
      </c>
      <c r="I206" s="648"/>
      <c r="J206" s="168"/>
      <c r="K206" s="168"/>
      <c r="M206" s="364">
        <f>G206/G$228</f>
        <v>5.3105422805497087</v>
      </c>
      <c r="N206" s="359">
        <f>SUMMARY!J209</f>
        <v>7.1515095990067339</v>
      </c>
      <c r="O206" s="354">
        <f>M206/N206-1</f>
        <v>-0.25742359609119669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65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5859140</v>
      </c>
      <c r="D208" s="558">
        <f>SUM(D25:D206)/2</f>
        <v>-25439</v>
      </c>
      <c r="E208" s="171">
        <f t="shared" ref="E208:F208" si="55">SUM(E25:E206)/2</f>
        <v>5833701</v>
      </c>
      <c r="F208" s="171">
        <f t="shared" si="55"/>
        <v>1193108</v>
      </c>
      <c r="G208" s="171">
        <f>SUM(G25:G206)/2</f>
        <v>7026809</v>
      </c>
      <c r="H208" s="172">
        <f>IF($G$208=0,0,G208/$G$208)</f>
        <v>1</v>
      </c>
      <c r="I208" s="648"/>
      <c r="J208" s="183">
        <f>SUM(J25:J200)</f>
        <v>192944.89803921565</v>
      </c>
      <c r="K208" s="183">
        <f>SUM(K25:K200)</f>
        <v>202515</v>
      </c>
      <c r="M208" s="364">
        <f>G208/G$228</f>
        <v>217.49439767240312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650"/>
      <c r="J209" s="168"/>
      <c r="K209" s="168"/>
      <c r="O209" s="553">
        <f>SUM(O61:O206)</f>
        <v>-1.6214495798461481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650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'[10]Sch C'!D221</f>
        <v>5859140</v>
      </c>
      <c r="D211" s="196"/>
      <c r="E211" s="165"/>
      <c r="F211" s="140" t="s">
        <v>488</v>
      </c>
      <c r="G211"/>
      <c r="I211" s="650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00" t="s">
        <v>489</v>
      </c>
      <c r="G212"/>
      <c r="I212" s="650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00" t="s">
        <v>490</v>
      </c>
      <c r="G213" s="232"/>
      <c r="H213" s="166"/>
      <c r="I213" s="653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460" t="s">
        <v>491</v>
      </c>
      <c r="G214" s="165"/>
      <c r="I214" s="650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266444</v>
      </c>
      <c r="D215" s="558">
        <f>D21-D208</f>
        <v>25439</v>
      </c>
      <c r="E215" s="171">
        <f t="shared" ref="E215:F215" si="56">E21-E208</f>
        <v>291011</v>
      </c>
      <c r="F215" s="171">
        <f t="shared" si="56"/>
        <v>152553</v>
      </c>
      <c r="G215" s="171">
        <f>G21-G208</f>
        <v>443564</v>
      </c>
      <c r="I215" s="650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650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650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653"/>
      <c r="J218" s="168"/>
      <c r="K218" s="168"/>
    </row>
    <row r="219" spans="1:17">
      <c r="A219" s="163"/>
      <c r="B219" s="170" t="s">
        <v>218</v>
      </c>
      <c r="C219" s="592">
        <f>'[10]Sch D'!C9</f>
        <v>17906</v>
      </c>
      <c r="D219" s="592"/>
      <c r="E219" s="235">
        <f t="shared" ref="E219:G227" si="57">C219+D219</f>
        <v>17906</v>
      </c>
      <c r="F219" s="234">
        <v>3614</v>
      </c>
      <c r="G219" s="235">
        <f t="shared" si="57"/>
        <v>21520</v>
      </c>
      <c r="H219" s="172">
        <f t="shared" ref="H219:H228" si="58">IF($G$228=0,0,G219/$G$228)</f>
        <v>0.666088894391482</v>
      </c>
      <c r="I219" s="648"/>
      <c r="J219" s="168"/>
      <c r="K219" s="168"/>
    </row>
    <row r="220" spans="1:17">
      <c r="A220" s="163"/>
      <c r="B220" s="170" t="s">
        <v>217</v>
      </c>
      <c r="C220" s="592">
        <f>'[10]Sch D'!D9</f>
        <v>0</v>
      </c>
      <c r="D220" s="592"/>
      <c r="E220" s="171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648"/>
      <c r="J220" s="168"/>
      <c r="K220" s="168"/>
    </row>
    <row r="221" spans="1:17">
      <c r="A221" s="163"/>
      <c r="B221" s="170" t="s">
        <v>72</v>
      </c>
      <c r="C221" s="592">
        <f>'[10]Sch D'!E9</f>
        <v>1295</v>
      </c>
      <c r="D221" s="592"/>
      <c r="E221" s="171">
        <f t="shared" si="59"/>
        <v>1295</v>
      </c>
      <c r="F221" s="234">
        <v>200</v>
      </c>
      <c r="G221" s="235">
        <f t="shared" si="57"/>
        <v>1495</v>
      </c>
      <c r="H221" s="172">
        <f t="shared" si="58"/>
        <v>4.6273368825058808E-2</v>
      </c>
      <c r="I221" s="648"/>
      <c r="J221" s="168"/>
      <c r="K221" s="168"/>
    </row>
    <row r="222" spans="1:17">
      <c r="A222" s="163"/>
      <c r="B222" s="202" t="s">
        <v>334</v>
      </c>
      <c r="C222" s="592">
        <f>'[10]Sch D'!F9</f>
        <v>2736</v>
      </c>
      <c r="D222" s="592"/>
      <c r="E222" s="171">
        <f t="shared" si="59"/>
        <v>2736</v>
      </c>
      <c r="F222" s="234">
        <v>420</v>
      </c>
      <c r="G222" s="235">
        <f>E222+F222</f>
        <v>3156</v>
      </c>
      <c r="H222" s="172">
        <f t="shared" si="58"/>
        <v>9.7684783954438525E-2</v>
      </c>
      <c r="I222" s="648"/>
      <c r="J222" s="168"/>
      <c r="K222" s="168"/>
    </row>
    <row r="223" spans="1:17">
      <c r="A223" s="163"/>
      <c r="B223" s="170" t="s">
        <v>73</v>
      </c>
      <c r="C223" s="592">
        <f>'[10]Sch D'!G9</f>
        <v>0</v>
      </c>
      <c r="D223" s="592"/>
      <c r="E223" s="171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648"/>
      <c r="J223" s="168"/>
      <c r="K223" s="168"/>
    </row>
    <row r="224" spans="1:17">
      <c r="A224" s="163"/>
      <c r="B224" s="170" t="s">
        <v>74</v>
      </c>
      <c r="C224" s="592">
        <f>'[10]Sch D'!H9</f>
        <v>2785</v>
      </c>
      <c r="D224" s="592"/>
      <c r="E224" s="171">
        <f t="shared" si="59"/>
        <v>2785</v>
      </c>
      <c r="F224" s="234">
        <v>375</v>
      </c>
      <c r="G224" s="235">
        <f t="shared" si="57"/>
        <v>3160</v>
      </c>
      <c r="H224" s="172">
        <f t="shared" si="58"/>
        <v>9.7808592299120964E-2</v>
      </c>
      <c r="I224" s="648"/>
      <c r="J224" s="168"/>
      <c r="K224" s="168"/>
    </row>
    <row r="225" spans="1:11">
      <c r="A225" s="163"/>
      <c r="B225" s="170" t="s">
        <v>236</v>
      </c>
      <c r="C225" s="592">
        <f>'[10]Sch D'!I9</f>
        <v>0</v>
      </c>
      <c r="D225" s="592"/>
      <c r="E225" s="171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648"/>
      <c r="J225" s="168"/>
      <c r="K225" s="168"/>
    </row>
    <row r="226" spans="1:11">
      <c r="A226" s="163"/>
      <c r="B226" s="170" t="s">
        <v>235</v>
      </c>
      <c r="C226" s="592">
        <f>'[10]Sch D'!J9</f>
        <v>2395</v>
      </c>
      <c r="D226" s="592"/>
      <c r="E226" s="171">
        <f t="shared" si="59"/>
        <v>2395</v>
      </c>
      <c r="F226" s="234">
        <v>582</v>
      </c>
      <c r="G226" s="235">
        <f>E226+F226</f>
        <v>2977</v>
      </c>
      <c r="H226" s="172">
        <f t="shared" si="58"/>
        <v>9.2144360529899716E-2</v>
      </c>
      <c r="I226" s="648"/>
      <c r="J226" s="168"/>
      <c r="K226" s="168"/>
    </row>
    <row r="227" spans="1:11">
      <c r="A227" s="163"/>
      <c r="B227" s="170" t="s">
        <v>179</v>
      </c>
      <c r="C227" s="592">
        <f>'[10]Sch D'!K9</f>
        <v>0</v>
      </c>
      <c r="D227" s="592"/>
      <c r="E227" s="171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648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27117</v>
      </c>
      <c r="D228" s="592">
        <f>SUM(D219:D227)</f>
        <v>0</v>
      </c>
      <c r="E228" s="237">
        <f>SUM(E219:E227)</f>
        <v>27117</v>
      </c>
      <c r="F228" s="237">
        <f>SUM(F219:F227)</f>
        <v>5191</v>
      </c>
      <c r="G228" s="237">
        <f>SUM(G219:G227)</f>
        <v>32308</v>
      </c>
      <c r="H228" s="172">
        <f t="shared" si="58"/>
        <v>1</v>
      </c>
      <c r="I228" s="648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'[10]Sch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'[10]Sch D'!N24</f>
        <v>120</v>
      </c>
      <c r="D232" s="559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271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601" t="s">
        <v>493</v>
      </c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'[10]Sch D'!N28</f>
        <v>36600</v>
      </c>
      <c r="D235" s="483"/>
      <c r="E235" s="234">
        <f>E231*E233</f>
        <v>36600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'[10]Sch D'!N30</f>
        <v>0.74090163934426234</v>
      </c>
      <c r="D236" s="239"/>
      <c r="E236" s="244">
        <f>E228/E235</f>
        <v>0.74090163934426234</v>
      </c>
      <c r="F236" s="245"/>
      <c r="G236" s="244">
        <f>G228/G235</f>
        <v>0.73561020036429869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'[10]Sch D'!N32</f>
        <v>0.48923497267759564</v>
      </c>
      <c r="D237" s="239"/>
      <c r="E237" s="244">
        <f>(E219+E220)/E235</f>
        <v>0.48923497267759564</v>
      </c>
      <c r="F237" s="245"/>
      <c r="G237" s="244">
        <f>(G219+G220)/G235</f>
        <v>0.48998178506375228</v>
      </c>
      <c r="H237" s="167"/>
      <c r="J237" s="168"/>
      <c r="K237" s="168"/>
    </row>
    <row r="238" spans="1:11" ht="39.5">
      <c r="A238" s="163"/>
      <c r="B238" s="243" t="s">
        <v>338</v>
      </c>
      <c r="C238" s="594">
        <f>'[10]Sch D'!N34</f>
        <v>0.66032378212929155</v>
      </c>
      <c r="D238" s="239"/>
      <c r="E238" s="244">
        <f>(E237/E236)</f>
        <v>0.66032378212929155</v>
      </c>
      <c r="F238" s="245"/>
      <c r="G238" s="244">
        <f>(G237/G236)</f>
        <v>0.666088894391482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'[10]Sch B'!C85</f>
        <v>189.73496659242761</v>
      </c>
    </row>
    <row r="242" spans="2:7">
      <c r="F242" s="142" t="s">
        <v>341</v>
      </c>
      <c r="G242" s="558">
        <f>'[10]Sch B'!E85</f>
        <v>187.8544776119403</v>
      </c>
    </row>
    <row r="243" spans="2:7">
      <c r="F243" s="142" t="s">
        <v>342</v>
      </c>
      <c r="G243" s="558">
        <f>'[10]Sch B'!G85</f>
        <v>188.38721804511277</v>
      </c>
    </row>
    <row r="244" spans="2:7">
      <c r="F244" s="142" t="s">
        <v>343</v>
      </c>
      <c r="G244" s="558">
        <f>'[10]Sch B'!I85*1/3+179*2/3</f>
        <v>182.88421052631577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28CAB"/>
  </sheetPr>
  <dimension ref="A1:Q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650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556"/>
      <c r="D1" s="472"/>
      <c r="E1" s="472"/>
      <c r="F1" s="472"/>
      <c r="G1" s="472"/>
      <c r="H1" s="472"/>
      <c r="I1" s="649"/>
    </row>
    <row r="2" spans="1:17" ht="23">
      <c r="B2" s="143" t="s">
        <v>189</v>
      </c>
      <c r="C2" s="676" t="s">
        <v>713</v>
      </c>
      <c r="D2" s="246" t="s">
        <v>714</v>
      </c>
      <c r="E2" s="144"/>
    </row>
    <row r="3" spans="1:17">
      <c r="A3" s="145"/>
      <c r="B3" s="140" t="s">
        <v>79</v>
      </c>
      <c r="C3" s="489">
        <v>42186</v>
      </c>
      <c r="D3" s="144"/>
      <c r="E3" s="400"/>
      <c r="F3" s="400"/>
      <c r="I3" s="660"/>
    </row>
    <row r="4" spans="1:17">
      <c r="A4" s="145"/>
      <c r="B4" s="148" t="s">
        <v>80</v>
      </c>
      <c r="C4" s="489">
        <v>42551</v>
      </c>
      <c r="D4" s="144"/>
      <c r="E4" s="400"/>
      <c r="F4" s="400"/>
      <c r="G4" s="150"/>
      <c r="I4" s="660"/>
    </row>
    <row r="5" spans="1:17">
      <c r="A5" s="145"/>
      <c r="B5" s="148"/>
      <c r="C5" s="151"/>
      <c r="D5" s="144"/>
      <c r="F5" s="460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651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652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652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580"/>
      <c r="D10" s="165"/>
      <c r="E10" s="165"/>
      <c r="F10"/>
      <c r="G10" s="165"/>
      <c r="H10" s="166"/>
      <c r="I10" s="653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'[11]Sch B'!E10</f>
        <v>22489</v>
      </c>
      <c r="D11" s="558">
        <f>'[11]Sch B'!G10</f>
        <v>0</v>
      </c>
      <c r="E11" s="171">
        <f>C11+D11</f>
        <v>22489</v>
      </c>
      <c r="F11" s="171"/>
      <c r="G11" s="171">
        <f t="shared" ref="G11:G20" si="0">E11+F11</f>
        <v>22489</v>
      </c>
      <c r="H11" s="172">
        <f t="shared" ref="H11:H21" si="1">IF($G$21=0,0,G11/$G$21)</f>
        <v>2.8249950192959883E-3</v>
      </c>
      <c r="I11" s="673" t="s">
        <v>693</v>
      </c>
      <c r="J11" s="368" t="s">
        <v>344</v>
      </c>
      <c r="K11" s="369">
        <f>G21</f>
        <v>7960722</v>
      </c>
      <c r="M11" s="359">
        <f>IFERROR(G11/G219,0)</f>
        <v>170.37121212121212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'[11]Sch B'!E15</f>
        <v>0</v>
      </c>
      <c r="D12" s="558">
        <f>'[11]Sch B'!G15</f>
        <v>0</v>
      </c>
      <c r="E12" s="171">
        <f t="shared" ref="E12:E19" si="2">C12+D12</f>
        <v>0</v>
      </c>
      <c r="F12" s="171"/>
      <c r="G12" s="171">
        <f>E12+F12</f>
        <v>0</v>
      </c>
      <c r="H12" s="172">
        <f t="shared" si="1"/>
        <v>0</v>
      </c>
      <c r="I12" s="648"/>
      <c r="J12" s="370" t="s">
        <v>345</v>
      </c>
      <c r="K12" s="371">
        <f>G208</f>
        <v>7582868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'[11]Sch B'!E21</f>
        <v>5999886</v>
      </c>
      <c r="D13" s="558">
        <f>'[11]Sch B'!G21</f>
        <v>0</v>
      </c>
      <c r="E13" s="171">
        <f t="shared" si="2"/>
        <v>5999886</v>
      </c>
      <c r="F13" s="171"/>
      <c r="G13" s="171">
        <f t="shared" si="0"/>
        <v>5999886</v>
      </c>
      <c r="H13" s="172">
        <f t="shared" si="1"/>
        <v>0.75368616062713911</v>
      </c>
      <c r="I13" s="648"/>
      <c r="J13" s="370" t="s">
        <v>346</v>
      </c>
      <c r="K13" s="371">
        <f>G228</f>
        <v>17192</v>
      </c>
      <c r="M13" s="359">
        <f t="shared" si="3"/>
        <v>474.89995250910243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'[11]Sch B'!E27</f>
        <v>1926129</v>
      </c>
      <c r="D14" s="558">
        <f>'[11]Sch B'!G27</f>
        <v>0</v>
      </c>
      <c r="E14" s="171">
        <f t="shared" si="2"/>
        <v>1926129</v>
      </c>
      <c r="F14" s="175"/>
      <c r="G14" s="175">
        <f>E14+F14</f>
        <v>1926129</v>
      </c>
      <c r="H14" s="176">
        <f t="shared" si="1"/>
        <v>0.24195405894088501</v>
      </c>
      <c r="I14" s="654"/>
      <c r="J14" s="370" t="s">
        <v>347</v>
      </c>
      <c r="K14" s="371">
        <f>G231</f>
        <v>60</v>
      </c>
      <c r="M14" s="359">
        <f t="shared" si="3"/>
        <v>442.58478860294116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'[11]Sch B'!E32</f>
        <v>0</v>
      </c>
      <c r="D15" s="558">
        <f>'[11]Sch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753" t="s">
        <v>420</v>
      </c>
      <c r="J15" s="370" t="s">
        <v>348</v>
      </c>
      <c r="K15" s="371">
        <f>G235</f>
        <v>21960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'[11]Sch B'!E37</f>
        <v>11873</v>
      </c>
      <c r="D16" s="558">
        <f>'[11]Sch B'!G37</f>
        <v>0</v>
      </c>
      <c r="E16" s="171">
        <f t="shared" si="2"/>
        <v>11873</v>
      </c>
      <c r="F16" s="171"/>
      <c r="G16" s="171">
        <f t="shared" si="0"/>
        <v>11873</v>
      </c>
      <c r="H16" s="172">
        <f t="shared" si="1"/>
        <v>1.4914476350260692E-3</v>
      </c>
      <c r="I16" s="753"/>
      <c r="J16" s="372"/>
      <c r="K16" s="371"/>
      <c r="M16" s="359">
        <f t="shared" si="3"/>
        <v>160.44594594594594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'[11]Sch B'!E42</f>
        <v>0</v>
      </c>
      <c r="D17" s="558">
        <f>'[11]Sch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754"/>
      <c r="J17" s="370" t="s">
        <v>156</v>
      </c>
      <c r="K17" s="371">
        <f>J208</f>
        <v>181317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'[11]Sch B'!E47</f>
        <v>0</v>
      </c>
      <c r="D18" s="558">
        <f>'[11]Sch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753" t="s">
        <v>424</v>
      </c>
      <c r="J18" s="373" t="s">
        <v>252</v>
      </c>
      <c r="K18" s="374">
        <f>K208</f>
        <v>191065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'[11]Sch B'!E52</f>
        <v>0</v>
      </c>
      <c r="D19" s="558">
        <f>'[11]Sch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753" t="s">
        <v>424</v>
      </c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'[11]Sch B'!E67</f>
        <v>345</v>
      </c>
      <c r="D20" s="558">
        <f>'[11]Sch B'!G67</f>
        <v>0</v>
      </c>
      <c r="E20" s="171">
        <f>C20+D20</f>
        <v>345</v>
      </c>
      <c r="F20" s="171"/>
      <c r="G20" s="171">
        <f t="shared" si="0"/>
        <v>345</v>
      </c>
      <c r="H20" s="172">
        <f t="shared" si="1"/>
        <v>4.333777765383592E-5</v>
      </c>
      <c r="I20" s="674" t="s">
        <v>697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7960722</v>
      </c>
      <c r="D21" s="558">
        <f>SUM(D11:D20)</f>
        <v>0</v>
      </c>
      <c r="E21" s="171">
        <f>SUM(E11:E20)</f>
        <v>7960722</v>
      </c>
      <c r="F21" s="171">
        <f>SUM(F11:F20)</f>
        <v>0</v>
      </c>
      <c r="G21" s="171">
        <f>SUM(G11:G20)</f>
        <v>7960722</v>
      </c>
      <c r="H21" s="172">
        <f t="shared" si="1"/>
        <v>1</v>
      </c>
      <c r="I21" s="648"/>
      <c r="J21" s="168"/>
      <c r="K21" s="168"/>
      <c r="M21" s="359">
        <f>IFERROR(G21/G228,0)</f>
        <v>463.04804560260584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F24" s="401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'[11]Sch C'!D10</f>
        <v>267814</v>
      </c>
      <c r="D25" s="558">
        <f>'[11]Sch C'!F10</f>
        <v>14397</v>
      </c>
      <c r="E25" s="171">
        <f t="shared" ref="E25:E60" si="4">C25+D25</f>
        <v>282211</v>
      </c>
      <c r="F25" s="171"/>
      <c r="G25" s="182">
        <f>E25+F25</f>
        <v>282211</v>
      </c>
      <c r="H25" s="172">
        <f>IF($G$208=0,0,G25/$G$208)</f>
        <v>3.7216921091070027E-2</v>
      </c>
      <c r="I25" s="648"/>
      <c r="J25" s="183">
        <v>5120</v>
      </c>
      <c r="K25" s="183">
        <v>5395</v>
      </c>
      <c r="M25" s="359">
        <f>G25/G$228</f>
        <v>16.415251279664961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'[11]Sch C'!D11</f>
        <v>0</v>
      </c>
      <c r="D26" s="558">
        <f>'[11]Sch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648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'[11]Sch C'!D12</f>
        <v>246315</v>
      </c>
      <c r="D27" s="558">
        <f>'[11]Sch C'!F12</f>
        <v>13242</v>
      </c>
      <c r="E27" s="171">
        <f t="shared" si="4"/>
        <v>259557</v>
      </c>
      <c r="F27" s="171"/>
      <c r="G27" s="171">
        <f t="shared" si="5"/>
        <v>259557</v>
      </c>
      <c r="H27" s="172">
        <f t="shared" si="6"/>
        <v>3.4229397109378668E-2</v>
      </c>
      <c r="I27" s="648"/>
      <c r="J27" s="185">
        <v>13885</v>
      </c>
      <c r="K27" s="185">
        <v>14631</v>
      </c>
      <c r="M27" s="359">
        <f t="shared" si="7"/>
        <v>15.097545369939507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'[11]Sch C'!D13</f>
        <v>921734</v>
      </c>
      <c r="D28" s="558">
        <f>'[11]Sch C'!F13</f>
        <v>-811995</v>
      </c>
      <c r="E28" s="171">
        <f t="shared" si="4"/>
        <v>109739</v>
      </c>
      <c r="F28" s="171"/>
      <c r="G28" s="171">
        <f t="shared" si="5"/>
        <v>109739</v>
      </c>
      <c r="H28" s="172">
        <f t="shared" si="6"/>
        <v>1.4471964961014751E-2</v>
      </c>
      <c r="I28" s="648"/>
      <c r="J28" s="168"/>
      <c r="K28" s="168"/>
      <c r="M28" s="359">
        <f t="shared" si="7"/>
        <v>6.3831433224755703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'[11]Sch C'!D14</f>
        <v>0</v>
      </c>
      <c r="D29" s="558">
        <f>'[11]Sch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648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'[11]Sch C'!D15</f>
        <v>0</v>
      </c>
      <c r="D30" s="558">
        <f>'[11]Sch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648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'[11]Sch C'!D16</f>
        <v>398042</v>
      </c>
      <c r="D31" s="558">
        <f>'[11]Sch C'!F16</f>
        <v>169369</v>
      </c>
      <c r="E31" s="171">
        <f t="shared" si="4"/>
        <v>567411</v>
      </c>
      <c r="F31" s="171"/>
      <c r="G31" s="171">
        <f t="shared" si="5"/>
        <v>567411</v>
      </c>
      <c r="H31" s="172">
        <f t="shared" si="6"/>
        <v>7.4828020216097663E-2</v>
      </c>
      <c r="I31" s="648"/>
      <c r="J31" s="168"/>
      <c r="K31" s="168"/>
      <c r="M31" s="359">
        <f t="shared" si="7"/>
        <v>33.00436249418334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'[11]Sch C'!D17</f>
        <v>0</v>
      </c>
      <c r="D32" s="558">
        <f>'[11]Sch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648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'[11]Sch C'!D18</f>
        <v>16155</v>
      </c>
      <c r="D33" s="558">
        <f>'[11]Sch C'!F18</f>
        <v>0</v>
      </c>
      <c r="E33" s="171">
        <f t="shared" si="4"/>
        <v>16155</v>
      </c>
      <c r="F33" s="171"/>
      <c r="G33" s="171">
        <f t="shared" si="5"/>
        <v>16155</v>
      </c>
      <c r="H33" s="172">
        <f t="shared" si="6"/>
        <v>2.1304604009986725E-3</v>
      </c>
      <c r="I33" s="648"/>
      <c r="J33" s="168"/>
      <c r="K33" s="168"/>
      <c r="M33" s="359">
        <f t="shared" si="7"/>
        <v>0.93968124709167056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'[11]Sch C'!D19</f>
        <v>6693</v>
      </c>
      <c r="D34" s="558">
        <f>'[11]Sch C'!F19</f>
        <v>-621</v>
      </c>
      <c r="E34" s="171">
        <f t="shared" si="4"/>
        <v>6072</v>
      </c>
      <c r="F34" s="171"/>
      <c r="G34" s="171">
        <f t="shared" si="5"/>
        <v>6072</v>
      </c>
      <c r="H34" s="172">
        <f t="shared" si="6"/>
        <v>8.0075243298445922E-4</v>
      </c>
      <c r="I34" s="648"/>
      <c r="J34" s="168"/>
      <c r="K34" s="168"/>
      <c r="M34" s="359">
        <f t="shared" si="7"/>
        <v>0.35318752908329454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'[11]Sch C'!D20</f>
        <v>28433</v>
      </c>
      <c r="D35" s="558">
        <f>'[11]Sch C'!F20</f>
        <v>0</v>
      </c>
      <c r="E35" s="171">
        <f t="shared" si="4"/>
        <v>28433</v>
      </c>
      <c r="F35" s="171"/>
      <c r="G35" s="171">
        <f t="shared" si="5"/>
        <v>28433</v>
      </c>
      <c r="H35" s="172">
        <f t="shared" si="6"/>
        <v>3.7496366810024916E-3</v>
      </c>
      <c r="I35" s="648"/>
      <c r="J35" s="168"/>
      <c r="K35" s="168"/>
      <c r="M35" s="359">
        <f t="shared" si="7"/>
        <v>1.6538506281991625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'[11]Sch C'!D21</f>
        <v>195</v>
      </c>
      <c r="D36" s="558">
        <f>'[11]Sch C'!F21</f>
        <v>0</v>
      </c>
      <c r="E36" s="171">
        <f t="shared" si="4"/>
        <v>195</v>
      </c>
      <c r="F36" s="171"/>
      <c r="G36" s="171">
        <f t="shared" si="5"/>
        <v>195</v>
      </c>
      <c r="H36" s="172">
        <f t="shared" si="6"/>
        <v>2.5715863707504863E-5</v>
      </c>
      <c r="I36" s="648"/>
      <c r="J36" s="168"/>
      <c r="K36" s="168"/>
      <c r="M36" s="359">
        <f t="shared" si="7"/>
        <v>1.1342484876686831E-2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'[11]Sch C'!D22</f>
        <v>0</v>
      </c>
      <c r="D37" s="558">
        <f>'[11]Sch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648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'[11]Sch C'!D23</f>
        <v>10747</v>
      </c>
      <c r="D38" s="558">
        <f>'[11]Sch C'!F23</f>
        <v>0</v>
      </c>
      <c r="E38" s="171">
        <f t="shared" si="4"/>
        <v>10747</v>
      </c>
      <c r="F38" s="171"/>
      <c r="G38" s="171">
        <f t="shared" si="5"/>
        <v>10747</v>
      </c>
      <c r="H38" s="172">
        <f t="shared" si="6"/>
        <v>1.4172737808438706E-3</v>
      </c>
      <c r="I38" s="648"/>
      <c r="J38" s="168"/>
      <c r="K38" s="168"/>
      <c r="M38" s="359">
        <f t="shared" si="7"/>
        <v>0.62511633317822246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'[11]Sch C'!D24</f>
        <v>44991</v>
      </c>
      <c r="D39" s="558">
        <f>'[11]Sch C'!F24</f>
        <v>-5400</v>
      </c>
      <c r="E39" s="171">
        <f t="shared" si="4"/>
        <v>39591</v>
      </c>
      <c r="F39" s="171"/>
      <c r="G39" s="171">
        <f t="shared" si="5"/>
        <v>39591</v>
      </c>
      <c r="H39" s="172">
        <f t="shared" si="6"/>
        <v>5.2211115899683342E-3</v>
      </c>
      <c r="I39" s="648"/>
      <c r="J39" s="168"/>
      <c r="K39" s="168"/>
      <c r="M39" s="359">
        <f t="shared" si="7"/>
        <v>2.3028734295020938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'[11]Sch C'!D25</f>
        <v>0</v>
      </c>
      <c r="D40" s="558">
        <f>'[11]Sch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648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'[11]Sch C'!D26</f>
        <v>3774</v>
      </c>
      <c r="D41" s="558">
        <f>'[11]Sch C'!F26</f>
        <v>0</v>
      </c>
      <c r="E41" s="171">
        <f t="shared" si="4"/>
        <v>3774</v>
      </c>
      <c r="F41" s="171"/>
      <c r="G41" s="171">
        <f t="shared" si="5"/>
        <v>3774</v>
      </c>
      <c r="H41" s="172">
        <f t="shared" si="6"/>
        <v>4.9770086990832496E-4</v>
      </c>
      <c r="I41" s="648"/>
      <c r="J41" s="168"/>
      <c r="K41" s="168"/>
      <c r="M41" s="359">
        <f t="shared" si="7"/>
        <v>0.21952070730572359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'[11]Sch C'!D27</f>
        <v>0</v>
      </c>
      <c r="D42" s="558">
        <f>'[11]Sch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648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'[11]Sch C'!D28</f>
        <v>0</v>
      </c>
      <c r="D43" s="558">
        <f>'[11]Sch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648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'[11]Sch C'!D29</f>
        <v>88894</v>
      </c>
      <c r="D44" s="558">
        <f>'[11]Sch C'!F29</f>
        <v>-88894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648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'[11]Sch C'!D30</f>
        <v>0</v>
      </c>
      <c r="D45" s="558">
        <f>'[11]Sch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648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'[11]Sch C'!D31</f>
        <v>109102</v>
      </c>
      <c r="D46" s="558">
        <f>'[11]Sch C'!F31</f>
        <v>-29621</v>
      </c>
      <c r="E46" s="171">
        <f t="shared" si="4"/>
        <v>79481</v>
      </c>
      <c r="F46" s="171"/>
      <c r="G46" s="171">
        <f t="shared" si="5"/>
        <v>79481</v>
      </c>
      <c r="H46" s="172">
        <f t="shared" si="6"/>
        <v>1.0481654170954842E-2</v>
      </c>
      <c r="I46" s="648"/>
      <c r="J46" s="168"/>
      <c r="K46" s="168"/>
      <c r="M46" s="359">
        <f t="shared" si="7"/>
        <v>4.6231386691484415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'[11]Sch C'!D32</f>
        <v>47058</v>
      </c>
      <c r="D47" s="558">
        <f>'[11]Sch C'!F32</f>
        <v>-11386</v>
      </c>
      <c r="E47" s="171">
        <f t="shared" si="4"/>
        <v>35672</v>
      </c>
      <c r="F47" s="171"/>
      <c r="G47" s="171">
        <f t="shared" si="5"/>
        <v>35672</v>
      </c>
      <c r="H47" s="172">
        <f t="shared" si="6"/>
        <v>4.7042886675595563E-3</v>
      </c>
      <c r="I47" s="648"/>
      <c r="J47" s="168"/>
      <c r="K47" s="168"/>
      <c r="M47" s="359">
        <f t="shared" si="7"/>
        <v>2.0749185667752443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'[11]Sch C'!D33</f>
        <v>0</v>
      </c>
      <c r="D48" s="558">
        <f>'[11]Sch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648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'[11]Sch C'!D34</f>
        <v>0</v>
      </c>
      <c r="D49" s="558">
        <f>'[11]Sch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648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'[11]Sch C'!D35</f>
        <v>0</v>
      </c>
      <c r="D50" s="558">
        <f>'[11]Sch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648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'[11]Sch C'!D36</f>
        <v>0</v>
      </c>
      <c r="D51" s="558">
        <f>'[11]Sch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648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'[11]Sch C'!D37</f>
        <v>0</v>
      </c>
      <c r="D52" s="558">
        <f>'[11]Sch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648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'[11]Sch C'!D38</f>
        <v>1210</v>
      </c>
      <c r="D53" s="558">
        <f>'[11]Sch C'!F38</f>
        <v>-1210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648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'[11]Sch C'!D39</f>
        <v>2288</v>
      </c>
      <c r="D54" s="558">
        <f>'[11]Sch C'!F39</f>
        <v>0</v>
      </c>
      <c r="E54" s="171">
        <f t="shared" si="4"/>
        <v>2288</v>
      </c>
      <c r="F54" s="171"/>
      <c r="G54" s="171">
        <f t="shared" si="5"/>
        <v>2288</v>
      </c>
      <c r="H54" s="172">
        <f t="shared" si="6"/>
        <v>3.0173280083472376E-4</v>
      </c>
      <c r="I54" s="648"/>
      <c r="J54" s="168"/>
      <c r="K54" s="168"/>
      <c r="M54" s="359">
        <f t="shared" si="7"/>
        <v>0.13308515588645881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'[11]Sch C'!D40</f>
        <v>11759</v>
      </c>
      <c r="D55" s="558">
        <f>'[11]Sch C'!F40</f>
        <v>0</v>
      </c>
      <c r="E55" s="171">
        <f t="shared" si="4"/>
        <v>11759</v>
      </c>
      <c r="F55" s="171"/>
      <c r="G55" s="171">
        <f t="shared" si="5"/>
        <v>11759</v>
      </c>
      <c r="H55" s="172">
        <f t="shared" si="6"/>
        <v>1.5507325196746139E-3</v>
      </c>
      <c r="I55" s="648"/>
      <c r="J55" s="168"/>
      <c r="K55" s="168"/>
      <c r="M55" s="359">
        <f t="shared" si="7"/>
        <v>0.68398092135877153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'[11]Sch C'!D41</f>
        <v>13566</v>
      </c>
      <c r="D56" s="558">
        <f>'[11]Sch C'!F41</f>
        <v>0</v>
      </c>
      <c r="E56" s="171">
        <f t="shared" si="4"/>
        <v>13566</v>
      </c>
      <c r="F56" s="171"/>
      <c r="G56" s="171">
        <f t="shared" si="5"/>
        <v>13566</v>
      </c>
      <c r="H56" s="172">
        <f t="shared" si="6"/>
        <v>1.7890328566974923E-3</v>
      </c>
      <c r="I56" s="648"/>
      <c r="J56" s="168"/>
      <c r="K56" s="168"/>
      <c r="M56" s="359">
        <f t="shared" si="7"/>
        <v>0.78908794788273617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'[11]Sch C'!D42</f>
        <v>4644</v>
      </c>
      <c r="D57" s="558">
        <f>'[11]Sch C'!F42</f>
        <v>0</v>
      </c>
      <c r="E57" s="171">
        <f t="shared" si="4"/>
        <v>4644</v>
      </c>
      <c r="F57" s="171"/>
      <c r="G57" s="171">
        <f t="shared" si="5"/>
        <v>4644</v>
      </c>
      <c r="H57" s="172">
        <f t="shared" si="6"/>
        <v>6.1243318491103896E-4</v>
      </c>
      <c r="I57" s="648"/>
      <c r="J57" s="168"/>
      <c r="K57" s="168"/>
      <c r="M57" s="359">
        <f t="shared" si="7"/>
        <v>0.27012563983248022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'[11]Sch C'!D43</f>
        <v>12627</v>
      </c>
      <c r="D58" s="558">
        <f>'[11]Sch C'!F43</f>
        <v>0</v>
      </c>
      <c r="E58" s="171">
        <f t="shared" si="4"/>
        <v>12627</v>
      </c>
      <c r="F58" s="171"/>
      <c r="G58" s="171">
        <f t="shared" si="5"/>
        <v>12627</v>
      </c>
      <c r="H58" s="172">
        <f t="shared" si="6"/>
        <v>1.6652010822290459E-3</v>
      </c>
      <c r="I58" s="648"/>
      <c r="J58" s="168"/>
      <c r="K58" s="168"/>
      <c r="M58" s="359">
        <f t="shared" si="7"/>
        <v>0.73446952070730576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'[11]Sch C'!D44</f>
        <v>0</v>
      </c>
      <c r="D59" s="558">
        <f>'[11]Sch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648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'[11]Sch C'!D45</f>
        <v>5484</v>
      </c>
      <c r="D60" s="558">
        <f>'[11]Sch C'!F45</f>
        <v>-9</v>
      </c>
      <c r="E60" s="171">
        <f t="shared" si="4"/>
        <v>5475</v>
      </c>
      <c r="F60" s="171"/>
      <c r="G60" s="171">
        <f t="shared" si="5"/>
        <v>5475</v>
      </c>
      <c r="H60" s="172">
        <f t="shared" si="6"/>
        <v>7.2202232717225197E-4</v>
      </c>
      <c r="I60" s="648"/>
      <c r="J60" s="168"/>
      <c r="K60" s="168"/>
      <c r="M60" s="359">
        <f t="shared" si="7"/>
        <v>0.31846207538389948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2241525</v>
      </c>
      <c r="D61" s="558">
        <f>SUM(D25:D60)</f>
        <v>-752128</v>
      </c>
      <c r="E61" s="171">
        <f t="shared" ref="E61:F61" si="8">SUM(E25:E60)</f>
        <v>1489397</v>
      </c>
      <c r="F61" s="171">
        <f t="shared" si="8"/>
        <v>0</v>
      </c>
      <c r="G61" s="171">
        <f>SUM(G25:G60)</f>
        <v>1489397</v>
      </c>
      <c r="H61" s="186">
        <f t="shared" si="6"/>
        <v>0.19641605260700831</v>
      </c>
      <c r="I61" s="655"/>
      <c r="J61" s="168"/>
      <c r="K61" s="168"/>
      <c r="M61" s="364">
        <f>G61/G$228</f>
        <v>86.633143322475576</v>
      </c>
      <c r="N61" s="359">
        <f>SUMMARY!J64</f>
        <v>53.728790309602623</v>
      </c>
      <c r="O61" s="354">
        <f>M61/N61-1</f>
        <v>0.61241566808534964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656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656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'[11]Sch C'!D57</f>
        <v>720000</v>
      </c>
      <c r="D64" s="558">
        <f>'[11]Sch C'!F57</f>
        <v>0</v>
      </c>
      <c r="E64" s="171">
        <f t="shared" ref="E64:E78" si="9">C64+D64</f>
        <v>720000</v>
      </c>
      <c r="F64" s="171"/>
      <c r="G64" s="171">
        <f t="shared" ref="G64:G78" si="10">E64+F64</f>
        <v>720000</v>
      </c>
      <c r="H64" s="172">
        <f t="shared" ref="H64:H79" si="11">IF($G$208=0,0,G64/$G$208)</f>
        <v>9.4950881381556426E-2</v>
      </c>
      <c r="I64" s="648"/>
      <c r="J64" s="190"/>
      <c r="K64" s="168"/>
      <c r="M64" s="359">
        <f t="shared" ref="M64:M79" si="12">G64/G$228</f>
        <v>41.879944160074452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'[11]Sch C'!D58</f>
        <v>2246</v>
      </c>
      <c r="D65" s="558">
        <f>'[11]Sch C'!F58</f>
        <v>0</v>
      </c>
      <c r="E65" s="171">
        <f t="shared" si="9"/>
        <v>2246</v>
      </c>
      <c r="F65" s="171"/>
      <c r="G65" s="171">
        <f t="shared" si="10"/>
        <v>2246</v>
      </c>
      <c r="H65" s="172">
        <f t="shared" si="11"/>
        <v>2.9619399942079963E-4</v>
      </c>
      <c r="I65" s="648"/>
      <c r="J65" s="190"/>
      <c r="K65" s="168"/>
      <c r="M65" s="359">
        <f t="shared" si="12"/>
        <v>0.13064215914378779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'[11]Sch C'!D59</f>
        <v>0</v>
      </c>
      <c r="D66" s="558">
        <f>'[11]Sch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648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'[11]Sch C'!D60</f>
        <v>46556</v>
      </c>
      <c r="D67" s="558">
        <f>'[11]Sch C'!F60</f>
        <v>0</v>
      </c>
      <c r="E67" s="171">
        <f t="shared" si="9"/>
        <v>46556</v>
      </c>
      <c r="F67" s="171"/>
      <c r="G67" s="171">
        <f t="shared" si="10"/>
        <v>46556</v>
      </c>
      <c r="H67" s="172">
        <f t="shared" si="11"/>
        <v>6.1396294911107516E-3</v>
      </c>
      <c r="I67" s="648"/>
      <c r="J67" s="193"/>
      <c r="K67" s="168"/>
      <c r="M67" s="359">
        <f t="shared" si="12"/>
        <v>2.7080037226617031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'[11]Sch C'!D61</f>
        <v>4836</v>
      </c>
      <c r="D68" s="558">
        <f>'[11]Sch C'!F61</f>
        <v>0</v>
      </c>
      <c r="E68" s="171">
        <f t="shared" si="9"/>
        <v>4836</v>
      </c>
      <c r="F68" s="171"/>
      <c r="G68" s="171">
        <f t="shared" si="10"/>
        <v>4836</v>
      </c>
      <c r="H68" s="172">
        <f t="shared" si="11"/>
        <v>6.3775341994612065E-4</v>
      </c>
      <c r="I68" s="648"/>
      <c r="J68" s="193"/>
      <c r="K68" s="168"/>
      <c r="M68" s="359">
        <f t="shared" si="12"/>
        <v>0.28129362494183341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'[11]Sch C'!D62</f>
        <v>0</v>
      </c>
      <c r="D69" s="558">
        <f>'[11]Sch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648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'[11]Sch C'!D63</f>
        <v>0</v>
      </c>
      <c r="D70" s="558">
        <f>'[11]Sch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648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'[11]Sch C'!D64</f>
        <v>0</v>
      </c>
      <c r="D71" s="558">
        <f>'[11]Sch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648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'[11]Sch C'!D65</f>
        <v>3320</v>
      </c>
      <c r="D72" s="558">
        <f>'[11]Sch C'!F65</f>
        <v>0</v>
      </c>
      <c r="E72" s="171">
        <f t="shared" si="9"/>
        <v>3320</v>
      </c>
      <c r="F72" s="171"/>
      <c r="G72" s="171">
        <f t="shared" si="10"/>
        <v>3320</v>
      </c>
      <c r="H72" s="172">
        <f t="shared" si="11"/>
        <v>4.3782906414828796E-4</v>
      </c>
      <c r="I72" s="648"/>
      <c r="J72" s="195"/>
      <c r="K72" s="168"/>
      <c r="M72" s="359">
        <f t="shared" si="12"/>
        <v>0.19311307584923221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'[11]Sch C'!D66</f>
        <v>461</v>
      </c>
      <c r="D73" s="558">
        <f>'[11]Sch C'!F66</f>
        <v>0</v>
      </c>
      <c r="E73" s="171">
        <f t="shared" si="9"/>
        <v>461</v>
      </c>
      <c r="F73" s="171"/>
      <c r="G73" s="171">
        <f t="shared" si="10"/>
        <v>461</v>
      </c>
      <c r="H73" s="172">
        <f t="shared" si="11"/>
        <v>6.079493932902432E-5</v>
      </c>
      <c r="I73" s="648"/>
      <c r="J73" s="195"/>
      <c r="K73" s="168"/>
      <c r="M73" s="359">
        <f t="shared" si="12"/>
        <v>2.6814797580269892E-2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'[11]Sch C'!D67</f>
        <v>34804</v>
      </c>
      <c r="D74" s="558">
        <f>'[11]Sch C'!F67</f>
        <v>0</v>
      </c>
      <c r="E74" s="171">
        <f t="shared" si="9"/>
        <v>34804</v>
      </c>
      <c r="F74" s="171"/>
      <c r="G74" s="171">
        <f t="shared" si="10"/>
        <v>34804</v>
      </c>
      <c r="H74" s="172">
        <f t="shared" si="11"/>
        <v>4.5898201050051249E-3</v>
      </c>
      <c r="I74" s="648"/>
      <c r="J74" s="195"/>
      <c r="K74" s="168"/>
      <c r="M74" s="359">
        <f t="shared" si="12"/>
        <v>2.0244299674267099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'[11]Sch C'!D68</f>
        <v>0</v>
      </c>
      <c r="D75" s="558">
        <f>'[11]Sch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648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'[11]Sch C'!D69</f>
        <v>4543</v>
      </c>
      <c r="D76" s="558">
        <f>'[11]Sch C'!F69</f>
        <v>0</v>
      </c>
      <c r="E76" s="171">
        <f t="shared" si="9"/>
        <v>4543</v>
      </c>
      <c r="F76" s="171"/>
      <c r="G76" s="171">
        <f t="shared" si="10"/>
        <v>4543</v>
      </c>
      <c r="H76" s="172">
        <f t="shared" si="11"/>
        <v>5.9911368627279279E-4</v>
      </c>
      <c r="I76" s="648"/>
      <c r="J76" s="195"/>
      <c r="K76" s="168"/>
      <c r="M76" s="359">
        <f t="shared" si="12"/>
        <v>0.26425081433224756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'[11]Sch C'!D70</f>
        <v>0</v>
      </c>
      <c r="D77" s="558">
        <f>'[11]Sch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648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'[11]Sch C'!D71</f>
        <v>0</v>
      </c>
      <c r="D78" s="558">
        <f>'[11]Sch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648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816766</v>
      </c>
      <c r="D79" s="558">
        <f>SUM(D64:D78)</f>
        <v>0</v>
      </c>
      <c r="E79" s="171">
        <f t="shared" ref="E79:F79" si="13">SUM(E64:E78)</f>
        <v>816766</v>
      </c>
      <c r="F79" s="171">
        <f t="shared" si="13"/>
        <v>0</v>
      </c>
      <c r="G79" s="171">
        <f>SUM(G64:G78)</f>
        <v>816766</v>
      </c>
      <c r="H79" s="172">
        <f t="shared" si="11"/>
        <v>0.10771201608678932</v>
      </c>
      <c r="I79" s="648"/>
      <c r="J79" s="195"/>
      <c r="K79" s="168"/>
      <c r="M79" s="359">
        <f t="shared" si="12"/>
        <v>47.508492322010234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648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65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'[11]Sch C'!D75</f>
        <v>49234</v>
      </c>
      <c r="D82" s="558">
        <f>'[11]Sch C'!F75</f>
        <v>2647</v>
      </c>
      <c r="E82" s="171">
        <f t="shared" ref="E82:E92" si="14">C82+D82</f>
        <v>51881</v>
      </c>
      <c r="F82" s="171"/>
      <c r="G82" s="171">
        <f t="shared" ref="G82:G92" si="15">E82+F82</f>
        <v>51881</v>
      </c>
      <c r="H82" s="172">
        <f t="shared" ref="H82:H93" si="16">IF($G$208=0,0,G82/$G$208)</f>
        <v>6.8418703846618457E-3</v>
      </c>
      <c r="I82" s="648"/>
      <c r="J82" s="183">
        <v>1969</v>
      </c>
      <c r="K82" s="183">
        <v>2075</v>
      </c>
      <c r="M82" s="359">
        <f t="shared" ref="M82:M92" si="17">G82/G$228</f>
        <v>3.0177408096789202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'[11]Sch C'!D76</f>
        <v>0</v>
      </c>
      <c r="D83" s="558">
        <f>'[11]Sch C'!F76</f>
        <v>10333</v>
      </c>
      <c r="E83" s="171">
        <f t="shared" si="14"/>
        <v>10333</v>
      </c>
      <c r="F83" s="171"/>
      <c r="G83" s="171">
        <f t="shared" si="15"/>
        <v>10333</v>
      </c>
      <c r="H83" s="172">
        <f t="shared" si="16"/>
        <v>1.3626770240494758E-3</v>
      </c>
      <c r="I83" s="648"/>
      <c r="J83" s="168"/>
      <c r="K83" s="168"/>
      <c r="M83" s="359">
        <f t="shared" si="17"/>
        <v>0.60103536528617962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'[11]Sch C'!D77</f>
        <v>12758</v>
      </c>
      <c r="D84" s="558">
        <f>'[11]Sch C'!F77</f>
        <v>0</v>
      </c>
      <c r="E84" s="171">
        <f t="shared" si="14"/>
        <v>12758</v>
      </c>
      <c r="F84" s="171"/>
      <c r="G84" s="171">
        <f t="shared" si="15"/>
        <v>12758</v>
      </c>
      <c r="H84" s="172">
        <f t="shared" si="16"/>
        <v>1.6824768675915234E-3</v>
      </c>
      <c r="I84" s="648"/>
      <c r="J84" s="168"/>
      <c r="K84" s="168"/>
      <c r="M84" s="359">
        <f t="shared" si="17"/>
        <v>0.74208934388087477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'[11]Sch C'!D78</f>
        <v>0</v>
      </c>
      <c r="D85" s="558">
        <f>'[11]Sch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648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'[11]Sch C'!D79</f>
        <v>5307</v>
      </c>
      <c r="D86" s="558">
        <f>'[11]Sch C'!F79</f>
        <v>0</v>
      </c>
      <c r="E86" s="171">
        <f t="shared" si="14"/>
        <v>5307</v>
      </c>
      <c r="F86" s="171"/>
      <c r="G86" s="171">
        <f>E86+F86</f>
        <v>5307</v>
      </c>
      <c r="H86" s="172">
        <f t="shared" si="16"/>
        <v>6.9986712151655546E-4</v>
      </c>
      <c r="I86" s="648"/>
      <c r="J86" s="168"/>
      <c r="K86" s="168"/>
      <c r="M86" s="359">
        <f t="shared" si="17"/>
        <v>0.30869008841321544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'[11]Sch C'!D80</f>
        <v>9759</v>
      </c>
      <c r="D87" s="558">
        <f>'[11]Sch C'!F80</f>
        <v>0</v>
      </c>
      <c r="E87" s="171">
        <f t="shared" si="14"/>
        <v>9759</v>
      </c>
      <c r="F87" s="171"/>
      <c r="G87" s="171">
        <f t="shared" si="15"/>
        <v>9759</v>
      </c>
      <c r="H87" s="172">
        <f t="shared" si="16"/>
        <v>1.2869800713925126E-3</v>
      </c>
      <c r="I87" s="648"/>
      <c r="J87" s="168"/>
      <c r="K87" s="168"/>
      <c r="M87" s="359">
        <f t="shared" si="17"/>
        <v>0.56764774313634248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'[11]Sch C'!D81</f>
        <v>5952</v>
      </c>
      <c r="D88" s="558">
        <f>'[11]Sch C'!F81</f>
        <v>0</v>
      </c>
      <c r="E88" s="171">
        <f t="shared" si="14"/>
        <v>5952</v>
      </c>
      <c r="F88" s="171"/>
      <c r="G88" s="171">
        <f t="shared" si="15"/>
        <v>5952</v>
      </c>
      <c r="H88" s="172">
        <f t="shared" si="16"/>
        <v>7.8492728608753315E-4</v>
      </c>
      <c r="I88" s="648"/>
      <c r="J88" s="168"/>
      <c r="K88" s="168"/>
      <c r="M88" s="359">
        <f t="shared" si="17"/>
        <v>0.34620753838994883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'[11]Sch C'!D82</f>
        <v>797</v>
      </c>
      <c r="D89" s="558">
        <f>'[11]Sch C'!F82</f>
        <v>0</v>
      </c>
      <c r="E89" s="171">
        <f t="shared" si="14"/>
        <v>797</v>
      </c>
      <c r="F89" s="171"/>
      <c r="G89" s="171">
        <f t="shared" si="15"/>
        <v>797</v>
      </c>
      <c r="H89" s="172">
        <f t="shared" si="16"/>
        <v>1.0510535064041731E-4</v>
      </c>
      <c r="I89" s="648"/>
      <c r="J89" s="168"/>
      <c r="K89" s="168"/>
      <c r="M89" s="359">
        <f t="shared" si="17"/>
        <v>4.6358771521637969E-2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'[11]Sch C'!D83</f>
        <v>0</v>
      </c>
      <c r="D90" s="558">
        <f>'[11]Sch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648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'[11]Sch C'!D84</f>
        <v>93777</v>
      </c>
      <c r="D91" s="558">
        <f>'[11]Sch C'!F84</f>
        <v>0</v>
      </c>
      <c r="E91" s="171">
        <f t="shared" si="14"/>
        <v>93777</v>
      </c>
      <c r="F91" s="171"/>
      <c r="G91" s="171">
        <f t="shared" si="15"/>
        <v>93777</v>
      </c>
      <c r="H91" s="172">
        <f t="shared" si="16"/>
        <v>1.2366956671275301E-2</v>
      </c>
      <c r="I91" s="648"/>
      <c r="J91" s="168"/>
      <c r="K91" s="168"/>
      <c r="M91" s="359">
        <f t="shared" si="17"/>
        <v>5.4546882270823636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'[11]Sch C'!D85</f>
        <v>0</v>
      </c>
      <c r="D92" s="558">
        <f>'[11]Sch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648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177584</v>
      </c>
      <c r="D93" s="558">
        <f>SUM(D82:D92)</f>
        <v>12980</v>
      </c>
      <c r="E93" s="171">
        <f t="shared" ref="E93:F93" si="18">SUM(E82:E92)</f>
        <v>190564</v>
      </c>
      <c r="F93" s="171">
        <f t="shared" si="18"/>
        <v>0</v>
      </c>
      <c r="G93" s="171">
        <f>SUM(G82:G92)</f>
        <v>190564</v>
      </c>
      <c r="H93" s="172">
        <f t="shared" si="16"/>
        <v>2.5130860777215165E-2</v>
      </c>
      <c r="I93" s="648"/>
      <c r="J93" s="168"/>
      <c r="K93" s="168"/>
      <c r="M93" s="364">
        <f>G93/G$228</f>
        <v>11.084457887389483</v>
      </c>
      <c r="N93" s="359">
        <f>SUMMARY!J96</f>
        <v>11.458724454710746</v>
      </c>
      <c r="O93" s="354">
        <f>M93/N93-1</f>
        <v>-3.2662149159839449E-2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65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65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'[11]Sch C'!D89</f>
        <v>163894</v>
      </c>
      <c r="D96" s="558">
        <f>'[11]Sch C'!F89</f>
        <v>8811</v>
      </c>
      <c r="E96" s="171">
        <f t="shared" ref="E96:E101" si="19">C96+D96</f>
        <v>172705</v>
      </c>
      <c r="F96" s="171"/>
      <c r="G96" s="171">
        <f t="shared" ref="G96:G101" si="20">E96+F96</f>
        <v>172705</v>
      </c>
      <c r="H96" s="172">
        <f t="shared" ref="H96:H102" si="21">IF($G$208=0,0,G96/$G$208)</f>
        <v>2.2775683290280142E-2</v>
      </c>
      <c r="I96" s="648"/>
      <c r="J96" s="183">
        <v>13960</v>
      </c>
      <c r="K96" s="183">
        <v>14711</v>
      </c>
      <c r="M96" s="364">
        <f t="shared" ref="M96:M101" si="22">G96/G$228</f>
        <v>10.045660772452303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'[11]Sch C'!D90</f>
        <v>0</v>
      </c>
      <c r="D97" s="558">
        <f>'[11]Sch C'!F90</f>
        <v>34395</v>
      </c>
      <c r="E97" s="171">
        <f t="shared" si="19"/>
        <v>34395</v>
      </c>
      <c r="F97" s="171"/>
      <c r="G97" s="171">
        <f t="shared" si="20"/>
        <v>34395</v>
      </c>
      <c r="H97" s="172">
        <f t="shared" si="21"/>
        <v>4.5358827293314353E-3</v>
      </c>
      <c r="I97" s="648"/>
      <c r="J97" s="168"/>
      <c r="K97" s="168"/>
      <c r="M97" s="364">
        <f t="shared" si="22"/>
        <v>2.0006398324802235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'[11]Sch C'!D91</f>
        <v>9480</v>
      </c>
      <c r="D98" s="558">
        <f>'[11]Sch C'!F91</f>
        <v>0</v>
      </c>
      <c r="E98" s="171">
        <f t="shared" si="19"/>
        <v>9480</v>
      </c>
      <c r="F98" s="171"/>
      <c r="G98" s="171">
        <f t="shared" si="20"/>
        <v>9480</v>
      </c>
      <c r="H98" s="172">
        <f t="shared" si="21"/>
        <v>1.2501866048571595E-3</v>
      </c>
      <c r="I98" s="648"/>
      <c r="J98" s="168"/>
      <c r="K98" s="168"/>
      <c r="M98" s="364">
        <f t="shared" si="22"/>
        <v>0.55141926477431369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'[11]Sch C'!D92</f>
        <v>142220</v>
      </c>
      <c r="D99" s="558">
        <f>'[11]Sch C'!F92</f>
        <v>0</v>
      </c>
      <c r="E99" s="171">
        <f t="shared" si="19"/>
        <v>142220</v>
      </c>
      <c r="F99" s="171"/>
      <c r="G99" s="171">
        <f t="shared" si="20"/>
        <v>142220</v>
      </c>
      <c r="H99" s="172">
        <f t="shared" si="21"/>
        <v>1.8755436597340216E-2</v>
      </c>
      <c r="I99" s="648"/>
      <c r="J99" s="168"/>
      <c r="K99" s="168"/>
      <c r="M99" s="364">
        <f t="shared" si="22"/>
        <v>8.2724523033969284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'[11]Sch C'!D93</f>
        <v>15552</v>
      </c>
      <c r="D100" s="558">
        <f>'[11]Sch C'!F93</f>
        <v>0</v>
      </c>
      <c r="E100" s="171">
        <f t="shared" si="19"/>
        <v>15552</v>
      </c>
      <c r="F100" s="171"/>
      <c r="G100" s="171">
        <f t="shared" si="20"/>
        <v>15552</v>
      </c>
      <c r="H100" s="172">
        <f t="shared" si="21"/>
        <v>2.0509390378416186E-3</v>
      </c>
      <c r="I100" s="648"/>
      <c r="J100" s="168"/>
      <c r="K100" s="168"/>
      <c r="M100" s="364">
        <f t="shared" si="22"/>
        <v>0.90460679385760823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'[11]Sch C'!D94</f>
        <v>0</v>
      </c>
      <c r="D101" s="558">
        <f>'[11]Sch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648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331146</v>
      </c>
      <c r="D102" s="558">
        <f>SUM(D96:D101)</f>
        <v>43206</v>
      </c>
      <c r="E102" s="171">
        <f t="shared" ref="E102:F102" si="23">SUM(E96:E101)</f>
        <v>374352</v>
      </c>
      <c r="F102" s="171">
        <f t="shared" si="23"/>
        <v>0</v>
      </c>
      <c r="G102" s="171">
        <f>SUM(G96:G101)</f>
        <v>374352</v>
      </c>
      <c r="H102" s="172">
        <f t="shared" si="21"/>
        <v>4.9368128259650569E-2</v>
      </c>
      <c r="I102" s="648"/>
      <c r="J102" s="168"/>
      <c r="K102" s="168"/>
      <c r="M102" s="364">
        <f>G102/G$228</f>
        <v>21.774778966961378</v>
      </c>
      <c r="N102" s="359">
        <f>SUMMARY!J105</f>
        <v>19.901077037785338</v>
      </c>
      <c r="O102" s="354">
        <f>M102/N102-1</f>
        <v>9.4150780162225445E-2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65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65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'[11]Sch C'!D98</f>
        <v>27232</v>
      </c>
      <c r="D105" s="558">
        <f>'[11]Sch C'!F98</f>
        <v>1464</v>
      </c>
      <c r="E105" s="171">
        <f t="shared" ref="E105:E110" si="24">C105+D105</f>
        <v>28696</v>
      </c>
      <c r="F105" s="171"/>
      <c r="G105" s="171">
        <f t="shared" ref="G105:G110" si="25">E105+F105</f>
        <v>28696</v>
      </c>
      <c r="H105" s="172">
        <f t="shared" ref="H105:H111" si="26">IF($G$208=0,0,G105/$G$208)</f>
        <v>3.7843201279515876E-3</v>
      </c>
      <c r="I105" s="648"/>
      <c r="J105" s="183">
        <v>2989</v>
      </c>
      <c r="K105" s="183">
        <v>3150</v>
      </c>
      <c r="M105" s="364">
        <f t="shared" ref="M105:M110" si="27">G105/G$228</f>
        <v>1.6691484411354118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'[11]Sch C'!D99</f>
        <v>0</v>
      </c>
      <c r="D106" s="558">
        <f>'[11]Sch C'!F99</f>
        <v>5715</v>
      </c>
      <c r="E106" s="171">
        <f t="shared" si="24"/>
        <v>5715</v>
      </c>
      <c r="F106" s="171"/>
      <c r="G106" s="171">
        <f t="shared" si="25"/>
        <v>5715</v>
      </c>
      <c r="H106" s="172">
        <f t="shared" si="26"/>
        <v>7.536726209661041E-4</v>
      </c>
      <c r="I106" s="648"/>
      <c r="J106" s="168"/>
      <c r="K106" s="168"/>
      <c r="M106" s="364">
        <f t="shared" si="27"/>
        <v>0.33242205677059095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'[11]Sch C'!D100</f>
        <v>6211</v>
      </c>
      <c r="D107" s="558">
        <f>'[11]Sch C'!F100</f>
        <v>0</v>
      </c>
      <c r="E107" s="171">
        <f t="shared" si="24"/>
        <v>6211</v>
      </c>
      <c r="F107" s="171"/>
      <c r="G107" s="171">
        <f t="shared" si="25"/>
        <v>6211</v>
      </c>
      <c r="H107" s="172">
        <f t="shared" si="26"/>
        <v>8.1908322814006518E-4</v>
      </c>
      <c r="I107" s="648"/>
      <c r="J107" s="168"/>
      <c r="K107" s="168"/>
      <c r="M107" s="364">
        <f t="shared" si="27"/>
        <v>0.3612726849697534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'[11]Sch C'!D101</f>
        <v>0</v>
      </c>
      <c r="D108" s="558">
        <f>'[11]Sch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648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'[11]Sch C'!D102</f>
        <v>4282</v>
      </c>
      <c r="D109" s="558">
        <f>'[11]Sch C'!F102</f>
        <v>0</v>
      </c>
      <c r="E109" s="171">
        <f t="shared" si="24"/>
        <v>4282</v>
      </c>
      <c r="F109" s="171"/>
      <c r="G109" s="171">
        <f t="shared" si="25"/>
        <v>4282</v>
      </c>
      <c r="H109" s="172">
        <f t="shared" si="26"/>
        <v>5.6469399177197857E-4</v>
      </c>
      <c r="I109" s="648"/>
      <c r="J109" s="168"/>
      <c r="K109" s="168"/>
      <c r="M109" s="364">
        <f t="shared" si="27"/>
        <v>0.24906933457422056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'[11]Sch C'!D103</f>
        <v>0</v>
      </c>
      <c r="D110" s="558">
        <f>'[11]Sch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648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37725</v>
      </c>
      <c r="D111" s="558">
        <f>SUM(D105:D110)</f>
        <v>7179</v>
      </c>
      <c r="E111" s="171">
        <f t="shared" ref="E111:F111" si="28">SUM(E105:E110)</f>
        <v>44904</v>
      </c>
      <c r="F111" s="171">
        <f t="shared" si="28"/>
        <v>0</v>
      </c>
      <c r="G111" s="171">
        <f>SUM(G105:G110)</f>
        <v>44904</v>
      </c>
      <c r="H111" s="172">
        <f t="shared" si="26"/>
        <v>5.9217699688297355E-3</v>
      </c>
      <c r="I111" s="648"/>
      <c r="J111" s="168"/>
      <c r="K111" s="168"/>
      <c r="M111" s="364">
        <f>G111/G$228</f>
        <v>2.6119125174499769</v>
      </c>
      <c r="N111" s="359">
        <f>SUMMARY!J114</f>
        <v>2.4242384372309496</v>
      </c>
      <c r="O111" s="354">
        <f>M111/N111-1</f>
        <v>7.7415685411454493E-2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65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65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'[11]Sch C'!D115</f>
        <v>64371</v>
      </c>
      <c r="D114" s="558">
        <f>'[11]Sch C'!F115</f>
        <v>3460</v>
      </c>
      <c r="E114" s="171">
        <f t="shared" ref="E114:E118" si="29">C114+D114</f>
        <v>67831</v>
      </c>
      <c r="F114" s="171"/>
      <c r="G114" s="171">
        <f>E114+F114</f>
        <v>67831</v>
      </c>
      <c r="H114" s="172">
        <f t="shared" ref="H114:H119" si="30">IF($G$208=0,0,G114/$G$208)</f>
        <v>8.9452961597116017E-3</v>
      </c>
      <c r="I114" s="648"/>
      <c r="J114" s="183">
        <v>6698</v>
      </c>
      <c r="K114" s="183">
        <v>7058</v>
      </c>
      <c r="M114" s="364">
        <f t="shared" ref="M114:M119" si="31">G114/G$228</f>
        <v>3.9454979060027919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'[11]Sch C'!D116</f>
        <v>0</v>
      </c>
      <c r="D115" s="558">
        <f>'[11]Sch C'!F116</f>
        <v>13509</v>
      </c>
      <c r="E115" s="171">
        <f t="shared" si="29"/>
        <v>13509</v>
      </c>
      <c r="F115" s="171"/>
      <c r="G115" s="171">
        <f>E115+F115</f>
        <v>13509</v>
      </c>
      <c r="H115" s="172">
        <f t="shared" si="30"/>
        <v>1.7815159119214524E-3</v>
      </c>
      <c r="I115" s="648"/>
      <c r="J115" s="168"/>
      <c r="K115" s="168"/>
      <c r="M115" s="364">
        <f t="shared" si="31"/>
        <v>0.78577245230339687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'[11]Sch C'!D117</f>
        <v>22613</v>
      </c>
      <c r="D116" s="558">
        <f>'[11]Sch C'!F117</f>
        <v>0</v>
      </c>
      <c r="E116" s="171">
        <f t="shared" si="29"/>
        <v>22613</v>
      </c>
      <c r="F116" s="171"/>
      <c r="G116" s="171">
        <f>E116+F116</f>
        <v>22613</v>
      </c>
      <c r="H116" s="172">
        <f t="shared" si="30"/>
        <v>2.9821170565015771E-3</v>
      </c>
      <c r="I116" s="648"/>
      <c r="J116" s="168"/>
      <c r="K116" s="168"/>
      <c r="M116" s="364">
        <f t="shared" si="31"/>
        <v>1.3153210795718939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'[11]Sch C'!D118</f>
        <v>4419</v>
      </c>
      <c r="D117" s="558">
        <f>'[11]Sch C'!F118</f>
        <v>0</v>
      </c>
      <c r="E117" s="171">
        <f t="shared" si="29"/>
        <v>4419</v>
      </c>
      <c r="F117" s="171"/>
      <c r="G117" s="171">
        <f>E117+F117</f>
        <v>4419</v>
      </c>
      <c r="H117" s="172">
        <f t="shared" si="30"/>
        <v>5.8276103447930255E-4</v>
      </c>
      <c r="I117" s="648"/>
      <c r="J117" s="168"/>
      <c r="K117" s="168"/>
      <c r="M117" s="364">
        <f t="shared" si="31"/>
        <v>0.25703815728245694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'[11]Sch C'!D119</f>
        <v>0</v>
      </c>
      <c r="D118" s="558">
        <f>'[11]Sch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648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91403</v>
      </c>
      <c r="D119" s="558">
        <f>SUM(D114:D118)</f>
        <v>16969</v>
      </c>
      <c r="E119" s="171">
        <f t="shared" ref="E119:F119" si="32">SUM(E114:E118)</f>
        <v>108372</v>
      </c>
      <c r="F119" s="171">
        <f t="shared" si="32"/>
        <v>0</v>
      </c>
      <c r="G119" s="171">
        <f>SUM(G114:G118)</f>
        <v>108372</v>
      </c>
      <c r="H119" s="172">
        <f t="shared" si="30"/>
        <v>1.4291690162613934E-2</v>
      </c>
      <c r="I119" s="648"/>
      <c r="J119" s="168"/>
      <c r="K119" s="168"/>
      <c r="M119" s="364">
        <f t="shared" si="31"/>
        <v>6.3036295951605394</v>
      </c>
      <c r="N119" s="359">
        <f>SUMMARY!J122</f>
        <v>6.0247597205909562</v>
      </c>
      <c r="O119" s="354">
        <f>M119/N119-1</f>
        <v>4.6287302316220691E-2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648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65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65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'[11]Sch C'!D124</f>
        <v>0</v>
      </c>
      <c r="D123" s="558">
        <f>'[11]Sch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648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'[11]Sch C'!D125</f>
        <v>133672</v>
      </c>
      <c r="D124" s="558">
        <f>'[11]Sch C'!F125</f>
        <v>7186</v>
      </c>
      <c r="E124" s="171">
        <f t="shared" si="33"/>
        <v>140858</v>
      </c>
      <c r="F124" s="171"/>
      <c r="G124" s="171">
        <f>E124+F124</f>
        <v>140858</v>
      </c>
      <c r="H124" s="172">
        <f>IF($G$208=0,0,G124/$G$208)</f>
        <v>1.8575821180060105E-2</v>
      </c>
      <c r="I124" s="648"/>
      <c r="J124" s="183">
        <v>3454</v>
      </c>
      <c r="K124" s="183">
        <v>3640</v>
      </c>
      <c r="M124" s="364">
        <f t="shared" si="34"/>
        <v>8.1932294090274542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'[11]Sch C'!D126</f>
        <v>82184</v>
      </c>
      <c r="D125" s="558">
        <f>'[11]Sch C'!F126</f>
        <v>4418</v>
      </c>
      <c r="E125" s="171">
        <f t="shared" si="33"/>
        <v>86602</v>
      </c>
      <c r="F125" s="171"/>
      <c r="G125" s="171">
        <f>E125+F125</f>
        <v>86602</v>
      </c>
      <c r="H125" s="172">
        <f>IF($G$208=0,0,G125/$G$208)</f>
        <v>1.1420744763063264E-2</v>
      </c>
      <c r="I125" s="648"/>
      <c r="J125" s="183">
        <v>2651</v>
      </c>
      <c r="K125" s="183">
        <v>2794</v>
      </c>
      <c r="M125" s="364">
        <f t="shared" si="34"/>
        <v>5.0373429502093998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'[11]Sch C'!D127</f>
        <v>0</v>
      </c>
      <c r="D126" s="558">
        <f>'[11]Sch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648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'[11]Sch C'!D128</f>
        <v>67852</v>
      </c>
      <c r="D127" s="558">
        <f>'[11]Sch C'!F128</f>
        <v>3648</v>
      </c>
      <c r="E127" s="171">
        <f t="shared" si="33"/>
        <v>71500</v>
      </c>
      <c r="F127" s="171"/>
      <c r="G127" s="171">
        <f>E127+F127</f>
        <v>71500</v>
      </c>
      <c r="H127" s="172">
        <f>IF($G$208=0,0,G127/$G$208)</f>
        <v>9.4291500260851174E-3</v>
      </c>
      <c r="I127" s="648"/>
      <c r="J127" s="183">
        <v>2159</v>
      </c>
      <c r="K127" s="183">
        <v>2275</v>
      </c>
      <c r="M127" s="364">
        <f t="shared" si="34"/>
        <v>4.1589111214518377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657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'[11]Sch C'!D130</f>
        <v>0</v>
      </c>
      <c r="D129" s="558">
        <f>'[11]Sch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648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'[11]Sch C'!D131</f>
        <v>0</v>
      </c>
      <c r="D130" s="558">
        <f>'[11]Sch C'!F131</f>
        <v>28053</v>
      </c>
      <c r="E130" s="171">
        <f t="shared" si="35"/>
        <v>28053</v>
      </c>
      <c r="F130" s="171"/>
      <c r="G130" s="171">
        <f>E130+F130</f>
        <v>28053</v>
      </c>
      <c r="H130" s="172">
        <f>IF($G$208=0,0,G130/$G$208)</f>
        <v>3.6995237158288924E-3</v>
      </c>
      <c r="I130" s="648"/>
      <c r="J130" s="204"/>
      <c r="K130" s="204"/>
      <c r="M130" s="364">
        <f t="shared" si="34"/>
        <v>1.631747324336901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'[11]Sch C'!D132</f>
        <v>0</v>
      </c>
      <c r="D131" s="558">
        <f>'[11]Sch C'!F132</f>
        <v>17248</v>
      </c>
      <c r="E131" s="171">
        <f t="shared" si="35"/>
        <v>17248</v>
      </c>
      <c r="F131" s="171"/>
      <c r="G131" s="171">
        <f>E131+F131</f>
        <v>17248</v>
      </c>
      <c r="H131" s="172">
        <f>IF($G$208=0,0,G131/$G$208)</f>
        <v>2.2746011139848405E-3</v>
      </c>
      <c r="I131" s="648"/>
      <c r="J131" s="168"/>
      <c r="K131" s="168"/>
      <c r="M131" s="364">
        <f t="shared" si="34"/>
        <v>1.003257328990228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'[11]Sch C'!D133</f>
        <v>0</v>
      </c>
      <c r="D132" s="558">
        <f>'[11]Sch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648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'[11]Sch C'!D134</f>
        <v>0</v>
      </c>
      <c r="D133" s="558">
        <f>'[11]Sch C'!F134</f>
        <v>14240</v>
      </c>
      <c r="E133" s="171">
        <f t="shared" si="35"/>
        <v>14240</v>
      </c>
      <c r="F133" s="171"/>
      <c r="G133" s="171">
        <f>E133+F133</f>
        <v>14240</v>
      </c>
      <c r="H133" s="172">
        <f>IF($G$208=0,0,G133/$G$208)</f>
        <v>1.8779174317685604E-3</v>
      </c>
      <c r="I133" s="648"/>
      <c r="J133" s="168"/>
      <c r="K133" s="168"/>
      <c r="M133" s="364">
        <f t="shared" si="34"/>
        <v>0.8282922289436947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48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'[11]Sch C'!D136</f>
        <v>640436</v>
      </c>
      <c r="D135" s="558">
        <f>'[11]Sch C'!F136</f>
        <v>34429</v>
      </c>
      <c r="E135" s="171">
        <f t="shared" ref="E135:E138" si="36">C135+D135</f>
        <v>674865</v>
      </c>
      <c r="F135" s="171"/>
      <c r="G135" s="171">
        <f>E135+F135</f>
        <v>674865</v>
      </c>
      <c r="H135" s="172">
        <f>IF($G$208=0,0,G135/$G$208)</f>
        <v>8.8998648004950109E-2</v>
      </c>
      <c r="I135" s="648"/>
      <c r="J135" s="183">
        <v>26023</v>
      </c>
      <c r="K135" s="183">
        <v>27422</v>
      </c>
      <c r="M135" s="364">
        <f t="shared" si="34"/>
        <v>39.254595160539786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'[11]Sch C'!D137</f>
        <v>123774</v>
      </c>
      <c r="D136" s="558">
        <f>'[11]Sch C'!F137</f>
        <v>6654</v>
      </c>
      <c r="E136" s="171">
        <f t="shared" si="36"/>
        <v>130428</v>
      </c>
      <c r="F136" s="171"/>
      <c r="G136" s="171">
        <f>E136+F136</f>
        <v>130428</v>
      </c>
      <c r="H136" s="172">
        <f>IF($G$208=0,0,G136/$G$208)</f>
        <v>1.7200352162268947E-2</v>
      </c>
      <c r="I136" s="648"/>
      <c r="J136" s="183">
        <v>6011</v>
      </c>
      <c r="K136" s="183">
        <v>6334</v>
      </c>
      <c r="M136" s="364">
        <f t="shared" si="34"/>
        <v>7.5865518845974869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'[11]Sch C'!D138</f>
        <v>560620</v>
      </c>
      <c r="D137" s="558">
        <f>'[11]Sch C'!F138</f>
        <v>30138</v>
      </c>
      <c r="E137" s="171">
        <f t="shared" si="36"/>
        <v>590758</v>
      </c>
      <c r="F137" s="171"/>
      <c r="G137" s="171">
        <f>E137+F137</f>
        <v>590758</v>
      </c>
      <c r="H137" s="172">
        <f>IF($G$208=0,0,G137/$G$208)</f>
        <v>7.7906934421118762E-2</v>
      </c>
      <c r="I137" s="648"/>
      <c r="J137" s="183">
        <v>48623</v>
      </c>
      <c r="K137" s="183">
        <v>51237</v>
      </c>
      <c r="M137" s="364">
        <f t="shared" si="34"/>
        <v>34.362377850162865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'[11]Sch C'!D139</f>
        <v>29321</v>
      </c>
      <c r="D138" s="558">
        <f>'[11]Sch C'!F139</f>
        <v>1576</v>
      </c>
      <c r="E138" s="171">
        <f t="shared" si="36"/>
        <v>30897</v>
      </c>
      <c r="F138" s="171"/>
      <c r="G138" s="171">
        <f>E138+F138</f>
        <v>30897</v>
      </c>
      <c r="H138" s="172">
        <f>IF($G$208=0,0,G138/$G$208)</f>
        <v>4.0745796972860397E-3</v>
      </c>
      <c r="I138" s="648"/>
      <c r="J138" s="183">
        <v>2792</v>
      </c>
      <c r="K138" s="183">
        <v>2942</v>
      </c>
      <c r="M138" s="364">
        <f t="shared" si="34"/>
        <v>1.7971731037691949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48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'[11]Sch C'!D141</f>
        <v>0</v>
      </c>
      <c r="D140" s="558">
        <f>'[11]Sch C'!F141</f>
        <v>134406</v>
      </c>
      <c r="E140" s="171">
        <f t="shared" ref="E140:E143" si="37">C140+D140</f>
        <v>134406</v>
      </c>
      <c r="F140" s="171"/>
      <c r="G140" s="171">
        <f>E140+F140</f>
        <v>134406</v>
      </c>
      <c r="H140" s="172">
        <f>IF($G$208=0,0,G140/$G$208)</f>
        <v>1.7724955781902047E-2</v>
      </c>
      <c r="I140" s="648"/>
      <c r="J140" s="168"/>
      <c r="K140" s="168"/>
      <c r="M140" s="364">
        <f t="shared" si="34"/>
        <v>7.8179385760818985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'[11]Sch C'!D142</f>
        <v>0</v>
      </c>
      <c r="D141" s="558">
        <f>'[11]Sch C'!F142</f>
        <v>25976</v>
      </c>
      <c r="E141" s="171">
        <f t="shared" si="37"/>
        <v>25976</v>
      </c>
      <c r="F141" s="171"/>
      <c r="G141" s="171">
        <f>E141+F141</f>
        <v>25976</v>
      </c>
      <c r="H141" s="172">
        <f>IF($G$208=0,0,G141/$G$208)</f>
        <v>3.4256167982879299E-3</v>
      </c>
      <c r="I141" s="648"/>
      <c r="J141" s="168"/>
      <c r="K141" s="168"/>
      <c r="M141" s="364">
        <f t="shared" si="34"/>
        <v>1.5109353187529084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'[11]Sch C'!D143</f>
        <v>0</v>
      </c>
      <c r="D142" s="558">
        <f>'[11]Sch C'!F143</f>
        <v>117655</v>
      </c>
      <c r="E142" s="171">
        <f t="shared" si="37"/>
        <v>117655</v>
      </c>
      <c r="F142" s="171"/>
      <c r="G142" s="171">
        <f>E142+F142</f>
        <v>117655</v>
      </c>
      <c r="H142" s="172">
        <f>IF($G$208=0,0,G142/$G$208)</f>
        <v>1.5515897151315306E-2</v>
      </c>
      <c r="I142" s="648"/>
      <c r="J142" s="168"/>
      <c r="K142" s="168"/>
      <c r="M142" s="364">
        <f t="shared" si="34"/>
        <v>6.8435900418799438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'[11]Sch C'!D144</f>
        <v>0</v>
      </c>
      <c r="D143" s="558">
        <f>'[11]Sch C'!F144</f>
        <v>6154</v>
      </c>
      <c r="E143" s="171">
        <f t="shared" si="37"/>
        <v>6154</v>
      </c>
      <c r="F143" s="171"/>
      <c r="G143" s="171">
        <f>E143+F143</f>
        <v>6154</v>
      </c>
      <c r="H143" s="172">
        <f>IF($G$208=0,0,G143/$G$208)</f>
        <v>8.1156628336402528E-4</v>
      </c>
      <c r="I143" s="648"/>
      <c r="J143" s="168"/>
      <c r="K143" s="168"/>
      <c r="M143" s="364">
        <f t="shared" si="34"/>
        <v>0.35795718939041415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48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'[11]Sch C'!D146</f>
        <v>30000</v>
      </c>
      <c r="D145" s="558">
        <f>'[11]Sch C'!F146</f>
        <v>0</v>
      </c>
      <c r="E145" s="171">
        <f t="shared" ref="E145:E153" si="38">C145+D145</f>
        <v>30000</v>
      </c>
      <c r="F145" s="171"/>
      <c r="G145" s="171">
        <f t="shared" ref="G145:G153" si="39">E145+F145</f>
        <v>30000</v>
      </c>
      <c r="H145" s="172">
        <f t="shared" ref="H145:H153" si="40">IF($G$208=0,0,G145/$G$208)</f>
        <v>3.9562867242315175E-3</v>
      </c>
      <c r="I145" s="648"/>
      <c r="J145" s="183">
        <v>0</v>
      </c>
      <c r="K145" s="183">
        <v>0</v>
      </c>
      <c r="M145" s="364">
        <f t="shared" si="34"/>
        <v>1.7449976733364356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'[11]Sch C'!D147</f>
        <v>0</v>
      </c>
      <c r="D146" s="558">
        <f>'[11]Sch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648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'[11]Sch C'!D148</f>
        <v>0</v>
      </c>
      <c r="D147" s="558">
        <f>'[11]Sch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648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'[11]Sch C'!D149</f>
        <v>0</v>
      </c>
      <c r="D148" s="558">
        <f>'[11]Sch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648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'[11]Sch C'!D150</f>
        <v>557</v>
      </c>
      <c r="D149" s="558">
        <f>'[11]Sch C'!F150</f>
        <v>0</v>
      </c>
      <c r="E149" s="171">
        <f t="shared" si="38"/>
        <v>557</v>
      </c>
      <c r="F149" s="171"/>
      <c r="G149" s="171">
        <f t="shared" si="39"/>
        <v>557</v>
      </c>
      <c r="H149" s="172">
        <f t="shared" si="40"/>
        <v>7.3455056846565182E-5</v>
      </c>
      <c r="I149" s="648"/>
      <c r="J149" s="183">
        <v>0</v>
      </c>
      <c r="K149" s="183">
        <v>0</v>
      </c>
      <c r="M149" s="364">
        <f t="shared" si="34"/>
        <v>3.2398790134946488E-2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'[11]Sch C'!D151</f>
        <v>79910</v>
      </c>
      <c r="D150" s="558">
        <f>'[11]Sch C'!F151</f>
        <v>0</v>
      </c>
      <c r="E150" s="171">
        <f t="shared" si="38"/>
        <v>79910</v>
      </c>
      <c r="F150" s="171"/>
      <c r="G150" s="171">
        <f t="shared" si="39"/>
        <v>79910</v>
      </c>
      <c r="H150" s="172">
        <f t="shared" si="40"/>
        <v>1.0538229071111353E-2</v>
      </c>
      <c r="I150" s="648"/>
      <c r="J150" s="168"/>
      <c r="K150" s="168"/>
      <c r="M150" s="364">
        <f t="shared" si="34"/>
        <v>4.6480921358771523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'[11]Sch C'!D152</f>
        <v>3005</v>
      </c>
      <c r="D151" s="558">
        <f>'[11]Sch C'!F152</f>
        <v>0</v>
      </c>
      <c r="E151" s="171">
        <f t="shared" si="38"/>
        <v>3005</v>
      </c>
      <c r="F151" s="171"/>
      <c r="G151" s="171">
        <f t="shared" si="39"/>
        <v>3005</v>
      </c>
      <c r="H151" s="172">
        <f t="shared" si="40"/>
        <v>3.9628805354385702E-4</v>
      </c>
      <c r="I151" s="648"/>
      <c r="J151" s="168"/>
      <c r="K151" s="168"/>
      <c r="M151" s="364">
        <f t="shared" si="34"/>
        <v>0.17479060027919963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'[11]Sch C'!D153</f>
        <v>0</v>
      </c>
      <c r="D152" s="558">
        <f>'[11]Sch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648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'[11]Sch C'!D154</f>
        <v>0</v>
      </c>
      <c r="D153" s="558">
        <f>'[11]Sch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648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648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'[11]Sch C'!D156</f>
        <v>0</v>
      </c>
      <c r="D155" s="558">
        <f>'[11]Sch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648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'[11]Sch C'!D157</f>
        <v>0</v>
      </c>
      <c r="D156" s="558">
        <f>'[11]Sch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648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'[11]Sch C'!D158</f>
        <v>0</v>
      </c>
      <c r="D157" s="558">
        <f>'[11]Sch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648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'[11]Sch C'!D159</f>
        <v>0</v>
      </c>
      <c r="D158" s="558">
        <f>'[11]Sch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648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'[11]Sch C'!D160</f>
        <v>0</v>
      </c>
      <c r="D159" s="558">
        <f>'[11]Sch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648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'[11]Sch C'!D161</f>
        <v>1500</v>
      </c>
      <c r="D160" s="558">
        <f>'[11]Sch C'!F161</f>
        <v>0</v>
      </c>
      <c r="E160" s="171">
        <f t="shared" si="41"/>
        <v>1500</v>
      </c>
      <c r="F160" s="171"/>
      <c r="G160" s="171">
        <f t="shared" si="42"/>
        <v>1500</v>
      </c>
      <c r="H160" s="172">
        <f t="shared" si="43"/>
        <v>1.9781433621157587E-4</v>
      </c>
      <c r="I160" s="648"/>
      <c r="J160" s="168"/>
      <c r="K160" s="168"/>
      <c r="M160" s="364">
        <f t="shared" si="34"/>
        <v>8.7249883666821779E-2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1752831</v>
      </c>
      <c r="D161" s="558">
        <f>SUM(D123:D160)</f>
        <v>431781</v>
      </c>
      <c r="E161" s="171">
        <f t="shared" ref="E161:F161" si="44">SUM(E123:E160)</f>
        <v>2184612</v>
      </c>
      <c r="F161" s="171">
        <f t="shared" si="44"/>
        <v>0</v>
      </c>
      <c r="G161" s="171">
        <f>SUM(G123:G160)</f>
        <v>2184612</v>
      </c>
      <c r="H161" s="172">
        <f t="shared" si="43"/>
        <v>0.28809838177322883</v>
      </c>
      <c r="I161" s="648"/>
      <c r="J161" s="168"/>
      <c r="K161" s="168"/>
      <c r="M161" s="364">
        <f>G161/G$228</f>
        <v>127.07142857142857</v>
      </c>
      <c r="N161" s="359">
        <f>SUMMARY!J164</f>
        <v>105.56901037202306</v>
      </c>
      <c r="O161" s="354">
        <f>M161/N161-1</f>
        <v>0.20368115722247859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648"/>
      <c r="J162" s="168"/>
      <c r="K162" s="168"/>
      <c r="M162" s="359"/>
      <c r="N162" s="359"/>
      <c r="P162"/>
      <c r="Q162"/>
    </row>
    <row r="163" spans="1:17" s="167" customFormat="1" ht="26.5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648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'[11]Sch C'!D175</f>
        <v>0</v>
      </c>
      <c r="D164" s="558">
        <f>'[11]Sch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658"/>
      <c r="J164" s="217">
        <v>0</v>
      </c>
      <c r="K164" s="217">
        <v>0</v>
      </c>
      <c r="L164" s="219"/>
      <c r="M164" s="364">
        <f>G164/G$228</f>
        <v>0</v>
      </c>
      <c r="N164" s="359">
        <f>SUMMARY!J167</f>
        <v>0</v>
      </c>
      <c r="O164" s="220"/>
      <c r="P164"/>
      <c r="Q164"/>
    </row>
    <row r="165" spans="1:17" s="221" customFormat="1">
      <c r="A165" s="215" t="s">
        <v>123</v>
      </c>
      <c r="B165" s="148" t="s">
        <v>103</v>
      </c>
      <c r="C165" s="558">
        <f>'[11]Sch C'!D176</f>
        <v>0</v>
      </c>
      <c r="D165" s="558">
        <f>'[11]Sch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659"/>
      <c r="J165" s="222"/>
      <c r="K165" s="222"/>
      <c r="L165" s="219"/>
      <c r="M165" s="364">
        <f t="shared" ref="M165:M196" si="48">G165/G$228</f>
        <v>0</v>
      </c>
      <c r="N165" s="359">
        <f>SUMMARY!J168</f>
        <v>0</v>
      </c>
      <c r="O165" s="220"/>
      <c r="P165"/>
      <c r="Q165"/>
    </row>
    <row r="166" spans="1:17" s="221" customFormat="1">
      <c r="A166" s="215" t="s">
        <v>124</v>
      </c>
      <c r="B166" s="148" t="s">
        <v>104</v>
      </c>
      <c r="C166" s="558">
        <f>'[11]Sch C'!D177</f>
        <v>719191</v>
      </c>
      <c r="D166" s="558">
        <f>'[11]Sch C'!F177</f>
        <v>38663</v>
      </c>
      <c r="E166" s="171">
        <f t="shared" si="45"/>
        <v>757854</v>
      </c>
      <c r="F166" s="216"/>
      <c r="G166" s="171">
        <f t="shared" si="46"/>
        <v>757854</v>
      </c>
      <c r="H166" s="172">
        <f t="shared" si="47"/>
        <v>9.9942923970191749E-2</v>
      </c>
      <c r="I166" s="658"/>
      <c r="J166" s="217">
        <v>27429</v>
      </c>
      <c r="K166" s="217">
        <v>28904</v>
      </c>
      <c r="L166" s="219"/>
      <c r="M166" s="364">
        <f t="shared" si="48"/>
        <v>44.081782224290365</v>
      </c>
      <c r="N166" s="359">
        <f>SUMMARY!J169</f>
        <v>4.9060338253170936</v>
      </c>
      <c r="O166" s="220"/>
      <c r="P166"/>
      <c r="Q166"/>
    </row>
    <row r="167" spans="1:17" s="221" customFormat="1">
      <c r="A167" s="215" t="s">
        <v>157</v>
      </c>
      <c r="B167" s="148" t="s">
        <v>105</v>
      </c>
      <c r="C167" s="558">
        <f>'[11]Sch C'!D178</f>
        <v>0</v>
      </c>
      <c r="D167" s="558">
        <f>'[11]Sch C'!F178</f>
        <v>150934</v>
      </c>
      <c r="E167" s="171">
        <f t="shared" si="45"/>
        <v>150934</v>
      </c>
      <c r="F167" s="216"/>
      <c r="G167" s="171">
        <f t="shared" si="46"/>
        <v>150934</v>
      </c>
      <c r="H167" s="172">
        <f t="shared" si="47"/>
        <v>1.9904606014505329E-2</v>
      </c>
      <c r="I167" s="659"/>
      <c r="J167" s="222"/>
      <c r="K167" s="222"/>
      <c r="L167" s="219"/>
      <c r="M167" s="364">
        <f t="shared" si="48"/>
        <v>8.7793159609120526</v>
      </c>
      <c r="N167" s="359">
        <f>SUMMARY!J170</f>
        <v>0.8546059303297695</v>
      </c>
      <c r="O167" s="220"/>
      <c r="P167"/>
      <c r="Q167"/>
    </row>
    <row r="168" spans="1:17" s="221" customFormat="1">
      <c r="A168" s="215" t="s">
        <v>158</v>
      </c>
      <c r="B168" s="148" t="s">
        <v>316</v>
      </c>
      <c r="C168" s="558">
        <f>'[11]Sch C'!D179</f>
        <v>73147</v>
      </c>
      <c r="D168" s="558">
        <f>'[11]Sch C'!F179</f>
        <v>3932</v>
      </c>
      <c r="E168" s="171">
        <f t="shared" si="45"/>
        <v>77079</v>
      </c>
      <c r="F168" s="216"/>
      <c r="G168" s="171">
        <f t="shared" si="46"/>
        <v>77079</v>
      </c>
      <c r="H168" s="172">
        <f t="shared" si="47"/>
        <v>1.0164887480568038E-2</v>
      </c>
      <c r="I168" s="658"/>
      <c r="J168" s="217">
        <v>1508</v>
      </c>
      <c r="K168" s="217">
        <v>1589</v>
      </c>
      <c r="L168" s="219"/>
      <c r="M168" s="364">
        <f t="shared" si="48"/>
        <v>4.4834225221033037</v>
      </c>
      <c r="N168" s="359">
        <f>SUMMARY!J171</f>
        <v>0.79511806658504303</v>
      </c>
      <c r="O168" s="220"/>
      <c r="P168"/>
      <c r="Q168"/>
    </row>
    <row r="169" spans="1:17" s="221" customFormat="1">
      <c r="A169" s="215" t="s">
        <v>86</v>
      </c>
      <c r="B169" s="148" t="s">
        <v>317</v>
      </c>
      <c r="C169" s="558">
        <f>'[11]Sch C'!D180</f>
        <v>0</v>
      </c>
      <c r="D169" s="558">
        <f>'[11]Sch C'!F180</f>
        <v>15351</v>
      </c>
      <c r="E169" s="171">
        <f t="shared" si="45"/>
        <v>15351</v>
      </c>
      <c r="F169" s="216"/>
      <c r="G169" s="171">
        <f t="shared" si="46"/>
        <v>15351</v>
      </c>
      <c r="H169" s="172">
        <f t="shared" si="47"/>
        <v>2.0244319167892675E-3</v>
      </c>
      <c r="I169" s="659"/>
      <c r="J169" s="222"/>
      <c r="K169" s="222"/>
      <c r="L169" s="219"/>
      <c r="M169" s="364">
        <f t="shared" si="48"/>
        <v>0.89291530944625408</v>
      </c>
      <c r="N169" s="359">
        <f>SUMMARY!J172</f>
        <v>0.1405217057636943</v>
      </c>
      <c r="O169" s="220"/>
      <c r="P169"/>
      <c r="Q169"/>
    </row>
    <row r="170" spans="1:17" s="221" customFormat="1">
      <c r="A170" s="215" t="s">
        <v>96</v>
      </c>
      <c r="B170" s="148" t="s">
        <v>318</v>
      </c>
      <c r="C170" s="558">
        <f>'[11]Sch C'!D181</f>
        <v>0</v>
      </c>
      <c r="D170" s="558">
        <f>'[11]Sch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658"/>
      <c r="J170" s="217">
        <v>0</v>
      </c>
      <c r="K170" s="217">
        <v>0</v>
      </c>
      <c r="L170" s="219"/>
      <c r="M170" s="364">
        <f t="shared" si="48"/>
        <v>0</v>
      </c>
      <c r="N170" s="359">
        <f>SUMMARY!J173</f>
        <v>0.14856138086857354</v>
      </c>
      <c r="O170" s="220"/>
      <c r="P170"/>
      <c r="Q170"/>
    </row>
    <row r="171" spans="1:17" s="221" customFormat="1">
      <c r="A171" s="215" t="s">
        <v>125</v>
      </c>
      <c r="B171" s="148" t="s">
        <v>109</v>
      </c>
      <c r="C171" s="558">
        <f>'[11]Sch C'!D182</f>
        <v>0</v>
      </c>
      <c r="D171" s="558">
        <f>'[11]Sch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659"/>
      <c r="J171" s="222"/>
      <c r="K171" s="222"/>
      <c r="L171" s="219"/>
      <c r="M171" s="364">
        <f t="shared" si="48"/>
        <v>0</v>
      </c>
      <c r="N171" s="359">
        <f>SUMMARY!J174</f>
        <v>2.2545547697802093E-2</v>
      </c>
      <c r="O171" s="220"/>
      <c r="P171"/>
      <c r="Q171"/>
    </row>
    <row r="172" spans="1:17" s="221" customFormat="1">
      <c r="A172" s="215" t="s">
        <v>126</v>
      </c>
      <c r="B172" s="148" t="s">
        <v>319</v>
      </c>
      <c r="C172" s="558">
        <f>'[11]Sch C'!D183</f>
        <v>398948</v>
      </c>
      <c r="D172" s="558">
        <f>'[11]Sch C'!F183</f>
        <v>21447</v>
      </c>
      <c r="E172" s="171">
        <f t="shared" si="45"/>
        <v>420395</v>
      </c>
      <c r="F172" s="216"/>
      <c r="G172" s="171">
        <f t="shared" si="46"/>
        <v>420395</v>
      </c>
      <c r="H172" s="172">
        <f t="shared" si="47"/>
        <v>5.5440105247776962E-2</v>
      </c>
      <c r="I172" s="658"/>
      <c r="J172" s="217">
        <v>11895</v>
      </c>
      <c r="K172" s="217">
        <v>12534</v>
      </c>
      <c r="L172" s="219"/>
      <c r="M172" s="364">
        <f t="shared" si="48"/>
        <v>24.452943229409026</v>
      </c>
      <c r="N172" s="359">
        <f>SUMMARY!J175</f>
        <v>2.8660001223726335</v>
      </c>
      <c r="O172" s="220"/>
      <c r="P172"/>
      <c r="Q172"/>
    </row>
    <row r="173" spans="1:17" s="221" customFormat="1">
      <c r="A173" s="215" t="s">
        <v>127</v>
      </c>
      <c r="B173" s="148" t="s">
        <v>111</v>
      </c>
      <c r="C173" s="558">
        <f>'[11]Sch C'!D184</f>
        <v>0</v>
      </c>
      <c r="D173" s="558">
        <f>'[11]Sch C'!F184</f>
        <v>83726</v>
      </c>
      <c r="E173" s="171">
        <f t="shared" si="45"/>
        <v>83726</v>
      </c>
      <c r="F173" s="216"/>
      <c r="G173" s="171">
        <f t="shared" si="46"/>
        <v>83726</v>
      </c>
      <c r="H173" s="172">
        <f t="shared" si="47"/>
        <v>1.1041468742433601E-2</v>
      </c>
      <c r="I173" s="659"/>
      <c r="J173" s="222"/>
      <c r="K173" s="222"/>
      <c r="L173" s="219"/>
      <c r="M173" s="364">
        <f t="shared" si="48"/>
        <v>4.8700558399255467</v>
      </c>
      <c r="N173" s="359">
        <f>SUMMARY!J176</f>
        <v>0.45922325087038773</v>
      </c>
      <c r="O173" s="220"/>
      <c r="P173"/>
      <c r="Q173"/>
    </row>
    <row r="174" spans="1:17" s="221" customFormat="1">
      <c r="A174" s="215" t="s">
        <v>128</v>
      </c>
      <c r="B174" s="148" t="s">
        <v>320</v>
      </c>
      <c r="C174" s="558">
        <f>'[11]Sch C'!D185</f>
        <v>0</v>
      </c>
      <c r="D174" s="558">
        <f>'[11]Sch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658"/>
      <c r="J174" s="217">
        <v>0</v>
      </c>
      <c r="K174" s="217">
        <v>0</v>
      </c>
      <c r="L174" s="219"/>
      <c r="M174" s="364">
        <f t="shared" si="48"/>
        <v>0</v>
      </c>
      <c r="N174" s="359">
        <f>SUMMARY!J177</f>
        <v>0</v>
      </c>
      <c r="O174" s="220"/>
      <c r="P174"/>
      <c r="Q174"/>
    </row>
    <row r="175" spans="1:17" s="221" customFormat="1">
      <c r="A175" s="215" t="s">
        <v>129</v>
      </c>
      <c r="B175" s="148" t="s">
        <v>321</v>
      </c>
      <c r="C175" s="558">
        <f>'[11]Sch C'!D186</f>
        <v>0</v>
      </c>
      <c r="D175" s="558">
        <f>'[11]Sch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648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</row>
    <row r="176" spans="1:17" s="221" customFormat="1">
      <c r="A176" s="224" t="s">
        <v>293</v>
      </c>
      <c r="B176" s="148" t="s">
        <v>154</v>
      </c>
      <c r="C176" s="558">
        <f>'[11]Sch C'!D187</f>
        <v>0</v>
      </c>
      <c r="D176" s="558">
        <f>'[11]Sch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648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</row>
    <row r="177" spans="1:17" s="221" customFormat="1">
      <c r="A177" s="224" t="s">
        <v>294</v>
      </c>
      <c r="B177" s="148" t="s">
        <v>322</v>
      </c>
      <c r="C177" s="558">
        <f>'[11]Sch C'!D188</f>
        <v>6699</v>
      </c>
      <c r="D177" s="558">
        <f>'[11]Sch C'!F188</f>
        <v>0</v>
      </c>
      <c r="E177" s="171">
        <f t="shared" si="45"/>
        <v>6699</v>
      </c>
      <c r="F177" s="216"/>
      <c r="G177" s="171">
        <f t="shared" si="46"/>
        <v>6699</v>
      </c>
      <c r="H177" s="172">
        <f t="shared" si="47"/>
        <v>8.834388255208979E-4</v>
      </c>
      <c r="I177" s="648"/>
      <c r="J177" s="223"/>
      <c r="K177" s="218"/>
      <c r="L177" s="220"/>
      <c r="M177" s="364">
        <f t="shared" si="48"/>
        <v>0.38965798045602607</v>
      </c>
      <c r="N177" s="359">
        <f>SUMMARY!J180</f>
        <v>0.30705480193530821</v>
      </c>
      <c r="O177" s="220"/>
      <c r="P177"/>
      <c r="Q177"/>
    </row>
    <row r="178" spans="1:17" s="221" customFormat="1">
      <c r="A178" s="224" t="s">
        <v>295</v>
      </c>
      <c r="B178" s="148" t="s">
        <v>323</v>
      </c>
      <c r="C178" s="558">
        <f>'[11]Sch C'!D189</f>
        <v>0</v>
      </c>
      <c r="D178" s="558">
        <f>'[11]Sch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648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</row>
    <row r="179" spans="1:17" s="221" customFormat="1">
      <c r="A179" s="224" t="s">
        <v>296</v>
      </c>
      <c r="B179" s="148" t="s">
        <v>324</v>
      </c>
      <c r="C179" s="558">
        <f>'[11]Sch C'!D190</f>
        <v>0</v>
      </c>
      <c r="D179" s="558">
        <f>'[11]Sch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648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</row>
    <row r="180" spans="1:17" s="221" customFormat="1">
      <c r="A180" s="224" t="s">
        <v>297</v>
      </c>
      <c r="B180" s="148" t="s">
        <v>325</v>
      </c>
      <c r="C180" s="558">
        <f>'[11]Sch C'!D191</f>
        <v>1723</v>
      </c>
      <c r="D180" s="558">
        <f>'[11]Sch C'!F191</f>
        <v>0</v>
      </c>
      <c r="E180" s="171">
        <f t="shared" si="45"/>
        <v>1723</v>
      </c>
      <c r="F180" s="216"/>
      <c r="G180" s="171">
        <f t="shared" si="46"/>
        <v>1723</v>
      </c>
      <c r="H180" s="172">
        <f t="shared" si="47"/>
        <v>2.2722273419503017E-4</v>
      </c>
      <c r="I180" s="648"/>
      <c r="J180" s="223"/>
      <c r="K180" s="218"/>
      <c r="L180" s="220"/>
      <c r="M180" s="364">
        <f t="shared" si="48"/>
        <v>0.10022103303862262</v>
      </c>
      <c r="N180" s="359">
        <f>SUMMARY!J183</f>
        <v>0.1333235617560114</v>
      </c>
      <c r="O180" s="220"/>
      <c r="P180"/>
      <c r="Q180"/>
    </row>
    <row r="181" spans="1:17" s="221" customFormat="1">
      <c r="A181" s="224" t="s">
        <v>298</v>
      </c>
      <c r="B181" s="148" t="s">
        <v>117</v>
      </c>
      <c r="C181" s="558">
        <f>'[11]Sch C'!D192</f>
        <v>0</v>
      </c>
      <c r="D181" s="558">
        <f>'[11]Sch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648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</row>
    <row r="182" spans="1:17" s="221" customFormat="1">
      <c r="A182" s="224" t="s">
        <v>132</v>
      </c>
      <c r="B182" s="148" t="s">
        <v>118</v>
      </c>
      <c r="C182" s="558">
        <f>'[11]Sch C'!D193</f>
        <v>0</v>
      </c>
      <c r="D182" s="558">
        <f>'[11]Sch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648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</row>
    <row r="183" spans="1:17" s="221" customFormat="1">
      <c r="A183" s="224" t="s">
        <v>133</v>
      </c>
      <c r="B183" s="148" t="s">
        <v>119</v>
      </c>
      <c r="C183" s="558">
        <f>'[11]Sch C'!D194</f>
        <v>0</v>
      </c>
      <c r="D183" s="558">
        <f>'[11]Sch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648"/>
      <c r="J183" s="223"/>
      <c r="K183" s="218"/>
      <c r="L183" s="220"/>
      <c r="M183" s="364">
        <f t="shared" si="48"/>
        <v>0</v>
      </c>
      <c r="N183" s="359">
        <f>SUMMARY!J186</f>
        <v>7.2780776577335544</v>
      </c>
      <c r="O183" s="220"/>
      <c r="P183"/>
      <c r="Q183"/>
    </row>
    <row r="184" spans="1:17" s="221" customFormat="1">
      <c r="A184" s="224" t="s">
        <v>134</v>
      </c>
      <c r="B184" s="148" t="s">
        <v>326</v>
      </c>
      <c r="C184" s="558">
        <f>'[11]Sch C'!D195</f>
        <v>5069</v>
      </c>
      <c r="D184" s="558">
        <f>'[11]Sch C'!F195</f>
        <v>0</v>
      </c>
      <c r="E184" s="171">
        <f t="shared" si="45"/>
        <v>5069</v>
      </c>
      <c r="F184" s="216"/>
      <c r="G184" s="171">
        <f t="shared" si="46"/>
        <v>5069</v>
      </c>
      <c r="H184" s="172">
        <f t="shared" si="47"/>
        <v>6.6848058017098541E-4</v>
      </c>
      <c r="I184" s="648"/>
      <c r="J184" s="223"/>
      <c r="K184" s="218"/>
      <c r="L184" s="220"/>
      <c r="M184" s="364">
        <f t="shared" si="48"/>
        <v>0.29484644020474637</v>
      </c>
      <c r="N184" s="359">
        <f>SUMMARY!J187</f>
        <v>1.7471448792019588</v>
      </c>
      <c r="O184" s="220"/>
      <c r="P184"/>
      <c r="Q184"/>
    </row>
    <row r="185" spans="1:17" s="221" customFormat="1">
      <c r="A185" s="224" t="s">
        <v>135</v>
      </c>
      <c r="B185" s="148" t="s">
        <v>327</v>
      </c>
      <c r="C185" s="558">
        <f>'[11]Sch C'!D196</f>
        <v>0</v>
      </c>
      <c r="D185" s="558">
        <f>'[11]Sch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648"/>
      <c r="J185" s="223"/>
      <c r="K185" s="218"/>
      <c r="L185" s="220"/>
      <c r="M185" s="364">
        <f t="shared" si="48"/>
        <v>0</v>
      </c>
      <c r="N185" s="359">
        <f>SUMMARY!J188</f>
        <v>0.10202169826083787</v>
      </c>
      <c r="O185" s="220"/>
      <c r="P185"/>
      <c r="Q185"/>
    </row>
    <row r="186" spans="1:17" s="221" customFormat="1">
      <c r="A186" s="224" t="s">
        <v>136</v>
      </c>
      <c r="B186" s="148" t="s">
        <v>328</v>
      </c>
      <c r="C186" s="558">
        <f>'[11]Sch C'!D197</f>
        <v>10233</v>
      </c>
      <c r="D186" s="558">
        <f>'[11]Sch C'!F197</f>
        <v>0</v>
      </c>
      <c r="E186" s="171">
        <f t="shared" si="45"/>
        <v>10233</v>
      </c>
      <c r="F186" s="216"/>
      <c r="G186" s="171">
        <f t="shared" si="46"/>
        <v>10233</v>
      </c>
      <c r="H186" s="172">
        <f t="shared" si="47"/>
        <v>1.3494894016353707E-3</v>
      </c>
      <c r="I186" s="648"/>
      <c r="J186" s="223"/>
      <c r="K186" s="218"/>
      <c r="L186" s="220"/>
      <c r="M186" s="364">
        <f t="shared" si="48"/>
        <v>0.59521870637505814</v>
      </c>
      <c r="N186" s="359">
        <f>SUMMARY!J189</f>
        <v>5.0164683871805966</v>
      </c>
      <c r="O186" s="220"/>
      <c r="P186"/>
      <c r="Q186"/>
    </row>
    <row r="187" spans="1:17" s="221" customFormat="1">
      <c r="A187" s="224" t="s">
        <v>137</v>
      </c>
      <c r="B187" s="148" t="s">
        <v>122</v>
      </c>
      <c r="C187" s="558">
        <f>'[11]Sch C'!D198</f>
        <v>91166</v>
      </c>
      <c r="D187" s="558">
        <f>'[11]Sch C'!F198</f>
        <v>0</v>
      </c>
      <c r="E187" s="171">
        <f t="shared" si="45"/>
        <v>91166</v>
      </c>
      <c r="F187" s="216"/>
      <c r="G187" s="171">
        <f t="shared" si="46"/>
        <v>91166</v>
      </c>
      <c r="H187" s="172">
        <f t="shared" si="47"/>
        <v>1.2022627850043018E-2</v>
      </c>
      <c r="I187" s="648"/>
      <c r="J187" s="223"/>
      <c r="K187" s="218"/>
      <c r="L187" s="220"/>
      <c r="M187" s="364">
        <f t="shared" si="48"/>
        <v>5.3028152629129828</v>
      </c>
      <c r="N187" s="359">
        <f>SUMMARY!J190</f>
        <v>1.4762344610483848</v>
      </c>
      <c r="O187" s="220"/>
      <c r="P187"/>
      <c r="Q187"/>
    </row>
    <row r="188" spans="1:17" s="221" customFormat="1">
      <c r="A188" s="224" t="s">
        <v>275</v>
      </c>
      <c r="B188" s="148" t="s">
        <v>329</v>
      </c>
      <c r="C188" s="558">
        <f>'[11]Sch C'!D199</f>
        <v>2977</v>
      </c>
      <c r="D188" s="558">
        <f>'[11]Sch C'!F199</f>
        <v>0</v>
      </c>
      <c r="E188" s="171">
        <f t="shared" si="45"/>
        <v>2977</v>
      </c>
      <c r="F188" s="216"/>
      <c r="G188" s="171">
        <f t="shared" si="46"/>
        <v>2977</v>
      </c>
      <c r="H188" s="172">
        <f t="shared" si="47"/>
        <v>3.9259551926790762E-4</v>
      </c>
      <c r="I188" s="648"/>
      <c r="J188" s="223"/>
      <c r="K188" s="218"/>
      <c r="L188" s="220"/>
      <c r="M188" s="364">
        <f t="shared" si="48"/>
        <v>0.17316193578408562</v>
      </c>
      <c r="N188" s="359">
        <f>SUMMARY!J191</f>
        <v>0.3719273123267644</v>
      </c>
      <c r="O188" s="220"/>
      <c r="P188"/>
      <c r="Q188"/>
    </row>
    <row r="189" spans="1:17" s="221" customFormat="1">
      <c r="A189" s="224" t="s">
        <v>277</v>
      </c>
      <c r="B189" s="148" t="s">
        <v>278</v>
      </c>
      <c r="C189" s="558">
        <f>'[11]Sch C'!D200</f>
        <v>0</v>
      </c>
      <c r="D189" s="558">
        <f>'[11]Sch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648"/>
      <c r="J189" s="223"/>
      <c r="K189" s="218"/>
      <c r="L189" s="220"/>
      <c r="M189" s="364">
        <f t="shared" si="48"/>
        <v>0</v>
      </c>
      <c r="N189" s="359">
        <f>SUMMARY!J192</f>
        <v>1.1168537736152406E-3</v>
      </c>
      <c r="O189" s="220"/>
      <c r="P189"/>
      <c r="Q189"/>
    </row>
    <row r="190" spans="1:17" s="221" customFormat="1">
      <c r="A190" s="225" t="s">
        <v>279</v>
      </c>
      <c r="B190" s="226" t="s">
        <v>280</v>
      </c>
      <c r="C190" s="558">
        <f>'[11]Sch C'!D201</f>
        <v>0</v>
      </c>
      <c r="D190" s="558">
        <f>'[11]Sch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648"/>
      <c r="J190" s="223"/>
      <c r="K190" s="218"/>
      <c r="L190" s="220"/>
      <c r="M190" s="364">
        <f t="shared" si="48"/>
        <v>0</v>
      </c>
      <c r="N190" s="359">
        <f>SUMMARY!J193</f>
        <v>9.491156275925049E-3</v>
      </c>
      <c r="O190" s="220"/>
      <c r="P190"/>
      <c r="Q190"/>
    </row>
    <row r="191" spans="1:17" s="221" customFormat="1">
      <c r="A191" s="225" t="s">
        <v>281</v>
      </c>
      <c r="B191" s="226" t="s">
        <v>282</v>
      </c>
      <c r="C191" s="558">
        <f>'[11]Sch C'!D202</f>
        <v>0</v>
      </c>
      <c r="D191" s="558">
        <f>'[11]Sch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648"/>
      <c r="J191" s="223"/>
      <c r="K191" s="218"/>
      <c r="L191" s="220"/>
      <c r="M191" s="364">
        <f t="shared" si="48"/>
        <v>0</v>
      </c>
      <c r="N191" s="359">
        <f>SUMMARY!J194</f>
        <v>1.256942821802872E-4</v>
      </c>
      <c r="O191" s="220"/>
      <c r="P191"/>
      <c r="Q191"/>
    </row>
    <row r="192" spans="1:17" s="221" customFormat="1">
      <c r="A192" s="225" t="s">
        <v>283</v>
      </c>
      <c r="B192" s="226" t="s">
        <v>330</v>
      </c>
      <c r="C192" s="558">
        <f>'[11]Sch C'!D203</f>
        <v>0</v>
      </c>
      <c r="D192" s="558">
        <f>'[11]Sch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648"/>
      <c r="J192" s="223"/>
      <c r="K192" s="218"/>
      <c r="L192" s="220"/>
      <c r="M192" s="364">
        <f t="shared" si="48"/>
        <v>0</v>
      </c>
      <c r="N192" s="359">
        <f>SUMMARY!J195</f>
        <v>6.3845219287057137E-2</v>
      </c>
      <c r="O192" s="220"/>
      <c r="P192"/>
      <c r="Q192"/>
    </row>
    <row r="193" spans="1:17" s="221" customFormat="1">
      <c r="A193" s="225" t="s">
        <v>285</v>
      </c>
      <c r="B193" s="226" t="s">
        <v>331</v>
      </c>
      <c r="C193" s="558">
        <f>'[11]Sch C'!D204</f>
        <v>0</v>
      </c>
      <c r="D193" s="558">
        <f>'[11]Sch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648"/>
      <c r="J193" s="223"/>
      <c r="K193" s="218"/>
      <c r="L193" s="220"/>
      <c r="M193" s="364">
        <f t="shared" si="48"/>
        <v>0</v>
      </c>
      <c r="N193" s="359">
        <f>SUMMARY!J196</f>
        <v>0</v>
      </c>
      <c r="O193" s="220"/>
      <c r="P193"/>
      <c r="Q193"/>
    </row>
    <row r="194" spans="1:17" s="221" customFormat="1">
      <c r="A194" s="224" t="s">
        <v>138</v>
      </c>
      <c r="B194" s="148" t="s">
        <v>332</v>
      </c>
      <c r="C194" s="558">
        <f>'[11]Sch C'!D205</f>
        <v>604492</v>
      </c>
      <c r="D194" s="558">
        <f>'[11]Sch C'!F205</f>
        <v>-8</v>
      </c>
      <c r="E194" s="171">
        <f t="shared" si="45"/>
        <v>604484</v>
      </c>
      <c r="F194" s="216"/>
      <c r="G194" s="171">
        <f t="shared" si="46"/>
        <v>604484</v>
      </c>
      <c r="H194" s="172">
        <f t="shared" si="47"/>
        <v>7.9717067473678821E-2</v>
      </c>
      <c r="I194" s="648"/>
      <c r="J194" s="223"/>
      <c r="K194" s="218"/>
      <c r="L194" s="220"/>
      <c r="M194" s="364">
        <f t="shared" si="48"/>
        <v>35.160772452303398</v>
      </c>
      <c r="N194" s="359">
        <f>SUMMARY!J197</f>
        <v>9.4138592764245246</v>
      </c>
      <c r="O194" s="220"/>
      <c r="P194"/>
      <c r="Q194"/>
    </row>
    <row r="195" spans="1:17" s="221" customFormat="1">
      <c r="A195" s="224" t="s">
        <v>139</v>
      </c>
      <c r="B195" s="148" t="s">
        <v>67</v>
      </c>
      <c r="C195" s="558">
        <f>'[11]Sch C'!D206</f>
        <v>5949</v>
      </c>
      <c r="D195" s="558">
        <f>'[11]Sch C'!F206</f>
        <v>0</v>
      </c>
      <c r="E195" s="171">
        <f t="shared" si="45"/>
        <v>5949</v>
      </c>
      <c r="F195" s="216"/>
      <c r="G195" s="171">
        <f t="shared" si="46"/>
        <v>5949</v>
      </c>
      <c r="H195" s="172">
        <f t="shared" si="47"/>
        <v>7.8453165741510997E-4</v>
      </c>
      <c r="I195" s="648"/>
      <c r="J195" s="223"/>
      <c r="K195" s="218"/>
      <c r="L195" s="220"/>
      <c r="M195" s="364">
        <f t="shared" si="48"/>
        <v>0.3460330386226152</v>
      </c>
      <c r="N195" s="359">
        <f>SUMMARY!J198</f>
        <v>0.50303072526897752</v>
      </c>
      <c r="O195" s="220"/>
      <c r="P195"/>
      <c r="Q195"/>
    </row>
    <row r="196" spans="1:17" s="221" customFormat="1">
      <c r="A196" s="225" t="s">
        <v>143</v>
      </c>
      <c r="B196" s="194" t="s">
        <v>333</v>
      </c>
      <c r="C196" s="558">
        <f>'[11]Sch C'!D207</f>
        <v>31722</v>
      </c>
      <c r="D196" s="558">
        <f>'[11]Sch C'!F207</f>
        <v>0</v>
      </c>
      <c r="E196" s="171">
        <f t="shared" si="45"/>
        <v>31722</v>
      </c>
      <c r="F196" s="216"/>
      <c r="G196" s="171">
        <f t="shared" si="46"/>
        <v>31722</v>
      </c>
      <c r="H196" s="172">
        <f t="shared" si="47"/>
        <v>4.1833775822024072E-3</v>
      </c>
      <c r="I196" s="648"/>
      <c r="J196" s="223"/>
      <c r="K196" s="218"/>
      <c r="L196" s="220"/>
      <c r="M196" s="364">
        <f t="shared" si="48"/>
        <v>1.845160539785947</v>
      </c>
      <c r="N196" s="359">
        <f>SUMMARY!J199</f>
        <v>0.37420738931321718</v>
      </c>
      <c r="O196" s="220"/>
      <c r="P196"/>
      <c r="Q196"/>
    </row>
    <row r="197" spans="1:17" s="167" customFormat="1" ht="26.5">
      <c r="A197" s="163"/>
      <c r="B197" s="212" t="s">
        <v>130</v>
      </c>
      <c r="C197" s="558">
        <f>SUM(C164:C196)</f>
        <v>1951316</v>
      </c>
      <c r="D197" s="558">
        <f>SUM(D164:D196)</f>
        <v>314045</v>
      </c>
      <c r="E197" s="171">
        <f t="shared" ref="E197:F197" si="49">SUM(E164:E196)</f>
        <v>2265361</v>
      </c>
      <c r="F197" s="171">
        <f t="shared" si="49"/>
        <v>0</v>
      </c>
      <c r="G197" s="171">
        <f>SUM(G164:G196)</f>
        <v>2265361</v>
      </c>
      <c r="H197" s="172">
        <f>IF($G$208=0,0,G197/$G$208)</f>
        <v>0.29874725499639448</v>
      </c>
      <c r="I197" s="648"/>
      <c r="J197" s="168"/>
      <c r="K197" s="168"/>
      <c r="M197" s="364">
        <f>G197/G$228</f>
        <v>131.76832247557005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65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65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'[11]Sch C'!D211</f>
        <v>79082</v>
      </c>
      <c r="D200" s="558">
        <f>'[11]Sch C'!F211</f>
        <v>4251</v>
      </c>
      <c r="E200" s="171">
        <f t="shared" ref="E200:E205" si="50">C200+D200</f>
        <v>83333</v>
      </c>
      <c r="F200" s="171"/>
      <c r="G200" s="171">
        <f t="shared" ref="G200:G205" si="51">E200+F200</f>
        <v>83333</v>
      </c>
      <c r="H200" s="172">
        <f t="shared" ref="H200:H206" si="52">IF($G$208=0,0,G200/$G$208)</f>
        <v>1.0989641386346168E-2</v>
      </c>
      <c r="I200" s="648"/>
      <c r="J200" s="183">
        <v>4151</v>
      </c>
      <c r="K200" s="183">
        <v>4374</v>
      </c>
      <c r="M200" s="364">
        <f t="shared" ref="M200:M205" si="53">G200/G$228</f>
        <v>4.8471963704048395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'[11]Sch C'!D212</f>
        <v>0</v>
      </c>
      <c r="D201" s="558">
        <f>'[11]Sch C'!F212</f>
        <v>16596</v>
      </c>
      <c r="E201" s="171">
        <f t="shared" si="50"/>
        <v>16596</v>
      </c>
      <c r="F201" s="171"/>
      <c r="G201" s="171">
        <f t="shared" si="51"/>
        <v>16596</v>
      </c>
      <c r="H201" s="172">
        <f t="shared" si="52"/>
        <v>2.1886178158448755E-3</v>
      </c>
      <c r="I201" s="648"/>
      <c r="J201" s="168"/>
      <c r="K201" s="168"/>
      <c r="M201" s="364">
        <f t="shared" si="53"/>
        <v>0.96533271288971612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'[11]Sch C'!D213</f>
        <v>3220</v>
      </c>
      <c r="D202" s="558">
        <f>'[11]Sch C'!F213</f>
        <v>0</v>
      </c>
      <c r="E202" s="171">
        <f t="shared" si="50"/>
        <v>3220</v>
      </c>
      <c r="F202" s="171"/>
      <c r="G202" s="171">
        <f t="shared" si="51"/>
        <v>3220</v>
      </c>
      <c r="H202" s="172">
        <f t="shared" si="52"/>
        <v>4.2464144173418289E-4</v>
      </c>
      <c r="I202" s="648"/>
      <c r="J202" s="168"/>
      <c r="K202" s="168"/>
      <c r="M202" s="364">
        <f t="shared" si="53"/>
        <v>0.18729641693811075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'[11]Sch C'!D214</f>
        <v>0</v>
      </c>
      <c r="D203" s="558">
        <f>'[11]Sch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648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'[11]Sch C'!D215</f>
        <v>0</v>
      </c>
      <c r="D204" s="558">
        <f>'[11]Sch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648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'[11]Sch C'!D216</f>
        <v>5391</v>
      </c>
      <c r="D205" s="558">
        <f>'[11]Sch C'!F216</f>
        <v>0</v>
      </c>
      <c r="E205" s="171">
        <f t="shared" si="50"/>
        <v>5391</v>
      </c>
      <c r="F205" s="171"/>
      <c r="G205" s="171">
        <f t="shared" si="51"/>
        <v>5391</v>
      </c>
      <c r="H205" s="172">
        <f t="shared" si="52"/>
        <v>7.1094472434440371E-4</v>
      </c>
      <c r="I205" s="648"/>
      <c r="J205" s="168"/>
      <c r="K205" s="168"/>
      <c r="M205" s="364">
        <f t="shared" si="53"/>
        <v>0.31357608189855746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87693</v>
      </c>
      <c r="D206" s="558">
        <f>SUM(D200:D205)</f>
        <v>20847</v>
      </c>
      <c r="E206" s="171">
        <f t="shared" ref="E206:F206" si="54">SUM(E200:E205)</f>
        <v>108540</v>
      </c>
      <c r="F206" s="171">
        <f t="shared" si="54"/>
        <v>0</v>
      </c>
      <c r="G206" s="171">
        <f>SUM(G200:G205)</f>
        <v>108540</v>
      </c>
      <c r="H206" s="172">
        <f t="shared" si="52"/>
        <v>1.431384536826963E-2</v>
      </c>
      <c r="I206" s="648"/>
      <c r="J206" s="168"/>
      <c r="K206" s="168"/>
      <c r="M206" s="364">
        <f>G206/G$228</f>
        <v>6.3134015821312239</v>
      </c>
      <c r="N206" s="359">
        <f>SUMMARY!J209</f>
        <v>7.1515095990067339</v>
      </c>
      <c r="O206" s="354">
        <f>M206/N206-1</f>
        <v>-0.11719316114627243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65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7487989</v>
      </c>
      <c r="D208" s="558">
        <f>SUM(D25:D206)/2</f>
        <v>94879</v>
      </c>
      <c r="E208" s="171">
        <f t="shared" ref="E208:F208" si="55">SUM(E25:E206)/2</f>
        <v>7582868</v>
      </c>
      <c r="F208" s="171">
        <f t="shared" si="55"/>
        <v>0</v>
      </c>
      <c r="G208" s="171">
        <f>SUM(G25:G206)/2</f>
        <v>7582868</v>
      </c>
      <c r="H208" s="172">
        <f>IF($G$208=0,0,G208/$G$208)</f>
        <v>1</v>
      </c>
      <c r="I208" s="648"/>
      <c r="J208" s="183">
        <f>SUM(J25:J200)</f>
        <v>181317</v>
      </c>
      <c r="K208" s="183">
        <f>SUM(K25:K200)</f>
        <v>191065</v>
      </c>
      <c r="M208" s="364">
        <f>G208/G$228</f>
        <v>441.06956724057699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650"/>
      <c r="J209" s="168"/>
      <c r="K209" s="168"/>
      <c r="O209" s="553">
        <f>SUM(O61:O206)</f>
        <v>0.88409528289161687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650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'[11]Sch C'!D221</f>
        <v>7487989.3200000003</v>
      </c>
      <c r="D211" s="196"/>
      <c r="E211" s="165"/>
      <c r="F211" s="140"/>
      <c r="G211"/>
      <c r="I211" s="650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-0.32000000029802322</v>
      </c>
      <c r="D212" s="229"/>
      <c r="E212" s="165"/>
      <c r="F212" s="400"/>
      <c r="G212"/>
      <c r="I212" s="650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00"/>
      <c r="G213" s="232"/>
      <c r="H213" s="166"/>
      <c r="I213" s="653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460"/>
      <c r="G214" s="165"/>
      <c r="I214" s="650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472733</v>
      </c>
      <c r="D215" s="558">
        <f>D21-D208</f>
        <v>-94879</v>
      </c>
      <c r="E215" s="171">
        <f t="shared" ref="E215" si="56">E21-E208</f>
        <v>377854</v>
      </c>
      <c r="F215" s="171"/>
      <c r="G215" s="171">
        <f>G21-G208</f>
        <v>377854</v>
      </c>
      <c r="I215" s="650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650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650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653"/>
      <c r="J218" s="168"/>
      <c r="K218" s="168"/>
    </row>
    <row r="219" spans="1:17">
      <c r="A219" s="163"/>
      <c r="B219" s="170" t="s">
        <v>218</v>
      </c>
      <c r="C219" s="592">
        <f>'[11]Sch D'!C9</f>
        <v>132</v>
      </c>
      <c r="D219" s="592"/>
      <c r="E219" s="235">
        <f t="shared" ref="E219:G227" si="57">C219+D219</f>
        <v>132</v>
      </c>
      <c r="F219" s="234"/>
      <c r="G219" s="235">
        <f t="shared" si="57"/>
        <v>132</v>
      </c>
      <c r="H219" s="172">
        <f t="shared" ref="H219:H228" si="58">IF($G$228=0,0,G219/$G$228)</f>
        <v>7.6779897626803161E-3</v>
      </c>
      <c r="I219" s="648"/>
      <c r="J219" s="168"/>
      <c r="K219" s="168"/>
    </row>
    <row r="220" spans="1:17">
      <c r="A220" s="163"/>
      <c r="B220" s="170" t="s">
        <v>217</v>
      </c>
      <c r="C220" s="592">
        <f>'[11]Sch D'!D9</f>
        <v>0</v>
      </c>
      <c r="D220" s="592"/>
      <c r="E220" s="171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648"/>
      <c r="J220" s="168"/>
      <c r="K220" s="168"/>
    </row>
    <row r="221" spans="1:17">
      <c r="A221" s="163"/>
      <c r="B221" s="170" t="s">
        <v>72</v>
      </c>
      <c r="C221" s="592">
        <f>'[11]Sch D'!E9</f>
        <v>12634</v>
      </c>
      <c r="D221" s="592"/>
      <c r="E221" s="171">
        <f t="shared" si="57"/>
        <v>12634</v>
      </c>
      <c r="F221" s="234"/>
      <c r="G221" s="235">
        <f t="shared" si="57"/>
        <v>12634</v>
      </c>
      <c r="H221" s="172">
        <f t="shared" si="58"/>
        <v>0.7348766868310842</v>
      </c>
      <c r="I221" s="648"/>
      <c r="J221" s="168"/>
      <c r="K221" s="168"/>
    </row>
    <row r="222" spans="1:17">
      <c r="A222" s="163"/>
      <c r="B222" s="202" t="s">
        <v>334</v>
      </c>
      <c r="C222" s="592">
        <f>'[11]Sch D'!F9</f>
        <v>4352</v>
      </c>
      <c r="D222" s="592"/>
      <c r="E222" s="171">
        <f t="shared" si="57"/>
        <v>4352</v>
      </c>
      <c r="F222" s="234"/>
      <c r="G222" s="235">
        <f>E222+F222</f>
        <v>4352</v>
      </c>
      <c r="H222" s="172">
        <f t="shared" si="58"/>
        <v>0.25314099581200561</v>
      </c>
      <c r="I222" s="648"/>
      <c r="J222" s="168"/>
      <c r="K222" s="168"/>
    </row>
    <row r="223" spans="1:17">
      <c r="A223" s="163"/>
      <c r="B223" s="170" t="s">
        <v>73</v>
      </c>
      <c r="C223" s="592">
        <f>'[11]Sch D'!G9</f>
        <v>0</v>
      </c>
      <c r="D223" s="592"/>
      <c r="E223" s="171">
        <f t="shared" si="57"/>
        <v>0</v>
      </c>
      <c r="F223" s="234"/>
      <c r="G223" s="235">
        <f t="shared" si="57"/>
        <v>0</v>
      </c>
      <c r="H223" s="172">
        <f t="shared" si="58"/>
        <v>0</v>
      </c>
      <c r="I223" s="648"/>
      <c r="J223" s="168"/>
      <c r="K223" s="168"/>
    </row>
    <row r="224" spans="1:17">
      <c r="A224" s="163"/>
      <c r="B224" s="170" t="s">
        <v>74</v>
      </c>
      <c r="C224" s="592">
        <f>'[11]Sch D'!H9</f>
        <v>74</v>
      </c>
      <c r="D224" s="592"/>
      <c r="E224" s="171">
        <f t="shared" si="57"/>
        <v>74</v>
      </c>
      <c r="F224" s="234"/>
      <c r="G224" s="235">
        <f t="shared" si="57"/>
        <v>74</v>
      </c>
      <c r="H224" s="172">
        <f t="shared" si="58"/>
        <v>4.3043275942298747E-3</v>
      </c>
      <c r="I224" s="648"/>
      <c r="J224" s="168"/>
      <c r="K224" s="168"/>
    </row>
    <row r="225" spans="1:11">
      <c r="A225" s="163"/>
      <c r="B225" s="170" t="s">
        <v>236</v>
      </c>
      <c r="C225" s="592">
        <f>'[11]Sch D'!I9</f>
        <v>0</v>
      </c>
      <c r="D225" s="592"/>
      <c r="E225" s="171">
        <f t="shared" si="57"/>
        <v>0</v>
      </c>
      <c r="F225" s="234"/>
      <c r="G225" s="235">
        <f t="shared" si="57"/>
        <v>0</v>
      </c>
      <c r="H225" s="172">
        <f t="shared" si="58"/>
        <v>0</v>
      </c>
      <c r="I225" s="648"/>
      <c r="J225" s="168"/>
      <c r="K225" s="168"/>
    </row>
    <row r="226" spans="1:11">
      <c r="A226" s="163"/>
      <c r="B226" s="170" t="s">
        <v>235</v>
      </c>
      <c r="C226" s="592">
        <f>'[11]Sch D'!J9</f>
        <v>0</v>
      </c>
      <c r="D226" s="592"/>
      <c r="E226" s="171">
        <f t="shared" si="57"/>
        <v>0</v>
      </c>
      <c r="F226" s="234"/>
      <c r="G226" s="235">
        <f>E226+F226</f>
        <v>0</v>
      </c>
      <c r="H226" s="172">
        <f t="shared" si="58"/>
        <v>0</v>
      </c>
      <c r="I226" s="648"/>
      <c r="J226" s="168"/>
      <c r="K226" s="168"/>
    </row>
    <row r="227" spans="1:11">
      <c r="A227" s="163"/>
      <c r="B227" s="170" t="s">
        <v>179</v>
      </c>
      <c r="C227" s="592">
        <f>'[11]Sch D'!K9</f>
        <v>0</v>
      </c>
      <c r="D227" s="592"/>
      <c r="E227" s="171">
        <f t="shared" si="57"/>
        <v>0</v>
      </c>
      <c r="F227" s="234"/>
      <c r="G227" s="235">
        <f t="shared" si="57"/>
        <v>0</v>
      </c>
      <c r="H227" s="172">
        <f t="shared" si="58"/>
        <v>0</v>
      </c>
      <c r="I227" s="648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17192</v>
      </c>
      <c r="D228" s="592">
        <f>SUM(D219:D227)</f>
        <v>0</v>
      </c>
      <c r="E228" s="237">
        <f>SUM(E219:E227)</f>
        <v>17192</v>
      </c>
      <c r="F228" s="237">
        <f>SUM(F219:F227)</f>
        <v>0</v>
      </c>
      <c r="G228" s="237">
        <f>SUM(G219:G227)</f>
        <v>17192</v>
      </c>
      <c r="H228" s="172">
        <f t="shared" si="58"/>
        <v>1</v>
      </c>
      <c r="I228" s="648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'[11]Sch D'!N22</f>
        <v>60</v>
      </c>
      <c r="D231" s="559"/>
      <c r="E231" s="235">
        <f>C231+D231</f>
        <v>60</v>
      </c>
      <c r="F231" s="235"/>
      <c r="G231" s="235">
        <f>E231+F231</f>
        <v>60</v>
      </c>
      <c r="H231" s="167"/>
      <c r="J231" s="168"/>
      <c r="K231" s="168"/>
    </row>
    <row r="232" spans="1:11">
      <c r="A232" s="163"/>
      <c r="B232" s="202" t="s">
        <v>290</v>
      </c>
      <c r="C232" s="593">
        <f>'[11]Sch D'!N24</f>
        <v>5</v>
      </c>
      <c r="D232" s="559"/>
      <c r="E232" s="235">
        <f>C232+D232</f>
        <v>5</v>
      </c>
      <c r="F232" s="235"/>
      <c r="G232" s="235">
        <f>E232+F232</f>
        <v>5</v>
      </c>
      <c r="H232" s="167"/>
      <c r="J232" s="168"/>
      <c r="K232" s="168"/>
    </row>
    <row r="233" spans="1:11">
      <c r="A233" s="271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601" t="s">
        <v>493</v>
      </c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'[11]Sch D'!N28</f>
        <v>21960</v>
      </c>
      <c r="D235" s="483"/>
      <c r="E235" s="234">
        <f>E231*E233</f>
        <v>21960</v>
      </c>
      <c r="F235" s="239"/>
      <c r="G235" s="234">
        <f>G231*G233</f>
        <v>21960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'[11]Sch D'!N30</f>
        <v>0.78287795992714027</v>
      </c>
      <c r="D236" s="239"/>
      <c r="E236" s="244">
        <f>E228/E235</f>
        <v>0.78287795992714027</v>
      </c>
      <c r="F236" s="245"/>
      <c r="G236" s="244">
        <f>G228/G235</f>
        <v>0.78287795992714027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'[11]Sch D'!N32</f>
        <v>6.0109289617486343E-3</v>
      </c>
      <c r="D237" s="239"/>
      <c r="E237" s="244">
        <f>(E219+E220)/E235</f>
        <v>6.0109289617486343E-3</v>
      </c>
      <c r="F237" s="245"/>
      <c r="G237" s="244">
        <f>(G219+G220)/G235</f>
        <v>6.0109289617486343E-3</v>
      </c>
      <c r="H237" s="167"/>
      <c r="J237" s="168"/>
      <c r="K237" s="168"/>
    </row>
    <row r="238" spans="1:11" ht="39.5">
      <c r="A238" s="163"/>
      <c r="B238" s="243" t="s">
        <v>338</v>
      </c>
      <c r="C238" s="594">
        <f>'[11]Sch D'!N34</f>
        <v>7.677989762680317E-3</v>
      </c>
      <c r="D238" s="239"/>
      <c r="E238" s="244">
        <f>(E237/E236)</f>
        <v>7.677989762680317E-3</v>
      </c>
      <c r="F238" s="245"/>
      <c r="G238" s="244">
        <f>(G237/G236)</f>
        <v>7.677989762680317E-3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'[11]Sch B'!C85</f>
        <v>-1709.2857142857142</v>
      </c>
    </row>
    <row r="242" spans="2:7">
      <c r="F242" s="142" t="s">
        <v>341</v>
      </c>
      <c r="G242" s="558">
        <f>'[11]Sch B'!E85</f>
        <v>173</v>
      </c>
    </row>
    <row r="243" spans="2:7">
      <c r="F243" s="142" t="s">
        <v>342</v>
      </c>
      <c r="G243" s="558">
        <f>'[11]Sch B'!G85</f>
        <v>369.97058823529414</v>
      </c>
    </row>
    <row r="244" spans="2:7">
      <c r="F244" s="142" t="s">
        <v>343</v>
      </c>
      <c r="G244" s="558">
        <f>'[11]Sch B'!I85</f>
        <v>371.21428571428572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28CAB"/>
  </sheetPr>
  <dimension ref="A1:Q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408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400"/>
      <c r="F3" s="400"/>
    </row>
    <row r="4" spans="1:17">
      <c r="A4" s="145"/>
      <c r="B4" s="148" t="s">
        <v>80</v>
      </c>
      <c r="C4" s="489">
        <v>42551</v>
      </c>
      <c r="D4" s="144"/>
      <c r="E4" s="400"/>
      <c r="F4" s="400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'[12]Sch B'!E10</f>
        <v>5281021.62</v>
      </c>
      <c r="D11" s="558">
        <f>'[12]Sch B'!G10</f>
        <v>0</v>
      </c>
      <c r="E11" s="171">
        <f>C11+D11</f>
        <v>5281021.62</v>
      </c>
      <c r="F11" s="171"/>
      <c r="G11" s="171">
        <f t="shared" ref="G11:G20" si="0">E11+F11</f>
        <v>5281021.62</v>
      </c>
      <c r="H11" s="172">
        <f t="shared" ref="H11:H21" si="1">IF($G$21=0,0,G11/$G$21)</f>
        <v>0.61928504869990975</v>
      </c>
      <c r="I11" s="336"/>
      <c r="J11" s="368" t="s">
        <v>344</v>
      </c>
      <c r="K11" s="369">
        <f>G21</f>
        <v>8527610.396999998</v>
      </c>
      <c r="M11" s="359">
        <f>IFERROR(G11/G219,0)</f>
        <v>761.28320887991924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'[12]Sch B'!E15</f>
        <v>358905.76</v>
      </c>
      <c r="D12" s="558">
        <f>'[12]Sch B'!G15</f>
        <v>0</v>
      </c>
      <c r="E12" s="171">
        <f t="shared" ref="E12:E20" si="2">C12+D12</f>
        <v>358905.76</v>
      </c>
      <c r="F12" s="171"/>
      <c r="G12" s="171">
        <f>E12+F12</f>
        <v>358905.76</v>
      </c>
      <c r="H12" s="172">
        <f t="shared" si="1"/>
        <v>4.2087495006369262E-2</v>
      </c>
      <c r="I12" s="336"/>
      <c r="J12" s="370" t="s">
        <v>345</v>
      </c>
      <c r="K12" s="371">
        <f>G208</f>
        <v>7274791.8099999987</v>
      </c>
      <c r="M12" s="359">
        <f t="shared" ref="M12:M19" si="3">IFERROR(G12/G220,0)</f>
        <v>726.52987854251012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'[12]Sch B'!E21</f>
        <v>974221.59</v>
      </c>
      <c r="D13" s="558">
        <f>'[12]Sch B'!G21</f>
        <v>0</v>
      </c>
      <c r="E13" s="171">
        <f t="shared" si="2"/>
        <v>974221.59</v>
      </c>
      <c r="F13" s="171"/>
      <c r="G13" s="171">
        <f t="shared" si="0"/>
        <v>974221.59</v>
      </c>
      <c r="H13" s="172">
        <f t="shared" si="1"/>
        <v>0.11424321054145835</v>
      </c>
      <c r="I13" s="336"/>
      <c r="J13" s="370" t="s">
        <v>346</v>
      </c>
      <c r="K13" s="371">
        <f>G228</f>
        <v>12438</v>
      </c>
      <c r="M13" s="359">
        <f t="shared" si="3"/>
        <v>549.16662344983092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'[12]Sch B'!E27</f>
        <v>322475.51999999996</v>
      </c>
      <c r="D14" s="558">
        <f>'[12]Sch B'!G27</f>
        <v>0</v>
      </c>
      <c r="E14" s="171">
        <f t="shared" si="2"/>
        <v>322475.51999999996</v>
      </c>
      <c r="F14" s="175"/>
      <c r="G14" s="175">
        <f>E14+F14</f>
        <v>322475.51999999996</v>
      </c>
      <c r="H14" s="176">
        <f t="shared" si="1"/>
        <v>3.7815461188687331E-2</v>
      </c>
      <c r="I14" s="337"/>
      <c r="J14" s="370" t="s">
        <v>347</v>
      </c>
      <c r="K14" s="371">
        <f>G231</f>
        <v>36</v>
      </c>
      <c r="M14" s="359">
        <f t="shared" si="3"/>
        <v>470.76718248175177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'[12]Sch B'!E32</f>
        <v>0</v>
      </c>
      <c r="D15" s="558">
        <f>'[12]Sch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13176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'[12]Sch B'!E37</f>
        <v>512684.12</v>
      </c>
      <c r="D16" s="558">
        <f>'[12]Sch B'!G37</f>
        <v>0</v>
      </c>
      <c r="E16" s="171">
        <f t="shared" si="2"/>
        <v>512684.12</v>
      </c>
      <c r="F16" s="171"/>
      <c r="G16" s="171">
        <f t="shared" si="0"/>
        <v>512684.12</v>
      </c>
      <c r="H16" s="172">
        <f t="shared" si="1"/>
        <v>6.0120490516353979E-2</v>
      </c>
      <c r="I16" s="336"/>
      <c r="J16" s="372"/>
      <c r="K16" s="371"/>
      <c r="M16" s="359">
        <f t="shared" si="3"/>
        <v>532.38226375908619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'[12]Sch B'!E42</f>
        <v>61651.307000000001</v>
      </c>
      <c r="D17" s="558">
        <f>'[12]Sch B'!G42</f>
        <v>0</v>
      </c>
      <c r="E17" s="171">
        <f t="shared" si="2"/>
        <v>61651.307000000001</v>
      </c>
      <c r="F17" s="171"/>
      <c r="G17" s="171">
        <f>E17+F17</f>
        <v>61651.307000000001</v>
      </c>
      <c r="H17" s="172">
        <f t="shared" si="1"/>
        <v>7.2296111254905419E-3</v>
      </c>
      <c r="I17" s="336"/>
      <c r="J17" s="370" t="s">
        <v>156</v>
      </c>
      <c r="K17" s="371">
        <f>J208</f>
        <v>148860.19000000003</v>
      </c>
      <c r="M17" s="359">
        <f t="shared" si="3"/>
        <v>440.36647857142856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'[12]Sch B'!E47</f>
        <v>8000</v>
      </c>
      <c r="D18" s="558">
        <f>'[12]Sch B'!G47</f>
        <v>0</v>
      </c>
      <c r="E18" s="171">
        <f t="shared" si="2"/>
        <v>8000</v>
      </c>
      <c r="F18" s="171"/>
      <c r="G18" s="171">
        <f>E18+F18</f>
        <v>8000</v>
      </c>
      <c r="H18" s="172">
        <f t="shared" si="1"/>
        <v>9.3812916251595989E-4</v>
      </c>
      <c r="I18" s="336"/>
      <c r="J18" s="373" t="s">
        <v>252</v>
      </c>
      <c r="K18" s="374">
        <f>K208</f>
        <v>150399.41000000003</v>
      </c>
      <c r="M18" s="359">
        <f t="shared" si="3"/>
        <v>400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'[12]Sch B'!E52</f>
        <v>934865.95000000007</v>
      </c>
      <c r="D19" s="558">
        <f>'[12]Sch B'!G52</f>
        <v>0</v>
      </c>
      <c r="E19" s="171">
        <f t="shared" si="2"/>
        <v>934865.95000000007</v>
      </c>
      <c r="F19" s="171"/>
      <c r="G19" s="171">
        <f t="shared" si="0"/>
        <v>934865.95000000007</v>
      </c>
      <c r="H19" s="172">
        <f t="shared" si="1"/>
        <v>0.10962812634227341</v>
      </c>
      <c r="I19" s="336"/>
      <c r="J19" s="168"/>
      <c r="K19" s="168"/>
      <c r="M19" s="359">
        <f t="shared" si="3"/>
        <v>656.04628070175443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'[12]Sch B'!E67</f>
        <v>73784.53</v>
      </c>
      <c r="D20" s="558">
        <f>'[12]Sch B'!G67</f>
        <v>0</v>
      </c>
      <c r="E20" s="171">
        <f t="shared" si="2"/>
        <v>73784.53</v>
      </c>
      <c r="F20" s="171"/>
      <c r="G20" s="171">
        <f t="shared" si="0"/>
        <v>73784.53</v>
      </c>
      <c r="H20" s="172">
        <f t="shared" si="1"/>
        <v>8.6524274169417145E-3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8527610.396999998</v>
      </c>
      <c r="D21" s="558">
        <f>SUM(D11:D20)</f>
        <v>0</v>
      </c>
      <c r="E21" s="171">
        <f>SUM(E11:E20)</f>
        <v>8527610.396999998</v>
      </c>
      <c r="F21" s="171">
        <f>SUM(F11:F20)</f>
        <v>0</v>
      </c>
      <c r="G21" s="171">
        <f>SUM(G11:G20)</f>
        <v>8527610.396999998</v>
      </c>
      <c r="H21" s="172">
        <f t="shared" si="1"/>
        <v>1</v>
      </c>
      <c r="I21" s="336"/>
      <c r="J21" s="168"/>
      <c r="K21" s="168"/>
      <c r="M21" s="359">
        <f>IFERROR(G21/G228,0)</f>
        <v>685.60945465508905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C24" s="460" t="s">
        <v>651</v>
      </c>
      <c r="F24" s="401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'[13]Sch C'!D10</f>
        <v>0</v>
      </c>
      <c r="D25" s="558">
        <f>'[13]Sch C'!F10</f>
        <v>83487</v>
      </c>
      <c r="E25" s="171">
        <f t="shared" ref="E25:E60" si="4">C25+D25</f>
        <v>83487</v>
      </c>
      <c r="F25" s="171"/>
      <c r="G25" s="182">
        <f>E25+F25</f>
        <v>83487</v>
      </c>
      <c r="H25" s="172">
        <f>IF($G$208=0,0,G25/$G$208)</f>
        <v>1.1476204705300015E-2</v>
      </c>
      <c r="I25" s="336"/>
      <c r="J25" s="183">
        <v>2341.09</v>
      </c>
      <c r="K25" s="183">
        <v>2341.09</v>
      </c>
      <c r="M25" s="359">
        <f>G25/G$228</f>
        <v>6.7122527737578386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'[13]Sch C'!D11</f>
        <v>0</v>
      </c>
      <c r="D26" s="558">
        <f>'[13]Sch C'!F11</f>
        <v>30750</v>
      </c>
      <c r="E26" s="171">
        <f t="shared" si="4"/>
        <v>30750</v>
      </c>
      <c r="F26" s="171"/>
      <c r="G26" s="171">
        <f t="shared" ref="G26:G60" si="5">E26+F26</f>
        <v>30750</v>
      </c>
      <c r="H26" s="184">
        <f t="shared" ref="H26:H61" si="6">IF($G$208=0,0,G26/$G$208)</f>
        <v>4.2269250863963903E-3</v>
      </c>
      <c r="I26" s="336"/>
      <c r="J26" s="183">
        <v>1126.71</v>
      </c>
      <c r="K26" s="183">
        <v>1126.71</v>
      </c>
      <c r="M26" s="359">
        <f t="shared" ref="M26:M60" si="7">G26/G$228</f>
        <v>2.4722624216111915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'[13]Sch C'!D12</f>
        <v>4383316.9400000004</v>
      </c>
      <c r="D27" s="558">
        <f>'[13]Sch C'!F12</f>
        <v>-4093664</v>
      </c>
      <c r="E27" s="171">
        <f t="shared" si="4"/>
        <v>289652.94000000041</v>
      </c>
      <c r="F27" s="171"/>
      <c r="G27" s="171">
        <f t="shared" si="5"/>
        <v>289652.94000000041</v>
      </c>
      <c r="H27" s="172">
        <f t="shared" si="6"/>
        <v>3.9815976534454317E-2</v>
      </c>
      <c r="I27" s="336"/>
      <c r="J27" s="185">
        <v>7757.79</v>
      </c>
      <c r="K27" s="185">
        <v>7757.79</v>
      </c>
      <c r="M27" s="359">
        <f t="shared" si="7"/>
        <v>23.287742402315519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'[13]Sch C'!D13</f>
        <v>16884.080000000002</v>
      </c>
      <c r="D28" s="558">
        <f>'[13]Sch C'!F13</f>
        <v>41575</v>
      </c>
      <c r="E28" s="171">
        <f t="shared" si="4"/>
        <v>58459.08</v>
      </c>
      <c r="F28" s="171"/>
      <c r="G28" s="171">
        <f t="shared" si="5"/>
        <v>58459.08</v>
      </c>
      <c r="H28" s="172">
        <f t="shared" si="6"/>
        <v>8.035842334297676E-3</v>
      </c>
      <c r="I28" s="336"/>
      <c r="J28" s="168"/>
      <c r="K28" s="168"/>
      <c r="M28" s="359">
        <f t="shared" si="7"/>
        <v>4.7000385914134108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'[13]Sch C'!D14</f>
        <v>0</v>
      </c>
      <c r="D29" s="558">
        <f>'[13]Sch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'[13]Sch C'!D15</f>
        <v>0</v>
      </c>
      <c r="D30" s="558">
        <f>'[13]Sch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'[13]Sch C'!D16</f>
        <v>0</v>
      </c>
      <c r="D31" s="558">
        <f>'[13]Sch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'[13]Sch C'!D17</f>
        <v>20182.32</v>
      </c>
      <c r="D32" s="558">
        <f>'[13]Sch C'!F17</f>
        <v>-120041</v>
      </c>
      <c r="E32" s="171">
        <f t="shared" si="4"/>
        <v>-99858.68</v>
      </c>
      <c r="F32" s="171"/>
      <c r="G32" s="171">
        <f t="shared" si="5"/>
        <v>-99858.68</v>
      </c>
      <c r="H32" s="172">
        <f t="shared" si="6"/>
        <v>-1.3726671856469252E-2</v>
      </c>
      <c r="I32" s="336"/>
      <c r="J32" s="168"/>
      <c r="K32" s="168"/>
      <c r="M32" s="359">
        <f t="shared" si="7"/>
        <v>-8.0285158385592528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'[13]Sch C'!D18</f>
        <v>0</v>
      </c>
      <c r="D33" s="558">
        <f>'[13]Sch C'!F18</f>
        <v>0</v>
      </c>
      <c r="E33" s="171">
        <f t="shared" si="4"/>
        <v>0</v>
      </c>
      <c r="F33" s="171"/>
      <c r="G33" s="171">
        <f t="shared" si="5"/>
        <v>0</v>
      </c>
      <c r="H33" s="172">
        <f t="shared" si="6"/>
        <v>0</v>
      </c>
      <c r="I33" s="336"/>
      <c r="J33" s="168"/>
      <c r="K33" s="168"/>
      <c r="M33" s="359">
        <f t="shared" si="7"/>
        <v>0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'[13]Sch C'!D19</f>
        <v>10272.11</v>
      </c>
      <c r="D34" s="558">
        <f>'[13]Sch C'!F19</f>
        <v>0</v>
      </c>
      <c r="E34" s="171">
        <f t="shared" si="4"/>
        <v>10272.11</v>
      </c>
      <c r="F34" s="171"/>
      <c r="G34" s="171">
        <f t="shared" si="5"/>
        <v>10272.11</v>
      </c>
      <c r="H34" s="172">
        <f t="shared" si="6"/>
        <v>1.4120142910316498E-3</v>
      </c>
      <c r="I34" s="336"/>
      <c r="J34" s="168"/>
      <c r="K34" s="168"/>
      <c r="M34" s="359">
        <f t="shared" si="7"/>
        <v>0.8258650908506191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'[13]Sch C'!D20</f>
        <v>17620.75</v>
      </c>
      <c r="D35" s="558">
        <f>'[13]Sch C'!F20</f>
        <v>0</v>
      </c>
      <c r="E35" s="171">
        <f t="shared" si="4"/>
        <v>17620.75</v>
      </c>
      <c r="F35" s="171"/>
      <c r="G35" s="171">
        <f t="shared" si="5"/>
        <v>17620.75</v>
      </c>
      <c r="H35" s="172">
        <f t="shared" si="6"/>
        <v>2.4221655354835512E-3</v>
      </c>
      <c r="I35" s="336"/>
      <c r="J35" s="168"/>
      <c r="K35" s="168"/>
      <c r="M35" s="359">
        <f t="shared" si="7"/>
        <v>1.4166867663611513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'[13]Sch C'!D21</f>
        <v>24197.3</v>
      </c>
      <c r="D36" s="558">
        <f>'[13]Sch C'!F21</f>
        <v>0</v>
      </c>
      <c r="E36" s="171">
        <f t="shared" si="4"/>
        <v>24197.3</v>
      </c>
      <c r="F36" s="171"/>
      <c r="G36" s="171">
        <f t="shared" si="5"/>
        <v>24197.3</v>
      </c>
      <c r="H36" s="172">
        <f t="shared" si="6"/>
        <v>3.3261845331076221E-3</v>
      </c>
      <c r="I36" s="336"/>
      <c r="J36" s="168"/>
      <c r="K36" s="168"/>
      <c r="M36" s="359">
        <f t="shared" si="7"/>
        <v>1.9454333494130889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'[13]Sch C'!D22</f>
        <v>0</v>
      </c>
      <c r="D37" s="558">
        <f>'[13]Sch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'[13]Sch C'!D23</f>
        <v>15008.26</v>
      </c>
      <c r="D38" s="558">
        <f>'[13]Sch C'!F23</f>
        <v>0</v>
      </c>
      <c r="E38" s="171">
        <f t="shared" si="4"/>
        <v>15008.26</v>
      </c>
      <c r="F38" s="171"/>
      <c r="G38" s="171">
        <f t="shared" si="5"/>
        <v>15008.26</v>
      </c>
      <c r="H38" s="172">
        <f t="shared" si="6"/>
        <v>2.0630501039726667E-3</v>
      </c>
      <c r="I38" s="336"/>
      <c r="J38" s="168"/>
      <c r="K38" s="168"/>
      <c r="M38" s="359">
        <f t="shared" si="7"/>
        <v>1.2066457629844027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'[13]Sch C'!D24</f>
        <v>23865.42</v>
      </c>
      <c r="D39" s="558">
        <f>'[13]Sch C'!F24</f>
        <v>0</v>
      </c>
      <c r="E39" s="171">
        <f t="shared" si="4"/>
        <v>23865.42</v>
      </c>
      <c r="F39" s="171"/>
      <c r="G39" s="171">
        <f t="shared" si="5"/>
        <v>23865.42</v>
      </c>
      <c r="H39" s="172">
        <f t="shared" si="6"/>
        <v>3.2805639835897932E-3</v>
      </c>
      <c r="I39" s="336"/>
      <c r="J39" s="168"/>
      <c r="K39" s="168"/>
      <c r="M39" s="359">
        <f t="shared" si="7"/>
        <v>1.9187506029908343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'[13]Sch C'!D25</f>
        <v>4912</v>
      </c>
      <c r="D40" s="558">
        <f>'[13]Sch C'!F25</f>
        <v>0</v>
      </c>
      <c r="E40" s="171">
        <f t="shared" si="4"/>
        <v>4912</v>
      </c>
      <c r="F40" s="171"/>
      <c r="G40" s="171">
        <f t="shared" si="5"/>
        <v>4912</v>
      </c>
      <c r="H40" s="172">
        <f t="shared" si="6"/>
        <v>6.7520832599606733E-4</v>
      </c>
      <c r="I40" s="336"/>
      <c r="J40" s="168"/>
      <c r="K40" s="168"/>
      <c r="M40" s="359">
        <f t="shared" si="7"/>
        <v>0.39491879723428203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'[13]Sch C'!D26</f>
        <v>182192.4</v>
      </c>
      <c r="D41" s="558">
        <f>'[13]Sch C'!F26</f>
        <v>0</v>
      </c>
      <c r="E41" s="171">
        <f t="shared" si="4"/>
        <v>182192.4</v>
      </c>
      <c r="F41" s="171"/>
      <c r="G41" s="171">
        <f t="shared" si="5"/>
        <v>182192.4</v>
      </c>
      <c r="H41" s="172">
        <f t="shared" si="6"/>
        <v>2.5044345564577748E-2</v>
      </c>
      <c r="I41" s="336"/>
      <c r="J41" s="168"/>
      <c r="K41" s="168"/>
      <c r="M41" s="359">
        <f t="shared" si="7"/>
        <v>14.648046309696092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'[13]Sch C'!D27</f>
        <v>92985.65</v>
      </c>
      <c r="D42" s="558">
        <f>'[13]Sch C'!F27</f>
        <v>0</v>
      </c>
      <c r="E42" s="171">
        <f t="shared" si="4"/>
        <v>92985.65</v>
      </c>
      <c r="F42" s="171"/>
      <c r="G42" s="171">
        <f t="shared" si="5"/>
        <v>92985.65</v>
      </c>
      <c r="H42" s="172">
        <f t="shared" si="6"/>
        <v>1.2781898427963399E-2</v>
      </c>
      <c r="I42" s="336"/>
      <c r="J42" s="168"/>
      <c r="K42" s="168"/>
      <c r="M42" s="359">
        <f t="shared" si="7"/>
        <v>7.475932625824087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'[13]Sch C'!D28</f>
        <v>10702.81</v>
      </c>
      <c r="D43" s="558">
        <f>'[13]Sch C'!F28</f>
        <v>-10702.81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'[13]Sch C'!D29</f>
        <v>60011.4</v>
      </c>
      <c r="D44" s="558">
        <f>'[13]Sch C'!F29</f>
        <v>-60011.4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'[13]Sch C'!D30</f>
        <v>348.89</v>
      </c>
      <c r="D45" s="558">
        <f>'[13]Sch C'!F30</f>
        <v>-348.89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'[13]Sch C'!D31</f>
        <v>78749.58</v>
      </c>
      <c r="D46" s="558">
        <f>'[13]Sch C'!F31</f>
        <v>0</v>
      </c>
      <c r="E46" s="171">
        <f t="shared" si="4"/>
        <v>78749.58</v>
      </c>
      <c r="F46" s="171"/>
      <c r="G46" s="171">
        <f t="shared" si="5"/>
        <v>78749.58</v>
      </c>
      <c r="H46" s="172">
        <f t="shared" si="6"/>
        <v>1.0824994316916406E-2</v>
      </c>
      <c r="I46" s="336"/>
      <c r="J46" s="168"/>
      <c r="K46" s="168"/>
      <c r="M46" s="359">
        <f t="shared" si="7"/>
        <v>6.3313699951760736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'[13]Sch C'!D32</f>
        <v>24915.34</v>
      </c>
      <c r="D47" s="558">
        <f>'[13]Sch C'!F32</f>
        <v>0</v>
      </c>
      <c r="E47" s="171">
        <f t="shared" si="4"/>
        <v>24915.34</v>
      </c>
      <c r="F47" s="171"/>
      <c r="G47" s="171">
        <f t="shared" si="5"/>
        <v>24915.34</v>
      </c>
      <c r="H47" s="172">
        <f t="shared" si="6"/>
        <v>3.4248870140518844E-3</v>
      </c>
      <c r="I47" s="336"/>
      <c r="J47" s="168"/>
      <c r="K47" s="168"/>
      <c r="M47" s="359">
        <f t="shared" si="7"/>
        <v>2.0031628879241037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'[13]Sch C'!D33</f>
        <v>0</v>
      </c>
      <c r="D48" s="558">
        <f>'[13]Sch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'[13]Sch C'!D34</f>
        <v>0</v>
      </c>
      <c r="D49" s="558">
        <f>'[13]Sch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'[13]Sch C'!D35</f>
        <v>0</v>
      </c>
      <c r="D50" s="558">
        <f>'[13]Sch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'[13]Sch C'!D36</f>
        <v>0</v>
      </c>
      <c r="D51" s="558">
        <f>'[13]Sch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'[13]Sch C'!D37</f>
        <v>0</v>
      </c>
      <c r="D52" s="558">
        <f>'[13]Sch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'[13]Sch C'!D38</f>
        <v>0</v>
      </c>
      <c r="D53" s="558">
        <f>'[13]Sch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'[13]Sch C'!D39</f>
        <v>4590.3100000000004</v>
      </c>
      <c r="D54" s="558">
        <f>'[13]Sch C'!F39</f>
        <v>0</v>
      </c>
      <c r="E54" s="171">
        <f t="shared" si="4"/>
        <v>4590.3100000000004</v>
      </c>
      <c r="F54" s="171"/>
      <c r="G54" s="171">
        <f t="shared" si="5"/>
        <v>4590.3100000000004</v>
      </c>
      <c r="H54" s="172">
        <f t="shared" si="6"/>
        <v>6.3098850384833228E-4</v>
      </c>
      <c r="I54" s="336"/>
      <c r="J54" s="168"/>
      <c r="K54" s="168"/>
      <c r="M54" s="359">
        <f t="shared" si="7"/>
        <v>0.36905531435922179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'[13]Sch C'!D40</f>
        <v>0</v>
      </c>
      <c r="D55" s="558">
        <f>'[13]Sch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'[13]Sch C'!D41</f>
        <v>32758.59</v>
      </c>
      <c r="D56" s="558">
        <f>'[13]Sch C'!F41</f>
        <v>30986</v>
      </c>
      <c r="E56" s="171">
        <f t="shared" si="4"/>
        <v>63744.59</v>
      </c>
      <c r="F56" s="171"/>
      <c r="G56" s="171">
        <f t="shared" si="5"/>
        <v>63744.59</v>
      </c>
      <c r="H56" s="172">
        <f t="shared" si="6"/>
        <v>8.76239371034317E-3</v>
      </c>
      <c r="I56" s="336"/>
      <c r="J56" s="168"/>
      <c r="K56" s="168"/>
      <c r="M56" s="359">
        <f t="shared" si="7"/>
        <v>5.1249871361955295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'[13]Sch C'!D42</f>
        <v>0</v>
      </c>
      <c r="D57" s="558">
        <f>'[13]Sch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'[13]Sch C'!D43</f>
        <v>0</v>
      </c>
      <c r="D58" s="558">
        <f>'[13]Sch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'[13]Sch C'!D44</f>
        <v>95</v>
      </c>
      <c r="D59" s="558">
        <f>'[13]Sch C'!F44</f>
        <v>0</v>
      </c>
      <c r="E59" s="171">
        <f t="shared" si="4"/>
        <v>95</v>
      </c>
      <c r="F59" s="171"/>
      <c r="G59" s="171">
        <f t="shared" si="5"/>
        <v>95</v>
      </c>
      <c r="H59" s="172">
        <f t="shared" si="6"/>
        <v>1.3058792949842507E-5</v>
      </c>
      <c r="I59" s="336"/>
      <c r="J59" s="168"/>
      <c r="K59" s="168"/>
      <c r="M59" s="359">
        <f t="shared" si="7"/>
        <v>7.637883904164657E-3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'[13]Sch C'!D45</f>
        <v>356.97</v>
      </c>
      <c r="D60" s="558">
        <f>'[13]Sch C'!F45</f>
        <v>0</v>
      </c>
      <c r="E60" s="171">
        <f t="shared" si="4"/>
        <v>356.97</v>
      </c>
      <c r="F60" s="171"/>
      <c r="G60" s="171">
        <f t="shared" si="5"/>
        <v>356.97</v>
      </c>
      <c r="H60" s="172">
        <f t="shared" si="6"/>
        <v>4.9069445466371372E-5</v>
      </c>
      <c r="I60" s="336"/>
      <c r="J60" s="168"/>
      <c r="K60" s="168"/>
      <c r="M60" s="359">
        <f t="shared" si="7"/>
        <v>2.8699951760733238E-2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5003966.12</v>
      </c>
      <c r="D61" s="558">
        <f>SUM(D25:D60)</f>
        <v>-4097970.1</v>
      </c>
      <c r="E61" s="171">
        <f t="shared" ref="E61:F61" si="8">SUM(E25:E60)</f>
        <v>905996.02000000037</v>
      </c>
      <c r="F61" s="171">
        <f t="shared" si="8"/>
        <v>0</v>
      </c>
      <c r="G61" s="171">
        <f>SUM(G25:G60)</f>
        <v>905996.02000000037</v>
      </c>
      <c r="H61" s="186">
        <f t="shared" si="6"/>
        <v>0.12453909935327764</v>
      </c>
      <c r="I61" s="338"/>
      <c r="J61" s="168"/>
      <c r="K61" s="168"/>
      <c r="M61" s="364">
        <f>G61/G$228</f>
        <v>72.840972825213086</v>
      </c>
      <c r="N61" s="359">
        <f>SUMMARY!J64</f>
        <v>53.728790309602623</v>
      </c>
      <c r="O61" s="354">
        <f>M61/N61-1</f>
        <v>0.35571585374395931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'[13]Sch C'!D57</f>
        <v>487280</v>
      </c>
      <c r="D64" s="558">
        <f>'[13]Sch C'!F57</f>
        <v>-487280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'[13]Sch C'!D58</f>
        <v>0</v>
      </c>
      <c r="D65" s="558">
        <f>'[13]Sch C'!F58</f>
        <v>278373</v>
      </c>
      <c r="E65" s="171">
        <f t="shared" si="9"/>
        <v>278373</v>
      </c>
      <c r="F65" s="171"/>
      <c r="G65" s="171">
        <f t="shared" si="10"/>
        <v>278373</v>
      </c>
      <c r="H65" s="172">
        <f t="shared" si="11"/>
        <v>3.8265424945542192E-2</v>
      </c>
      <c r="I65" s="336"/>
      <c r="J65" s="190"/>
      <c r="K65" s="168"/>
      <c r="M65" s="359">
        <f t="shared" si="12"/>
        <v>22.38084901109503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'[13]Sch C'!D59</f>
        <v>0</v>
      </c>
      <c r="D66" s="558">
        <f>'[13]Sch C'!F59</f>
        <v>206372</v>
      </c>
      <c r="E66" s="171">
        <f t="shared" si="9"/>
        <v>206372</v>
      </c>
      <c r="F66" s="171"/>
      <c r="G66" s="171">
        <f t="shared" si="10"/>
        <v>206372</v>
      </c>
      <c r="H66" s="172">
        <f t="shared" si="11"/>
        <v>2.8368097038367349E-2</v>
      </c>
      <c r="I66" s="336"/>
      <c r="J66" s="190"/>
      <c r="K66" s="168"/>
      <c r="M66" s="359">
        <f t="shared" si="12"/>
        <v>16.592056600739667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'[13]Sch C'!D60</f>
        <v>84258.89</v>
      </c>
      <c r="D67" s="558">
        <f>'[13]Sch C'!F60</f>
        <v>0</v>
      </c>
      <c r="E67" s="171">
        <f t="shared" si="9"/>
        <v>84258.89</v>
      </c>
      <c r="F67" s="171"/>
      <c r="G67" s="171">
        <f t="shared" si="10"/>
        <v>84258.89</v>
      </c>
      <c r="H67" s="172">
        <f t="shared" si="11"/>
        <v>1.1582309459932163E-2</v>
      </c>
      <c r="I67" s="336"/>
      <c r="J67" s="193"/>
      <c r="K67" s="168"/>
      <c r="M67" s="359">
        <f t="shared" si="12"/>
        <v>6.7743117864608458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'[13]Sch C'!D61</f>
        <v>3580</v>
      </c>
      <c r="D68" s="558">
        <f>'[13]Sch C'!F61</f>
        <v>606</v>
      </c>
      <c r="E68" s="171">
        <f t="shared" si="9"/>
        <v>4186</v>
      </c>
      <c r="F68" s="171"/>
      <c r="G68" s="171">
        <f t="shared" si="10"/>
        <v>4186</v>
      </c>
      <c r="H68" s="172">
        <f t="shared" si="11"/>
        <v>5.7541165566358675E-4</v>
      </c>
      <c r="I68" s="336"/>
      <c r="J68" s="193"/>
      <c r="K68" s="168"/>
      <c r="M68" s="359">
        <f t="shared" si="12"/>
        <v>0.33654928445087634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'[13]Sch C'!D62</f>
        <v>0</v>
      </c>
      <c r="D69" s="558">
        <f>'[13]Sch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'[13]Sch C'!D63</f>
        <v>0</v>
      </c>
      <c r="D70" s="558">
        <f>'[13]Sch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'[13]Sch C'!D64</f>
        <v>0</v>
      </c>
      <c r="D71" s="558">
        <f>'[13]Sch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'[13]Sch C'!D65</f>
        <v>0</v>
      </c>
      <c r="D72" s="558">
        <f>'[13]Sch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'[13]Sch C'!D66</f>
        <v>192003.36</v>
      </c>
      <c r="D73" s="558">
        <f>'[13]Sch C'!F66</f>
        <v>0</v>
      </c>
      <c r="E73" s="171">
        <f t="shared" si="9"/>
        <v>192003.36</v>
      </c>
      <c r="F73" s="171"/>
      <c r="G73" s="171">
        <f t="shared" si="10"/>
        <v>192003.36</v>
      </c>
      <c r="H73" s="172">
        <f t="shared" si="11"/>
        <v>2.6392969725411292E-2</v>
      </c>
      <c r="I73" s="336"/>
      <c r="J73" s="195"/>
      <c r="K73" s="168"/>
      <c r="M73" s="359">
        <f t="shared" si="12"/>
        <v>15.436835504100337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'[13]Sch C'!D67</f>
        <v>153921</v>
      </c>
      <c r="D74" s="558">
        <f>'[13]Sch C'!F67</f>
        <v>0</v>
      </c>
      <c r="E74" s="171">
        <f t="shared" si="9"/>
        <v>153921</v>
      </c>
      <c r="F74" s="171"/>
      <c r="G74" s="171">
        <f t="shared" si="10"/>
        <v>153921</v>
      </c>
      <c r="H74" s="172">
        <f t="shared" si="11"/>
        <v>2.1158131259291672E-2</v>
      </c>
      <c r="I74" s="336"/>
      <c r="J74" s="195"/>
      <c r="K74" s="168"/>
      <c r="M74" s="359">
        <f t="shared" si="12"/>
        <v>12.375060299083454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'[13]Sch C'!D68</f>
        <v>0</v>
      </c>
      <c r="D75" s="558">
        <f>'[13]Sch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'[13]Sch C'!D69</f>
        <v>0</v>
      </c>
      <c r="D76" s="558">
        <f>'[13]Sch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'[13]Sch C'!D70</f>
        <v>0</v>
      </c>
      <c r="D77" s="558">
        <f>'[13]Sch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'[13]Sch C'!D71</f>
        <v>0</v>
      </c>
      <c r="D78" s="558">
        <f>'[13]Sch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921043.25</v>
      </c>
      <c r="D79" s="558">
        <f>SUM(D64:D78)</f>
        <v>-1929</v>
      </c>
      <c r="E79" s="171">
        <f t="shared" ref="E79:F79" si="13">SUM(E64:E78)</f>
        <v>919114.25</v>
      </c>
      <c r="F79" s="171">
        <f t="shared" si="13"/>
        <v>0</v>
      </c>
      <c r="G79" s="171">
        <f>SUM(G64:G78)</f>
        <v>919114.25</v>
      </c>
      <c r="H79" s="172">
        <f t="shared" si="11"/>
        <v>0.12634234408420825</v>
      </c>
      <c r="I79" s="336"/>
      <c r="J79" s="195"/>
      <c r="K79" s="168"/>
      <c r="M79" s="359">
        <f t="shared" si="12"/>
        <v>73.895662485930217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'[13]Sch C'!D75</f>
        <v>0</v>
      </c>
      <c r="D82" s="558">
        <f>'[13]Sch C'!F75</f>
        <v>89106</v>
      </c>
      <c r="E82" s="171">
        <f t="shared" ref="E82:E92" si="14">C82+D82</f>
        <v>89106</v>
      </c>
      <c r="F82" s="171"/>
      <c r="G82" s="171">
        <f t="shared" ref="G82:G92" si="15">E82+F82</f>
        <v>89106</v>
      </c>
      <c r="H82" s="172">
        <f t="shared" ref="H82:H93" si="16">IF($G$208=0,0,G82/$G$208)</f>
        <v>1.2248597943038595E-2</v>
      </c>
      <c r="I82" s="336"/>
      <c r="J82" s="183">
        <v>4465.7299999999996</v>
      </c>
      <c r="K82" s="183">
        <v>4547.7299999999996</v>
      </c>
      <c r="M82" s="359">
        <f t="shared" ref="M82:M92" si="17">G82/G$228</f>
        <v>7.164013506994694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'[13]Sch C'!D76</f>
        <v>0</v>
      </c>
      <c r="D83" s="558">
        <f>'[13]Sch C'!F76</f>
        <v>10425</v>
      </c>
      <c r="E83" s="171">
        <f t="shared" si="14"/>
        <v>10425</v>
      </c>
      <c r="F83" s="171"/>
      <c r="G83" s="171">
        <f t="shared" si="15"/>
        <v>10425</v>
      </c>
      <c r="H83" s="172">
        <f t="shared" si="16"/>
        <v>1.4330307000221911E-3</v>
      </c>
      <c r="I83" s="336"/>
      <c r="J83" s="168"/>
      <c r="K83" s="168"/>
      <c r="M83" s="359">
        <f t="shared" si="17"/>
        <v>0.83815726000964785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'[13]Sch C'!D77</f>
        <v>0</v>
      </c>
      <c r="D84" s="558">
        <f>'[13]Sch C'!F77</f>
        <v>0</v>
      </c>
      <c r="E84" s="171">
        <f t="shared" si="14"/>
        <v>0</v>
      </c>
      <c r="F84" s="171"/>
      <c r="G84" s="171">
        <f t="shared" si="15"/>
        <v>0</v>
      </c>
      <c r="H84" s="172">
        <f t="shared" si="16"/>
        <v>0</v>
      </c>
      <c r="I84" s="336"/>
      <c r="J84" s="168"/>
      <c r="K84" s="168"/>
      <c r="M84" s="359">
        <f t="shared" si="17"/>
        <v>0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'[13]Sch C'!D78</f>
        <v>0</v>
      </c>
      <c r="D85" s="558">
        <f>'[13]Sch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'[13]Sch C'!D79</f>
        <v>24540.41</v>
      </c>
      <c r="D86" s="558">
        <f>'[13]Sch C'!F79</f>
        <v>0</v>
      </c>
      <c r="E86" s="171">
        <f t="shared" si="14"/>
        <v>24540.41</v>
      </c>
      <c r="F86" s="171"/>
      <c r="G86" s="171">
        <f>E86+F86</f>
        <v>24540.41</v>
      </c>
      <c r="H86" s="172">
        <f t="shared" si="16"/>
        <v>3.3733487694131009E-3</v>
      </c>
      <c r="I86" s="336"/>
      <c r="J86" s="168"/>
      <c r="K86" s="168"/>
      <c r="M86" s="359">
        <f t="shared" si="17"/>
        <v>1.9730189741115935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'[13]Sch C'!D80</f>
        <v>20039.98</v>
      </c>
      <c r="D87" s="558">
        <f>'[13]Sch C'!F80</f>
        <v>0</v>
      </c>
      <c r="E87" s="171">
        <f t="shared" si="14"/>
        <v>20039.98</v>
      </c>
      <c r="F87" s="171"/>
      <c r="G87" s="171">
        <f t="shared" si="15"/>
        <v>20039.98</v>
      </c>
      <c r="H87" s="172">
        <f t="shared" si="16"/>
        <v>2.7547152583051039E-3</v>
      </c>
      <c r="I87" s="336"/>
      <c r="J87" s="168"/>
      <c r="K87" s="168"/>
      <c r="M87" s="359">
        <f t="shared" si="17"/>
        <v>1.611189901913491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'[13]Sch C'!D81</f>
        <v>0</v>
      </c>
      <c r="D88" s="558">
        <f>'[13]Sch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'[13]Sch C'!D82</f>
        <v>52338.31</v>
      </c>
      <c r="D89" s="558">
        <f>'[13]Sch C'!F82</f>
        <v>0</v>
      </c>
      <c r="E89" s="171">
        <f t="shared" si="14"/>
        <v>52338.31</v>
      </c>
      <c r="F89" s="171"/>
      <c r="G89" s="171">
        <f t="shared" si="15"/>
        <v>52338.31</v>
      </c>
      <c r="H89" s="172">
        <f t="shared" si="16"/>
        <v>7.1944753014175954E-3</v>
      </c>
      <c r="I89" s="336"/>
      <c r="J89" s="168"/>
      <c r="K89" s="168"/>
      <c r="M89" s="359">
        <f t="shared" si="17"/>
        <v>4.2079361633703165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'[13]Sch C'!D83</f>
        <v>8004.26</v>
      </c>
      <c r="D90" s="558">
        <f>'[13]Sch C'!F83</f>
        <v>0</v>
      </c>
      <c r="E90" s="171">
        <f t="shared" si="14"/>
        <v>8004.26</v>
      </c>
      <c r="F90" s="171"/>
      <c r="G90" s="171">
        <f t="shared" si="15"/>
        <v>8004.26</v>
      </c>
      <c r="H90" s="172">
        <f t="shared" si="16"/>
        <v>1.1002734111232252E-3</v>
      </c>
      <c r="I90" s="336"/>
      <c r="J90" s="168"/>
      <c r="K90" s="168"/>
      <c r="M90" s="359">
        <f t="shared" si="17"/>
        <v>0.64353272230262104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'[13]Sch C'!D84</f>
        <v>127861.19</v>
      </c>
      <c r="D91" s="558">
        <f>'[13]Sch C'!F84</f>
        <v>0</v>
      </c>
      <c r="E91" s="171">
        <f t="shared" si="14"/>
        <v>127861.19</v>
      </c>
      <c r="F91" s="171"/>
      <c r="G91" s="171">
        <f t="shared" si="15"/>
        <v>127861.19</v>
      </c>
      <c r="H91" s="172">
        <f t="shared" si="16"/>
        <v>1.757592427926814E-2</v>
      </c>
      <c r="I91" s="336"/>
      <c r="J91" s="168"/>
      <c r="K91" s="168"/>
      <c r="M91" s="359">
        <f t="shared" si="17"/>
        <v>10.27988342177199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'[13]Sch C'!D85</f>
        <v>0</v>
      </c>
      <c r="D92" s="558">
        <f>'[13]Sch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232784.15</v>
      </c>
      <c r="D93" s="558">
        <f>SUM(D82:D92)</f>
        <v>99531</v>
      </c>
      <c r="E93" s="171">
        <f t="shared" ref="E93:F93" si="18">SUM(E82:E92)</f>
        <v>332315.15000000002</v>
      </c>
      <c r="F93" s="171">
        <f t="shared" si="18"/>
        <v>0</v>
      </c>
      <c r="G93" s="171">
        <f>SUM(G82:G92)</f>
        <v>332315.15000000002</v>
      </c>
      <c r="H93" s="172">
        <f t="shared" si="16"/>
        <v>4.5680365662587957E-2</v>
      </c>
      <c r="I93" s="336"/>
      <c r="J93" s="168"/>
      <c r="K93" s="168"/>
      <c r="M93" s="364">
        <f>G93/G$228</f>
        <v>26.717731950474356</v>
      </c>
      <c r="N93" s="359">
        <f>SUMMARY!J96</f>
        <v>11.458724454710746</v>
      </c>
      <c r="O93" s="354">
        <f>M93/N93-1</f>
        <v>1.3316497447925406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'[13]Sch C'!D89</f>
        <v>0</v>
      </c>
      <c r="D96" s="558">
        <f>'[13]Sch C'!F89</f>
        <v>99739</v>
      </c>
      <c r="E96" s="171">
        <f t="shared" ref="E96:E101" si="19">C96+D96</f>
        <v>99739</v>
      </c>
      <c r="F96" s="171"/>
      <c r="G96" s="171">
        <f t="shared" ref="G96:G101" si="20">E96+F96</f>
        <v>99739</v>
      </c>
      <c r="H96" s="172">
        <f t="shared" ref="H96:H102" si="21">IF($G$208=0,0,G96/$G$208)</f>
        <v>1.3710220526572021E-2</v>
      </c>
      <c r="I96" s="336"/>
      <c r="J96" s="183">
        <v>6946.31</v>
      </c>
      <c r="K96" s="183">
        <v>7062.06</v>
      </c>
      <c r="M96" s="364">
        <f t="shared" ref="M96:M101" si="22">G96/G$228</f>
        <v>8.0188937128155651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'[13]Sch C'!D90</f>
        <v>0</v>
      </c>
      <c r="D97" s="558">
        <f>'[13]Sch C'!F90</f>
        <v>10965</v>
      </c>
      <c r="E97" s="171">
        <f t="shared" si="19"/>
        <v>10965</v>
      </c>
      <c r="F97" s="171"/>
      <c r="G97" s="171">
        <f t="shared" si="20"/>
        <v>10965</v>
      </c>
      <c r="H97" s="172">
        <f t="shared" si="21"/>
        <v>1.5072596283686641E-3</v>
      </c>
      <c r="I97" s="336"/>
      <c r="J97" s="168"/>
      <c r="K97" s="168"/>
      <c r="M97" s="364">
        <f t="shared" si="22"/>
        <v>0.88157260009647853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'[13]Sch C'!D91</f>
        <v>20057.5</v>
      </c>
      <c r="D98" s="558">
        <f>'[13]Sch C'!F91</f>
        <v>0</v>
      </c>
      <c r="E98" s="171">
        <f t="shared" si="19"/>
        <v>20057.5</v>
      </c>
      <c r="F98" s="171"/>
      <c r="G98" s="171">
        <f t="shared" si="20"/>
        <v>20057.5</v>
      </c>
      <c r="H98" s="172">
        <f t="shared" si="21"/>
        <v>2.7571235746470116E-3</v>
      </c>
      <c r="I98" s="336"/>
      <c r="J98" s="168"/>
      <c r="K98" s="168"/>
      <c r="M98" s="364">
        <f t="shared" si="22"/>
        <v>1.6125984885029747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'[13]Sch C'!D92</f>
        <v>146465.42000000001</v>
      </c>
      <c r="D99" s="558">
        <f>'[13]Sch C'!F92</f>
        <v>0</v>
      </c>
      <c r="E99" s="171">
        <f t="shared" si="19"/>
        <v>146465.42000000001</v>
      </c>
      <c r="F99" s="171"/>
      <c r="G99" s="171">
        <f t="shared" si="20"/>
        <v>146465.42000000001</v>
      </c>
      <c r="H99" s="172">
        <f t="shared" si="21"/>
        <v>2.0133279937807599E-2</v>
      </c>
      <c r="I99" s="336"/>
      <c r="J99" s="168"/>
      <c r="K99" s="168"/>
      <c r="M99" s="364">
        <f t="shared" si="22"/>
        <v>11.775640778260172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'[13]Sch C'!D93</f>
        <v>7806.07</v>
      </c>
      <c r="D100" s="558">
        <f>'[13]Sch C'!F93</f>
        <v>0</v>
      </c>
      <c r="E100" s="171">
        <f t="shared" si="19"/>
        <v>7806.07</v>
      </c>
      <c r="F100" s="171"/>
      <c r="G100" s="171">
        <f t="shared" si="20"/>
        <v>7806.07</v>
      </c>
      <c r="H100" s="172">
        <f t="shared" si="21"/>
        <v>1.0730300198102853E-3</v>
      </c>
      <c r="I100" s="336"/>
      <c r="J100" s="168"/>
      <c r="K100" s="168"/>
      <c r="M100" s="364">
        <f t="shared" si="22"/>
        <v>0.62759848850297473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'[13]Sch C'!D94</f>
        <v>0</v>
      </c>
      <c r="D101" s="558">
        <f>'[13]Sch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174328.99000000002</v>
      </c>
      <c r="D102" s="558">
        <f>SUM(D96:D101)</f>
        <v>110704</v>
      </c>
      <c r="E102" s="171">
        <f t="shared" ref="E102:F102" si="23">SUM(E96:E101)</f>
        <v>285032.99000000005</v>
      </c>
      <c r="F102" s="171">
        <f t="shared" si="23"/>
        <v>0</v>
      </c>
      <c r="G102" s="171">
        <f>SUM(G96:G101)</f>
        <v>285032.99000000005</v>
      </c>
      <c r="H102" s="172">
        <f t="shared" si="21"/>
        <v>3.9180913687205589E-2</v>
      </c>
      <c r="I102" s="336"/>
      <c r="J102" s="168"/>
      <c r="K102" s="168"/>
      <c r="M102" s="364">
        <f>G102/G$228</f>
        <v>22.916304068178167</v>
      </c>
      <c r="N102" s="359">
        <f>SUMMARY!J105</f>
        <v>19.901077037785338</v>
      </c>
      <c r="O102" s="354">
        <f>M102/N102-1</f>
        <v>0.15151074611027049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'[13]Sch C'!D98</f>
        <v>0</v>
      </c>
      <c r="D105" s="558">
        <f>'[13]Sch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'[13]Sch C'!D99</f>
        <v>0</v>
      </c>
      <c r="D106" s="558">
        <f>'[13]Sch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'[13]Sch C'!D100</f>
        <v>4680.2700000000004</v>
      </c>
      <c r="D107" s="558">
        <f>'[13]Sch C'!F100</f>
        <v>0</v>
      </c>
      <c r="E107" s="171">
        <f t="shared" si="24"/>
        <v>4680.2700000000004</v>
      </c>
      <c r="F107" s="171"/>
      <c r="G107" s="171">
        <f t="shared" si="25"/>
        <v>4680.2700000000004</v>
      </c>
      <c r="H107" s="172">
        <f t="shared" si="26"/>
        <v>6.4335449346694109E-4</v>
      </c>
      <c r="I107" s="336"/>
      <c r="J107" s="168"/>
      <c r="K107" s="168"/>
      <c r="M107" s="364">
        <f t="shared" si="27"/>
        <v>0.37628798842257599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'[13]Sch C'!D101</f>
        <v>0</v>
      </c>
      <c r="D108" s="558">
        <f>'[13]Sch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'[13]Sch C'!D102</f>
        <v>0</v>
      </c>
      <c r="D109" s="558">
        <f>'[13]Sch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'[13]Sch C'!D103</f>
        <v>0</v>
      </c>
      <c r="D110" s="558">
        <f>'[13]Sch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4680.2700000000004</v>
      </c>
      <c r="D111" s="558">
        <f>SUM(D105:D110)</f>
        <v>0</v>
      </c>
      <c r="E111" s="171">
        <f t="shared" ref="E111:F111" si="28">SUM(E105:E110)</f>
        <v>4680.2700000000004</v>
      </c>
      <c r="F111" s="171">
        <f t="shared" si="28"/>
        <v>0</v>
      </c>
      <c r="G111" s="171">
        <f>SUM(G105:G110)</f>
        <v>4680.2700000000004</v>
      </c>
      <c r="H111" s="172">
        <f t="shared" si="26"/>
        <v>6.4335449346694109E-4</v>
      </c>
      <c r="I111" s="336"/>
      <c r="J111" s="168"/>
      <c r="K111" s="168"/>
      <c r="M111" s="364">
        <f>G111/G$228</f>
        <v>0.37628798842257599</v>
      </c>
      <c r="N111" s="359">
        <f>SUMMARY!J114</f>
        <v>2.4242384372309496</v>
      </c>
      <c r="O111" s="354">
        <f>M111/N111-1</f>
        <v>-0.84478094949588156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'[13]Sch C'!D115</f>
        <v>0</v>
      </c>
      <c r="D114" s="558">
        <f>'[13]Sch C'!F115</f>
        <v>97937</v>
      </c>
      <c r="E114" s="171">
        <f t="shared" ref="E114:E118" si="29">C114+D114</f>
        <v>97937</v>
      </c>
      <c r="F114" s="171"/>
      <c r="G114" s="171">
        <f>E114+F114</f>
        <v>97937</v>
      </c>
      <c r="H114" s="172">
        <f t="shared" ref="H114:H119" si="30">IF($G$208=0,0,G114/$G$208)</f>
        <v>1.346251584346027E-2</v>
      </c>
      <c r="I114" s="336"/>
      <c r="J114" s="183">
        <v>8977.25</v>
      </c>
      <c r="K114" s="183">
        <v>9168.4699999999993</v>
      </c>
      <c r="M114" s="364">
        <f t="shared" ref="M114:M119" si="31">G114/G$228</f>
        <v>7.8740151149702529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'[13]Sch C'!D116</f>
        <v>0</v>
      </c>
      <c r="D115" s="558">
        <f>'[13]Sch C'!F116</f>
        <v>8827</v>
      </c>
      <c r="E115" s="171">
        <f t="shared" si="29"/>
        <v>8827</v>
      </c>
      <c r="F115" s="171"/>
      <c r="G115" s="171">
        <f>E115+F115</f>
        <v>8827</v>
      </c>
      <c r="H115" s="172">
        <f t="shared" si="30"/>
        <v>1.213368056507998E-3</v>
      </c>
      <c r="I115" s="336"/>
      <c r="J115" s="168"/>
      <c r="K115" s="168"/>
      <c r="M115" s="364">
        <f t="shared" si="31"/>
        <v>0.70968001286380444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'[13]Sch C'!D117</f>
        <v>37033.47</v>
      </c>
      <c r="D116" s="558">
        <f>'[13]Sch C'!F117</f>
        <v>0</v>
      </c>
      <c r="E116" s="171">
        <f t="shared" si="29"/>
        <v>37033.47</v>
      </c>
      <c r="F116" s="171"/>
      <c r="G116" s="171">
        <f>E116+F116</f>
        <v>37033.47</v>
      </c>
      <c r="H116" s="172">
        <f t="shared" si="30"/>
        <v>5.0906570204653058E-3</v>
      </c>
      <c r="I116" s="336"/>
      <c r="J116" s="168"/>
      <c r="K116" s="168"/>
      <c r="M116" s="364">
        <f t="shared" si="31"/>
        <v>2.9774457308248916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'[13]Sch C'!D118</f>
        <v>0</v>
      </c>
      <c r="D117" s="558">
        <f>'[13]Sch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'[13]Sch C'!D119</f>
        <v>0</v>
      </c>
      <c r="D118" s="558">
        <f>'[13]Sch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37033.47</v>
      </c>
      <c r="D119" s="558">
        <f>SUM(D114:D118)</f>
        <v>106764</v>
      </c>
      <c r="E119" s="171">
        <f t="shared" ref="E119:F119" si="32">SUM(E114:E118)</f>
        <v>143797.47</v>
      </c>
      <c r="F119" s="171">
        <f t="shared" si="32"/>
        <v>0</v>
      </c>
      <c r="G119" s="171">
        <f>SUM(G114:G118)</f>
        <v>143797.47</v>
      </c>
      <c r="H119" s="172">
        <f t="shared" si="30"/>
        <v>1.9766540920433576E-2</v>
      </c>
      <c r="I119" s="336"/>
      <c r="J119" s="168"/>
      <c r="K119" s="168"/>
      <c r="M119" s="364">
        <f t="shared" si="31"/>
        <v>11.561140858658948</v>
      </c>
      <c r="N119" s="359">
        <f>SUMMARY!J122</f>
        <v>6.0247597205909562</v>
      </c>
      <c r="O119" s="354">
        <f>M119/N119-1</f>
        <v>0.91893808132234356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'[13]Sch C'!D124</f>
        <v>0</v>
      </c>
      <c r="D123" s="558">
        <f>'[13]Sch C'!F124</f>
        <v>54000</v>
      </c>
      <c r="E123" s="171">
        <f t="shared" ref="E123:E127" si="33">C123+D123</f>
        <v>54000</v>
      </c>
      <c r="F123" s="171"/>
      <c r="G123" s="171">
        <f>E123+F123</f>
        <v>54000</v>
      </c>
      <c r="H123" s="172">
        <f>IF($G$208=0,0,G123/$G$208)</f>
        <v>7.4228928346473204E-3</v>
      </c>
      <c r="I123" s="336"/>
      <c r="J123" s="183">
        <v>2080</v>
      </c>
      <c r="K123" s="183">
        <v>2080</v>
      </c>
      <c r="M123" s="364">
        <f t="shared" ref="M123:M160" si="34">G123/G$228</f>
        <v>4.3415340086830678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'[13]Sch C'!D125</f>
        <v>0</v>
      </c>
      <c r="D124" s="558">
        <f>'[13]Sch C'!F125</f>
        <v>118181</v>
      </c>
      <c r="E124" s="171">
        <f t="shared" si="33"/>
        <v>118181</v>
      </c>
      <c r="F124" s="171"/>
      <c r="G124" s="171">
        <f>E124+F124</f>
        <v>118181</v>
      </c>
      <c r="H124" s="172">
        <f>IF($G$208=0,0,G124/$G$208)</f>
        <v>1.62452758905825E-2</v>
      </c>
      <c r="I124" s="336"/>
      <c r="J124" s="183">
        <v>3482.72</v>
      </c>
      <c r="K124" s="183">
        <v>3537.46</v>
      </c>
      <c r="M124" s="364">
        <f t="shared" si="34"/>
        <v>9.5016079755587715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'[13]Sch C'!D126</f>
        <v>0</v>
      </c>
      <c r="D125" s="558">
        <f>'[13]Sch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'[13]Sch C'!D127</f>
        <v>0</v>
      </c>
      <c r="D126" s="558">
        <f>'[13]Sch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'[13]Sch C'!D128</f>
        <v>0</v>
      </c>
      <c r="D127" s="558">
        <f>'[13]Sch C'!F128</f>
        <v>29101</v>
      </c>
      <c r="E127" s="171">
        <f t="shared" si="33"/>
        <v>29101</v>
      </c>
      <c r="F127" s="171"/>
      <c r="G127" s="171">
        <f>E127+F127</f>
        <v>29101</v>
      </c>
      <c r="H127" s="172">
        <f>IF($G$208=0,0,G127/$G$208)</f>
        <v>4.0002519329828089E-3</v>
      </c>
      <c r="I127" s="336"/>
      <c r="J127" s="183">
        <v>2016.69</v>
      </c>
      <c r="K127" s="183">
        <v>2128.69</v>
      </c>
      <c r="M127" s="364">
        <f t="shared" si="34"/>
        <v>2.339684836790481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'[13]Sch C'!D130</f>
        <v>0</v>
      </c>
      <c r="D129" s="558">
        <f>'[13]Sch C'!F130</f>
        <v>20777</v>
      </c>
      <c r="E129" s="171">
        <f t="shared" ref="E129:E133" si="35">C129+D129</f>
        <v>20777</v>
      </c>
      <c r="F129" s="171"/>
      <c r="G129" s="171">
        <f>E129+F129</f>
        <v>20777</v>
      </c>
      <c r="H129" s="172">
        <f>IF($G$208=0,0,G129/$G$208)</f>
        <v>2.8560267486197662E-3</v>
      </c>
      <c r="I129" s="336"/>
      <c r="J129" s="204"/>
      <c r="K129" s="204"/>
      <c r="M129" s="364">
        <f t="shared" si="34"/>
        <v>1.6704454092297798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'[13]Sch C'!D131</f>
        <v>0</v>
      </c>
      <c r="D130" s="558">
        <f>'[13]Sch C'!F131</f>
        <v>11353</v>
      </c>
      <c r="E130" s="171">
        <f t="shared" si="35"/>
        <v>11353</v>
      </c>
      <c r="F130" s="171"/>
      <c r="G130" s="171">
        <f>E130+F130</f>
        <v>11353</v>
      </c>
      <c r="H130" s="172">
        <f>IF($G$208=0,0,G130/$G$208)</f>
        <v>1.5605944879953893E-3</v>
      </c>
      <c r="I130" s="336"/>
      <c r="J130" s="204"/>
      <c r="K130" s="204"/>
      <c r="M130" s="364">
        <f t="shared" si="34"/>
        <v>0.91276732593664578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'[13]Sch C'!D132</f>
        <v>0</v>
      </c>
      <c r="D131" s="558">
        <f>'[13]Sch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'[13]Sch C'!D133</f>
        <v>0</v>
      </c>
      <c r="D132" s="558">
        <f>'[13]Sch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'[13]Sch C'!D134</f>
        <v>0</v>
      </c>
      <c r="D133" s="558">
        <f>'[13]Sch C'!F134</f>
        <v>3037</v>
      </c>
      <c r="E133" s="171">
        <f t="shared" si="35"/>
        <v>3037</v>
      </c>
      <c r="F133" s="171"/>
      <c r="G133" s="171">
        <f>E133+F133</f>
        <v>3037</v>
      </c>
      <c r="H133" s="172">
        <f>IF($G$208=0,0,G133/$G$208)</f>
        <v>4.1746899145970209E-4</v>
      </c>
      <c r="I133" s="336"/>
      <c r="J133" s="168"/>
      <c r="K133" s="168"/>
      <c r="M133" s="364">
        <f t="shared" si="34"/>
        <v>0.2441710885994533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'[13]Sch C'!D136</f>
        <v>0</v>
      </c>
      <c r="D135" s="558">
        <f>'[13]Sch C'!F136</f>
        <v>837239</v>
      </c>
      <c r="E135" s="171">
        <f t="shared" ref="E135:E138" si="36">C135+D135</f>
        <v>837239</v>
      </c>
      <c r="F135" s="171"/>
      <c r="G135" s="171">
        <f>E135+F135</f>
        <v>837239</v>
      </c>
      <c r="H135" s="172">
        <f>IF($G$208=0,0,G135/$G$208)</f>
        <v>0.1150876921108757</v>
      </c>
      <c r="I135" s="336"/>
      <c r="J135" s="183">
        <v>29869.05</v>
      </c>
      <c r="K135" s="183">
        <v>30001.95</v>
      </c>
      <c r="M135" s="364">
        <f t="shared" si="34"/>
        <v>67.312992442514869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'[13]Sch C'!D137</f>
        <v>0</v>
      </c>
      <c r="D136" s="558">
        <f>'[13]Sch C'!F137</f>
        <v>207874</v>
      </c>
      <c r="E136" s="171">
        <f t="shared" si="36"/>
        <v>207874</v>
      </c>
      <c r="F136" s="171"/>
      <c r="G136" s="171">
        <f>E136+F136</f>
        <v>207874</v>
      </c>
      <c r="H136" s="172">
        <f>IF($G$208=0,0,G136/$G$208)</f>
        <v>2.8574563427953278E-2</v>
      </c>
      <c r="I136" s="336"/>
      <c r="J136" s="183">
        <v>9644.49</v>
      </c>
      <c r="K136" s="183">
        <v>9644.49</v>
      </c>
      <c r="M136" s="364">
        <f t="shared" si="34"/>
        <v>16.71281556520341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'[13]Sch C'!D138</f>
        <v>0</v>
      </c>
      <c r="D137" s="558">
        <f>'[13]Sch C'!F138</f>
        <v>651640</v>
      </c>
      <c r="E137" s="171">
        <f t="shared" si="36"/>
        <v>651640</v>
      </c>
      <c r="F137" s="171"/>
      <c r="G137" s="171">
        <f>E137+F137</f>
        <v>651640</v>
      </c>
      <c r="H137" s="172">
        <f>IF($G$208=0,0,G137/$G$208)</f>
        <v>8.957507197721444E-2</v>
      </c>
      <c r="I137" s="336"/>
      <c r="J137" s="183">
        <v>50872.83</v>
      </c>
      <c r="K137" s="183">
        <v>51222.33</v>
      </c>
      <c r="M137" s="364">
        <f t="shared" si="34"/>
        <v>52.39105965589323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'[13]Sch C'!D139</f>
        <v>0</v>
      </c>
      <c r="D138" s="558">
        <f>'[13]Sch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'[13]Sch C'!D141</f>
        <v>0</v>
      </c>
      <c r="D140" s="558">
        <f>'[13]Sch C'!F141</f>
        <v>86354</v>
      </c>
      <c r="E140" s="171">
        <f t="shared" ref="E140:E143" si="37">C140+D140</f>
        <v>86354</v>
      </c>
      <c r="F140" s="171"/>
      <c r="G140" s="171">
        <f>E140+F140</f>
        <v>86354</v>
      </c>
      <c r="H140" s="172">
        <f>IF($G$208=0,0,G140/$G$208)</f>
        <v>1.187030533042842E-2</v>
      </c>
      <c r="I140" s="336"/>
      <c r="J140" s="168"/>
      <c r="K140" s="168"/>
      <c r="M140" s="364">
        <f t="shared" si="34"/>
        <v>6.942756070107734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'[13]Sch C'!D142</f>
        <v>0</v>
      </c>
      <c r="D141" s="558">
        <f>'[13]Sch C'!F142</f>
        <v>22535</v>
      </c>
      <c r="E141" s="171">
        <f t="shared" si="37"/>
        <v>22535</v>
      </c>
      <c r="F141" s="171"/>
      <c r="G141" s="171">
        <f>E141+F141</f>
        <v>22535</v>
      </c>
      <c r="H141" s="172">
        <f>IF($G$208=0,0,G141/$G$208)</f>
        <v>3.0976831486810622E-3</v>
      </c>
      <c r="I141" s="336"/>
      <c r="J141" s="168"/>
      <c r="K141" s="168"/>
      <c r="M141" s="364">
        <f t="shared" si="34"/>
        <v>1.8117864608457952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'[13]Sch C'!D143</f>
        <v>0</v>
      </c>
      <c r="D142" s="558">
        <f>'[13]Sch C'!F143</f>
        <v>68215</v>
      </c>
      <c r="E142" s="171">
        <f t="shared" si="37"/>
        <v>68215</v>
      </c>
      <c r="F142" s="171"/>
      <c r="G142" s="171">
        <f>E142+F142</f>
        <v>68215</v>
      </c>
      <c r="H142" s="172">
        <f>IF($G$208=0,0,G142/$G$208)</f>
        <v>9.3769006428790179E-3</v>
      </c>
      <c r="I142" s="336"/>
      <c r="J142" s="168"/>
      <c r="K142" s="168"/>
      <c r="M142" s="364">
        <f t="shared" si="34"/>
        <v>5.4844026370799162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'[13]Sch C'!D144</f>
        <v>0</v>
      </c>
      <c r="D143" s="558">
        <f>'[13]Sch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'[13]Sch C'!D146</f>
        <v>84075</v>
      </c>
      <c r="D145" s="558">
        <f>'[13]Sch C'!F146</f>
        <v>0</v>
      </c>
      <c r="E145" s="171">
        <f t="shared" ref="E145:E153" si="38">C145+D145</f>
        <v>84075</v>
      </c>
      <c r="F145" s="171"/>
      <c r="G145" s="171">
        <f t="shared" ref="G145:G153" si="39">E145+F145</f>
        <v>84075</v>
      </c>
      <c r="H145" s="172">
        <f t="shared" ref="H145:H153" si="40">IF($G$208=0,0,G145/$G$208)</f>
        <v>1.155703176061062E-2</v>
      </c>
      <c r="I145" s="336"/>
      <c r="J145" s="183">
        <v>0</v>
      </c>
      <c r="K145" s="183">
        <v>0</v>
      </c>
      <c r="M145" s="364">
        <f t="shared" si="34"/>
        <v>6.7595272551857208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'[13]Sch C'!D147</f>
        <v>5936.66</v>
      </c>
      <c r="D146" s="558">
        <f>'[13]Sch C'!F147</f>
        <v>0</v>
      </c>
      <c r="E146" s="171">
        <f t="shared" si="38"/>
        <v>5936.66</v>
      </c>
      <c r="F146" s="171"/>
      <c r="G146" s="171">
        <f t="shared" si="39"/>
        <v>5936.66</v>
      </c>
      <c r="H146" s="172">
        <f t="shared" si="40"/>
        <v>8.1605909214328449E-4</v>
      </c>
      <c r="I146" s="336"/>
      <c r="J146" s="183">
        <v>0</v>
      </c>
      <c r="K146" s="183">
        <v>0</v>
      </c>
      <c r="M146" s="364">
        <f t="shared" si="34"/>
        <v>0.47730020903682263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'[13]Sch C'!D148</f>
        <v>0</v>
      </c>
      <c r="D147" s="558">
        <f>'[13]Sch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'[13]Sch C'!D149</f>
        <v>2506.3200000000002</v>
      </c>
      <c r="D148" s="558">
        <f>'[13]Sch C'!F149</f>
        <v>0</v>
      </c>
      <c r="E148" s="171">
        <f t="shared" si="38"/>
        <v>2506.3200000000002</v>
      </c>
      <c r="F148" s="171"/>
      <c r="G148" s="171">
        <f t="shared" si="39"/>
        <v>2506.3200000000002</v>
      </c>
      <c r="H148" s="172">
        <f t="shared" si="40"/>
        <v>3.4452119943209766E-4</v>
      </c>
      <c r="I148" s="336"/>
      <c r="J148" s="183">
        <v>0</v>
      </c>
      <c r="K148" s="183">
        <v>0</v>
      </c>
      <c r="M148" s="364">
        <f t="shared" si="34"/>
        <v>0.20150506512301014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'[13]Sch C'!D150</f>
        <v>344953.35</v>
      </c>
      <c r="D149" s="558">
        <f>'[13]Sch C'!F150</f>
        <v>0</v>
      </c>
      <c r="E149" s="171">
        <f t="shared" si="38"/>
        <v>344953.35</v>
      </c>
      <c r="F149" s="171"/>
      <c r="G149" s="171">
        <f t="shared" si="39"/>
        <v>344953.35</v>
      </c>
      <c r="H149" s="172">
        <f t="shared" si="40"/>
        <v>4.7417625000047946E-2</v>
      </c>
      <c r="I149" s="336"/>
      <c r="J149" s="183">
        <v>0</v>
      </c>
      <c r="K149" s="183">
        <v>0</v>
      </c>
      <c r="M149" s="364">
        <f t="shared" si="34"/>
        <v>27.733827785817653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'[13]Sch C'!D151</f>
        <v>8688.98</v>
      </c>
      <c r="D150" s="558">
        <f>'[13]Sch C'!F151</f>
        <v>0</v>
      </c>
      <c r="E150" s="171">
        <f t="shared" si="38"/>
        <v>8688.98</v>
      </c>
      <c r="F150" s="171"/>
      <c r="G150" s="171">
        <f t="shared" si="39"/>
        <v>8688.98</v>
      </c>
      <c r="H150" s="172">
        <f t="shared" si="40"/>
        <v>1.1943956922665531E-3</v>
      </c>
      <c r="I150" s="336"/>
      <c r="J150" s="168"/>
      <c r="K150" s="168"/>
      <c r="M150" s="364">
        <f t="shared" si="34"/>
        <v>0.69858337353272226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'[13]Sch C'!D152</f>
        <v>1808.61</v>
      </c>
      <c r="D151" s="558">
        <f>'[13]Sch C'!F152</f>
        <v>0</v>
      </c>
      <c r="E151" s="171">
        <f t="shared" si="38"/>
        <v>1808.61</v>
      </c>
      <c r="F151" s="171"/>
      <c r="G151" s="171">
        <f t="shared" si="39"/>
        <v>1808.61</v>
      </c>
      <c r="H151" s="172">
        <f t="shared" si="40"/>
        <v>2.4861330017910164E-4</v>
      </c>
      <c r="I151" s="336"/>
      <c r="J151" s="168"/>
      <c r="K151" s="168"/>
      <c r="M151" s="364">
        <f t="shared" si="34"/>
        <v>0.14541003376748673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'[13]Sch C'!D153</f>
        <v>0</v>
      </c>
      <c r="D152" s="558">
        <f>'[13]Sch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'[13]Sch C'!D154</f>
        <v>0</v>
      </c>
      <c r="D153" s="558">
        <f>'[13]Sch C'!F154</f>
        <v>878981</v>
      </c>
      <c r="E153" s="171">
        <f t="shared" si="38"/>
        <v>878981</v>
      </c>
      <c r="F153" s="171"/>
      <c r="G153" s="171">
        <f t="shared" si="39"/>
        <v>878981</v>
      </c>
      <c r="H153" s="172">
        <f t="shared" si="40"/>
        <v>0.12082558827205808</v>
      </c>
      <c r="I153" s="336"/>
      <c r="J153" s="168"/>
      <c r="K153" s="168"/>
      <c r="M153" s="364">
        <f t="shared" si="34"/>
        <v>70.66899823122688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'[13]Sch C'!D156</f>
        <v>0</v>
      </c>
      <c r="D155" s="558">
        <f>'[13]Sch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'[13]Sch C'!D157</f>
        <v>0</v>
      </c>
      <c r="D156" s="558">
        <f>'[13]Sch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'[13]Sch C'!D158</f>
        <v>0</v>
      </c>
      <c r="D157" s="558">
        <f>'[13]Sch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'[13]Sch C'!D159</f>
        <v>0</v>
      </c>
      <c r="D158" s="558">
        <f>'[13]Sch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'[13]Sch C'!D160</f>
        <v>0</v>
      </c>
      <c r="D159" s="558">
        <f>'[13]Sch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'[13]Sch C'!D161</f>
        <v>0</v>
      </c>
      <c r="D160" s="558">
        <f>'[13]Sch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447968.91999999993</v>
      </c>
      <c r="D161" s="558">
        <f>SUM(D123:D160)</f>
        <v>2989287</v>
      </c>
      <c r="E161" s="171">
        <f t="shared" ref="E161:F161" si="44">SUM(E123:E160)</f>
        <v>3437255.92</v>
      </c>
      <c r="F161" s="171">
        <f t="shared" si="44"/>
        <v>0</v>
      </c>
      <c r="G161" s="171">
        <f>SUM(G123:G160)</f>
        <v>3437255.92</v>
      </c>
      <c r="H161" s="172">
        <f t="shared" si="43"/>
        <v>0.47248856184105709</v>
      </c>
      <c r="I161" s="336"/>
      <c r="J161" s="168"/>
      <c r="K161" s="168"/>
      <c r="M161" s="364">
        <f>G161/G$228</f>
        <v>276.35117543013348</v>
      </c>
      <c r="N161" s="359">
        <f>SUMMARY!J164</f>
        <v>105.56901037202306</v>
      </c>
      <c r="O161" s="354">
        <f>M161/N161-1</f>
        <v>1.6177300938625598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17" s="167" customFormat="1" ht="26.5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'[13]Sch C'!D175</f>
        <v>0</v>
      </c>
      <c r="D164" s="558">
        <f>'[13]Sch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9"/>
      <c r="M164" s="364">
        <f>G164/G$228</f>
        <v>0</v>
      </c>
      <c r="N164" s="359">
        <f>SUMMARY!J167</f>
        <v>0</v>
      </c>
      <c r="O164" s="220"/>
      <c r="P164"/>
      <c r="Q164"/>
    </row>
    <row r="165" spans="1:17" s="221" customFormat="1">
      <c r="A165" s="215" t="s">
        <v>123</v>
      </c>
      <c r="B165" s="148" t="s">
        <v>103</v>
      </c>
      <c r="C165" s="558">
        <f>'[13]Sch C'!D176</f>
        <v>0</v>
      </c>
      <c r="D165" s="558">
        <f>'[13]Sch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9"/>
      <c r="M165" s="364">
        <f t="shared" ref="M165:M196" si="48">G165/G$228</f>
        <v>0</v>
      </c>
      <c r="N165" s="359">
        <f>SUMMARY!J168</f>
        <v>0</v>
      </c>
      <c r="O165" s="220"/>
      <c r="P165"/>
      <c r="Q165"/>
    </row>
    <row r="166" spans="1:17" s="221" customFormat="1">
      <c r="A166" s="215" t="s">
        <v>124</v>
      </c>
      <c r="B166" s="148" t="s">
        <v>104</v>
      </c>
      <c r="C166" s="558">
        <f>'[13]Sch C'!D177</f>
        <v>0</v>
      </c>
      <c r="D166" s="558">
        <f>'[13]Sch C'!F177</f>
        <v>230795</v>
      </c>
      <c r="E166" s="171">
        <f t="shared" si="45"/>
        <v>230795</v>
      </c>
      <c r="F166" s="216"/>
      <c r="G166" s="171">
        <f t="shared" si="46"/>
        <v>230795</v>
      </c>
      <c r="H166" s="172">
        <f t="shared" si="47"/>
        <v>3.1725306514304226E-2</v>
      </c>
      <c r="I166" s="342"/>
      <c r="J166" s="217">
        <v>7981.55</v>
      </c>
      <c r="K166" s="217">
        <v>8141.58</v>
      </c>
      <c r="L166" s="219"/>
      <c r="M166" s="364">
        <f t="shared" si="48"/>
        <v>18.555635954333493</v>
      </c>
      <c r="N166" s="359">
        <f>SUMMARY!J169</f>
        <v>4.9060338253170936</v>
      </c>
      <c r="O166" s="220"/>
      <c r="P166"/>
      <c r="Q166"/>
    </row>
    <row r="167" spans="1:17" s="221" customFormat="1">
      <c r="A167" s="215" t="s">
        <v>157</v>
      </c>
      <c r="B167" s="148" t="s">
        <v>105</v>
      </c>
      <c r="C167" s="558">
        <f>'[13]Sch C'!D178</f>
        <v>0</v>
      </c>
      <c r="D167" s="558">
        <f>'[13]Sch C'!F178</f>
        <v>27200</v>
      </c>
      <c r="E167" s="171">
        <f t="shared" si="45"/>
        <v>27200</v>
      </c>
      <c r="F167" s="216"/>
      <c r="G167" s="171">
        <f t="shared" si="46"/>
        <v>27200</v>
      </c>
      <c r="H167" s="172">
        <f t="shared" si="47"/>
        <v>3.7389386130075391E-3</v>
      </c>
      <c r="I167" s="343"/>
      <c r="J167" s="222"/>
      <c r="K167" s="222"/>
      <c r="L167" s="219"/>
      <c r="M167" s="364">
        <f t="shared" si="48"/>
        <v>2.1868467599292489</v>
      </c>
      <c r="N167" s="359">
        <f>SUMMARY!J170</f>
        <v>0.8546059303297695</v>
      </c>
      <c r="O167" s="220"/>
      <c r="P167"/>
      <c r="Q167"/>
    </row>
    <row r="168" spans="1:17" s="221" customFormat="1">
      <c r="A168" s="215" t="s">
        <v>158</v>
      </c>
      <c r="B168" s="148" t="s">
        <v>316</v>
      </c>
      <c r="C168" s="558">
        <f>'[13]Sch C'!D179</f>
        <v>0</v>
      </c>
      <c r="D168" s="558">
        <f>'[13]Sch C'!F179</f>
        <v>54068</v>
      </c>
      <c r="E168" s="171">
        <f t="shared" si="45"/>
        <v>54068</v>
      </c>
      <c r="F168" s="216"/>
      <c r="G168" s="171">
        <f t="shared" si="46"/>
        <v>54068</v>
      </c>
      <c r="H168" s="172">
        <f t="shared" si="47"/>
        <v>7.432240181179839E-3</v>
      </c>
      <c r="I168" s="342"/>
      <c r="J168" s="217">
        <v>1642.17</v>
      </c>
      <c r="K168" s="217">
        <v>1741.17</v>
      </c>
      <c r="L168" s="219"/>
      <c r="M168" s="364">
        <f t="shared" si="48"/>
        <v>4.3470011255828913</v>
      </c>
      <c r="N168" s="359">
        <f>SUMMARY!J171</f>
        <v>0.79511806658504303</v>
      </c>
      <c r="O168" s="220"/>
      <c r="P168"/>
      <c r="Q168"/>
    </row>
    <row r="169" spans="1:17" s="221" customFormat="1">
      <c r="A169" s="215" t="s">
        <v>86</v>
      </c>
      <c r="B169" s="148" t="s">
        <v>317</v>
      </c>
      <c r="C169" s="558">
        <f>'[13]Sch C'!D180</f>
        <v>0</v>
      </c>
      <c r="D169" s="558">
        <f>'[13]Sch C'!F180</f>
        <v>6373</v>
      </c>
      <c r="E169" s="171">
        <f t="shared" si="45"/>
        <v>6373</v>
      </c>
      <c r="F169" s="216"/>
      <c r="G169" s="171">
        <f t="shared" si="46"/>
        <v>6373</v>
      </c>
      <c r="H169" s="172">
        <f t="shared" si="47"/>
        <v>8.7603881546680323E-4</v>
      </c>
      <c r="I169" s="343"/>
      <c r="J169" s="222"/>
      <c r="K169" s="222"/>
      <c r="L169" s="219"/>
      <c r="M169" s="364">
        <f t="shared" si="48"/>
        <v>0.5123814118025406</v>
      </c>
      <c r="N169" s="359">
        <f>SUMMARY!J172</f>
        <v>0.1405217057636943</v>
      </c>
      <c r="O169" s="220"/>
      <c r="P169"/>
      <c r="Q169"/>
    </row>
    <row r="170" spans="1:17" s="221" customFormat="1">
      <c r="A170" s="215" t="s">
        <v>96</v>
      </c>
      <c r="B170" s="148" t="s">
        <v>318</v>
      </c>
      <c r="C170" s="558">
        <f>'[13]Sch C'!D181</f>
        <v>0</v>
      </c>
      <c r="D170" s="558">
        <f>'[13]Sch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9"/>
      <c r="M170" s="364">
        <f t="shared" si="48"/>
        <v>0</v>
      </c>
      <c r="N170" s="359">
        <f>SUMMARY!J173</f>
        <v>0.14856138086857354</v>
      </c>
      <c r="O170" s="220"/>
      <c r="P170"/>
      <c r="Q170"/>
    </row>
    <row r="171" spans="1:17" s="221" customFormat="1">
      <c r="A171" s="215" t="s">
        <v>125</v>
      </c>
      <c r="B171" s="148" t="s">
        <v>109</v>
      </c>
      <c r="C171" s="558">
        <f>'[13]Sch C'!D182</f>
        <v>0</v>
      </c>
      <c r="D171" s="558">
        <f>'[13]Sch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9"/>
      <c r="M171" s="364">
        <f t="shared" si="48"/>
        <v>0</v>
      </c>
      <c r="N171" s="359">
        <f>SUMMARY!J174</f>
        <v>2.2545547697802093E-2</v>
      </c>
      <c r="O171" s="220"/>
      <c r="P171"/>
      <c r="Q171"/>
    </row>
    <row r="172" spans="1:17" s="221" customFormat="1">
      <c r="A172" s="215" t="s">
        <v>126</v>
      </c>
      <c r="B172" s="148" t="s">
        <v>319</v>
      </c>
      <c r="C172" s="558">
        <f>'[13]Sch C'!D183</f>
        <v>0</v>
      </c>
      <c r="D172" s="558">
        <f>'[13]Sch C'!F183</f>
        <v>140112</v>
      </c>
      <c r="E172" s="171">
        <f t="shared" si="45"/>
        <v>140112</v>
      </c>
      <c r="F172" s="216"/>
      <c r="G172" s="171">
        <f t="shared" si="46"/>
        <v>140112</v>
      </c>
      <c r="H172" s="172">
        <f t="shared" si="47"/>
        <v>1.9259932608298246E-2</v>
      </c>
      <c r="I172" s="342"/>
      <c r="J172" s="217">
        <v>4241.83</v>
      </c>
      <c r="K172" s="217">
        <v>4278.29</v>
      </c>
      <c r="L172" s="219"/>
      <c r="M172" s="364">
        <f t="shared" si="48"/>
        <v>11.264833574529668</v>
      </c>
      <c r="N172" s="359">
        <f>SUMMARY!J175</f>
        <v>2.8660001223726335</v>
      </c>
      <c r="O172" s="220"/>
      <c r="P172"/>
      <c r="Q172"/>
    </row>
    <row r="173" spans="1:17" s="221" customFormat="1">
      <c r="A173" s="215" t="s">
        <v>127</v>
      </c>
      <c r="B173" s="148" t="s">
        <v>111</v>
      </c>
      <c r="C173" s="558">
        <f>'[13]Sch C'!D184</f>
        <v>0</v>
      </c>
      <c r="D173" s="558">
        <f>'[13]Sch C'!F184</f>
        <v>18602</v>
      </c>
      <c r="E173" s="171">
        <f t="shared" si="45"/>
        <v>18602</v>
      </c>
      <c r="F173" s="216"/>
      <c r="G173" s="171">
        <f t="shared" si="46"/>
        <v>18602</v>
      </c>
      <c r="H173" s="172">
        <f t="shared" si="47"/>
        <v>2.5570491205575826E-3</v>
      </c>
      <c r="I173" s="343"/>
      <c r="J173" s="222"/>
      <c r="K173" s="222"/>
      <c r="L173" s="219"/>
      <c r="M173" s="364">
        <f t="shared" si="48"/>
        <v>1.4955780672133783</v>
      </c>
      <c r="N173" s="359">
        <f>SUMMARY!J176</f>
        <v>0.45922325087038773</v>
      </c>
      <c r="O173" s="220"/>
      <c r="P173"/>
      <c r="Q173"/>
    </row>
    <row r="174" spans="1:17" s="221" customFormat="1">
      <c r="A174" s="215" t="s">
        <v>128</v>
      </c>
      <c r="B174" s="148" t="s">
        <v>320</v>
      </c>
      <c r="C174" s="558">
        <f>'[13]Sch C'!D185</f>
        <v>0</v>
      </c>
      <c r="D174" s="558">
        <f>'[13]Sch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9"/>
      <c r="M174" s="364">
        <f t="shared" si="48"/>
        <v>0</v>
      </c>
      <c r="N174" s="359">
        <f>SUMMARY!J177</f>
        <v>0</v>
      </c>
      <c r="O174" s="220"/>
      <c r="P174"/>
      <c r="Q174"/>
    </row>
    <row r="175" spans="1:17" s="221" customFormat="1">
      <c r="A175" s="215" t="s">
        <v>129</v>
      </c>
      <c r="B175" s="148" t="s">
        <v>321</v>
      </c>
      <c r="C175" s="558">
        <f>'[13]Sch C'!D186</f>
        <v>0</v>
      </c>
      <c r="D175" s="558">
        <f>'[13]Sch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</row>
    <row r="176" spans="1:17" s="221" customFormat="1">
      <c r="A176" s="224" t="s">
        <v>293</v>
      </c>
      <c r="B176" s="148" t="s">
        <v>154</v>
      </c>
      <c r="C176" s="558">
        <f>'[13]Sch C'!D187</f>
        <v>0</v>
      </c>
      <c r="D176" s="558">
        <f>'[13]Sch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</row>
    <row r="177" spans="1:17" s="221" customFormat="1">
      <c r="A177" s="224" t="s">
        <v>294</v>
      </c>
      <c r="B177" s="148" t="s">
        <v>322</v>
      </c>
      <c r="C177" s="558">
        <f>'[13]Sch C'!D188</f>
        <v>0</v>
      </c>
      <c r="D177" s="558">
        <f>'[13]Sch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</row>
    <row r="178" spans="1:17" s="221" customFormat="1">
      <c r="A178" s="224" t="s">
        <v>295</v>
      </c>
      <c r="B178" s="148" t="s">
        <v>323</v>
      </c>
      <c r="C178" s="558">
        <f>'[13]Sch C'!D189</f>
        <v>0</v>
      </c>
      <c r="D178" s="558">
        <f>'[13]Sch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</row>
    <row r="179" spans="1:17" s="221" customFormat="1">
      <c r="A179" s="224" t="s">
        <v>296</v>
      </c>
      <c r="B179" s="148" t="s">
        <v>324</v>
      </c>
      <c r="C179" s="558">
        <f>'[13]Sch C'!D190</f>
        <v>0</v>
      </c>
      <c r="D179" s="558">
        <f>'[13]Sch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</row>
    <row r="180" spans="1:17" s="221" customFormat="1">
      <c r="A180" s="224" t="s">
        <v>297</v>
      </c>
      <c r="B180" s="148" t="s">
        <v>325</v>
      </c>
      <c r="C180" s="558">
        <f>'[13]Sch C'!D191</f>
        <v>0</v>
      </c>
      <c r="D180" s="558">
        <f>'[13]Sch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</row>
    <row r="181" spans="1:17" s="221" customFormat="1">
      <c r="A181" s="224" t="s">
        <v>298</v>
      </c>
      <c r="B181" s="148" t="s">
        <v>117</v>
      </c>
      <c r="C181" s="558">
        <f>'[13]Sch C'!D192</f>
        <v>2374.4899999999998</v>
      </c>
      <c r="D181" s="558">
        <f>'[13]Sch C'!F192</f>
        <v>0</v>
      </c>
      <c r="E181" s="171">
        <f t="shared" si="45"/>
        <v>2374.4899999999998</v>
      </c>
      <c r="F181" s="216"/>
      <c r="G181" s="171">
        <f t="shared" si="46"/>
        <v>2374.4899999999998</v>
      </c>
      <c r="H181" s="172">
        <f t="shared" si="47"/>
        <v>3.2639971864706878E-4</v>
      </c>
      <c r="I181" s="336"/>
      <c r="J181" s="223"/>
      <c r="K181" s="218"/>
      <c r="L181" s="220"/>
      <c r="M181" s="364">
        <f t="shared" si="48"/>
        <v>0.19090609422736773</v>
      </c>
      <c r="N181" s="359">
        <f>SUMMARY!J184</f>
        <v>0.29174571104570529</v>
      </c>
      <c r="O181" s="220"/>
      <c r="P181"/>
      <c r="Q181"/>
    </row>
    <row r="182" spans="1:17" s="221" customFormat="1">
      <c r="A182" s="224" t="s">
        <v>132</v>
      </c>
      <c r="B182" s="148" t="s">
        <v>118</v>
      </c>
      <c r="C182" s="558">
        <f>'[13]Sch C'!D193</f>
        <v>6600</v>
      </c>
      <c r="D182" s="558">
        <f>'[13]Sch C'!F193</f>
        <v>0</v>
      </c>
      <c r="E182" s="171">
        <f t="shared" si="45"/>
        <v>6600</v>
      </c>
      <c r="F182" s="216"/>
      <c r="G182" s="171">
        <f t="shared" si="46"/>
        <v>6600</v>
      </c>
      <c r="H182" s="172">
        <f t="shared" si="47"/>
        <v>9.0724245756800578E-4</v>
      </c>
      <c r="I182" s="336"/>
      <c r="J182" s="223"/>
      <c r="K182" s="218"/>
      <c r="L182" s="220"/>
      <c r="M182" s="364">
        <f t="shared" si="48"/>
        <v>0.53063193439459722</v>
      </c>
      <c r="N182" s="359">
        <f>SUMMARY!J185</f>
        <v>7.0915905841295299E-2</v>
      </c>
      <c r="O182" s="220"/>
      <c r="P182"/>
      <c r="Q182"/>
    </row>
    <row r="183" spans="1:17" s="221" customFormat="1">
      <c r="A183" s="224" t="s">
        <v>133</v>
      </c>
      <c r="B183" s="148" t="s">
        <v>119</v>
      </c>
      <c r="C183" s="558">
        <f>'[13]Sch C'!D194</f>
        <v>0</v>
      </c>
      <c r="D183" s="558">
        <f>'[13]Sch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223"/>
      <c r="K183" s="218"/>
      <c r="L183" s="220"/>
      <c r="M183" s="364">
        <f t="shared" si="48"/>
        <v>0</v>
      </c>
      <c r="N183" s="359">
        <f>SUMMARY!J186</f>
        <v>7.2780776577335544</v>
      </c>
      <c r="O183" s="220"/>
      <c r="P183"/>
      <c r="Q183"/>
    </row>
    <row r="184" spans="1:17" s="221" customFormat="1">
      <c r="A184" s="224" t="s">
        <v>134</v>
      </c>
      <c r="B184" s="148" t="s">
        <v>326</v>
      </c>
      <c r="C184" s="558">
        <f>'[13]Sch C'!D195</f>
        <v>0</v>
      </c>
      <c r="D184" s="558">
        <f>'[13]Sch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L184" s="220"/>
      <c r="M184" s="364">
        <f t="shared" si="48"/>
        <v>0</v>
      </c>
      <c r="N184" s="359">
        <f>SUMMARY!J187</f>
        <v>1.7471448792019588</v>
      </c>
      <c r="O184" s="220"/>
      <c r="P184"/>
      <c r="Q184"/>
    </row>
    <row r="185" spans="1:17" s="221" customFormat="1">
      <c r="A185" s="224" t="s">
        <v>135</v>
      </c>
      <c r="B185" s="148" t="s">
        <v>327</v>
      </c>
      <c r="C185" s="558">
        <f>'[13]Sch C'!D196</f>
        <v>0</v>
      </c>
      <c r="D185" s="558">
        <f>'[13]Sch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L185" s="220"/>
      <c r="M185" s="364">
        <f t="shared" si="48"/>
        <v>0</v>
      </c>
      <c r="N185" s="359">
        <f>SUMMARY!J188</f>
        <v>0.10202169826083787</v>
      </c>
      <c r="O185" s="220"/>
      <c r="P185"/>
      <c r="Q185"/>
    </row>
    <row r="186" spans="1:17" s="221" customFormat="1">
      <c r="A186" s="224" t="s">
        <v>136</v>
      </c>
      <c r="B186" s="148" t="s">
        <v>328</v>
      </c>
      <c r="C186" s="558">
        <f>'[13]Sch C'!D197</f>
        <v>0</v>
      </c>
      <c r="D186" s="558">
        <f>'[13]Sch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L186" s="220"/>
      <c r="M186" s="364">
        <f t="shared" si="48"/>
        <v>0</v>
      </c>
      <c r="N186" s="359">
        <f>SUMMARY!J189</f>
        <v>5.0164683871805966</v>
      </c>
      <c r="O186" s="220"/>
      <c r="P186"/>
      <c r="Q186"/>
    </row>
    <row r="187" spans="1:17" s="221" customFormat="1">
      <c r="A187" s="224" t="s">
        <v>137</v>
      </c>
      <c r="B187" s="148" t="s">
        <v>122</v>
      </c>
      <c r="C187" s="558">
        <f>'[13]Sch C'!D198</f>
        <v>47546.18</v>
      </c>
      <c r="D187" s="558">
        <f>'[13]Sch C'!F198</f>
        <v>0</v>
      </c>
      <c r="E187" s="171">
        <f t="shared" si="45"/>
        <v>47546.18</v>
      </c>
      <c r="F187" s="216"/>
      <c r="G187" s="171">
        <f t="shared" si="46"/>
        <v>47546.18</v>
      </c>
      <c r="H187" s="172">
        <f t="shared" si="47"/>
        <v>6.5357444229046614E-3</v>
      </c>
      <c r="I187" s="336"/>
      <c r="J187" s="223"/>
      <c r="K187" s="218"/>
      <c r="L187" s="220"/>
      <c r="M187" s="364">
        <f t="shared" si="48"/>
        <v>3.8226547676475318</v>
      </c>
      <c r="N187" s="359">
        <f>SUMMARY!J190</f>
        <v>1.4762344610483848</v>
      </c>
      <c r="O187" s="220"/>
      <c r="P187"/>
      <c r="Q187"/>
    </row>
    <row r="188" spans="1:17" s="221" customFormat="1">
      <c r="A188" s="224" t="s">
        <v>275</v>
      </c>
      <c r="B188" s="148" t="s">
        <v>329</v>
      </c>
      <c r="C188" s="558">
        <f>'[13]Sch C'!D199</f>
        <v>0</v>
      </c>
      <c r="D188" s="558">
        <f>'[13]Sch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L188" s="220"/>
      <c r="M188" s="364">
        <f t="shared" si="48"/>
        <v>0</v>
      </c>
      <c r="N188" s="359">
        <f>SUMMARY!J191</f>
        <v>0.3719273123267644</v>
      </c>
      <c r="O188" s="220"/>
      <c r="P188"/>
      <c r="Q188"/>
    </row>
    <row r="189" spans="1:17" s="221" customFormat="1">
      <c r="A189" s="224" t="s">
        <v>277</v>
      </c>
      <c r="B189" s="148" t="s">
        <v>278</v>
      </c>
      <c r="C189" s="558">
        <f>'[13]Sch C'!D200</f>
        <v>117</v>
      </c>
      <c r="D189" s="558">
        <f>'[13]Sch C'!F200</f>
        <v>0</v>
      </c>
      <c r="E189" s="171">
        <f t="shared" si="45"/>
        <v>117</v>
      </c>
      <c r="F189" s="216"/>
      <c r="G189" s="171">
        <f t="shared" si="46"/>
        <v>117</v>
      </c>
      <c r="H189" s="172">
        <f t="shared" si="47"/>
        <v>1.6082934475069194E-5</v>
      </c>
      <c r="I189" s="336"/>
      <c r="J189" s="223"/>
      <c r="K189" s="218"/>
      <c r="L189" s="220"/>
      <c r="M189" s="364">
        <f t="shared" si="48"/>
        <v>9.4066570188133143E-3</v>
      </c>
      <c r="N189" s="359">
        <f>SUMMARY!J192</f>
        <v>1.1168537736152406E-3</v>
      </c>
      <c r="O189" s="220"/>
      <c r="P189"/>
      <c r="Q189"/>
    </row>
    <row r="190" spans="1:17" s="221" customFormat="1">
      <c r="A190" s="225" t="s">
        <v>279</v>
      </c>
      <c r="B190" s="226" t="s">
        <v>280</v>
      </c>
      <c r="C190" s="558">
        <f>'[13]Sch C'!D201</f>
        <v>0</v>
      </c>
      <c r="D190" s="558">
        <f>'[13]Sch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L190" s="220"/>
      <c r="M190" s="364">
        <f t="shared" si="48"/>
        <v>0</v>
      </c>
      <c r="N190" s="359">
        <f>SUMMARY!J193</f>
        <v>9.491156275925049E-3</v>
      </c>
      <c r="O190" s="220"/>
      <c r="P190"/>
      <c r="Q190"/>
    </row>
    <row r="191" spans="1:17" s="221" customFormat="1">
      <c r="A191" s="225" t="s">
        <v>281</v>
      </c>
      <c r="B191" s="226" t="s">
        <v>282</v>
      </c>
      <c r="C191" s="558">
        <f>'[13]Sch C'!D202</f>
        <v>0</v>
      </c>
      <c r="D191" s="558">
        <f>'[13]Sch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L191" s="220"/>
      <c r="M191" s="364">
        <f t="shared" si="48"/>
        <v>0</v>
      </c>
      <c r="N191" s="359">
        <f>SUMMARY!J194</f>
        <v>1.256942821802872E-4</v>
      </c>
      <c r="O191" s="220"/>
      <c r="P191"/>
      <c r="Q191"/>
    </row>
    <row r="192" spans="1:17" s="221" customFormat="1">
      <c r="A192" s="225" t="s">
        <v>283</v>
      </c>
      <c r="B192" s="226" t="s">
        <v>330</v>
      </c>
      <c r="C192" s="558">
        <f>'[13]Sch C'!D203</f>
        <v>0</v>
      </c>
      <c r="D192" s="558">
        <f>'[13]Sch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L192" s="220"/>
      <c r="M192" s="364">
        <f t="shared" si="48"/>
        <v>0</v>
      </c>
      <c r="N192" s="359">
        <f>SUMMARY!J195</f>
        <v>6.3845219287057137E-2</v>
      </c>
      <c r="O192" s="220"/>
      <c r="P192"/>
      <c r="Q192"/>
    </row>
    <row r="193" spans="1:17" s="221" customFormat="1">
      <c r="A193" s="225" t="s">
        <v>285</v>
      </c>
      <c r="B193" s="226" t="s">
        <v>331</v>
      </c>
      <c r="C193" s="558">
        <f>'[13]Sch C'!D204</f>
        <v>0</v>
      </c>
      <c r="D193" s="558">
        <f>'[13]Sch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L193" s="220"/>
      <c r="M193" s="364">
        <f t="shared" si="48"/>
        <v>0</v>
      </c>
      <c r="N193" s="359">
        <f>SUMMARY!J196</f>
        <v>0</v>
      </c>
      <c r="O193" s="220"/>
      <c r="P193"/>
      <c r="Q193"/>
    </row>
    <row r="194" spans="1:17" s="221" customFormat="1">
      <c r="A194" s="224" t="s">
        <v>138</v>
      </c>
      <c r="B194" s="148" t="s">
        <v>332</v>
      </c>
      <c r="C194" s="558">
        <f>'[13]Sch C'!D205</f>
        <v>332451.96999999997</v>
      </c>
      <c r="D194" s="558">
        <f>'[13]Sch C'!F205</f>
        <v>0</v>
      </c>
      <c r="E194" s="171">
        <f t="shared" si="45"/>
        <v>332451.96999999997</v>
      </c>
      <c r="F194" s="216"/>
      <c r="G194" s="171">
        <f t="shared" si="46"/>
        <v>332451.96999999997</v>
      </c>
      <c r="H194" s="172">
        <f t="shared" si="47"/>
        <v>4.5699173073655293E-2</v>
      </c>
      <c r="I194" s="336"/>
      <c r="J194" s="223"/>
      <c r="K194" s="218"/>
      <c r="L194" s="220"/>
      <c r="M194" s="364">
        <f t="shared" si="48"/>
        <v>26.728732111271906</v>
      </c>
      <c r="N194" s="359">
        <f>SUMMARY!J197</f>
        <v>9.4138592764245246</v>
      </c>
      <c r="O194" s="220"/>
      <c r="P194"/>
      <c r="Q194"/>
    </row>
    <row r="195" spans="1:17" s="221" customFormat="1">
      <c r="A195" s="224" t="s">
        <v>139</v>
      </c>
      <c r="B195" s="148" t="s">
        <v>67</v>
      </c>
      <c r="C195" s="558">
        <f>'[13]Sch C'!D206</f>
        <v>232105.7</v>
      </c>
      <c r="D195" s="558">
        <f>'[13]Sch C'!F206</f>
        <v>0</v>
      </c>
      <c r="E195" s="171">
        <f t="shared" si="45"/>
        <v>232105.7</v>
      </c>
      <c r="F195" s="216"/>
      <c r="G195" s="171">
        <f t="shared" si="46"/>
        <v>232105.7</v>
      </c>
      <c r="H195" s="172">
        <f t="shared" si="47"/>
        <v>3.190547661871853E-2</v>
      </c>
      <c r="I195" s="336"/>
      <c r="J195" s="223"/>
      <c r="K195" s="218"/>
      <c r="L195" s="220"/>
      <c r="M195" s="364">
        <f t="shared" si="48"/>
        <v>18.661014632577587</v>
      </c>
      <c r="N195" s="359">
        <f>SUMMARY!J198</f>
        <v>0.50303072526897752</v>
      </c>
      <c r="O195" s="220"/>
      <c r="P195"/>
      <c r="Q195"/>
    </row>
    <row r="196" spans="1:17" s="221" customFormat="1">
      <c r="A196" s="225" t="s">
        <v>143</v>
      </c>
      <c r="B196" s="194" t="s">
        <v>333</v>
      </c>
      <c r="C196" s="558">
        <f>'[13]Sch C'!D207</f>
        <v>681.78</v>
      </c>
      <c r="D196" s="558">
        <f>'[13]Sch C'!F207</f>
        <v>0</v>
      </c>
      <c r="E196" s="171">
        <f t="shared" si="45"/>
        <v>681.78</v>
      </c>
      <c r="F196" s="216"/>
      <c r="G196" s="171">
        <f t="shared" si="46"/>
        <v>681.78</v>
      </c>
      <c r="H196" s="172">
        <f t="shared" si="47"/>
        <v>9.3718145866774998E-5</v>
      </c>
      <c r="I196" s="336"/>
      <c r="J196" s="223"/>
      <c r="K196" s="218"/>
      <c r="L196" s="220"/>
      <c r="M196" s="364">
        <f t="shared" si="48"/>
        <v>5.4814278822961887E-2</v>
      </c>
      <c r="N196" s="359">
        <f>SUMMARY!J199</f>
        <v>0.37420738931321718</v>
      </c>
      <c r="O196" s="220"/>
      <c r="P196"/>
      <c r="Q196"/>
    </row>
    <row r="197" spans="1:17" s="167" customFormat="1" ht="26.5">
      <c r="A197" s="163"/>
      <c r="B197" s="212" t="s">
        <v>130</v>
      </c>
      <c r="C197" s="558">
        <f>SUM(C164:C196)</f>
        <v>621877.12</v>
      </c>
      <c r="D197" s="558">
        <f>SUM(D164:D196)</f>
        <v>477150</v>
      </c>
      <c r="E197" s="171">
        <f t="shared" ref="E197:F197" si="49">SUM(E164:E196)</f>
        <v>1099027.1200000001</v>
      </c>
      <c r="F197" s="171">
        <f t="shared" si="49"/>
        <v>0</v>
      </c>
      <c r="G197" s="171">
        <f>SUM(G164:G196)</f>
        <v>1099027.1200000001</v>
      </c>
      <c r="H197" s="172">
        <f>IF($G$208=0,0,G197/$G$208)</f>
        <v>0.15107334322464966</v>
      </c>
      <c r="I197" s="336"/>
      <c r="J197" s="168"/>
      <c r="K197" s="168"/>
      <c r="M197" s="364">
        <f>G197/G$228</f>
        <v>88.360437369351999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'[13]Sch C'!D211</f>
        <v>0</v>
      </c>
      <c r="D200" s="558">
        <f>'[13]Sch C'!F211</f>
        <v>109681</v>
      </c>
      <c r="E200" s="171">
        <f t="shared" ref="E200:E205" si="50">C200+D200</f>
        <v>109681</v>
      </c>
      <c r="F200" s="171"/>
      <c r="G200" s="171">
        <f t="shared" ref="G200:G205" si="51">E200+F200</f>
        <v>109681</v>
      </c>
      <c r="H200" s="172">
        <f t="shared" ref="H200:H206" si="52">IF($G$208=0,0,G200/$G$208)</f>
        <v>1.5076857574017643E-2</v>
      </c>
      <c r="I200" s="336"/>
      <c r="J200" s="183">
        <v>5413.98</v>
      </c>
      <c r="K200" s="183">
        <v>5619.6</v>
      </c>
      <c r="M200" s="364">
        <f t="shared" ref="M200:M205" si="53">G200/G$228</f>
        <v>8.8182183630808808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'[13]Sch C'!D212</f>
        <v>0</v>
      </c>
      <c r="D201" s="558">
        <f>'[13]Sch C'!F212</f>
        <v>13749</v>
      </c>
      <c r="E201" s="171">
        <f t="shared" si="50"/>
        <v>13749</v>
      </c>
      <c r="F201" s="171"/>
      <c r="G201" s="171">
        <f t="shared" si="51"/>
        <v>13749</v>
      </c>
      <c r="H201" s="172">
        <f t="shared" si="52"/>
        <v>1.8899509922882594E-3</v>
      </c>
      <c r="I201" s="336"/>
      <c r="J201" s="168"/>
      <c r="K201" s="168"/>
      <c r="M201" s="364">
        <f t="shared" si="53"/>
        <v>1.1054027978774723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'[13]Sch C'!D213</f>
        <v>24142.62</v>
      </c>
      <c r="D202" s="558">
        <f>'[13]Sch C'!F213</f>
        <v>0</v>
      </c>
      <c r="E202" s="171">
        <f t="shared" si="50"/>
        <v>24142.62</v>
      </c>
      <c r="F202" s="171"/>
      <c r="G202" s="171">
        <f t="shared" si="51"/>
        <v>24142.62</v>
      </c>
      <c r="H202" s="172">
        <f t="shared" si="52"/>
        <v>3.3186681668076496E-3</v>
      </c>
      <c r="I202" s="336"/>
      <c r="J202" s="168"/>
      <c r="K202" s="168"/>
      <c r="M202" s="364">
        <f t="shared" si="53"/>
        <v>1.9410371442354075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'[13]Sch C'!D214</f>
        <v>0</v>
      </c>
      <c r="D203" s="558">
        <f>'[13]Sch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'[13]Sch C'!D215</f>
        <v>0</v>
      </c>
      <c r="D204" s="558">
        <f>'[13]Sch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'[13]Sch C'!D216</f>
        <v>0</v>
      </c>
      <c r="D205" s="558">
        <f>'[13]Sch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6"/>
      <c r="J205" s="168"/>
      <c r="K205" s="168"/>
      <c r="M205" s="364">
        <f t="shared" si="53"/>
        <v>0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24142.62</v>
      </c>
      <c r="D206" s="558">
        <f>SUM(D200:D205)</f>
        <v>123430</v>
      </c>
      <c r="E206" s="171">
        <f t="shared" ref="E206:F206" si="54">SUM(E200:E205)</f>
        <v>147572.62</v>
      </c>
      <c r="F206" s="171">
        <f t="shared" si="54"/>
        <v>0</v>
      </c>
      <c r="G206" s="171">
        <f>SUM(G200:G205)</f>
        <v>147572.62</v>
      </c>
      <c r="H206" s="172">
        <f t="shared" si="52"/>
        <v>2.0285476733113553E-2</v>
      </c>
      <c r="I206" s="336"/>
      <c r="J206" s="168"/>
      <c r="K206" s="168"/>
      <c r="M206" s="364">
        <f>G206/G$228</f>
        <v>11.86465830519376</v>
      </c>
      <c r="N206" s="359">
        <f>SUMMARY!J209</f>
        <v>7.1515095990067339</v>
      </c>
      <c r="O206" s="354">
        <f>M206/N206-1</f>
        <v>0.65904249178965402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7467824.9099999992</v>
      </c>
      <c r="D208" s="558">
        <f>SUM(D25:D206)/2</f>
        <v>-193033.09999999963</v>
      </c>
      <c r="E208" s="171">
        <f t="shared" ref="E208:F208" si="55">SUM(E25:E206)/2</f>
        <v>7274791.8099999987</v>
      </c>
      <c r="F208" s="171">
        <f t="shared" si="55"/>
        <v>0</v>
      </c>
      <c r="G208" s="171">
        <f>SUM(G25:G206)/2</f>
        <v>7274791.8099999987</v>
      </c>
      <c r="H208" s="172">
        <f>IF($G$208=0,0,G208/$G$208)</f>
        <v>1</v>
      </c>
      <c r="I208" s="336"/>
      <c r="J208" s="183">
        <f>SUM(J25:J200)</f>
        <v>148860.19000000003</v>
      </c>
      <c r="K208" s="183">
        <f>SUM(K25:K200)</f>
        <v>150399.41000000003</v>
      </c>
      <c r="M208" s="364">
        <f>G208/G$228</f>
        <v>584.88437128155647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4.189806062125446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'[13]Sch C'!D221</f>
        <v>7467824.9100000001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1059785.4869999988</v>
      </c>
      <c r="D215" s="558">
        <f>D21-D208</f>
        <v>193033.09999999963</v>
      </c>
      <c r="E215" s="171">
        <f t="shared" ref="E215:F215" si="56">E21-E208</f>
        <v>1252818.5869999994</v>
      </c>
      <c r="F215" s="171">
        <f t="shared" si="56"/>
        <v>0</v>
      </c>
      <c r="G215" s="171">
        <f>G21-G208</f>
        <v>1252818.5869999994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'[13]Sch D'!C9</f>
        <v>6937</v>
      </c>
      <c r="D219" s="592"/>
      <c r="E219" s="235">
        <f t="shared" ref="E219:G227" si="57">C219+D219</f>
        <v>6937</v>
      </c>
      <c r="F219" s="234"/>
      <c r="G219" s="235">
        <f t="shared" si="57"/>
        <v>6937</v>
      </c>
      <c r="H219" s="172">
        <f t="shared" ref="H219:H228" si="58">IF($G$228=0,0,G219/$G$228)</f>
        <v>0.55772632255989707</v>
      </c>
      <c r="I219" s="336"/>
      <c r="J219" s="168"/>
      <c r="K219" s="168"/>
    </row>
    <row r="220" spans="1:17">
      <c r="A220" s="163"/>
      <c r="B220" s="170" t="s">
        <v>217</v>
      </c>
      <c r="C220" s="592">
        <f>'[13]Sch D'!D9</f>
        <v>494</v>
      </c>
      <c r="D220" s="592"/>
      <c r="E220" s="171">
        <f t="shared" ref="E220:E227" si="59">C220+D220</f>
        <v>494</v>
      </c>
      <c r="F220" s="234"/>
      <c r="G220" s="235">
        <f t="shared" si="57"/>
        <v>494</v>
      </c>
      <c r="H220" s="172">
        <f t="shared" si="58"/>
        <v>3.9716996301656211E-2</v>
      </c>
      <c r="I220" s="336"/>
      <c r="J220" s="168"/>
      <c r="K220" s="168"/>
    </row>
    <row r="221" spans="1:17">
      <c r="A221" s="163"/>
      <c r="B221" s="170" t="s">
        <v>72</v>
      </c>
      <c r="C221" s="592">
        <f>'[13]Sch D'!E9</f>
        <v>1774</v>
      </c>
      <c r="D221" s="592"/>
      <c r="E221" s="171">
        <f t="shared" si="59"/>
        <v>1774</v>
      </c>
      <c r="F221" s="234"/>
      <c r="G221" s="235">
        <f t="shared" si="57"/>
        <v>1774</v>
      </c>
      <c r="H221" s="172">
        <f t="shared" si="58"/>
        <v>0.14262743206303263</v>
      </c>
      <c r="I221" s="336"/>
      <c r="J221" s="168"/>
      <c r="K221" s="168"/>
    </row>
    <row r="222" spans="1:17">
      <c r="A222" s="163"/>
      <c r="B222" s="202" t="s">
        <v>334</v>
      </c>
      <c r="C222" s="592">
        <f>'[13]Sch D'!F9</f>
        <v>685</v>
      </c>
      <c r="D222" s="592"/>
      <c r="E222" s="171">
        <f t="shared" si="59"/>
        <v>685</v>
      </c>
      <c r="F222" s="234"/>
      <c r="G222" s="235">
        <f>E222+F222</f>
        <v>685</v>
      </c>
      <c r="H222" s="172">
        <f t="shared" si="58"/>
        <v>5.5073162887924104E-2</v>
      </c>
      <c r="I222" s="336"/>
      <c r="J222" s="168"/>
      <c r="K222" s="168"/>
    </row>
    <row r="223" spans="1:17">
      <c r="A223" s="163"/>
      <c r="B223" s="170" t="s">
        <v>73</v>
      </c>
      <c r="C223" s="592">
        <f>'[13]Sch D'!G9</f>
        <v>0</v>
      </c>
      <c r="D223" s="592"/>
      <c r="E223" s="171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'[13]Sch D'!H9</f>
        <v>963</v>
      </c>
      <c r="D224" s="592"/>
      <c r="E224" s="171">
        <f t="shared" si="59"/>
        <v>963</v>
      </c>
      <c r="F224" s="234"/>
      <c r="G224" s="235">
        <f t="shared" si="57"/>
        <v>963</v>
      </c>
      <c r="H224" s="172">
        <f t="shared" si="58"/>
        <v>7.7424023154848046E-2</v>
      </c>
      <c r="I224" s="336"/>
      <c r="J224" s="168"/>
      <c r="K224" s="168"/>
    </row>
    <row r="225" spans="1:11">
      <c r="A225" s="163"/>
      <c r="B225" s="170" t="s">
        <v>236</v>
      </c>
      <c r="C225" s="592">
        <f>'[13]Sch D'!I9</f>
        <v>140</v>
      </c>
      <c r="D225" s="592"/>
      <c r="E225" s="171">
        <f t="shared" si="59"/>
        <v>140</v>
      </c>
      <c r="F225" s="234"/>
      <c r="G225" s="235">
        <f t="shared" si="57"/>
        <v>140</v>
      </c>
      <c r="H225" s="172">
        <f t="shared" si="58"/>
        <v>1.1255828911400546E-2</v>
      </c>
      <c r="I225" s="336"/>
      <c r="J225" s="168"/>
      <c r="K225" s="168"/>
    </row>
    <row r="226" spans="1:11">
      <c r="A226" s="163"/>
      <c r="B226" s="170" t="s">
        <v>235</v>
      </c>
      <c r="C226" s="592">
        <f>'[13]Sch D'!J9</f>
        <v>20</v>
      </c>
      <c r="D226" s="592"/>
      <c r="E226" s="171">
        <f t="shared" si="59"/>
        <v>20</v>
      </c>
      <c r="F226" s="234"/>
      <c r="G226" s="235">
        <f>E226+F226</f>
        <v>20</v>
      </c>
      <c r="H226" s="172">
        <f t="shared" si="58"/>
        <v>1.6079755587715067E-3</v>
      </c>
      <c r="I226" s="336"/>
      <c r="J226" s="168"/>
      <c r="K226" s="168"/>
    </row>
    <row r="227" spans="1:11">
      <c r="A227" s="163"/>
      <c r="B227" s="170" t="s">
        <v>179</v>
      </c>
      <c r="C227" s="592">
        <f>'[13]Sch D'!K9</f>
        <v>1425</v>
      </c>
      <c r="D227" s="592"/>
      <c r="E227" s="171">
        <f t="shared" si="59"/>
        <v>1425</v>
      </c>
      <c r="F227" s="234"/>
      <c r="G227" s="235">
        <f t="shared" si="57"/>
        <v>1425</v>
      </c>
      <c r="H227" s="172">
        <f t="shared" si="58"/>
        <v>0.11456825856246985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12438</v>
      </c>
      <c r="D228" s="592">
        <f>SUM(D219:D227)</f>
        <v>0</v>
      </c>
      <c r="E228" s="237">
        <f>SUM(E219:E227)</f>
        <v>12438</v>
      </c>
      <c r="F228" s="237">
        <f>SUM(F219:F227)</f>
        <v>0</v>
      </c>
      <c r="G228" s="237">
        <f>SUM(G219:G227)</f>
        <v>12438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'[13]Sch D'!N22</f>
        <v>36</v>
      </c>
      <c r="D231" s="559"/>
      <c r="E231" s="235">
        <f>C231+D231</f>
        <v>36</v>
      </c>
      <c r="F231" s="235"/>
      <c r="G231" s="235">
        <f>E231+F231</f>
        <v>36</v>
      </c>
      <c r="H231" s="167"/>
      <c r="J231" s="168"/>
      <c r="K231" s="168"/>
    </row>
    <row r="232" spans="1:11">
      <c r="A232" s="163"/>
      <c r="B232" s="202" t="s">
        <v>290</v>
      </c>
      <c r="C232" s="593">
        <f>'[13]Sch D'!N24</f>
        <v>24</v>
      </c>
      <c r="D232" s="559"/>
      <c r="E232" s="235">
        <f>C232+D232</f>
        <v>24</v>
      </c>
      <c r="F232" s="235"/>
      <c r="G232" s="235">
        <f>E232+F232</f>
        <v>24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'[13]Sch D'!N28</f>
        <v>13176</v>
      </c>
      <c r="D235" s="483"/>
      <c r="E235" s="234">
        <f>E231*E233</f>
        <v>13176</v>
      </c>
      <c r="F235" s="239"/>
      <c r="G235" s="234">
        <f>G231*G233</f>
        <v>13176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'[13]Sch D'!N30</f>
        <v>0.94398907103825136</v>
      </c>
      <c r="D236" s="239"/>
      <c r="E236" s="244">
        <f>E228/E235</f>
        <v>0.94398907103825136</v>
      </c>
      <c r="F236" s="245"/>
      <c r="G236" s="244">
        <f>G228/G235</f>
        <v>0.94398907103825136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'[13]Sch D'!N32</f>
        <v>0.56397996357012747</v>
      </c>
      <c r="D237" s="239"/>
      <c r="E237" s="244">
        <f>(E219+E220)/E235</f>
        <v>0.56397996357012747</v>
      </c>
      <c r="F237" s="245"/>
      <c r="G237" s="244">
        <f>(G219+G220)/G235</f>
        <v>0.56397996357012747</v>
      </c>
      <c r="H237" s="167"/>
      <c r="J237" s="168"/>
      <c r="K237" s="168"/>
    </row>
    <row r="238" spans="1:11" ht="39.5">
      <c r="A238" s="163"/>
      <c r="B238" s="243" t="s">
        <v>338</v>
      </c>
      <c r="C238" s="594">
        <f>'[13]Sch D'!N34</f>
        <v>0.59744331886155333</v>
      </c>
      <c r="D238" s="239"/>
      <c r="E238" s="244">
        <f>(E237/E236)</f>
        <v>0.59744331886155333</v>
      </c>
      <c r="F238" s="245"/>
      <c r="G238" s="244">
        <f>(G237/G236)</f>
        <v>0.59744331886155333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'[12]Sch B'!C85</f>
        <v>448.57911392405066</v>
      </c>
    </row>
    <row r="242" spans="2:7">
      <c r="F242" s="142" t="s">
        <v>341</v>
      </c>
      <c r="G242" s="558">
        <f>'[12]Sch B'!E85</f>
        <v>563.55084745762713</v>
      </c>
    </row>
    <row r="243" spans="2:7">
      <c r="F243" s="142" t="s">
        <v>342</v>
      </c>
      <c r="G243" s="558">
        <f>'[12]Sch B'!G85</f>
        <v>575.11467889908261</v>
      </c>
    </row>
    <row r="244" spans="2:7">
      <c r="F244" s="142" t="s">
        <v>343</v>
      </c>
      <c r="G244" s="558">
        <f>'[12]Sch B'!I85</f>
        <v>583.21243523316059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tabColor rgb="FFE28CAB"/>
  </sheetPr>
  <dimension ref="A1:Q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082031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248</v>
      </c>
    </row>
    <row r="3" spans="1:17">
      <c r="A3" s="145"/>
      <c r="B3" s="140" t="s">
        <v>79</v>
      </c>
      <c r="C3" s="489">
        <v>42186</v>
      </c>
      <c r="D3" s="144"/>
      <c r="E3" s="400"/>
      <c r="F3" s="400"/>
    </row>
    <row r="4" spans="1:17">
      <c r="A4" s="145"/>
      <c r="B4" s="148" t="s">
        <v>80</v>
      </c>
      <c r="C4" s="489">
        <v>42551</v>
      </c>
      <c r="D4" s="144"/>
      <c r="E4" s="400"/>
      <c r="F4" s="400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'[14]Sch B'!E10</f>
        <v>2290012</v>
      </c>
      <c r="D11" s="558">
        <f>'[14]Sch B'!G10</f>
        <v>0</v>
      </c>
      <c r="E11" s="171">
        <f>C11+D11</f>
        <v>2290012</v>
      </c>
      <c r="F11" s="171"/>
      <c r="G11" s="171">
        <f t="shared" ref="G11:G20" si="0">E11+F11</f>
        <v>2290012</v>
      </c>
      <c r="H11" s="172">
        <f t="shared" ref="H11:H21" si="1">IF($G$21=0,0,G11/$G$21)</f>
        <v>0.41204036822901119</v>
      </c>
      <c r="I11" s="336"/>
      <c r="J11" s="368" t="s">
        <v>344</v>
      </c>
      <c r="K11" s="369">
        <f>G21</f>
        <v>5557737</v>
      </c>
      <c r="M11" s="359">
        <f>IFERROR(G11/G219,0)</f>
        <v>184.90205894226887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'[14]Sch B'!E15</f>
        <v>0</v>
      </c>
      <c r="D12" s="558">
        <f>'[14]Sch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6513112.9199999999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'[14]Sch B'!E21</f>
        <v>1153737</v>
      </c>
      <c r="D13" s="558">
        <f>'[14]Sch B'!G21</f>
        <v>0</v>
      </c>
      <c r="E13" s="171">
        <f t="shared" si="2"/>
        <v>1153737</v>
      </c>
      <c r="F13" s="171"/>
      <c r="G13" s="171">
        <f t="shared" si="0"/>
        <v>1153737</v>
      </c>
      <c r="H13" s="172">
        <f t="shared" si="1"/>
        <v>0.20759114726011685</v>
      </c>
      <c r="I13" s="336"/>
      <c r="J13" s="370" t="s">
        <v>346</v>
      </c>
      <c r="K13" s="371">
        <f>G228</f>
        <v>21679</v>
      </c>
      <c r="M13" s="359">
        <f t="shared" si="3"/>
        <v>493.47177074422581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'[14]Sch B'!E27</f>
        <v>662080</v>
      </c>
      <c r="D14" s="558">
        <f>'[14]Sch B'!G27</f>
        <v>0</v>
      </c>
      <c r="E14" s="171">
        <f t="shared" si="2"/>
        <v>662080</v>
      </c>
      <c r="F14" s="175"/>
      <c r="G14" s="175">
        <f>E14+F14</f>
        <v>662080</v>
      </c>
      <c r="H14" s="176">
        <f t="shared" si="1"/>
        <v>0.1191276233474164</v>
      </c>
      <c r="I14" s="337"/>
      <c r="J14" s="370" t="s">
        <v>347</v>
      </c>
      <c r="K14" s="371">
        <f>G231</f>
        <v>88</v>
      </c>
      <c r="M14" s="359">
        <f t="shared" si="3"/>
        <v>366.803324099723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'[14]Sch B'!E32</f>
        <v>0</v>
      </c>
      <c r="D15" s="558">
        <f>'[14]Sch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32208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'[14]Sch B'!E37</f>
        <v>1050135</v>
      </c>
      <c r="D16" s="558">
        <f>'[14]Sch B'!G37</f>
        <v>0</v>
      </c>
      <c r="E16" s="171">
        <f t="shared" si="2"/>
        <v>1050135</v>
      </c>
      <c r="F16" s="171"/>
      <c r="G16" s="171">
        <f t="shared" si="0"/>
        <v>1050135</v>
      </c>
      <c r="H16" s="172">
        <f t="shared" si="1"/>
        <v>0.18895010685104388</v>
      </c>
      <c r="I16" s="336"/>
      <c r="J16" s="372"/>
      <c r="K16" s="371"/>
      <c r="M16" s="359">
        <f t="shared" si="3"/>
        <v>310.59893522626442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'[14]Sch B'!E42</f>
        <v>370360</v>
      </c>
      <c r="D17" s="558">
        <f>'[14]Sch B'!G42</f>
        <v>0</v>
      </c>
      <c r="E17" s="171">
        <f t="shared" si="2"/>
        <v>370360</v>
      </c>
      <c r="F17" s="171"/>
      <c r="G17" s="171">
        <f>E17+F17</f>
        <v>370360</v>
      </c>
      <c r="H17" s="172">
        <f t="shared" si="1"/>
        <v>6.6638633674101527E-2</v>
      </c>
      <c r="I17" s="336"/>
      <c r="J17" s="370" t="s">
        <v>156</v>
      </c>
      <c r="K17" s="371">
        <f>J208</f>
        <v>157654</v>
      </c>
      <c r="M17" s="359">
        <f t="shared" si="3"/>
        <v>222.17156568686264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'[14]Sch B'!E47</f>
        <v>25716</v>
      </c>
      <c r="D18" s="558">
        <f>'[14]Sch B'!G47</f>
        <v>0</v>
      </c>
      <c r="E18" s="171">
        <f t="shared" si="2"/>
        <v>25716</v>
      </c>
      <c r="F18" s="171"/>
      <c r="G18" s="171">
        <f>E18+F18</f>
        <v>25716</v>
      </c>
      <c r="H18" s="172">
        <f t="shared" si="1"/>
        <v>4.6270631373884728E-3</v>
      </c>
      <c r="I18" s="336"/>
      <c r="J18" s="373" t="s">
        <v>252</v>
      </c>
      <c r="K18" s="374">
        <f>K208</f>
        <v>167735</v>
      </c>
      <c r="M18" s="359">
        <f t="shared" si="3"/>
        <v>249.66990291262135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'[14]Sch B'!E52</f>
        <v>0</v>
      </c>
      <c r="D19" s="558">
        <f>'[14]Sch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'[14]Sch B'!E67</f>
        <v>5697</v>
      </c>
      <c r="D20" s="558">
        <f>'[14]Sch B'!G67</f>
        <v>0</v>
      </c>
      <c r="E20" s="171">
        <f t="shared" si="2"/>
        <v>5697</v>
      </c>
      <c r="F20" s="171"/>
      <c r="G20" s="171">
        <f t="shared" si="0"/>
        <v>5697</v>
      </c>
      <c r="H20" s="172">
        <f t="shared" si="1"/>
        <v>1.025057500921688E-3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5557737</v>
      </c>
      <c r="D21" s="558">
        <f>SUM(D11:D20)</f>
        <v>0</v>
      </c>
      <c r="E21" s="171">
        <f>SUM(E11:E20)</f>
        <v>5557737</v>
      </c>
      <c r="F21" s="171">
        <f>SUM(F11:F20)</f>
        <v>0</v>
      </c>
      <c r="G21" s="171">
        <f>SUM(G11:G20)</f>
        <v>5557737</v>
      </c>
      <c r="H21" s="172">
        <f t="shared" si="1"/>
        <v>1</v>
      </c>
      <c r="I21" s="336"/>
      <c r="J21" s="168"/>
      <c r="K21" s="168"/>
      <c r="M21" s="359">
        <f>IFERROR(G21/G228,0)</f>
        <v>256.36500761105219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'[14]Sch C'!D10</f>
        <v>92262.82</v>
      </c>
      <c r="D25" s="558">
        <f>'[14]Sch C'!F10</f>
        <v>4582</v>
      </c>
      <c r="E25" s="171">
        <f t="shared" ref="E25:E60" si="4">C25+D25</f>
        <v>96844.82</v>
      </c>
      <c r="F25" s="171"/>
      <c r="G25" s="182">
        <f>E25+F25</f>
        <v>96844.82</v>
      </c>
      <c r="H25" s="172">
        <f>IF($G$208=0,0,G25/$G$208)</f>
        <v>1.4869206351791611E-2</v>
      </c>
      <c r="I25" s="336"/>
      <c r="J25" s="183">
        <v>1725</v>
      </c>
      <c r="K25" s="183">
        <v>1749</v>
      </c>
      <c r="M25" s="359">
        <f>G25/G$228</f>
        <v>4.4672180451127819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'[14]Sch C'!D11</f>
        <v>0</v>
      </c>
      <c r="D26" s="558">
        <f>'[14]Sch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'[14]Sch C'!D12</f>
        <v>232311.1</v>
      </c>
      <c r="D27" s="558">
        <f>'[14]Sch C'!F12</f>
        <v>11537</v>
      </c>
      <c r="E27" s="171">
        <f t="shared" si="4"/>
        <v>243848.1</v>
      </c>
      <c r="F27" s="171"/>
      <c r="G27" s="171">
        <f t="shared" si="5"/>
        <v>243848.1</v>
      </c>
      <c r="H27" s="172">
        <f t="shared" si="6"/>
        <v>3.74395627705469E-2</v>
      </c>
      <c r="I27" s="336"/>
      <c r="J27" s="185">
        <v>15849</v>
      </c>
      <c r="K27" s="185">
        <v>17141</v>
      </c>
      <c r="M27" s="359">
        <f t="shared" si="7"/>
        <v>11.248124913510772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'[14]Sch C'!D13</f>
        <v>616865</v>
      </c>
      <c r="D28" s="558">
        <f>'[14]Sch C'!F13</f>
        <v>-565161</v>
      </c>
      <c r="E28" s="171">
        <f t="shared" si="4"/>
        <v>51704</v>
      </c>
      <c r="F28" s="171"/>
      <c r="G28" s="171">
        <f t="shared" si="5"/>
        <v>51704</v>
      </c>
      <c r="H28" s="172">
        <f t="shared" si="6"/>
        <v>7.9384467358505437E-3</v>
      </c>
      <c r="I28" s="336"/>
      <c r="J28" s="168"/>
      <c r="K28" s="168"/>
      <c r="M28" s="359">
        <f t="shared" si="7"/>
        <v>2.3849808570506021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'[14]Sch C'!D14</f>
        <v>0</v>
      </c>
      <c r="D29" s="558">
        <f>'[14]Sch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'[14]Sch C'!D15</f>
        <v>0</v>
      </c>
      <c r="D30" s="558">
        <f>'[14]Sch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'[14]Sch C'!D16</f>
        <v>277929</v>
      </c>
      <c r="D31" s="558">
        <f>'[14]Sch C'!F16</f>
        <v>102321</v>
      </c>
      <c r="E31" s="171">
        <f t="shared" si="4"/>
        <v>380250</v>
      </c>
      <c r="F31" s="171"/>
      <c r="G31" s="171">
        <f t="shared" si="5"/>
        <v>380250</v>
      </c>
      <c r="H31" s="172">
        <f t="shared" si="6"/>
        <v>5.8382221323440529E-2</v>
      </c>
      <c r="I31" s="336"/>
      <c r="J31" s="168"/>
      <c r="K31" s="168"/>
      <c r="M31" s="359">
        <f t="shared" si="7"/>
        <v>17.540015683380229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'[14]Sch C'!D17</f>
        <v>9388</v>
      </c>
      <c r="D32" s="558">
        <f>'[14]Sch C'!F17</f>
        <v>0</v>
      </c>
      <c r="E32" s="171">
        <f t="shared" si="4"/>
        <v>9388</v>
      </c>
      <c r="F32" s="171"/>
      <c r="G32" s="171">
        <f t="shared" si="5"/>
        <v>9388</v>
      </c>
      <c r="H32" s="172">
        <f t="shared" si="6"/>
        <v>1.4413998521616296E-3</v>
      </c>
      <c r="I32" s="336"/>
      <c r="J32" s="168"/>
      <c r="K32" s="168"/>
      <c r="M32" s="359">
        <f t="shared" si="7"/>
        <v>0.43304580469578857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'[14]Sch C'!D18</f>
        <v>9828</v>
      </c>
      <c r="D33" s="558">
        <f>'[14]Sch C'!F18</f>
        <v>0</v>
      </c>
      <c r="E33" s="171">
        <f t="shared" si="4"/>
        <v>9828</v>
      </c>
      <c r="F33" s="171"/>
      <c r="G33" s="171">
        <f t="shared" si="5"/>
        <v>9828</v>
      </c>
      <c r="H33" s="172">
        <f t="shared" si="6"/>
        <v>1.5089558742058474E-3</v>
      </c>
      <c r="I33" s="336"/>
      <c r="J33" s="168"/>
      <c r="K33" s="168"/>
      <c r="M33" s="359">
        <f t="shared" si="7"/>
        <v>0.4533419438165967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'[14]Sch C'!D19</f>
        <v>21734</v>
      </c>
      <c r="D34" s="558">
        <f>'[14]Sch C'!F19</f>
        <v>0</v>
      </c>
      <c r="E34" s="171">
        <f t="shared" si="4"/>
        <v>21734</v>
      </c>
      <c r="F34" s="171"/>
      <c r="G34" s="171">
        <f t="shared" si="5"/>
        <v>21734</v>
      </c>
      <c r="H34" s="172">
        <f t="shared" si="6"/>
        <v>3.3369604161568875E-3</v>
      </c>
      <c r="I34" s="336"/>
      <c r="J34" s="168"/>
      <c r="K34" s="168"/>
      <c r="M34" s="359">
        <f t="shared" si="7"/>
        <v>1.0025370173901009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'[14]Sch C'!D20</f>
        <v>19332</v>
      </c>
      <c r="D35" s="558">
        <f>'[14]Sch C'!F20</f>
        <v>0</v>
      </c>
      <c r="E35" s="171">
        <f t="shared" si="4"/>
        <v>19332</v>
      </c>
      <c r="F35" s="171"/>
      <c r="G35" s="171">
        <f t="shared" si="5"/>
        <v>19332</v>
      </c>
      <c r="H35" s="172">
        <f t="shared" si="6"/>
        <v>2.9681659503609527E-3</v>
      </c>
      <c r="I35" s="336"/>
      <c r="J35" s="168"/>
      <c r="K35" s="168"/>
      <c r="M35" s="359">
        <f t="shared" si="7"/>
        <v>0.89173854882605286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'[14]Sch C'!D21</f>
        <v>60012</v>
      </c>
      <c r="D36" s="558">
        <f>'[14]Sch C'!F21</f>
        <v>7000</v>
      </c>
      <c r="E36" s="171">
        <f t="shared" si="4"/>
        <v>67012</v>
      </c>
      <c r="F36" s="171"/>
      <c r="G36" s="171">
        <f t="shared" si="5"/>
        <v>67012</v>
      </c>
      <c r="H36" s="172">
        <f t="shared" si="6"/>
        <v>1.0288782157334376E-2</v>
      </c>
      <c r="I36" s="336"/>
      <c r="J36" s="168"/>
      <c r="K36" s="168"/>
      <c r="M36" s="359">
        <f t="shared" si="7"/>
        <v>3.0911019880990822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'[14]Sch C'!D22</f>
        <v>25000</v>
      </c>
      <c r="D37" s="558">
        <f>'[14]Sch C'!F22</f>
        <v>0</v>
      </c>
      <c r="E37" s="171">
        <f t="shared" si="4"/>
        <v>25000</v>
      </c>
      <c r="F37" s="171"/>
      <c r="G37" s="171">
        <f t="shared" si="5"/>
        <v>25000</v>
      </c>
      <c r="H37" s="172">
        <f t="shared" si="6"/>
        <v>3.8384103434214679E-3</v>
      </c>
      <c r="I37" s="336"/>
      <c r="J37" s="168"/>
      <c r="K37" s="168"/>
      <c r="M37" s="359">
        <f t="shared" si="7"/>
        <v>1.1531897227731907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'[14]Sch C'!D23</f>
        <v>13099</v>
      </c>
      <c r="D38" s="558">
        <f>'[14]Sch C'!F23</f>
        <v>0</v>
      </c>
      <c r="E38" s="171">
        <f t="shared" si="4"/>
        <v>13099</v>
      </c>
      <c r="F38" s="171"/>
      <c r="G38" s="171">
        <f t="shared" si="5"/>
        <v>13099</v>
      </c>
      <c r="H38" s="172">
        <f t="shared" si="6"/>
        <v>2.0111734835391122E-3</v>
      </c>
      <c r="I38" s="336"/>
      <c r="J38" s="168"/>
      <c r="K38" s="168"/>
      <c r="M38" s="359">
        <f t="shared" si="7"/>
        <v>0.60422528714424095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'[14]Sch C'!D24</f>
        <v>0</v>
      </c>
      <c r="D39" s="558">
        <f>'[14]Sch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'[14]Sch C'!D25</f>
        <v>0</v>
      </c>
      <c r="D40" s="558">
        <f>'[14]Sch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'[14]Sch C'!D26</f>
        <v>321263</v>
      </c>
      <c r="D41" s="558">
        <f>'[14]Sch C'!F26</f>
        <v>0</v>
      </c>
      <c r="E41" s="171">
        <f t="shared" si="4"/>
        <v>321263</v>
      </c>
      <c r="F41" s="171"/>
      <c r="G41" s="171">
        <f t="shared" si="5"/>
        <v>321263</v>
      </c>
      <c r="H41" s="172">
        <f t="shared" si="6"/>
        <v>4.9325568886344442E-2</v>
      </c>
      <c r="I41" s="336"/>
      <c r="J41" s="168"/>
      <c r="K41" s="168"/>
      <c r="M41" s="359">
        <f t="shared" si="7"/>
        <v>14.819087596291341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'[14]Sch C'!D27</f>
        <v>113075</v>
      </c>
      <c r="D42" s="558">
        <f>'[14]Sch C'!F27</f>
        <v>-89</v>
      </c>
      <c r="E42" s="171">
        <f t="shared" si="4"/>
        <v>112986</v>
      </c>
      <c r="F42" s="171"/>
      <c r="G42" s="171">
        <f t="shared" si="5"/>
        <v>112986</v>
      </c>
      <c r="H42" s="172">
        <f t="shared" si="6"/>
        <v>1.7347465242472718E-2</v>
      </c>
      <c r="I42" s="336"/>
      <c r="J42" s="168"/>
      <c r="K42" s="168"/>
      <c r="M42" s="359">
        <f t="shared" si="7"/>
        <v>5.2117717606900689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'[14]Sch C'!D28</f>
        <v>0</v>
      </c>
      <c r="D43" s="558">
        <f>'[14]Sch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'[14]Sch C'!D29</f>
        <v>139586</v>
      </c>
      <c r="D44" s="558">
        <f>'[14]Sch C'!F29</f>
        <v>-139586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'[14]Sch C'!D30</f>
        <v>0</v>
      </c>
      <c r="D45" s="558">
        <f>'[14]Sch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'[14]Sch C'!D31</f>
        <v>87629</v>
      </c>
      <c r="D46" s="558">
        <f>'[14]Sch C'!F31</f>
        <v>0</v>
      </c>
      <c r="E46" s="171">
        <f t="shared" si="4"/>
        <v>87629</v>
      </c>
      <c r="F46" s="171"/>
      <c r="G46" s="171">
        <f t="shared" si="5"/>
        <v>87629</v>
      </c>
      <c r="H46" s="172">
        <f t="shared" si="6"/>
        <v>1.3454242399347192E-2</v>
      </c>
      <c r="I46" s="336"/>
      <c r="J46" s="168"/>
      <c r="K46" s="168"/>
      <c r="M46" s="359">
        <f t="shared" si="7"/>
        <v>4.0421144886756766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'[14]Sch C'!D32</f>
        <v>55711</v>
      </c>
      <c r="D47" s="558">
        <f>'[14]Sch C'!F32</f>
        <v>0</v>
      </c>
      <c r="E47" s="171">
        <f t="shared" si="4"/>
        <v>55711</v>
      </c>
      <c r="F47" s="171"/>
      <c r="G47" s="171">
        <f t="shared" si="5"/>
        <v>55711</v>
      </c>
      <c r="H47" s="172">
        <f t="shared" si="6"/>
        <v>8.5536671456941365E-3</v>
      </c>
      <c r="I47" s="336"/>
      <c r="J47" s="168"/>
      <c r="K47" s="168"/>
      <c r="M47" s="359">
        <f t="shared" si="7"/>
        <v>2.5698141058166888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'[14]Sch C'!D33</f>
        <v>0</v>
      </c>
      <c r="D48" s="558">
        <f>'[14]Sch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'[14]Sch C'!D34</f>
        <v>0</v>
      </c>
      <c r="D49" s="558">
        <f>'[14]Sch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'[14]Sch C'!D35</f>
        <v>5785</v>
      </c>
      <c r="D50" s="558">
        <f>'[14]Sch C'!F35</f>
        <v>-5785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'[14]Sch C'!D36</f>
        <v>52241</v>
      </c>
      <c r="D51" s="558">
        <f>'[14]Sch C'!F36</f>
        <v>2595</v>
      </c>
      <c r="E51" s="171">
        <f t="shared" si="4"/>
        <v>54836</v>
      </c>
      <c r="F51" s="171"/>
      <c r="G51" s="171">
        <f t="shared" si="5"/>
        <v>54836</v>
      </c>
      <c r="H51" s="172">
        <f t="shared" si="6"/>
        <v>8.419322783674384E-3</v>
      </c>
      <c r="I51" s="336"/>
      <c r="J51" s="183">
        <v>3610</v>
      </c>
      <c r="K51" s="183">
        <v>4091</v>
      </c>
      <c r="M51" s="359">
        <f t="shared" si="7"/>
        <v>2.5294524655196273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'[14]Sch C'!D37</f>
        <v>0</v>
      </c>
      <c r="D52" s="558">
        <f>'[14]Sch C'!F37</f>
        <v>8322</v>
      </c>
      <c r="E52" s="171">
        <f t="shared" si="4"/>
        <v>8322</v>
      </c>
      <c r="F52" s="171"/>
      <c r="G52" s="171">
        <f t="shared" si="5"/>
        <v>8322</v>
      </c>
      <c r="H52" s="172">
        <f t="shared" si="6"/>
        <v>1.2777300351181384E-3</v>
      </c>
      <c r="I52" s="336"/>
      <c r="J52" s="168"/>
      <c r="K52" s="168"/>
      <c r="M52" s="359">
        <f t="shared" si="7"/>
        <v>0.38387379491673967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'[14]Sch C'!D38</f>
        <v>0</v>
      </c>
      <c r="D53" s="558">
        <f>'[14]Sch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'[14]Sch C'!D39</f>
        <v>9711</v>
      </c>
      <c r="D54" s="558">
        <f>'[14]Sch C'!F39</f>
        <v>0</v>
      </c>
      <c r="E54" s="171">
        <f t="shared" si="4"/>
        <v>9711</v>
      </c>
      <c r="F54" s="171"/>
      <c r="G54" s="171">
        <f t="shared" si="5"/>
        <v>9711</v>
      </c>
      <c r="H54" s="172">
        <f t="shared" si="6"/>
        <v>1.490992113798635E-3</v>
      </c>
      <c r="I54" s="336"/>
      <c r="J54" s="168"/>
      <c r="K54" s="168"/>
      <c r="M54" s="359">
        <f t="shared" si="7"/>
        <v>0.4479450159140182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'[14]Sch C'!D40</f>
        <v>0</v>
      </c>
      <c r="D55" s="558">
        <f>'[14]Sch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'[14]Sch C'!D41</f>
        <v>42080</v>
      </c>
      <c r="D56" s="558">
        <f>'[14]Sch C'!F41</f>
        <v>0</v>
      </c>
      <c r="E56" s="171">
        <f t="shared" si="4"/>
        <v>42080</v>
      </c>
      <c r="F56" s="171"/>
      <c r="G56" s="171">
        <f t="shared" si="5"/>
        <v>42080</v>
      </c>
      <c r="H56" s="172">
        <f t="shared" si="6"/>
        <v>6.4608122900470149E-3</v>
      </c>
      <c r="I56" s="336"/>
      <c r="J56" s="168"/>
      <c r="K56" s="168"/>
      <c r="M56" s="359">
        <f t="shared" si="7"/>
        <v>1.9410489413718346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'[14]Sch C'!D42</f>
        <v>4825</v>
      </c>
      <c r="D57" s="558">
        <f>'[14]Sch C'!F42</f>
        <v>0</v>
      </c>
      <c r="E57" s="171">
        <f t="shared" si="4"/>
        <v>4825</v>
      </c>
      <c r="F57" s="171"/>
      <c r="G57" s="171">
        <f t="shared" si="5"/>
        <v>4825</v>
      </c>
      <c r="H57" s="172">
        <f t="shared" si="6"/>
        <v>7.4081319628034332E-4</v>
      </c>
      <c r="I57" s="336"/>
      <c r="J57" s="168"/>
      <c r="K57" s="168"/>
      <c r="M57" s="359">
        <f t="shared" si="7"/>
        <v>0.2225656164952258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'[14]Sch C'!D43</f>
        <v>12770</v>
      </c>
      <c r="D58" s="558">
        <f>'[14]Sch C'!F43</f>
        <v>0</v>
      </c>
      <c r="E58" s="171">
        <f t="shared" si="4"/>
        <v>12770</v>
      </c>
      <c r="F58" s="171"/>
      <c r="G58" s="171">
        <f t="shared" si="5"/>
        <v>12770</v>
      </c>
      <c r="H58" s="172">
        <f t="shared" si="6"/>
        <v>1.9606600034196859E-3</v>
      </c>
      <c r="I58" s="336"/>
      <c r="J58" s="168"/>
      <c r="K58" s="168"/>
      <c r="M58" s="359">
        <f t="shared" si="7"/>
        <v>0.58904931039254582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'[14]Sch C'!D44</f>
        <v>0</v>
      </c>
      <c r="D59" s="558">
        <f>'[14]Sch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'[14]Sch C'!D45</f>
        <v>6975</v>
      </c>
      <c r="D60" s="558">
        <f>'[14]Sch C'!F45</f>
        <v>-5372</v>
      </c>
      <c r="E60" s="171">
        <f t="shared" si="4"/>
        <v>1603</v>
      </c>
      <c r="F60" s="171"/>
      <c r="G60" s="171">
        <f t="shared" si="5"/>
        <v>1603</v>
      </c>
      <c r="H60" s="172">
        <f t="shared" si="6"/>
        <v>2.4611887122018451E-4</v>
      </c>
      <c r="I60" s="336"/>
      <c r="J60" s="168"/>
      <c r="K60" s="168"/>
      <c r="M60" s="359">
        <f t="shared" si="7"/>
        <v>7.3942525024216985E-2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2229411.92</v>
      </c>
      <c r="D61" s="558">
        <f>SUM(D25:D60)</f>
        <v>-579636</v>
      </c>
      <c r="E61" s="171">
        <f t="shared" ref="E61:F61" si="8">SUM(E25:E60)</f>
        <v>1649775.92</v>
      </c>
      <c r="F61" s="171">
        <f t="shared" si="8"/>
        <v>0</v>
      </c>
      <c r="G61" s="171">
        <f>SUM(G25:G60)</f>
        <v>1649775.92</v>
      </c>
      <c r="H61" s="186">
        <f t="shared" si="6"/>
        <v>0.25330067822622671</v>
      </c>
      <c r="I61" s="338"/>
      <c r="J61" s="168"/>
      <c r="K61" s="168"/>
      <c r="M61" s="364">
        <f>G61/G$228</f>
        <v>76.100185432907423</v>
      </c>
      <c r="N61" s="359">
        <f>SUMMARY!J64</f>
        <v>53.728790309602623</v>
      </c>
      <c r="O61" s="354">
        <f>M61/N61-1</f>
        <v>0.41637630392185643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'[14]Sch C'!D57</f>
        <v>640680</v>
      </c>
      <c r="D64" s="558">
        <f>'[14]Sch C'!F57</f>
        <v>-640680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'[14]Sch C'!D58</f>
        <v>4005</v>
      </c>
      <c r="D65" s="558">
        <f>'[14]Sch C'!F58</f>
        <v>165996</v>
      </c>
      <c r="E65" s="171">
        <f t="shared" si="9"/>
        <v>170001</v>
      </c>
      <c r="F65" s="171"/>
      <c r="G65" s="171">
        <f t="shared" si="10"/>
        <v>170001</v>
      </c>
      <c r="H65" s="172">
        <f t="shared" si="11"/>
        <v>2.6101343871679721E-2</v>
      </c>
      <c r="I65" s="336"/>
      <c r="J65" s="190"/>
      <c r="K65" s="168"/>
      <c r="M65" s="359">
        <f t="shared" si="12"/>
        <v>7.8417362424466077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'[14]Sch C'!D59</f>
        <v>46777</v>
      </c>
      <c r="D66" s="558">
        <f>'[14]Sch C'!F59</f>
        <v>219622</v>
      </c>
      <c r="E66" s="171">
        <f t="shared" si="9"/>
        <v>266399</v>
      </c>
      <c r="F66" s="171"/>
      <c r="G66" s="171">
        <f t="shared" si="10"/>
        <v>266399</v>
      </c>
      <c r="H66" s="172">
        <f t="shared" si="11"/>
        <v>4.0901947083085428E-2</v>
      </c>
      <c r="I66" s="336"/>
      <c r="J66" s="190"/>
      <c r="K66" s="168"/>
      <c r="M66" s="359">
        <f t="shared" si="12"/>
        <v>12.288343558282209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'[14]Sch C'!D60</f>
        <v>19890</v>
      </c>
      <c r="D67" s="558">
        <f>'[14]Sch C'!F60</f>
        <v>0</v>
      </c>
      <c r="E67" s="171">
        <f t="shared" si="9"/>
        <v>19890</v>
      </c>
      <c r="F67" s="171"/>
      <c r="G67" s="171">
        <f t="shared" si="10"/>
        <v>19890</v>
      </c>
      <c r="H67" s="172">
        <f t="shared" si="11"/>
        <v>3.0538392692261202E-3</v>
      </c>
      <c r="I67" s="336"/>
      <c r="J67" s="193"/>
      <c r="K67" s="168"/>
      <c r="M67" s="359">
        <f t="shared" si="12"/>
        <v>0.91747774343835042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'[14]Sch C'!D61</f>
        <v>18676</v>
      </c>
      <c r="D68" s="558">
        <f>'[14]Sch C'!F61</f>
        <v>22476</v>
      </c>
      <c r="E68" s="171">
        <f t="shared" si="9"/>
        <v>41152</v>
      </c>
      <c r="F68" s="171"/>
      <c r="G68" s="171">
        <f t="shared" si="10"/>
        <v>41152</v>
      </c>
      <c r="H68" s="172">
        <f t="shared" si="11"/>
        <v>6.3183304980992099E-3</v>
      </c>
      <c r="I68" s="336"/>
      <c r="J68" s="193"/>
      <c r="K68" s="168"/>
      <c r="M68" s="359">
        <f t="shared" si="12"/>
        <v>1.8982425388624937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'[14]Sch C'!D62</f>
        <v>15448</v>
      </c>
      <c r="D69" s="558">
        <f>'[14]Sch C'!F62</f>
        <v>0</v>
      </c>
      <c r="E69" s="171">
        <f t="shared" si="9"/>
        <v>15448</v>
      </c>
      <c r="F69" s="171"/>
      <c r="G69" s="171">
        <f t="shared" si="10"/>
        <v>15448</v>
      </c>
      <c r="H69" s="172">
        <f t="shared" si="11"/>
        <v>2.3718305194069937E-3</v>
      </c>
      <c r="I69" s="336"/>
      <c r="J69" s="195"/>
      <c r="K69" s="168"/>
      <c r="M69" s="359">
        <f t="shared" si="12"/>
        <v>0.71257899349600995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'[14]Sch C'!D63</f>
        <v>0</v>
      </c>
      <c r="D70" s="558">
        <f>'[14]Sch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'[14]Sch C'!D64</f>
        <v>0</v>
      </c>
      <c r="D71" s="558">
        <f>'[14]Sch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'[14]Sch C'!D65</f>
        <v>18160</v>
      </c>
      <c r="D72" s="558">
        <f>'[14]Sch C'!F65</f>
        <v>0</v>
      </c>
      <c r="E72" s="171">
        <f t="shared" si="9"/>
        <v>18160</v>
      </c>
      <c r="F72" s="171"/>
      <c r="G72" s="171">
        <f t="shared" si="10"/>
        <v>18160</v>
      </c>
      <c r="H72" s="172">
        <f t="shared" si="11"/>
        <v>2.7882212734613543E-3</v>
      </c>
      <c r="I72" s="336"/>
      <c r="J72" s="195"/>
      <c r="K72" s="168"/>
      <c r="M72" s="359">
        <f t="shared" si="12"/>
        <v>0.8376770146224457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'[14]Sch C'!D66</f>
        <v>0</v>
      </c>
      <c r="D73" s="558">
        <f>'[14]Sch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'[14]Sch C'!D67</f>
        <v>47625</v>
      </c>
      <c r="D74" s="558">
        <f>'[14]Sch C'!F67</f>
        <v>16340</v>
      </c>
      <c r="E74" s="171">
        <f t="shared" si="9"/>
        <v>63965</v>
      </c>
      <c r="F74" s="171"/>
      <c r="G74" s="171">
        <f t="shared" si="10"/>
        <v>63965</v>
      </c>
      <c r="H74" s="172">
        <f t="shared" si="11"/>
        <v>9.8209567046781687E-3</v>
      </c>
      <c r="I74" s="336"/>
      <c r="J74" s="195"/>
      <c r="K74" s="168"/>
      <c r="M74" s="359">
        <f t="shared" si="12"/>
        <v>2.9505512246874854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'[14]Sch C'!D68</f>
        <v>0</v>
      </c>
      <c r="D75" s="558">
        <f>'[14]Sch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'[14]Sch C'!D69</f>
        <v>0</v>
      </c>
      <c r="D76" s="558">
        <f>'[14]Sch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'[14]Sch C'!D70</f>
        <v>0</v>
      </c>
      <c r="D77" s="558">
        <f>'[14]Sch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'[14]Sch C'!D71</f>
        <v>0</v>
      </c>
      <c r="D78" s="558">
        <f>'[14]Sch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811261</v>
      </c>
      <c r="D79" s="558">
        <f>SUM(D64:D78)</f>
        <v>-216246</v>
      </c>
      <c r="E79" s="171">
        <f t="shared" ref="E79:F79" si="13">SUM(E64:E78)</f>
        <v>595015</v>
      </c>
      <c r="F79" s="171">
        <f t="shared" si="13"/>
        <v>0</v>
      </c>
      <c r="G79" s="171">
        <f>SUM(G64:G78)</f>
        <v>595015</v>
      </c>
      <c r="H79" s="172">
        <f t="shared" si="11"/>
        <v>9.1356469219636985E-2</v>
      </c>
      <c r="I79" s="336"/>
      <c r="J79" s="195"/>
      <c r="K79" s="168"/>
      <c r="M79" s="359">
        <f t="shared" si="12"/>
        <v>27.4466073158356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'[14]Sch C'!D75</f>
        <v>55586</v>
      </c>
      <c r="D82" s="558">
        <f>'[14]Sch C'!F75</f>
        <v>2761</v>
      </c>
      <c r="E82" s="171">
        <f t="shared" ref="E82:E92" si="14">C82+D82</f>
        <v>58347</v>
      </c>
      <c r="F82" s="171"/>
      <c r="G82" s="171">
        <f t="shared" ref="G82:G92" si="15">E82+F82</f>
        <v>58347</v>
      </c>
      <c r="H82" s="172">
        <f t="shared" ref="H82:H93" si="16">IF($G$208=0,0,G82/$G$208)</f>
        <v>8.9583891323044961E-3</v>
      </c>
      <c r="I82" s="336"/>
      <c r="J82" s="183">
        <v>3735</v>
      </c>
      <c r="K82" s="183">
        <v>4109</v>
      </c>
      <c r="M82" s="359">
        <f t="shared" ref="M82:M92" si="17">G82/G$228</f>
        <v>2.6914064301858942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'[14]Sch C'!D76</f>
        <v>0</v>
      </c>
      <c r="D83" s="558">
        <f>'[14]Sch C'!F76</f>
        <v>8855</v>
      </c>
      <c r="E83" s="171">
        <f t="shared" si="14"/>
        <v>8855</v>
      </c>
      <c r="F83" s="171"/>
      <c r="G83" s="171">
        <f t="shared" si="15"/>
        <v>8855</v>
      </c>
      <c r="H83" s="172">
        <f t="shared" si="16"/>
        <v>1.3595649436398841E-3</v>
      </c>
      <c r="I83" s="336"/>
      <c r="J83" s="168"/>
      <c r="K83" s="168"/>
      <c r="M83" s="359">
        <f t="shared" si="17"/>
        <v>0.40845979980626412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'[14]Sch C'!D77</f>
        <v>14883</v>
      </c>
      <c r="D84" s="558">
        <f>'[14]Sch C'!F77</f>
        <v>0</v>
      </c>
      <c r="E84" s="171">
        <f t="shared" si="14"/>
        <v>14883</v>
      </c>
      <c r="F84" s="171"/>
      <c r="G84" s="171">
        <f t="shared" si="15"/>
        <v>14883</v>
      </c>
      <c r="H84" s="172">
        <f t="shared" si="16"/>
        <v>2.2850824456456683E-3</v>
      </c>
      <c r="I84" s="336"/>
      <c r="J84" s="168"/>
      <c r="K84" s="168"/>
      <c r="M84" s="359">
        <f t="shared" si="17"/>
        <v>0.68651690576133584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'[14]Sch C'!D78</f>
        <v>73191</v>
      </c>
      <c r="D85" s="558">
        <f>'[14]Sch C'!F78</f>
        <v>0</v>
      </c>
      <c r="E85" s="171">
        <f t="shared" si="14"/>
        <v>73191</v>
      </c>
      <c r="F85" s="171"/>
      <c r="G85" s="171">
        <f t="shared" si="15"/>
        <v>73191</v>
      </c>
      <c r="H85" s="172">
        <f t="shared" si="16"/>
        <v>1.1237483657814427E-2</v>
      </c>
      <c r="I85" s="336"/>
      <c r="J85" s="168"/>
      <c r="K85" s="168"/>
      <c r="M85" s="359">
        <f t="shared" si="17"/>
        <v>3.3761243599797037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'[14]Sch C'!D79</f>
        <v>4209</v>
      </c>
      <c r="D86" s="558">
        <f>'[14]Sch C'!F79</f>
        <v>0</v>
      </c>
      <c r="E86" s="171">
        <f t="shared" si="14"/>
        <v>4209</v>
      </c>
      <c r="F86" s="171"/>
      <c r="G86" s="171">
        <f>E86+F86</f>
        <v>4209</v>
      </c>
      <c r="H86" s="172">
        <f t="shared" si="16"/>
        <v>6.4623476541843835E-4</v>
      </c>
      <c r="I86" s="336"/>
      <c r="J86" s="168"/>
      <c r="K86" s="168"/>
      <c r="M86" s="359">
        <f t="shared" si="17"/>
        <v>0.19415102172609439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'[14]Sch C'!D80</f>
        <v>24118</v>
      </c>
      <c r="D87" s="558">
        <f>'[14]Sch C'!F80</f>
        <v>0</v>
      </c>
      <c r="E87" s="171">
        <f t="shared" si="14"/>
        <v>24118</v>
      </c>
      <c r="F87" s="171"/>
      <c r="G87" s="171">
        <f t="shared" si="15"/>
        <v>24118</v>
      </c>
      <c r="H87" s="172">
        <f t="shared" si="16"/>
        <v>3.7029912265055588E-3</v>
      </c>
      <c r="I87" s="336"/>
      <c r="J87" s="168"/>
      <c r="K87" s="168"/>
      <c r="M87" s="359">
        <f t="shared" si="17"/>
        <v>1.1125051893537525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'[14]Sch C'!D81</f>
        <v>3891</v>
      </c>
      <c r="D88" s="558">
        <f>'[14]Sch C'!F81</f>
        <v>0</v>
      </c>
      <c r="E88" s="171">
        <f t="shared" si="14"/>
        <v>3891</v>
      </c>
      <c r="F88" s="171"/>
      <c r="G88" s="171">
        <f t="shared" si="15"/>
        <v>3891</v>
      </c>
      <c r="H88" s="172">
        <f t="shared" si="16"/>
        <v>5.9741018585011724E-4</v>
      </c>
      <c r="I88" s="336"/>
      <c r="J88" s="168"/>
      <c r="K88" s="168"/>
      <c r="M88" s="359">
        <f t="shared" si="17"/>
        <v>0.1794824484524194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'[14]Sch C'!D82</f>
        <v>0</v>
      </c>
      <c r="D89" s="558">
        <f>'[14]Sch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'[14]Sch C'!D83</f>
        <v>6661</v>
      </c>
      <c r="D90" s="558">
        <f>'[14]Sch C'!F83</f>
        <v>0</v>
      </c>
      <c r="E90" s="171">
        <f t="shared" si="14"/>
        <v>6661</v>
      </c>
      <c r="F90" s="171"/>
      <c r="G90" s="171">
        <f t="shared" si="15"/>
        <v>6661</v>
      </c>
      <c r="H90" s="172">
        <f t="shared" si="16"/>
        <v>1.0227060519012159E-3</v>
      </c>
      <c r="I90" s="336"/>
      <c r="J90" s="168"/>
      <c r="K90" s="168"/>
      <c r="M90" s="359">
        <f t="shared" si="17"/>
        <v>0.30725586973568891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'[14]Sch C'!D84</f>
        <v>81534</v>
      </c>
      <c r="D91" s="558">
        <f>'[14]Sch C'!F84</f>
        <v>0</v>
      </c>
      <c r="E91" s="171">
        <f t="shared" si="14"/>
        <v>81534</v>
      </c>
      <c r="F91" s="171"/>
      <c r="G91" s="171">
        <f t="shared" si="15"/>
        <v>81534</v>
      </c>
      <c r="H91" s="172">
        <f t="shared" si="16"/>
        <v>1.2518437957621038E-2</v>
      </c>
      <c r="I91" s="336"/>
      <c r="J91" s="168"/>
      <c r="K91" s="168"/>
      <c r="M91" s="359">
        <f t="shared" si="17"/>
        <v>3.7609668342635731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'[14]Sch C'!D85</f>
        <v>541</v>
      </c>
      <c r="D92" s="558">
        <f>'[14]Sch C'!F85</f>
        <v>0</v>
      </c>
      <c r="E92" s="171">
        <f t="shared" si="14"/>
        <v>541</v>
      </c>
      <c r="F92" s="171"/>
      <c r="G92" s="171">
        <f t="shared" si="15"/>
        <v>541</v>
      </c>
      <c r="H92" s="172">
        <f t="shared" si="16"/>
        <v>8.3063199831640561E-5</v>
      </c>
      <c r="I92" s="336"/>
      <c r="J92" s="168"/>
      <c r="K92" s="168"/>
      <c r="M92" s="359">
        <f t="shared" si="17"/>
        <v>2.4955025600811847E-2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264614</v>
      </c>
      <c r="D93" s="558">
        <f>SUM(D82:D92)</f>
        <v>11616</v>
      </c>
      <c r="E93" s="171">
        <f t="shared" ref="E93:F93" si="18">SUM(E82:E92)</f>
        <v>276230</v>
      </c>
      <c r="F93" s="171">
        <f t="shared" si="18"/>
        <v>0</v>
      </c>
      <c r="G93" s="171">
        <f>SUM(G82:G92)</f>
        <v>276230</v>
      </c>
      <c r="H93" s="172">
        <f t="shared" si="16"/>
        <v>4.2411363566532481E-2</v>
      </c>
      <c r="I93" s="336"/>
      <c r="J93" s="168"/>
      <c r="K93" s="168"/>
      <c r="M93" s="364">
        <f>G93/G$228</f>
        <v>12.741823884865537</v>
      </c>
      <c r="N93" s="359">
        <f>SUMMARY!J96</f>
        <v>11.458724454710746</v>
      </c>
      <c r="O93" s="354">
        <f>M93/N93-1</f>
        <v>0.11197576442527191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'[14]Sch C'!D89</f>
        <v>241797</v>
      </c>
      <c r="D96" s="558">
        <f>'[14]Sch C'!F89</f>
        <v>12008</v>
      </c>
      <c r="E96" s="171">
        <f t="shared" ref="E96:E101" si="19">C96+D96</f>
        <v>253805</v>
      </c>
      <c r="F96" s="171"/>
      <c r="G96" s="171">
        <f t="shared" ref="G96:G101" si="20">E96+F96</f>
        <v>253805</v>
      </c>
      <c r="H96" s="172">
        <f t="shared" ref="H96:H102" si="21">IF($G$208=0,0,G96/$G$208)</f>
        <v>3.8968309488483427E-2</v>
      </c>
      <c r="I96" s="336"/>
      <c r="J96" s="183">
        <v>18931</v>
      </c>
      <c r="K96" s="183">
        <v>19857</v>
      </c>
      <c r="M96" s="364">
        <f t="shared" ref="M96:M101" si="22">G96/G$228</f>
        <v>11.707412703537987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'[14]Sch C'!D90</f>
        <v>0</v>
      </c>
      <c r="D97" s="558">
        <f>'[14]Sch C'!F90</f>
        <v>38518</v>
      </c>
      <c r="E97" s="171">
        <f t="shared" si="19"/>
        <v>38518</v>
      </c>
      <c r="F97" s="171"/>
      <c r="G97" s="171">
        <f t="shared" si="20"/>
        <v>38518</v>
      </c>
      <c r="H97" s="172">
        <f t="shared" si="21"/>
        <v>5.9139155843163241E-3</v>
      </c>
      <c r="I97" s="336"/>
      <c r="J97" s="168"/>
      <c r="K97" s="168"/>
      <c r="M97" s="364">
        <f t="shared" si="22"/>
        <v>1.7767424696711103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'[14]Sch C'!D91</f>
        <v>21321</v>
      </c>
      <c r="D98" s="558">
        <f>'[14]Sch C'!F91</f>
        <v>0</v>
      </c>
      <c r="E98" s="171">
        <f t="shared" si="19"/>
        <v>21321</v>
      </c>
      <c r="F98" s="171"/>
      <c r="G98" s="171">
        <f t="shared" si="20"/>
        <v>21321</v>
      </c>
      <c r="H98" s="172">
        <f t="shared" si="21"/>
        <v>3.273549877283565E-3</v>
      </c>
      <c r="I98" s="336"/>
      <c r="J98" s="168"/>
      <c r="K98" s="168"/>
      <c r="M98" s="364">
        <f t="shared" si="22"/>
        <v>0.98348632316988793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'[14]Sch C'!D92</f>
        <v>176028</v>
      </c>
      <c r="D99" s="558">
        <f>'[14]Sch C'!F92</f>
        <v>0</v>
      </c>
      <c r="E99" s="171">
        <f t="shared" si="19"/>
        <v>176028</v>
      </c>
      <c r="F99" s="171"/>
      <c r="G99" s="171">
        <f t="shared" si="20"/>
        <v>176028</v>
      </c>
      <c r="H99" s="172">
        <f t="shared" si="21"/>
        <v>2.7026707837271766E-2</v>
      </c>
      <c r="I99" s="336"/>
      <c r="J99" s="168"/>
      <c r="K99" s="168"/>
      <c r="M99" s="364">
        <f t="shared" si="22"/>
        <v>8.1197472208127675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'[14]Sch C'!D93</f>
        <v>14069</v>
      </c>
      <c r="D100" s="558">
        <f>'[14]Sch C'!F93</f>
        <v>0</v>
      </c>
      <c r="E100" s="171">
        <f t="shared" si="19"/>
        <v>14069</v>
      </c>
      <c r="F100" s="171"/>
      <c r="G100" s="171">
        <f t="shared" si="20"/>
        <v>14069</v>
      </c>
      <c r="H100" s="172">
        <f t="shared" si="21"/>
        <v>2.1601038048638652E-3</v>
      </c>
      <c r="I100" s="336"/>
      <c r="J100" s="168"/>
      <c r="K100" s="168"/>
      <c r="M100" s="364">
        <f t="shared" si="22"/>
        <v>0.64896904838784075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'[14]Sch C'!D94</f>
        <v>1009</v>
      </c>
      <c r="D101" s="558">
        <f>'[14]Sch C'!F94</f>
        <v>-236</v>
      </c>
      <c r="E101" s="171">
        <f t="shared" si="19"/>
        <v>773</v>
      </c>
      <c r="F101" s="171"/>
      <c r="G101" s="171">
        <f t="shared" si="20"/>
        <v>773</v>
      </c>
      <c r="H101" s="172">
        <f t="shared" si="21"/>
        <v>1.186836478185918E-4</v>
      </c>
      <c r="I101" s="336"/>
      <c r="J101" s="168"/>
      <c r="K101" s="168"/>
      <c r="M101" s="364">
        <f t="shared" si="22"/>
        <v>3.5656626228147054E-2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454224</v>
      </c>
      <c r="D102" s="558">
        <f>SUM(D96:D101)</f>
        <v>50290</v>
      </c>
      <c r="E102" s="171">
        <f t="shared" ref="E102:F102" si="23">SUM(E96:E101)</f>
        <v>504514</v>
      </c>
      <c r="F102" s="171">
        <f t="shared" si="23"/>
        <v>0</v>
      </c>
      <c r="G102" s="171">
        <f>SUM(G96:G101)</f>
        <v>504514</v>
      </c>
      <c r="H102" s="172">
        <f t="shared" si="21"/>
        <v>7.7461270240037544E-2</v>
      </c>
      <c r="I102" s="336"/>
      <c r="J102" s="168"/>
      <c r="K102" s="168"/>
      <c r="M102" s="364">
        <f>G102/G$228</f>
        <v>23.27201439180774</v>
      </c>
      <c r="N102" s="359">
        <f>SUMMARY!J105</f>
        <v>19.901077037785338</v>
      </c>
      <c r="O102" s="354">
        <f>M102/N102-1</f>
        <v>0.16938466936347951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'[14]Sch C'!D98</f>
        <v>0</v>
      </c>
      <c r="D105" s="558">
        <f>'[14]Sch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'[14]Sch C'!D99</f>
        <v>0</v>
      </c>
      <c r="D106" s="558">
        <f>'[14]Sch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'[14]Sch C'!D100</f>
        <v>15</v>
      </c>
      <c r="D107" s="558">
        <f>'[14]Sch C'!F100</f>
        <v>0</v>
      </c>
      <c r="E107" s="171">
        <f t="shared" si="24"/>
        <v>15</v>
      </c>
      <c r="F107" s="171"/>
      <c r="G107" s="171">
        <f t="shared" si="25"/>
        <v>15</v>
      </c>
      <c r="H107" s="172">
        <f t="shared" si="26"/>
        <v>2.3030462060528806E-6</v>
      </c>
      <c r="I107" s="336"/>
      <c r="J107" s="168"/>
      <c r="K107" s="168"/>
      <c r="M107" s="364">
        <f t="shared" si="27"/>
        <v>6.9191383366391443E-4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'[14]Sch C'!D101</f>
        <v>69600</v>
      </c>
      <c r="D108" s="558">
        <f>'[14]Sch C'!F101</f>
        <v>0</v>
      </c>
      <c r="E108" s="171">
        <f t="shared" si="24"/>
        <v>69600</v>
      </c>
      <c r="F108" s="171"/>
      <c r="G108" s="171">
        <f t="shared" si="25"/>
        <v>69600</v>
      </c>
      <c r="H108" s="172">
        <f t="shared" si="26"/>
        <v>1.0686134396085368E-2</v>
      </c>
      <c r="I108" s="336"/>
      <c r="J108" s="168"/>
      <c r="K108" s="168"/>
      <c r="M108" s="364">
        <f t="shared" si="27"/>
        <v>3.2104801882005627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'[14]Sch C'!D102</f>
        <v>0</v>
      </c>
      <c r="D109" s="558">
        <f>'[14]Sch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'[14]Sch C'!D103</f>
        <v>0</v>
      </c>
      <c r="D110" s="558">
        <f>'[14]Sch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69615</v>
      </c>
      <c r="D111" s="558">
        <f>SUM(D105:D110)</f>
        <v>0</v>
      </c>
      <c r="E111" s="171">
        <f t="shared" ref="E111:F111" si="28">SUM(E105:E110)</f>
        <v>69615</v>
      </c>
      <c r="F111" s="171">
        <f t="shared" si="28"/>
        <v>0</v>
      </c>
      <c r="G111" s="171">
        <f>SUM(G105:G110)</f>
        <v>69615</v>
      </c>
      <c r="H111" s="172">
        <f t="shared" si="26"/>
        <v>1.0688437442291419E-2</v>
      </c>
      <c r="I111" s="336"/>
      <c r="J111" s="168"/>
      <c r="K111" s="168"/>
      <c r="M111" s="364">
        <f>G111/G$228</f>
        <v>3.2111721020342268</v>
      </c>
      <c r="N111" s="359">
        <f>SUMMARY!J114</f>
        <v>2.4242384372309496</v>
      </c>
      <c r="O111" s="354">
        <f>M111/N111-1</f>
        <v>0.32461067059977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'[14]Sch C'!D115</f>
        <v>0</v>
      </c>
      <c r="D114" s="558">
        <f>'[14]Sch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'[14]Sch C'!D116</f>
        <v>0</v>
      </c>
      <c r="D115" s="558">
        <f>'[14]Sch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'[14]Sch C'!D117</f>
        <v>980</v>
      </c>
      <c r="D116" s="558">
        <f>'[14]Sch C'!F117</f>
        <v>0</v>
      </c>
      <c r="E116" s="171">
        <f t="shared" si="29"/>
        <v>980</v>
      </c>
      <c r="F116" s="171"/>
      <c r="G116" s="171">
        <f>E116+F116</f>
        <v>980</v>
      </c>
      <c r="H116" s="172">
        <f t="shared" si="30"/>
        <v>1.5046568546212154E-4</v>
      </c>
      <c r="I116" s="336"/>
      <c r="J116" s="168"/>
      <c r="K116" s="168"/>
      <c r="M116" s="364">
        <f t="shared" si="31"/>
        <v>4.5205037132709076E-2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'[14]Sch C'!D118</f>
        <v>104400</v>
      </c>
      <c r="D117" s="558">
        <f>'[14]Sch C'!F118</f>
        <v>0</v>
      </c>
      <c r="E117" s="171">
        <f t="shared" si="29"/>
        <v>104400</v>
      </c>
      <c r="F117" s="171"/>
      <c r="G117" s="171">
        <f>E117+F117</f>
        <v>104400</v>
      </c>
      <c r="H117" s="172">
        <f t="shared" si="30"/>
        <v>1.6029201594128049E-2</v>
      </c>
      <c r="I117" s="336"/>
      <c r="J117" s="168"/>
      <c r="K117" s="168"/>
      <c r="M117" s="364">
        <f t="shared" si="31"/>
        <v>4.8157202823008438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'[14]Sch C'!D119</f>
        <v>0</v>
      </c>
      <c r="D118" s="558">
        <f>'[14]Sch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105380</v>
      </c>
      <c r="D119" s="558">
        <f>SUM(D114:D118)</f>
        <v>0</v>
      </c>
      <c r="E119" s="171">
        <f t="shared" ref="E119:F119" si="32">SUM(E114:E118)</f>
        <v>105380</v>
      </c>
      <c r="F119" s="171">
        <f t="shared" si="32"/>
        <v>0</v>
      </c>
      <c r="G119" s="171">
        <f>SUM(G114:G118)</f>
        <v>105380</v>
      </c>
      <c r="H119" s="172">
        <f t="shared" si="30"/>
        <v>1.6179667279590172E-2</v>
      </c>
      <c r="I119" s="336"/>
      <c r="J119" s="168"/>
      <c r="K119" s="168"/>
      <c r="M119" s="364">
        <f t="shared" si="31"/>
        <v>4.8609253194335533</v>
      </c>
      <c r="N119" s="359">
        <f>SUMMARY!J122</f>
        <v>6.0247597205909562</v>
      </c>
      <c r="O119" s="354">
        <f>M119/N119-1</f>
        <v>-0.19317523936759506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'[14]Sch C'!D124</f>
        <v>0</v>
      </c>
      <c r="D123" s="558">
        <f>'[14]Sch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'[14]Sch C'!D125</f>
        <v>201464</v>
      </c>
      <c r="D124" s="558">
        <f>'[14]Sch C'!F125</f>
        <v>10005</v>
      </c>
      <c r="E124" s="171">
        <f t="shared" si="33"/>
        <v>211469</v>
      </c>
      <c r="F124" s="171"/>
      <c r="G124" s="171">
        <f>E124+F124</f>
        <v>211469</v>
      </c>
      <c r="H124" s="172">
        <f>IF($G$208=0,0,G124/$G$208)</f>
        <v>3.2468191876519774E-2</v>
      </c>
      <c r="I124" s="336"/>
      <c r="J124" s="183">
        <v>3896</v>
      </c>
      <c r="K124" s="183">
        <v>4464</v>
      </c>
      <c r="M124" s="364">
        <f t="shared" si="34"/>
        <v>9.7545550994049535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'[14]Sch C'!D126</f>
        <v>0</v>
      </c>
      <c r="D125" s="558">
        <f>'[14]Sch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'[14]Sch C'!D127</f>
        <v>0</v>
      </c>
      <c r="D126" s="558">
        <f>'[14]Sch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'[14]Sch C'!D128</f>
        <v>97721</v>
      </c>
      <c r="D127" s="558">
        <f>'[14]Sch C'!F128</f>
        <v>4853</v>
      </c>
      <c r="E127" s="171">
        <f t="shared" si="33"/>
        <v>102574</v>
      </c>
      <c r="F127" s="171"/>
      <c r="G127" s="171">
        <f>E127+F127</f>
        <v>102574</v>
      </c>
      <c r="H127" s="172">
        <f>IF($G$208=0,0,G127/$G$208)</f>
        <v>1.5748844102644547E-2</v>
      </c>
      <c r="I127" s="336"/>
      <c r="J127" s="183">
        <v>5608</v>
      </c>
      <c r="K127" s="183">
        <v>5942</v>
      </c>
      <c r="M127" s="364">
        <f t="shared" si="34"/>
        <v>4.7314913049494907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'[14]Sch C'!D130</f>
        <v>0</v>
      </c>
      <c r="D129" s="558">
        <f>'[14]Sch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'[14]Sch C'!D131</f>
        <v>0</v>
      </c>
      <c r="D130" s="558">
        <f>'[14]Sch C'!F131</f>
        <v>32093</v>
      </c>
      <c r="E130" s="171">
        <f t="shared" si="35"/>
        <v>32093</v>
      </c>
      <c r="F130" s="171"/>
      <c r="G130" s="171">
        <f>E130+F130</f>
        <v>32093</v>
      </c>
      <c r="H130" s="172">
        <f>IF($G$208=0,0,G130/$G$208)</f>
        <v>4.9274441260570073E-3</v>
      </c>
      <c r="I130" s="336"/>
      <c r="J130" s="204"/>
      <c r="K130" s="204"/>
      <c r="M130" s="364">
        <f t="shared" si="34"/>
        <v>1.4803727109184004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'[14]Sch C'!D132</f>
        <v>0</v>
      </c>
      <c r="D131" s="558">
        <f>'[14]Sch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'[14]Sch C'!D133</f>
        <v>0</v>
      </c>
      <c r="D132" s="558">
        <f>'[14]Sch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'[14]Sch C'!D134</f>
        <v>0</v>
      </c>
      <c r="D133" s="558">
        <f>'[14]Sch C'!F134</f>
        <v>15567</v>
      </c>
      <c r="E133" s="171">
        <f t="shared" si="35"/>
        <v>15567</v>
      </c>
      <c r="F133" s="171"/>
      <c r="G133" s="171">
        <f>E133+F133</f>
        <v>15567</v>
      </c>
      <c r="H133" s="172">
        <f>IF($G$208=0,0,G133/$G$208)</f>
        <v>2.3901013526416797E-3</v>
      </c>
      <c r="I133" s="336"/>
      <c r="J133" s="168"/>
      <c r="K133" s="168"/>
      <c r="M133" s="364">
        <f t="shared" si="34"/>
        <v>0.71806817657641031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'[14]Sch C'!D136</f>
        <v>346330</v>
      </c>
      <c r="D135" s="558">
        <f>'[14]Sch C'!F136</f>
        <v>17200</v>
      </c>
      <c r="E135" s="171">
        <f t="shared" ref="E135:E138" si="36">C135+D135</f>
        <v>363530</v>
      </c>
      <c r="F135" s="171"/>
      <c r="G135" s="171">
        <f>E135+F135</f>
        <v>363530</v>
      </c>
      <c r="H135" s="172">
        <f>IF($G$208=0,0,G135/$G$208)</f>
        <v>5.5815092485760248E-2</v>
      </c>
      <c r="I135" s="336"/>
      <c r="J135" s="183">
        <v>12918</v>
      </c>
      <c r="K135" s="183">
        <v>13991</v>
      </c>
      <c r="M135" s="364">
        <f t="shared" si="34"/>
        <v>16.768762396789519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'[14]Sch C'!D137</f>
        <v>278788</v>
      </c>
      <c r="D136" s="558">
        <f>'[14]Sch C'!F137</f>
        <v>13846</v>
      </c>
      <c r="E136" s="171">
        <f t="shared" si="36"/>
        <v>292634</v>
      </c>
      <c r="F136" s="171"/>
      <c r="G136" s="171">
        <f>E136+F136</f>
        <v>292634</v>
      </c>
      <c r="H136" s="172">
        <f>IF($G$208=0,0,G136/$G$208)</f>
        <v>4.4929974897471914E-2</v>
      </c>
      <c r="I136" s="336"/>
      <c r="J136" s="183">
        <v>14544</v>
      </c>
      <c r="K136" s="183">
        <v>15236</v>
      </c>
      <c r="M136" s="364">
        <f t="shared" si="34"/>
        <v>13.498500853360396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'[14]Sch C'!D138</f>
        <v>585085</v>
      </c>
      <c r="D137" s="558">
        <f>'[14]Sch C'!F138</f>
        <v>29057</v>
      </c>
      <c r="E137" s="171">
        <f t="shared" si="36"/>
        <v>614142</v>
      </c>
      <c r="F137" s="171"/>
      <c r="G137" s="171">
        <f>E137+F137</f>
        <v>614142</v>
      </c>
      <c r="H137" s="172">
        <f>IF($G$208=0,0,G137/$G$208)</f>
        <v>9.4293160205181886E-2</v>
      </c>
      <c r="I137" s="336"/>
      <c r="J137" s="183">
        <v>51666</v>
      </c>
      <c r="K137" s="183">
        <v>54091</v>
      </c>
      <c r="M137" s="364">
        <f t="shared" si="34"/>
        <v>28.328889708934913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'[14]Sch C'!D139</f>
        <v>0</v>
      </c>
      <c r="D138" s="558">
        <f>'[14]Sch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'[14]Sch C'!D141</f>
        <v>0</v>
      </c>
      <c r="D140" s="558">
        <f>'[14]Sch C'!F141</f>
        <v>55169</v>
      </c>
      <c r="E140" s="171">
        <f t="shared" ref="E140:E143" si="37">C140+D140</f>
        <v>55169</v>
      </c>
      <c r="F140" s="171"/>
      <c r="G140" s="171">
        <f>E140+F140</f>
        <v>55169</v>
      </c>
      <c r="H140" s="172">
        <f>IF($G$208=0,0,G140/$G$208)</f>
        <v>8.4704504094487588E-3</v>
      </c>
      <c r="I140" s="336"/>
      <c r="J140" s="168"/>
      <c r="K140" s="168"/>
      <c r="M140" s="364">
        <f t="shared" si="34"/>
        <v>2.5448129526269661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'[14]Sch C'!D142</f>
        <v>0</v>
      </c>
      <c r="D141" s="558">
        <f>'[14]Sch C'!F142</f>
        <v>44410</v>
      </c>
      <c r="E141" s="171">
        <f t="shared" si="37"/>
        <v>44410</v>
      </c>
      <c r="F141" s="171"/>
      <c r="G141" s="171">
        <f>E141+F141</f>
        <v>44410</v>
      </c>
      <c r="H141" s="172">
        <f>IF($G$208=0,0,G141/$G$208)</f>
        <v>6.8185521340538959E-3</v>
      </c>
      <c r="I141" s="336"/>
      <c r="J141" s="168"/>
      <c r="K141" s="168"/>
      <c r="M141" s="364">
        <f t="shared" si="34"/>
        <v>2.0485262235342958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'[14]Sch C'!D143</f>
        <v>0</v>
      </c>
      <c r="D142" s="558">
        <f>'[14]Sch C'!F143</f>
        <v>93202</v>
      </c>
      <c r="E142" s="171">
        <f t="shared" si="37"/>
        <v>93202</v>
      </c>
      <c r="F142" s="171"/>
      <c r="G142" s="171">
        <f>E142+F142</f>
        <v>93202</v>
      </c>
      <c r="H142" s="172">
        <f>IF($G$208=0,0,G142/$G$208)</f>
        <v>1.4309900833102707E-2</v>
      </c>
      <c r="I142" s="336"/>
      <c r="J142" s="168"/>
      <c r="K142" s="168"/>
      <c r="M142" s="364">
        <f t="shared" si="34"/>
        <v>4.2991835416762765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'[14]Sch C'!D144</f>
        <v>0</v>
      </c>
      <c r="D143" s="558">
        <f>'[14]Sch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'[14]Sch C'!D146</f>
        <v>56313</v>
      </c>
      <c r="D145" s="558">
        <f>'[14]Sch C'!F146</f>
        <v>0</v>
      </c>
      <c r="E145" s="171">
        <f t="shared" ref="E145:E153" si="38">C145+D145</f>
        <v>56313</v>
      </c>
      <c r="F145" s="171"/>
      <c r="G145" s="171">
        <f t="shared" ref="G145:G153" si="39">E145+F145</f>
        <v>56313</v>
      </c>
      <c r="H145" s="172">
        <f t="shared" ref="H145:H153" si="40">IF($G$208=0,0,G145/$G$208)</f>
        <v>8.6460960667637254E-3</v>
      </c>
      <c r="I145" s="336"/>
      <c r="J145" s="183">
        <v>0</v>
      </c>
      <c r="K145" s="183">
        <v>0</v>
      </c>
      <c r="M145" s="364">
        <f t="shared" si="34"/>
        <v>2.5975829143410674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'[14]Sch C'!D147</f>
        <v>0</v>
      </c>
      <c r="D146" s="558">
        <f>'[14]Sch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'[14]Sch C'!D148</f>
        <v>0</v>
      </c>
      <c r="D147" s="558">
        <f>'[14]Sch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'[14]Sch C'!D149</f>
        <v>0</v>
      </c>
      <c r="D148" s="558">
        <f>'[14]Sch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'[14]Sch C'!D150</f>
        <v>28137</v>
      </c>
      <c r="D149" s="558">
        <f>'[14]Sch C'!F150</f>
        <v>0</v>
      </c>
      <c r="E149" s="171">
        <f t="shared" si="38"/>
        <v>28137</v>
      </c>
      <c r="F149" s="171"/>
      <c r="G149" s="171">
        <f t="shared" si="39"/>
        <v>28137</v>
      </c>
      <c r="H149" s="172">
        <f t="shared" si="40"/>
        <v>4.320054073313994E-3</v>
      </c>
      <c r="I149" s="336"/>
      <c r="J149" s="183">
        <v>0</v>
      </c>
      <c r="K149" s="183">
        <v>0</v>
      </c>
      <c r="M149" s="364">
        <f t="shared" si="34"/>
        <v>1.2978919691867705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'[14]Sch C'!D151</f>
        <v>130256</v>
      </c>
      <c r="D150" s="558">
        <f>'[14]Sch C'!F151</f>
        <v>0</v>
      </c>
      <c r="E150" s="171">
        <f t="shared" si="38"/>
        <v>130256</v>
      </c>
      <c r="F150" s="171"/>
      <c r="G150" s="171">
        <f t="shared" si="39"/>
        <v>130256</v>
      </c>
      <c r="H150" s="172">
        <f t="shared" si="40"/>
        <v>1.9999039107708269E-2</v>
      </c>
      <c r="I150" s="336"/>
      <c r="J150" s="168"/>
      <c r="K150" s="168"/>
      <c r="M150" s="364">
        <f t="shared" si="34"/>
        <v>6.0083952211817886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'[14]Sch C'!D152</f>
        <v>3081</v>
      </c>
      <c r="D151" s="558">
        <f>'[14]Sch C'!F152</f>
        <v>0</v>
      </c>
      <c r="E151" s="171">
        <f t="shared" si="38"/>
        <v>3081</v>
      </c>
      <c r="F151" s="171"/>
      <c r="G151" s="171">
        <f t="shared" si="39"/>
        <v>3081</v>
      </c>
      <c r="H151" s="172">
        <f t="shared" si="40"/>
        <v>4.7304569072326174E-4</v>
      </c>
      <c r="I151" s="336"/>
      <c r="J151" s="168"/>
      <c r="K151" s="168"/>
      <c r="M151" s="364">
        <f t="shared" si="34"/>
        <v>0.14211910143456802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'[14]Sch C'!D153</f>
        <v>0</v>
      </c>
      <c r="D152" s="558">
        <f>'[14]Sch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'[14]Sch C'!D154</f>
        <v>38194</v>
      </c>
      <c r="D153" s="558">
        <f>'[14]Sch C'!F154</f>
        <v>0</v>
      </c>
      <c r="E153" s="171">
        <f t="shared" si="38"/>
        <v>38194</v>
      </c>
      <c r="F153" s="171"/>
      <c r="G153" s="171">
        <f t="shared" si="39"/>
        <v>38194</v>
      </c>
      <c r="H153" s="172">
        <f t="shared" si="40"/>
        <v>5.864169786265582E-3</v>
      </c>
      <c r="I153" s="336"/>
      <c r="J153" s="168"/>
      <c r="K153" s="168"/>
      <c r="M153" s="364">
        <f t="shared" si="34"/>
        <v>1.7617971308639697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'[14]Sch C'!D156</f>
        <v>0</v>
      </c>
      <c r="D155" s="558">
        <f>'[14]Sch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'[14]Sch C'!D157</f>
        <v>0</v>
      </c>
      <c r="D156" s="558">
        <f>'[14]Sch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'[14]Sch C'!D158</f>
        <v>0</v>
      </c>
      <c r="D157" s="558">
        <f>'[14]Sch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'[14]Sch C'!D159</f>
        <v>0</v>
      </c>
      <c r="D158" s="558">
        <f>'[14]Sch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'[14]Sch C'!D160</f>
        <v>0</v>
      </c>
      <c r="D159" s="558">
        <f>'[14]Sch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'[14]Sch C'!D161</f>
        <v>67</v>
      </c>
      <c r="D160" s="558">
        <f>'[14]Sch C'!F161</f>
        <v>0</v>
      </c>
      <c r="E160" s="171">
        <f t="shared" si="41"/>
        <v>67</v>
      </c>
      <c r="F160" s="171"/>
      <c r="G160" s="171">
        <f t="shared" si="42"/>
        <v>67</v>
      </c>
      <c r="H160" s="172">
        <f t="shared" si="43"/>
        <v>1.0286939720369534E-5</v>
      </c>
      <c r="I160" s="336"/>
      <c r="J160" s="168"/>
      <c r="K160" s="168"/>
      <c r="M160" s="364">
        <f t="shared" si="34"/>
        <v>3.0905484570321511E-3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1765436</v>
      </c>
      <c r="D161" s="558">
        <f>SUM(D123:D160)</f>
        <v>315402</v>
      </c>
      <c r="E161" s="171">
        <f t="shared" ref="E161:F161" si="44">SUM(E123:E160)</f>
        <v>2080838</v>
      </c>
      <c r="F161" s="171">
        <f t="shared" si="44"/>
        <v>0</v>
      </c>
      <c r="G161" s="171">
        <f>SUM(G123:G160)</f>
        <v>2080838</v>
      </c>
      <c r="H161" s="172">
        <f t="shared" si="43"/>
        <v>0.3194844040873776</v>
      </c>
      <c r="I161" s="336"/>
      <c r="J161" s="168"/>
      <c r="K161" s="168"/>
      <c r="M161" s="364">
        <f>G161/G$228</f>
        <v>95.984039854236812</v>
      </c>
      <c r="N161" s="359">
        <f>SUMMARY!J164</f>
        <v>105.56901037202306</v>
      </c>
      <c r="O161" s="354">
        <f>M161/N161-1</f>
        <v>-9.0793410717870726E-2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'[14]Sch C'!D175</f>
        <v>0</v>
      </c>
      <c r="D164" s="558">
        <f>'[14]Sch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  <c r="P164"/>
      <c r="Q164"/>
    </row>
    <row r="165" spans="1:17" s="221" customFormat="1">
      <c r="A165" s="215" t="s">
        <v>123</v>
      </c>
      <c r="B165" s="148" t="s">
        <v>103</v>
      </c>
      <c r="C165" s="558">
        <f>'[14]Sch C'!D176</f>
        <v>0</v>
      </c>
      <c r="D165" s="558">
        <f>'[14]Sch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M165" s="364">
        <f t="shared" ref="M165:M196" si="48">G165/G$228</f>
        <v>0</v>
      </c>
      <c r="N165" s="359">
        <f>SUMMARY!J168</f>
        <v>0</v>
      </c>
      <c r="P165"/>
      <c r="Q165"/>
    </row>
    <row r="166" spans="1:17" s="221" customFormat="1">
      <c r="A166" s="215" t="s">
        <v>124</v>
      </c>
      <c r="B166" s="148" t="s">
        <v>104</v>
      </c>
      <c r="C166" s="558">
        <f>'[14]Sch C'!D177</f>
        <v>195140</v>
      </c>
      <c r="D166" s="558">
        <f>'[14]Sch C'!F177</f>
        <v>9691</v>
      </c>
      <c r="E166" s="171">
        <f t="shared" si="45"/>
        <v>204831</v>
      </c>
      <c r="F166" s="216"/>
      <c r="G166" s="171">
        <f t="shared" si="46"/>
        <v>204831</v>
      </c>
      <c r="H166" s="172">
        <f t="shared" si="47"/>
        <v>3.144901716213451E-2</v>
      </c>
      <c r="I166" s="342"/>
      <c r="J166" s="217">
        <v>5236</v>
      </c>
      <c r="K166" s="217">
        <v>5924</v>
      </c>
      <c r="M166" s="364">
        <f t="shared" si="48"/>
        <v>9.4483601642142165</v>
      </c>
      <c r="N166" s="359">
        <f>SUMMARY!J169</f>
        <v>4.9060338253170936</v>
      </c>
      <c r="P166"/>
      <c r="Q166"/>
    </row>
    <row r="167" spans="1:17" s="221" customFormat="1">
      <c r="A167" s="215" t="s">
        <v>157</v>
      </c>
      <c r="B167" s="148" t="s">
        <v>105</v>
      </c>
      <c r="C167" s="558">
        <f>'[14]Sch C'!D178</f>
        <v>0</v>
      </c>
      <c r="D167" s="558">
        <f>'[14]Sch C'!F178</f>
        <v>31085</v>
      </c>
      <c r="E167" s="171">
        <f t="shared" si="45"/>
        <v>31085</v>
      </c>
      <c r="F167" s="216"/>
      <c r="G167" s="171">
        <f t="shared" si="46"/>
        <v>31085</v>
      </c>
      <c r="H167" s="172">
        <f t="shared" si="47"/>
        <v>4.7726794210102537E-3</v>
      </c>
      <c r="I167" s="343"/>
      <c r="J167" s="222"/>
      <c r="K167" s="222"/>
      <c r="M167" s="364">
        <f t="shared" si="48"/>
        <v>1.4338761012961851</v>
      </c>
      <c r="N167" s="359">
        <f>SUMMARY!J170</f>
        <v>0.8546059303297695</v>
      </c>
      <c r="P167"/>
      <c r="Q167"/>
    </row>
    <row r="168" spans="1:17" s="221" customFormat="1">
      <c r="A168" s="215" t="s">
        <v>158</v>
      </c>
      <c r="B168" s="148" t="s">
        <v>316</v>
      </c>
      <c r="C168" s="558">
        <f>'[14]Sch C'!D179</f>
        <v>28368</v>
      </c>
      <c r="D168" s="558">
        <f>'[14]Sch C'!F179</f>
        <v>1409</v>
      </c>
      <c r="E168" s="171">
        <f t="shared" si="45"/>
        <v>29777</v>
      </c>
      <c r="F168" s="216"/>
      <c r="G168" s="171">
        <f t="shared" si="46"/>
        <v>29777</v>
      </c>
      <c r="H168" s="172">
        <f t="shared" si="47"/>
        <v>4.5718537918424422E-3</v>
      </c>
      <c r="I168" s="342"/>
      <c r="J168" s="217">
        <v>633</v>
      </c>
      <c r="K168" s="217">
        <v>633</v>
      </c>
      <c r="M168" s="364">
        <f t="shared" si="48"/>
        <v>1.3735412150006918</v>
      </c>
      <c r="N168" s="359">
        <f>SUMMARY!J171</f>
        <v>0.79511806658504303</v>
      </c>
      <c r="P168"/>
      <c r="Q168"/>
    </row>
    <row r="169" spans="1:17" s="221" customFormat="1">
      <c r="A169" s="215" t="s">
        <v>86</v>
      </c>
      <c r="B169" s="148" t="s">
        <v>317</v>
      </c>
      <c r="C169" s="558">
        <f>'[14]Sch C'!D180</f>
        <v>0</v>
      </c>
      <c r="D169" s="558">
        <f>'[14]Sch C'!F180</f>
        <v>4519</v>
      </c>
      <c r="E169" s="171">
        <f t="shared" si="45"/>
        <v>4519</v>
      </c>
      <c r="F169" s="216"/>
      <c r="G169" s="171">
        <f t="shared" si="46"/>
        <v>4519</v>
      </c>
      <c r="H169" s="172">
        <f t="shared" si="47"/>
        <v>6.9383105367686461E-4</v>
      </c>
      <c r="I169" s="343"/>
      <c r="J169" s="222"/>
      <c r="K169" s="222"/>
      <c r="M169" s="364">
        <f t="shared" si="48"/>
        <v>0.20845057428848193</v>
      </c>
      <c r="N169" s="359">
        <f>SUMMARY!J172</f>
        <v>0.1405217057636943</v>
      </c>
      <c r="P169"/>
      <c r="Q169"/>
    </row>
    <row r="170" spans="1:17" s="221" customFormat="1">
      <c r="A170" s="215" t="s">
        <v>96</v>
      </c>
      <c r="B170" s="148" t="s">
        <v>318</v>
      </c>
      <c r="C170" s="558">
        <f>'[14]Sch C'!D181</f>
        <v>264093</v>
      </c>
      <c r="D170" s="558">
        <f>'[14]Sch C'!F181</f>
        <v>13116</v>
      </c>
      <c r="E170" s="171">
        <f t="shared" si="45"/>
        <v>277209</v>
      </c>
      <c r="F170" s="216"/>
      <c r="G170" s="171">
        <f t="shared" si="46"/>
        <v>277209</v>
      </c>
      <c r="H170" s="172">
        <f t="shared" si="47"/>
        <v>4.2561675715580866E-2</v>
      </c>
      <c r="I170" s="342"/>
      <c r="J170" s="217">
        <v>9044</v>
      </c>
      <c r="K170" s="217">
        <v>9505</v>
      </c>
      <c r="M170" s="364">
        <f t="shared" si="48"/>
        <v>12.786982794409337</v>
      </c>
      <c r="N170" s="359">
        <f>SUMMARY!J173</f>
        <v>0.14856138086857354</v>
      </c>
      <c r="P170"/>
      <c r="Q170"/>
    </row>
    <row r="171" spans="1:17" s="221" customFormat="1">
      <c r="A171" s="215" t="s">
        <v>125</v>
      </c>
      <c r="B171" s="148" t="s">
        <v>109</v>
      </c>
      <c r="C171" s="558">
        <f>'[14]Sch C'!D182</f>
        <v>0</v>
      </c>
      <c r="D171" s="558">
        <f>'[14]Sch C'!F182</f>
        <v>42069</v>
      </c>
      <c r="E171" s="171">
        <f t="shared" si="45"/>
        <v>42069</v>
      </c>
      <c r="F171" s="216"/>
      <c r="G171" s="171">
        <f t="shared" si="46"/>
        <v>42069</v>
      </c>
      <c r="H171" s="172">
        <f t="shared" si="47"/>
        <v>6.4591233894959093E-3</v>
      </c>
      <c r="I171" s="343"/>
      <c r="J171" s="222"/>
      <c r="K171" s="222"/>
      <c r="M171" s="364">
        <f t="shared" si="48"/>
        <v>1.9405415378938142</v>
      </c>
      <c r="N171" s="359">
        <f>SUMMARY!J174</f>
        <v>2.2545547697802093E-2</v>
      </c>
      <c r="P171"/>
      <c r="Q171"/>
    </row>
    <row r="172" spans="1:17" s="221" customFormat="1">
      <c r="A172" s="215" t="s">
        <v>126</v>
      </c>
      <c r="B172" s="148" t="s">
        <v>319</v>
      </c>
      <c r="C172" s="558">
        <f>'[14]Sch C'!D183</f>
        <v>175027</v>
      </c>
      <c r="D172" s="558">
        <f>'[14]Sch C'!F183</f>
        <v>8692</v>
      </c>
      <c r="E172" s="171">
        <f t="shared" si="45"/>
        <v>183719</v>
      </c>
      <c r="F172" s="216"/>
      <c r="G172" s="171">
        <f t="shared" si="46"/>
        <v>183719</v>
      </c>
      <c r="H172" s="172">
        <f t="shared" si="47"/>
        <v>2.8207556395321947E-2</v>
      </c>
      <c r="I172" s="342"/>
      <c r="J172" s="217">
        <v>4121</v>
      </c>
      <c r="K172" s="217">
        <v>4345</v>
      </c>
      <c r="M172" s="364">
        <f t="shared" si="48"/>
        <v>8.4745145071267132</v>
      </c>
      <c r="N172" s="359">
        <f>SUMMARY!J175</f>
        <v>2.8660001223726335</v>
      </c>
      <c r="P172"/>
      <c r="Q172"/>
    </row>
    <row r="173" spans="1:17" s="221" customFormat="1">
      <c r="A173" s="215" t="s">
        <v>127</v>
      </c>
      <c r="B173" s="148" t="s">
        <v>111</v>
      </c>
      <c r="C173" s="558">
        <f>'[14]Sch C'!D184</f>
        <v>0</v>
      </c>
      <c r="D173" s="558">
        <f>'[14]Sch C'!F184</f>
        <v>27881</v>
      </c>
      <c r="E173" s="171">
        <f t="shared" si="45"/>
        <v>27881</v>
      </c>
      <c r="F173" s="216"/>
      <c r="G173" s="171">
        <f t="shared" si="46"/>
        <v>27881</v>
      </c>
      <c r="H173" s="172">
        <f t="shared" si="47"/>
        <v>4.2807487513973575E-3</v>
      </c>
      <c r="I173" s="343"/>
      <c r="J173" s="222"/>
      <c r="K173" s="222"/>
      <c r="M173" s="364">
        <f t="shared" si="48"/>
        <v>1.2860833064255732</v>
      </c>
      <c r="N173" s="359">
        <f>SUMMARY!J176</f>
        <v>0.45922325087038773</v>
      </c>
      <c r="P173"/>
      <c r="Q173"/>
    </row>
    <row r="174" spans="1:17" s="221" customFormat="1">
      <c r="A174" s="215" t="s">
        <v>128</v>
      </c>
      <c r="B174" s="148" t="s">
        <v>320</v>
      </c>
      <c r="C174" s="558">
        <f>'[14]Sch C'!D185</f>
        <v>0</v>
      </c>
      <c r="D174" s="558">
        <f>'[14]Sch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M174" s="364">
        <f t="shared" si="48"/>
        <v>0</v>
      </c>
      <c r="N174" s="359">
        <f>SUMMARY!J177</f>
        <v>0</v>
      </c>
      <c r="P174"/>
      <c r="Q174"/>
    </row>
    <row r="175" spans="1:17" s="221" customFormat="1">
      <c r="A175" s="215" t="s">
        <v>129</v>
      </c>
      <c r="B175" s="148" t="s">
        <v>321</v>
      </c>
      <c r="C175" s="558">
        <f>'[14]Sch C'!D186</f>
        <v>0</v>
      </c>
      <c r="D175" s="558">
        <f>'[14]Sch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M175" s="364">
        <f t="shared" si="48"/>
        <v>0</v>
      </c>
      <c r="N175" s="359">
        <f>SUMMARY!J178</f>
        <v>0</v>
      </c>
      <c r="P175"/>
      <c r="Q175"/>
    </row>
    <row r="176" spans="1:17" s="221" customFormat="1">
      <c r="A176" s="224" t="s">
        <v>293</v>
      </c>
      <c r="B176" s="148" t="s">
        <v>154</v>
      </c>
      <c r="C176" s="558">
        <f>'[14]Sch C'!D187</f>
        <v>0</v>
      </c>
      <c r="D176" s="558">
        <f>'[14]Sch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M176" s="364">
        <f t="shared" si="48"/>
        <v>0</v>
      </c>
      <c r="N176" s="359">
        <f>SUMMARY!J179</f>
        <v>0</v>
      </c>
      <c r="P176"/>
      <c r="Q176"/>
    </row>
    <row r="177" spans="1:17" s="221" customFormat="1">
      <c r="A177" s="224" t="s">
        <v>294</v>
      </c>
      <c r="B177" s="148" t="s">
        <v>322</v>
      </c>
      <c r="C177" s="558">
        <f>'[14]Sch C'!D188</f>
        <v>11021</v>
      </c>
      <c r="D177" s="558">
        <f>'[14]Sch C'!F188</f>
        <v>0</v>
      </c>
      <c r="E177" s="171">
        <f t="shared" si="45"/>
        <v>11021</v>
      </c>
      <c r="F177" s="216"/>
      <c r="G177" s="171">
        <f t="shared" si="46"/>
        <v>11021</v>
      </c>
      <c r="H177" s="172">
        <f t="shared" si="47"/>
        <v>1.69212481579392E-3</v>
      </c>
      <c r="I177" s="336"/>
      <c r="J177" s="223"/>
      <c r="K177" s="218"/>
      <c r="M177" s="364">
        <f t="shared" si="48"/>
        <v>0.50837215738733332</v>
      </c>
      <c r="N177" s="359">
        <f>SUMMARY!J180</f>
        <v>0.30705480193530821</v>
      </c>
      <c r="P177"/>
      <c r="Q177"/>
    </row>
    <row r="178" spans="1:17" s="221" customFormat="1">
      <c r="A178" s="224" t="s">
        <v>295</v>
      </c>
      <c r="B178" s="148" t="s">
        <v>323</v>
      </c>
      <c r="C178" s="558">
        <f>'[14]Sch C'!D189</f>
        <v>0</v>
      </c>
      <c r="D178" s="558">
        <f>'[14]Sch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M178" s="364">
        <f t="shared" si="48"/>
        <v>0</v>
      </c>
      <c r="N178" s="359">
        <f>SUMMARY!J181</f>
        <v>5.3584457511323957E-2</v>
      </c>
      <c r="P178"/>
      <c r="Q178"/>
    </row>
    <row r="179" spans="1:17" s="221" customFormat="1">
      <c r="A179" s="224" t="s">
        <v>296</v>
      </c>
      <c r="B179" s="148" t="s">
        <v>324</v>
      </c>
      <c r="C179" s="558">
        <f>'[14]Sch C'!D190</f>
        <v>0</v>
      </c>
      <c r="D179" s="558">
        <f>'[14]Sch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M179" s="364">
        <f t="shared" si="48"/>
        <v>0</v>
      </c>
      <c r="N179" s="359">
        <f>SUMMARY!J182</f>
        <v>0</v>
      </c>
      <c r="P179"/>
      <c r="Q179"/>
    </row>
    <row r="180" spans="1:17" s="221" customFormat="1">
      <c r="A180" s="224" t="s">
        <v>297</v>
      </c>
      <c r="B180" s="148" t="s">
        <v>325</v>
      </c>
      <c r="C180" s="558">
        <f>'[14]Sch C'!D191</f>
        <v>29</v>
      </c>
      <c r="D180" s="558">
        <f>'[14]Sch C'!F191</f>
        <v>0</v>
      </c>
      <c r="E180" s="171">
        <f t="shared" si="45"/>
        <v>29</v>
      </c>
      <c r="F180" s="216"/>
      <c r="G180" s="171">
        <f t="shared" si="46"/>
        <v>29</v>
      </c>
      <c r="H180" s="172">
        <f t="shared" si="47"/>
        <v>4.4525559983689025E-6</v>
      </c>
      <c r="I180" s="336"/>
      <c r="J180" s="223"/>
      <c r="K180" s="218"/>
      <c r="M180" s="364">
        <f t="shared" si="48"/>
        <v>1.3377000784169011E-3</v>
      </c>
      <c r="N180" s="359">
        <f>SUMMARY!J183</f>
        <v>0.1333235617560114</v>
      </c>
      <c r="P180"/>
      <c r="Q180"/>
    </row>
    <row r="181" spans="1:17" s="221" customFormat="1">
      <c r="A181" s="224" t="s">
        <v>298</v>
      </c>
      <c r="B181" s="148" t="s">
        <v>117</v>
      </c>
      <c r="C181" s="558">
        <f>'[14]Sch C'!D192</f>
        <v>0</v>
      </c>
      <c r="D181" s="558">
        <f>'[14]Sch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M181" s="364">
        <f t="shared" si="48"/>
        <v>0</v>
      </c>
      <c r="N181" s="359">
        <f>SUMMARY!J184</f>
        <v>0.29174571104570529</v>
      </c>
      <c r="P181"/>
      <c r="Q181"/>
    </row>
    <row r="182" spans="1:17" s="221" customFormat="1">
      <c r="A182" s="224" t="s">
        <v>132</v>
      </c>
      <c r="B182" s="148" t="s">
        <v>118</v>
      </c>
      <c r="C182" s="558">
        <f>'[14]Sch C'!D193</f>
        <v>0</v>
      </c>
      <c r="D182" s="558">
        <f>'[14]Sch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M182" s="364">
        <f t="shared" si="48"/>
        <v>0</v>
      </c>
      <c r="N182" s="359">
        <f>SUMMARY!J185</f>
        <v>7.0915905841295299E-2</v>
      </c>
      <c r="P182"/>
      <c r="Q182"/>
    </row>
    <row r="183" spans="1:17" s="221" customFormat="1">
      <c r="A183" s="224" t="s">
        <v>133</v>
      </c>
      <c r="B183" s="148" t="s">
        <v>119</v>
      </c>
      <c r="C183" s="558">
        <f>'[14]Sch C'!D194</f>
        <v>0</v>
      </c>
      <c r="D183" s="558">
        <f>'[14]Sch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P183"/>
      <c r="Q183"/>
    </row>
    <row r="184" spans="1:17" s="221" customFormat="1">
      <c r="A184" s="224" t="s">
        <v>134</v>
      </c>
      <c r="B184" s="148" t="s">
        <v>326</v>
      </c>
      <c r="C184" s="558">
        <f>'[14]Sch C'!D195</f>
        <v>330</v>
      </c>
      <c r="D184" s="558">
        <f>'[14]Sch C'!F195</f>
        <v>0</v>
      </c>
      <c r="E184" s="171">
        <f t="shared" si="45"/>
        <v>330</v>
      </c>
      <c r="F184" s="216"/>
      <c r="G184" s="171">
        <f t="shared" si="46"/>
        <v>330</v>
      </c>
      <c r="H184" s="172">
        <f t="shared" si="47"/>
        <v>5.0667016533163376E-5</v>
      </c>
      <c r="I184" s="336"/>
      <c r="J184" s="223"/>
      <c r="K184" s="218"/>
      <c r="M184" s="364">
        <f t="shared" si="48"/>
        <v>1.5222104340606116E-2</v>
      </c>
      <c r="N184" s="359">
        <f>SUMMARY!J187</f>
        <v>1.7471448792019588</v>
      </c>
      <c r="P184"/>
      <c r="Q184"/>
    </row>
    <row r="185" spans="1:17" s="221" customFormat="1">
      <c r="A185" s="224" t="s">
        <v>135</v>
      </c>
      <c r="B185" s="148" t="s">
        <v>327</v>
      </c>
      <c r="C185" s="558">
        <f>'[14]Sch C'!D196</f>
        <v>0</v>
      </c>
      <c r="D185" s="558">
        <f>'[14]Sch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P185"/>
      <c r="Q185"/>
    </row>
    <row r="186" spans="1:17" s="221" customFormat="1">
      <c r="A186" s="224" t="s">
        <v>136</v>
      </c>
      <c r="B186" s="148" t="s">
        <v>328</v>
      </c>
      <c r="C186" s="558">
        <f>'[14]Sch C'!D197</f>
        <v>863</v>
      </c>
      <c r="D186" s="558">
        <f>'[14]Sch C'!F197</f>
        <v>0</v>
      </c>
      <c r="E186" s="171">
        <f t="shared" si="45"/>
        <v>863</v>
      </c>
      <c r="F186" s="216"/>
      <c r="G186" s="171">
        <f t="shared" si="46"/>
        <v>863</v>
      </c>
      <c r="H186" s="172">
        <f t="shared" si="47"/>
        <v>1.3250192505490907E-4</v>
      </c>
      <c r="I186" s="336"/>
      <c r="J186" s="223"/>
      <c r="K186" s="218"/>
      <c r="M186" s="364">
        <f t="shared" si="48"/>
        <v>3.9808109230130541E-2</v>
      </c>
      <c r="N186" s="359">
        <f>SUMMARY!J189</f>
        <v>5.0164683871805966</v>
      </c>
      <c r="P186"/>
      <c r="Q186"/>
    </row>
    <row r="187" spans="1:17" s="221" customFormat="1">
      <c r="A187" s="224" t="s">
        <v>137</v>
      </c>
      <c r="B187" s="148" t="s">
        <v>122</v>
      </c>
      <c r="C187" s="558">
        <f>'[14]Sch C'!D198</f>
        <v>22345</v>
      </c>
      <c r="D187" s="558">
        <f>'[14]Sch C'!F198</f>
        <v>0</v>
      </c>
      <c r="E187" s="171">
        <f t="shared" si="45"/>
        <v>22345</v>
      </c>
      <c r="F187" s="216"/>
      <c r="G187" s="171">
        <f t="shared" si="46"/>
        <v>22345</v>
      </c>
      <c r="H187" s="172">
        <f t="shared" si="47"/>
        <v>3.4307711649501083E-3</v>
      </c>
      <c r="I187" s="336"/>
      <c r="J187" s="223"/>
      <c r="K187" s="218"/>
      <c r="M187" s="364">
        <f t="shared" si="48"/>
        <v>1.0307209742146779</v>
      </c>
      <c r="N187" s="359">
        <f>SUMMARY!J190</f>
        <v>1.4762344610483848</v>
      </c>
      <c r="P187"/>
      <c r="Q187"/>
    </row>
    <row r="188" spans="1:17" s="221" customFormat="1">
      <c r="A188" s="224" t="s">
        <v>275</v>
      </c>
      <c r="B188" s="148" t="s">
        <v>329</v>
      </c>
      <c r="C188" s="558">
        <f>'[14]Sch C'!D199</f>
        <v>0</v>
      </c>
      <c r="D188" s="558">
        <f>'[14]Sch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P188"/>
      <c r="Q188"/>
    </row>
    <row r="189" spans="1:17" s="221" customFormat="1">
      <c r="A189" s="224" t="s">
        <v>277</v>
      </c>
      <c r="B189" s="148" t="s">
        <v>278</v>
      </c>
      <c r="C189" s="558">
        <f>'[14]Sch C'!D200</f>
        <v>0</v>
      </c>
      <c r="D189" s="558">
        <f>'[14]Sch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P189"/>
      <c r="Q189"/>
    </row>
    <row r="190" spans="1:17" s="221" customFormat="1">
      <c r="A190" s="225" t="s">
        <v>279</v>
      </c>
      <c r="B190" s="226" t="s">
        <v>280</v>
      </c>
      <c r="C190" s="558">
        <f>'[14]Sch C'!D201</f>
        <v>0</v>
      </c>
      <c r="D190" s="558">
        <f>'[14]Sch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P190"/>
      <c r="Q190"/>
    </row>
    <row r="191" spans="1:17" s="221" customFormat="1">
      <c r="A191" s="225" t="s">
        <v>281</v>
      </c>
      <c r="B191" s="226" t="s">
        <v>282</v>
      </c>
      <c r="C191" s="558">
        <f>'[14]Sch C'!D202</f>
        <v>0</v>
      </c>
      <c r="D191" s="558">
        <f>'[14]Sch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P191"/>
      <c r="Q191"/>
    </row>
    <row r="192" spans="1:17" s="221" customFormat="1">
      <c r="A192" s="225" t="s">
        <v>283</v>
      </c>
      <c r="B192" s="226" t="s">
        <v>330</v>
      </c>
      <c r="C192" s="558">
        <f>'[14]Sch C'!D203</f>
        <v>0</v>
      </c>
      <c r="D192" s="558">
        <f>'[14]Sch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P192"/>
      <c r="Q192"/>
    </row>
    <row r="193" spans="1:17" s="221" customFormat="1">
      <c r="A193" s="225" t="s">
        <v>285</v>
      </c>
      <c r="B193" s="226" t="s">
        <v>331</v>
      </c>
      <c r="C193" s="558">
        <f>'[14]Sch C'!D204</f>
        <v>0</v>
      </c>
      <c r="D193" s="558">
        <f>'[14]Sch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P193"/>
      <c r="Q193"/>
    </row>
    <row r="194" spans="1:17" s="221" customFormat="1">
      <c r="A194" s="224" t="s">
        <v>138</v>
      </c>
      <c r="B194" s="148" t="s">
        <v>332</v>
      </c>
      <c r="C194" s="558">
        <f>'[14]Sch C'!D205</f>
        <v>230485</v>
      </c>
      <c r="D194" s="558">
        <f>'[14]Sch C'!F205</f>
        <v>0</v>
      </c>
      <c r="E194" s="171">
        <f t="shared" si="45"/>
        <v>230485</v>
      </c>
      <c r="F194" s="216"/>
      <c r="G194" s="171">
        <f t="shared" si="46"/>
        <v>230485</v>
      </c>
      <c r="H194" s="172">
        <f t="shared" si="47"/>
        <v>3.5387840320139884E-2</v>
      </c>
      <c r="I194" s="336"/>
      <c r="J194" s="223"/>
      <c r="K194" s="218"/>
      <c r="M194" s="364">
        <f t="shared" si="48"/>
        <v>10.631717330135153</v>
      </c>
      <c r="N194" s="359">
        <f>SUMMARY!J197</f>
        <v>9.4138592764245246</v>
      </c>
      <c r="P194"/>
      <c r="Q194"/>
    </row>
    <row r="195" spans="1:17" s="221" customFormat="1">
      <c r="A195" s="224" t="s">
        <v>139</v>
      </c>
      <c r="B195" s="148" t="s">
        <v>67</v>
      </c>
      <c r="C195" s="558">
        <f>'[14]Sch C'!D206</f>
        <v>2385</v>
      </c>
      <c r="D195" s="558">
        <f>'[14]Sch C'!F206</f>
        <v>0</v>
      </c>
      <c r="E195" s="171">
        <f t="shared" si="45"/>
        <v>2385</v>
      </c>
      <c r="F195" s="216"/>
      <c r="G195" s="171">
        <f t="shared" si="46"/>
        <v>2385</v>
      </c>
      <c r="H195" s="172">
        <f t="shared" si="47"/>
        <v>3.6618434676240804E-4</v>
      </c>
      <c r="I195" s="336"/>
      <c r="J195" s="223"/>
      <c r="K195" s="218"/>
      <c r="M195" s="364">
        <f t="shared" si="48"/>
        <v>0.11001429955256238</v>
      </c>
      <c r="N195" s="359">
        <f>SUMMARY!J198</f>
        <v>0.50303072526897752</v>
      </c>
      <c r="P195"/>
      <c r="Q195"/>
    </row>
    <row r="196" spans="1:17" s="221" customFormat="1">
      <c r="A196" s="225" t="s">
        <v>143</v>
      </c>
      <c r="B196" s="194" t="s">
        <v>333</v>
      </c>
      <c r="C196" s="558">
        <f>'[14]Sch C'!D207</f>
        <v>19346</v>
      </c>
      <c r="D196" s="558">
        <f>'[14]Sch C'!F207</f>
        <v>0</v>
      </c>
      <c r="E196" s="171">
        <f t="shared" si="45"/>
        <v>19346</v>
      </c>
      <c r="F196" s="216"/>
      <c r="G196" s="171">
        <f t="shared" si="46"/>
        <v>19346</v>
      </c>
      <c r="H196" s="172">
        <f t="shared" si="47"/>
        <v>2.9703154601532686E-3</v>
      </c>
      <c r="I196" s="336"/>
      <c r="J196" s="223"/>
      <c r="K196" s="218"/>
      <c r="M196" s="364">
        <f t="shared" si="48"/>
        <v>0.89238433507080583</v>
      </c>
      <c r="N196" s="359">
        <f>SUMMARY!J199</f>
        <v>0.37420738931321718</v>
      </c>
      <c r="P196"/>
      <c r="Q196"/>
    </row>
    <row r="197" spans="1:17" s="167" customFormat="1">
      <c r="A197" s="163"/>
      <c r="B197" s="212" t="s">
        <v>130</v>
      </c>
      <c r="C197" s="558">
        <f>SUM(C164:C196)</f>
        <v>949432</v>
      </c>
      <c r="D197" s="558">
        <f>SUM(D164:D196)</f>
        <v>138462</v>
      </c>
      <c r="E197" s="171">
        <f t="shared" ref="E197:F197" si="49">SUM(E164:E196)</f>
        <v>1087894</v>
      </c>
      <c r="F197" s="171">
        <f t="shared" si="49"/>
        <v>0</v>
      </c>
      <c r="G197" s="171">
        <f>SUM(G164:G196)</f>
        <v>1087894</v>
      </c>
      <c r="H197" s="172">
        <f>IF($G$208=0,0,G197/$G$208)</f>
        <v>0.16703134328584618</v>
      </c>
      <c r="I197" s="336"/>
      <c r="J197" s="168"/>
      <c r="K197" s="168"/>
      <c r="M197" s="364">
        <f>G197/G$228</f>
        <v>50.181927210664696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'[14]Sch C'!D211</f>
        <v>105853</v>
      </c>
      <c r="D200" s="558">
        <f>'[14]Sch C'!F211</f>
        <v>5257</v>
      </c>
      <c r="E200" s="171">
        <f t="shared" ref="E200:E205" si="50">C200+D200</f>
        <v>111110</v>
      </c>
      <c r="F200" s="171"/>
      <c r="G200" s="171">
        <f t="shared" ref="G200:G205" si="51">E200+F200</f>
        <v>111110</v>
      </c>
      <c r="H200" s="172">
        <f t="shared" ref="H200:H206" si="52">IF($G$208=0,0,G200/$G$208)</f>
        <v>1.7059430930302374E-2</v>
      </c>
      <c r="I200" s="336"/>
      <c r="J200" s="183">
        <v>6138</v>
      </c>
      <c r="K200" s="183">
        <v>6657</v>
      </c>
      <c r="M200" s="364">
        <f t="shared" ref="M200:M205" si="53">G200/G$228</f>
        <v>5.1252364038931688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'[14]Sch C'!D212</f>
        <v>0</v>
      </c>
      <c r="D201" s="558">
        <f>'[14]Sch C'!F212</f>
        <v>16862</v>
      </c>
      <c r="E201" s="171">
        <f t="shared" si="50"/>
        <v>16862</v>
      </c>
      <c r="F201" s="171"/>
      <c r="G201" s="171">
        <f t="shared" si="51"/>
        <v>16862</v>
      </c>
      <c r="H201" s="172">
        <f t="shared" si="52"/>
        <v>2.5889310084309118E-3</v>
      </c>
      <c r="I201" s="336"/>
      <c r="J201" s="168"/>
      <c r="K201" s="168"/>
      <c r="M201" s="364">
        <f t="shared" si="53"/>
        <v>0.77780340421606164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'[14]Sch C'!D213</f>
        <v>10315</v>
      </c>
      <c r="D202" s="558">
        <f>'[14]Sch C'!F213</f>
        <v>0</v>
      </c>
      <c r="E202" s="171">
        <f t="shared" si="50"/>
        <v>10315</v>
      </c>
      <c r="F202" s="171"/>
      <c r="G202" s="171">
        <f t="shared" si="51"/>
        <v>10315</v>
      </c>
      <c r="H202" s="172">
        <f t="shared" si="52"/>
        <v>1.5837281076956978E-3</v>
      </c>
      <c r="I202" s="336"/>
      <c r="J202" s="168"/>
      <c r="K202" s="168"/>
      <c r="M202" s="364">
        <f t="shared" si="53"/>
        <v>0.47580607961621846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'[14]Sch C'!D214</f>
        <v>0</v>
      </c>
      <c r="D203" s="558">
        <f>'[14]Sch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'[14]Sch C'!D215</f>
        <v>0</v>
      </c>
      <c r="D204" s="558">
        <f>'[14]Sch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'[14]Sch C'!D216</f>
        <v>5564</v>
      </c>
      <c r="D205" s="558">
        <f>'[14]Sch C'!F216</f>
        <v>0</v>
      </c>
      <c r="E205" s="171">
        <f t="shared" si="50"/>
        <v>5564</v>
      </c>
      <c r="F205" s="171"/>
      <c r="G205" s="171">
        <f t="shared" si="51"/>
        <v>5564</v>
      </c>
      <c r="H205" s="172">
        <f t="shared" si="52"/>
        <v>8.5427660603188196E-4</v>
      </c>
      <c r="I205" s="336"/>
      <c r="J205" s="168"/>
      <c r="K205" s="168"/>
      <c r="M205" s="364">
        <f t="shared" si="53"/>
        <v>0.25665390470040134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121732</v>
      </c>
      <c r="D206" s="558">
        <f>SUM(D200:D205)</f>
        <v>22119</v>
      </c>
      <c r="E206" s="171">
        <f t="shared" ref="E206:F206" si="54">SUM(E200:E205)</f>
        <v>143851</v>
      </c>
      <c r="F206" s="171">
        <f t="shared" si="54"/>
        <v>0</v>
      </c>
      <c r="G206" s="171">
        <f>SUM(G200:G205)</f>
        <v>143851</v>
      </c>
      <c r="H206" s="172">
        <f t="shared" si="52"/>
        <v>2.2086366652460863E-2</v>
      </c>
      <c r="I206" s="336"/>
      <c r="J206" s="168"/>
      <c r="K206" s="168"/>
      <c r="M206" s="364">
        <f>G206/G$228</f>
        <v>6.6354997924258496</v>
      </c>
      <c r="N206" s="359">
        <f>SUMMARY!J209</f>
        <v>7.1515095990067339</v>
      </c>
      <c r="O206" s="354">
        <f>M206/N206-1</f>
        <v>-7.2153969653141803E-2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6771105.9199999999</v>
      </c>
      <c r="D208" s="558">
        <f>SUM(D25:D206)/2</f>
        <v>-257993</v>
      </c>
      <c r="E208" s="171">
        <f t="shared" ref="E208:F208" si="55">SUM(E25:E206)/2</f>
        <v>6513112.9199999999</v>
      </c>
      <c r="F208" s="171">
        <f t="shared" si="55"/>
        <v>0</v>
      </c>
      <c r="G208" s="171">
        <f>SUM(G25:G206)/2</f>
        <v>6513112.9199999999</v>
      </c>
      <c r="H208" s="172">
        <f>IF($G$208=0,0,G208/$G$208)</f>
        <v>1</v>
      </c>
      <c r="I208" s="336"/>
      <c r="J208" s="183">
        <f>SUM(J25:J200)</f>
        <v>157654</v>
      </c>
      <c r="K208" s="183">
        <f>SUM(K25:K200)</f>
        <v>167735</v>
      </c>
      <c r="M208" s="364">
        <f>G208/G$228</f>
        <v>300.43419530421147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0.66622478857177025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'[14]Sch C'!D221</f>
        <v>6771106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-8.0000000074505806E-2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-1213368.92</v>
      </c>
      <c r="D215" s="558">
        <f>D21-D208</f>
        <v>257993</v>
      </c>
      <c r="E215" s="171">
        <f t="shared" ref="E215:F215" si="56">E21-E208</f>
        <v>-955375.91999999993</v>
      </c>
      <c r="F215" s="171">
        <f t="shared" si="56"/>
        <v>0</v>
      </c>
      <c r="G215" s="171">
        <f>G21-G208</f>
        <v>-955375.91999999993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'[14]Sch D'!C9</f>
        <v>12385</v>
      </c>
      <c r="D219" s="592"/>
      <c r="E219" s="235">
        <f t="shared" ref="E219:G227" si="57">C219+D219</f>
        <v>12385</v>
      </c>
      <c r="F219" s="234"/>
      <c r="G219" s="235">
        <f t="shared" si="57"/>
        <v>12385</v>
      </c>
      <c r="H219" s="172">
        <f t="shared" ref="H219:H228" si="58">IF($G$228=0,0,G219/$G$228)</f>
        <v>0.57129018866183867</v>
      </c>
      <c r="I219" s="336"/>
      <c r="J219" s="168"/>
      <c r="K219" s="168"/>
    </row>
    <row r="220" spans="1:17">
      <c r="A220" s="163"/>
      <c r="B220" s="170" t="s">
        <v>217</v>
      </c>
      <c r="C220" s="592">
        <f>'[14]Sch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'[14]Sch D'!E9</f>
        <v>2338</v>
      </c>
      <c r="D221" s="592"/>
      <c r="E221" s="235">
        <f t="shared" si="59"/>
        <v>2338</v>
      </c>
      <c r="F221" s="234"/>
      <c r="G221" s="235">
        <f t="shared" si="57"/>
        <v>2338</v>
      </c>
      <c r="H221" s="172">
        <f t="shared" si="58"/>
        <v>0.10784630287374879</v>
      </c>
      <c r="I221" s="336"/>
      <c r="J221" s="168"/>
      <c r="K221" s="168"/>
    </row>
    <row r="222" spans="1:17">
      <c r="A222" s="163"/>
      <c r="B222" s="202" t="s">
        <v>334</v>
      </c>
      <c r="C222" s="592">
        <f>'[14]Sch D'!F9</f>
        <v>1805</v>
      </c>
      <c r="D222" s="592"/>
      <c r="E222" s="235">
        <f>C222+D222</f>
        <v>1805</v>
      </c>
      <c r="F222" s="234"/>
      <c r="G222" s="235">
        <f>E222+F222</f>
        <v>1805</v>
      </c>
      <c r="H222" s="172">
        <f t="shared" si="58"/>
        <v>8.3260297984224366E-2</v>
      </c>
      <c r="I222" s="336"/>
      <c r="J222" s="168"/>
      <c r="K222" s="168"/>
    </row>
    <row r="223" spans="1:17">
      <c r="A223" s="163"/>
      <c r="B223" s="170" t="s">
        <v>73</v>
      </c>
      <c r="C223" s="592">
        <f>'[14]Sch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'[14]Sch D'!H9</f>
        <v>3381</v>
      </c>
      <c r="D224" s="592"/>
      <c r="E224" s="235">
        <f t="shared" si="59"/>
        <v>3381</v>
      </c>
      <c r="F224" s="234"/>
      <c r="G224" s="235">
        <f t="shared" si="57"/>
        <v>3381</v>
      </c>
      <c r="H224" s="172">
        <f t="shared" si="58"/>
        <v>0.1559573781078463</v>
      </c>
      <c r="I224" s="336"/>
      <c r="J224" s="168"/>
      <c r="K224" s="168"/>
    </row>
    <row r="225" spans="1:11">
      <c r="A225" s="163"/>
      <c r="B225" s="170" t="s">
        <v>236</v>
      </c>
      <c r="C225" s="592">
        <f>'[14]Sch D'!I9</f>
        <v>1667</v>
      </c>
      <c r="D225" s="592"/>
      <c r="E225" s="235">
        <f t="shared" si="59"/>
        <v>1667</v>
      </c>
      <c r="F225" s="234"/>
      <c r="G225" s="235">
        <f t="shared" si="57"/>
        <v>1667</v>
      </c>
      <c r="H225" s="172">
        <f t="shared" si="58"/>
        <v>7.6894690714516351E-2</v>
      </c>
      <c r="I225" s="336"/>
      <c r="J225" s="168"/>
      <c r="K225" s="168"/>
    </row>
    <row r="226" spans="1:11">
      <c r="A226" s="163"/>
      <c r="B226" s="170" t="s">
        <v>235</v>
      </c>
      <c r="C226" s="592">
        <f>'[14]Sch D'!J9</f>
        <v>103</v>
      </c>
      <c r="D226" s="592"/>
      <c r="E226" s="235">
        <f>C226+D226</f>
        <v>103</v>
      </c>
      <c r="F226" s="234"/>
      <c r="G226" s="235">
        <f>E226+F226</f>
        <v>103</v>
      </c>
      <c r="H226" s="172">
        <f t="shared" si="58"/>
        <v>4.7511416578255453E-3</v>
      </c>
      <c r="I226" s="336"/>
      <c r="J226" s="168"/>
      <c r="K226" s="168"/>
    </row>
    <row r="227" spans="1:11">
      <c r="A227" s="163"/>
      <c r="B227" s="170" t="s">
        <v>179</v>
      </c>
      <c r="C227" s="592">
        <f>'[14]Sch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21679</v>
      </c>
      <c r="D228" s="592">
        <f>SUM(D219:D227)</f>
        <v>0</v>
      </c>
      <c r="E228" s="237">
        <f>SUM(E219:E227)</f>
        <v>21679</v>
      </c>
      <c r="F228" s="237">
        <f>SUM(F219:F227)</f>
        <v>0</v>
      </c>
      <c r="G228" s="237">
        <f>SUM(G219:G227)</f>
        <v>21679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'[14]Sch D'!N22</f>
        <v>88</v>
      </c>
      <c r="D231" s="559"/>
      <c r="E231" s="235">
        <f>C231+D231</f>
        <v>88</v>
      </c>
      <c r="F231" s="235"/>
      <c r="G231" s="235">
        <f>E231+F231</f>
        <v>88</v>
      </c>
      <c r="H231" s="167"/>
      <c r="J231" s="168"/>
      <c r="K231" s="168"/>
    </row>
    <row r="232" spans="1:11">
      <c r="A232" s="163"/>
      <c r="B232" s="202" t="s">
        <v>290</v>
      </c>
      <c r="C232" s="593">
        <f>'[14]Sch D'!N24</f>
        <v>88</v>
      </c>
      <c r="D232" s="559"/>
      <c r="E232" s="235">
        <f>C232+D232</f>
        <v>88</v>
      </c>
      <c r="F232" s="235"/>
      <c r="G232" s="235">
        <f>E232+F232</f>
        <v>88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'[14]Sch D'!N28</f>
        <v>32208</v>
      </c>
      <c r="D235" s="483"/>
      <c r="E235" s="234">
        <f>E231*E233</f>
        <v>32208</v>
      </c>
      <c r="F235" s="239"/>
      <c r="G235" s="234">
        <f>G231*G233</f>
        <v>32208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'[14]Sch D'!N30</f>
        <v>0.6730936413313463</v>
      </c>
      <c r="D236" s="239"/>
      <c r="E236" s="244">
        <f>IFERROR(E228/E235,"0")</f>
        <v>0.6730936413313463</v>
      </c>
      <c r="F236" s="245"/>
      <c r="G236" s="244">
        <f>IFERROR(G228/G235,"0")</f>
        <v>0.6730936413313463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'[14]Sch D'!N32</f>
        <v>0.38453179334326876</v>
      </c>
      <c r="D237" s="239"/>
      <c r="E237" s="244">
        <f>IFERROR((E219+E220)/E235,"0")</f>
        <v>0.38453179334326876</v>
      </c>
      <c r="F237" s="245"/>
      <c r="G237" s="244">
        <f>IFERROR((G219+G220)/G235,"0")</f>
        <v>0.38453179334326876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'[14]Sch D'!N34</f>
        <v>0.57129018866183856</v>
      </c>
      <c r="D238" s="239"/>
      <c r="E238" s="244">
        <f>IFERROR((E237/E236),"0")</f>
        <v>0.57129018866183856</v>
      </c>
      <c r="F238" s="245"/>
      <c r="G238" s="244">
        <f>IFERROR((G237/G236),"0")</f>
        <v>0.57129018866183856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'[14]Sch B'!C85</f>
        <v>338.06240158508348</v>
      </c>
    </row>
    <row r="242" spans="2:7">
      <c r="F242" s="142" t="s">
        <v>341</v>
      </c>
      <c r="G242" s="558">
        <f>'[14]Sch B'!E85</f>
        <v>357.02289669009406</v>
      </c>
    </row>
    <row r="243" spans="2:7">
      <c r="F243" s="142" t="s">
        <v>342</v>
      </c>
      <c r="G243" s="558">
        <f>'[14]Sch B'!G85</f>
        <v>297.8686142720498</v>
      </c>
    </row>
    <row r="244" spans="2:7">
      <c r="F244" s="142" t="s">
        <v>343</v>
      </c>
      <c r="G244" s="558">
        <f>'[14]Sch B'!I85</f>
        <v>280.41928349027012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rgb="FFE28CAB"/>
  </sheetPr>
  <dimension ref="A1:T245"/>
  <sheetViews>
    <sheetView showGridLines="0" topLeftCell="A222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371</v>
      </c>
      <c r="D2" s="246"/>
      <c r="E2" s="144"/>
      <c r="F2" s="140" t="s">
        <v>494</v>
      </c>
    </row>
    <row r="3" spans="1:17">
      <c r="A3" s="145"/>
      <c r="B3" s="140" t="s">
        <v>79</v>
      </c>
      <c r="C3" s="489">
        <v>42186</v>
      </c>
      <c r="D3" s="144"/>
      <c r="E3" s="147"/>
      <c r="F3" s="459" t="s">
        <v>495</v>
      </c>
    </row>
    <row r="4" spans="1:17">
      <c r="A4" s="145"/>
      <c r="B4" s="148" t="s">
        <v>80</v>
      </c>
      <c r="C4" s="489">
        <v>42551</v>
      </c>
      <c r="D4" s="144"/>
      <c r="E4" s="149"/>
      <c r="F4" s="459" t="s">
        <v>496</v>
      </c>
      <c r="G4" s="150"/>
    </row>
    <row r="5" spans="1:17">
      <c r="A5" s="145"/>
      <c r="B5" s="148"/>
      <c r="C5" s="151"/>
      <c r="D5" s="144"/>
      <c r="F5" s="460" t="s">
        <v>491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5" t="s">
        <v>480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'[15]Sch B'!E10</f>
        <v>2298955</v>
      </c>
      <c r="D11" s="558">
        <f>'[15]Sch B'!G10</f>
        <v>0</v>
      </c>
      <c r="E11" s="171">
        <f>C11+D11</f>
        <v>2298955</v>
      </c>
      <c r="F11" s="672">
        <f>475777-58389.85</f>
        <v>417387.15</v>
      </c>
      <c r="G11" s="171">
        <f t="shared" ref="G11:G20" si="0">E11+F11</f>
        <v>2716342.15</v>
      </c>
      <c r="H11" s="172">
        <f t="shared" ref="H11:H21" si="1">IF($G$21=0,0,G11/$G$21)</f>
        <v>0.55724278284709228</v>
      </c>
      <c r="I11" s="555" t="s">
        <v>420</v>
      </c>
      <c r="J11" s="368" t="s">
        <v>344</v>
      </c>
      <c r="K11" s="369">
        <f>G21</f>
        <v>4874611.629999999</v>
      </c>
      <c r="M11" s="359">
        <f>IFERROR(G11/G219,0)</f>
        <v>190.52690958827242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'[15]Sch B'!E15</f>
        <v>0</v>
      </c>
      <c r="D12" s="558">
        <f>'[15]Sch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4949301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'[15]Sch B'!E21</f>
        <v>578084</v>
      </c>
      <c r="D13" s="558">
        <f>'[15]Sch B'!G21</f>
        <v>0</v>
      </c>
      <c r="E13" s="171">
        <f t="shared" si="2"/>
        <v>578084</v>
      </c>
      <c r="F13" s="171">
        <v>123462.63</v>
      </c>
      <c r="G13" s="171">
        <f t="shared" si="0"/>
        <v>701546.63</v>
      </c>
      <c r="H13" s="172">
        <f t="shared" si="1"/>
        <v>0.14391846638252084</v>
      </c>
      <c r="I13" s="336"/>
      <c r="J13" s="370" t="s">
        <v>346</v>
      </c>
      <c r="K13" s="371">
        <f>G228</f>
        <v>20985</v>
      </c>
      <c r="M13" s="359">
        <f t="shared" si="3"/>
        <v>511.70432530999273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'[15]Sch B'!E27</f>
        <v>545081</v>
      </c>
      <c r="D14" s="558">
        <f>'[15]Sch B'!G27</f>
        <v>0</v>
      </c>
      <c r="E14" s="171">
        <f t="shared" si="2"/>
        <v>545081</v>
      </c>
      <c r="F14" s="175">
        <v>97672</v>
      </c>
      <c r="G14" s="175">
        <f>E14+F14</f>
        <v>642753</v>
      </c>
      <c r="H14" s="176">
        <f t="shared" si="1"/>
        <v>0.13185727372500444</v>
      </c>
      <c r="I14" s="337"/>
      <c r="J14" s="370" t="s">
        <v>347</v>
      </c>
      <c r="K14" s="371">
        <f>G231</f>
        <v>93</v>
      </c>
      <c r="M14" s="359">
        <f t="shared" si="3"/>
        <v>431.08853118712273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'[15]Sch B'!E32</f>
        <v>0</v>
      </c>
      <c r="D15" s="558">
        <f>'[15]Sch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34038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'[15]Sch B'!E37</f>
        <v>305105</v>
      </c>
      <c r="D16" s="558">
        <f>'[15]Sch B'!G37</f>
        <v>0</v>
      </c>
      <c r="E16" s="171">
        <f t="shared" si="2"/>
        <v>305105</v>
      </c>
      <c r="F16" s="171">
        <v>60444</v>
      </c>
      <c r="G16" s="171">
        <f t="shared" si="0"/>
        <v>365549</v>
      </c>
      <c r="H16" s="172">
        <f t="shared" si="1"/>
        <v>7.4990384413455333E-2</v>
      </c>
      <c r="I16" s="336"/>
      <c r="J16" s="372"/>
      <c r="K16" s="371"/>
      <c r="M16" s="359">
        <f t="shared" si="3"/>
        <v>196.53172043010753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'[15]Sch B'!E42</f>
        <v>0</v>
      </c>
      <c r="D17" s="558">
        <f>'[15]Sch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117792.76470588235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'[15]Sch B'!E47</f>
        <v>304744</v>
      </c>
      <c r="D18" s="558">
        <f>'[15]Sch B'!G47</f>
        <v>0</v>
      </c>
      <c r="E18" s="171">
        <f t="shared" si="2"/>
        <v>304744</v>
      </c>
      <c r="F18" s="171">
        <v>65204</v>
      </c>
      <c r="G18" s="171">
        <f>E18+F18</f>
        <v>369948</v>
      </c>
      <c r="H18" s="172">
        <f t="shared" si="1"/>
        <v>7.589281528054781E-2</v>
      </c>
      <c r="I18" s="336"/>
      <c r="J18" s="373" t="s">
        <v>252</v>
      </c>
      <c r="K18" s="374">
        <f>K208</f>
        <v>122221</v>
      </c>
      <c r="M18" s="359">
        <f t="shared" si="3"/>
        <v>184.42073778664007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'[15]Sch B'!E52</f>
        <v>0</v>
      </c>
      <c r="D19" s="558">
        <f>'[15]Sch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'[15]Sch B'!E67</f>
        <v>20083</v>
      </c>
      <c r="D20" s="558">
        <f>'[15]Sch B'!G67</f>
        <v>0</v>
      </c>
      <c r="E20" s="171">
        <f t="shared" si="2"/>
        <v>20083</v>
      </c>
      <c r="F20" s="672">
        <v>58389.85</v>
      </c>
      <c r="G20" s="171">
        <f t="shared" si="0"/>
        <v>78472.850000000006</v>
      </c>
      <c r="H20" s="172">
        <f t="shared" si="1"/>
        <v>1.6098277351379482E-2</v>
      </c>
      <c r="I20" s="555" t="s">
        <v>695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4052052</v>
      </c>
      <c r="D21" s="558">
        <f>SUM(D11:D20)</f>
        <v>0</v>
      </c>
      <c r="E21" s="171">
        <f>SUM(E11:E20)</f>
        <v>4052052</v>
      </c>
      <c r="F21" s="171">
        <f>SUM(F11:F20)</f>
        <v>822559.63</v>
      </c>
      <c r="G21" s="171">
        <f>SUM(G11:G20)</f>
        <v>4874611.629999999</v>
      </c>
      <c r="H21" s="172">
        <f t="shared" si="1"/>
        <v>1</v>
      </c>
      <c r="I21" s="336"/>
      <c r="J21" s="168"/>
      <c r="K21" s="168"/>
      <c r="M21" s="359">
        <f>IFERROR(G21/G228,0)</f>
        <v>232.29028496545146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412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'[15]Sch C'!D10</f>
        <v>91176</v>
      </c>
      <c r="D25" s="558">
        <f>'[15]Sch C'!F10</f>
        <v>5396</v>
      </c>
      <c r="E25" s="171">
        <f t="shared" ref="E25:E60" si="4">C25+D25</f>
        <v>96572</v>
      </c>
      <c r="F25" s="558">
        <v>23980</v>
      </c>
      <c r="G25" s="182">
        <f>E25+F25</f>
        <v>120552</v>
      </c>
      <c r="H25" s="172">
        <f>IF($G$208=0,0,G25/$G$208)</f>
        <v>2.4357378951088245E-2</v>
      </c>
      <c r="I25" s="336"/>
      <c r="J25" s="183">
        <f>2231+559</f>
        <v>2790</v>
      </c>
      <c r="K25" s="183">
        <f>2363+587</f>
        <v>2950</v>
      </c>
      <c r="M25" s="359">
        <f>G25/G$228</f>
        <v>5.7446747676912082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'[15]Sch C'!D11</f>
        <v>0</v>
      </c>
      <c r="D26" s="558">
        <f>'[15]Sch C'!F11</f>
        <v>0</v>
      </c>
      <c r="E26" s="171">
        <f t="shared" si="4"/>
        <v>0</v>
      </c>
      <c r="F26" s="558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'[15]Sch C'!D12</f>
        <v>140091</v>
      </c>
      <c r="D27" s="558">
        <f>'[15]Sch C'!F12</f>
        <v>8287</v>
      </c>
      <c r="E27" s="171">
        <f t="shared" si="4"/>
        <v>148378</v>
      </c>
      <c r="F27" s="558">
        <v>37238</v>
      </c>
      <c r="G27" s="171">
        <f t="shared" si="5"/>
        <v>185616</v>
      </c>
      <c r="H27" s="172">
        <f t="shared" si="6"/>
        <v>3.750347776382968E-2</v>
      </c>
      <c r="I27" s="336"/>
      <c r="J27" s="185">
        <f>6928+1754</f>
        <v>8682</v>
      </c>
      <c r="K27" s="185">
        <f>7338+1842</f>
        <v>9180</v>
      </c>
      <c r="M27" s="359">
        <f t="shared" si="7"/>
        <v>8.8451751250893498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'[15]Sch C'!D13</f>
        <v>382533</v>
      </c>
      <c r="D28" s="558">
        <f>'[15]Sch C'!F13</f>
        <v>-351702</v>
      </c>
      <c r="E28" s="171">
        <f t="shared" si="4"/>
        <v>30831</v>
      </c>
      <c r="F28" s="558">
        <v>7366</v>
      </c>
      <c r="G28" s="171">
        <f t="shared" si="5"/>
        <v>38197</v>
      </c>
      <c r="H28" s="172">
        <f t="shared" si="6"/>
        <v>7.7176554830672046E-3</v>
      </c>
      <c r="I28" s="336"/>
      <c r="J28" s="168"/>
      <c r="K28" s="168"/>
      <c r="M28" s="359">
        <f t="shared" si="7"/>
        <v>1.8202049082678105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'[15]Sch C'!D14</f>
        <v>0</v>
      </c>
      <c r="D29" s="558">
        <f>'[15]Sch C'!F14</f>
        <v>0</v>
      </c>
      <c r="E29" s="171">
        <f t="shared" si="4"/>
        <v>0</v>
      </c>
      <c r="F29" s="558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'[15]Sch C'!D15</f>
        <v>0</v>
      </c>
      <c r="D30" s="558">
        <f>'[15]Sch C'!F15</f>
        <v>0</v>
      </c>
      <c r="E30" s="171">
        <f t="shared" si="4"/>
        <v>0</v>
      </c>
      <c r="F30" s="558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'[15]Sch C'!D16</f>
        <v>203261</v>
      </c>
      <c r="D31" s="558">
        <f>'[15]Sch C'!F16</f>
        <v>97582</v>
      </c>
      <c r="E31" s="171">
        <f t="shared" si="4"/>
        <v>300843</v>
      </c>
      <c r="F31" s="558">
        <v>60308</v>
      </c>
      <c r="G31" s="171">
        <f t="shared" si="5"/>
        <v>361151</v>
      </c>
      <c r="H31" s="172">
        <f t="shared" si="6"/>
        <v>7.2970102242720741E-2</v>
      </c>
      <c r="I31" s="336"/>
      <c r="J31" s="168"/>
      <c r="K31" s="168"/>
      <c r="M31" s="359">
        <f t="shared" si="7"/>
        <v>17.209959494877292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'[15]Sch C'!D17</f>
        <v>0</v>
      </c>
      <c r="D32" s="558">
        <f>'[15]Sch C'!F17</f>
        <v>0</v>
      </c>
      <c r="E32" s="171">
        <f t="shared" si="4"/>
        <v>0</v>
      </c>
      <c r="F32" s="558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'[15]Sch C'!D18</f>
        <v>9120</v>
      </c>
      <c r="D33" s="558">
        <f>'[15]Sch C'!F18</f>
        <v>0</v>
      </c>
      <c r="E33" s="171">
        <f t="shared" si="4"/>
        <v>9120</v>
      </c>
      <c r="F33" s="558">
        <v>3367</v>
      </c>
      <c r="G33" s="171">
        <f t="shared" si="5"/>
        <v>12487</v>
      </c>
      <c r="H33" s="172">
        <f t="shared" si="6"/>
        <v>2.5229825383422831E-3</v>
      </c>
      <c r="I33" s="336"/>
      <c r="J33" s="168"/>
      <c r="K33" s="168"/>
      <c r="M33" s="359">
        <f t="shared" si="7"/>
        <v>0.59504407910412194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'[15]Sch C'!D19</f>
        <v>9766</v>
      </c>
      <c r="D34" s="558">
        <f>'[15]Sch C'!F19</f>
        <v>-1833</v>
      </c>
      <c r="E34" s="171">
        <f t="shared" si="4"/>
        <v>7933</v>
      </c>
      <c r="F34" s="558">
        <v>1848</v>
      </c>
      <c r="G34" s="171">
        <f t="shared" si="5"/>
        <v>9781</v>
      </c>
      <c r="H34" s="172">
        <f t="shared" si="6"/>
        <v>1.9762386648134755E-3</v>
      </c>
      <c r="I34" s="336"/>
      <c r="J34" s="168"/>
      <c r="K34" s="168"/>
      <c r="M34" s="359">
        <f t="shared" si="7"/>
        <v>0.4660948296402192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'[15]Sch C'!D20</f>
        <v>12339</v>
      </c>
      <c r="D35" s="558">
        <f>'[15]Sch C'!F20</f>
        <v>0</v>
      </c>
      <c r="E35" s="171">
        <f t="shared" si="4"/>
        <v>12339</v>
      </c>
      <c r="F35" s="558">
        <v>2088</v>
      </c>
      <c r="G35" s="171">
        <f t="shared" si="5"/>
        <v>14427</v>
      </c>
      <c r="H35" s="172">
        <f t="shared" si="6"/>
        <v>2.9149570818182203E-3</v>
      </c>
      <c r="I35" s="336"/>
      <c r="J35" s="168"/>
      <c r="K35" s="168"/>
      <c r="M35" s="359">
        <f t="shared" si="7"/>
        <v>0.68749106504646174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'[15]Sch C'!D21</f>
        <v>919</v>
      </c>
      <c r="D36" s="558">
        <f>'[15]Sch C'!F21</f>
        <v>0</v>
      </c>
      <c r="E36" s="171">
        <f t="shared" si="4"/>
        <v>919</v>
      </c>
      <c r="F36" s="558">
        <v>2027</v>
      </c>
      <c r="G36" s="171">
        <f t="shared" si="5"/>
        <v>2946</v>
      </c>
      <c r="H36" s="172">
        <f t="shared" si="6"/>
        <v>5.9523556962892341E-4</v>
      </c>
      <c r="I36" s="336"/>
      <c r="J36" s="168"/>
      <c r="K36" s="168"/>
      <c r="M36" s="359">
        <f t="shared" si="7"/>
        <v>0.14038598999285204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'[15]Sch C'!D22</f>
        <v>0</v>
      </c>
      <c r="D37" s="558">
        <f>'[15]Sch C'!F22</f>
        <v>0</v>
      </c>
      <c r="E37" s="171">
        <f t="shared" si="4"/>
        <v>0</v>
      </c>
      <c r="F37" s="558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'[15]Sch C'!D23</f>
        <v>10022</v>
      </c>
      <c r="D38" s="558">
        <f>'[15]Sch C'!F23</f>
        <v>0</v>
      </c>
      <c r="E38" s="171">
        <f t="shared" si="4"/>
        <v>10022</v>
      </c>
      <c r="F38" s="558">
        <v>1007</v>
      </c>
      <c r="G38" s="171">
        <f t="shared" si="5"/>
        <v>11029</v>
      </c>
      <c r="H38" s="172">
        <f t="shared" si="6"/>
        <v>2.2283954845340789E-3</v>
      </c>
      <c r="I38" s="336"/>
      <c r="J38" s="168"/>
      <c r="K38" s="168"/>
      <c r="M38" s="359">
        <f t="shared" si="7"/>
        <v>0.52556588039075525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'[15]Sch C'!D24</f>
        <v>38102</v>
      </c>
      <c r="D39" s="558">
        <f>'[15]Sch C'!F24</f>
        <v>-8500</v>
      </c>
      <c r="E39" s="171">
        <f t="shared" si="4"/>
        <v>29602</v>
      </c>
      <c r="F39" s="558">
        <v>5910</v>
      </c>
      <c r="G39" s="171">
        <f t="shared" si="5"/>
        <v>35512</v>
      </c>
      <c r="H39" s="172">
        <f t="shared" si="6"/>
        <v>7.1751546329471578E-3</v>
      </c>
      <c r="I39" s="336"/>
      <c r="J39" s="168"/>
      <c r="K39" s="168"/>
      <c r="M39" s="359">
        <f t="shared" si="7"/>
        <v>1.6922563736001905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'[15]Sch C'!D25</f>
        <v>0</v>
      </c>
      <c r="D40" s="558">
        <f>'[15]Sch C'!F25</f>
        <v>0</v>
      </c>
      <c r="E40" s="171">
        <f t="shared" si="4"/>
        <v>0</v>
      </c>
      <c r="F40" s="558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'[15]Sch C'!D26</f>
        <v>289181</v>
      </c>
      <c r="D41" s="558">
        <f>'[15]Sch C'!F26</f>
        <v>0</v>
      </c>
      <c r="E41" s="171">
        <f t="shared" si="4"/>
        <v>289181</v>
      </c>
      <c r="F41" s="558">
        <v>48951</v>
      </c>
      <c r="G41" s="171">
        <f t="shared" si="5"/>
        <v>338132</v>
      </c>
      <c r="H41" s="172">
        <f t="shared" si="6"/>
        <v>6.8319142440518371E-2</v>
      </c>
      <c r="I41" s="336"/>
      <c r="J41" s="168"/>
      <c r="K41" s="168"/>
      <c r="M41" s="359">
        <f t="shared" si="7"/>
        <v>16.11303311889445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'[15]Sch C'!D27</f>
        <v>0</v>
      </c>
      <c r="D42" s="558">
        <f>'[15]Sch C'!F27</f>
        <v>0</v>
      </c>
      <c r="E42" s="171">
        <f t="shared" si="4"/>
        <v>0</v>
      </c>
      <c r="F42" s="558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'[15]Sch C'!D28</f>
        <v>0</v>
      </c>
      <c r="D43" s="558">
        <f>'[15]Sch C'!F28</f>
        <v>0</v>
      </c>
      <c r="E43" s="171">
        <f t="shared" si="4"/>
        <v>0</v>
      </c>
      <c r="F43" s="558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'[15]Sch C'!D29</f>
        <v>30435</v>
      </c>
      <c r="D44" s="558">
        <f>'[15]Sch C'!F29</f>
        <v>-30435</v>
      </c>
      <c r="E44" s="171">
        <f t="shared" si="4"/>
        <v>0</v>
      </c>
      <c r="F44" s="558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'[15]Sch C'!D30</f>
        <v>0</v>
      </c>
      <c r="D45" s="558">
        <f>'[15]Sch C'!F30</f>
        <v>0</v>
      </c>
      <c r="E45" s="171">
        <f t="shared" si="4"/>
        <v>0</v>
      </c>
      <c r="F45" s="558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'[15]Sch C'!D31</f>
        <v>62919</v>
      </c>
      <c r="D46" s="558">
        <f>'[15]Sch C'!F31</f>
        <v>0</v>
      </c>
      <c r="E46" s="171">
        <f t="shared" si="4"/>
        <v>62919</v>
      </c>
      <c r="F46" s="558">
        <v>13840</v>
      </c>
      <c r="G46" s="171">
        <f t="shared" si="5"/>
        <v>76759</v>
      </c>
      <c r="H46" s="172">
        <f t="shared" si="6"/>
        <v>1.5509058753953336E-2</v>
      </c>
      <c r="I46" s="336"/>
      <c r="J46" s="168"/>
      <c r="K46" s="168"/>
      <c r="M46" s="359">
        <f t="shared" si="7"/>
        <v>3.6578031927567309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'[15]Sch C'!D32</f>
        <v>68000</v>
      </c>
      <c r="D47" s="558">
        <f>'[15]Sch C'!F32</f>
        <v>-23242</v>
      </c>
      <c r="E47" s="171">
        <f t="shared" si="4"/>
        <v>44758</v>
      </c>
      <c r="F47" s="558">
        <v>8952</v>
      </c>
      <c r="G47" s="171">
        <f t="shared" si="5"/>
        <v>53710</v>
      </c>
      <c r="H47" s="172">
        <f t="shared" si="6"/>
        <v>1.085203748973845E-2</v>
      </c>
      <c r="I47" s="336"/>
      <c r="J47" s="168"/>
      <c r="K47" s="168"/>
      <c r="M47" s="359">
        <f t="shared" si="7"/>
        <v>2.5594472242077675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'[15]Sch C'!D33</f>
        <v>0</v>
      </c>
      <c r="D48" s="558">
        <f>'[15]Sch C'!F33</f>
        <v>0</v>
      </c>
      <c r="E48" s="171">
        <f t="shared" si="4"/>
        <v>0</v>
      </c>
      <c r="F48" s="558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'[15]Sch C'!D34</f>
        <v>0</v>
      </c>
      <c r="D49" s="558">
        <f>'[15]Sch C'!F34</f>
        <v>0</v>
      </c>
      <c r="E49" s="171">
        <f t="shared" si="4"/>
        <v>0</v>
      </c>
      <c r="F49" s="558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'[15]Sch C'!D35</f>
        <v>20</v>
      </c>
      <c r="D50" s="558">
        <f>'[15]Sch C'!F35</f>
        <v>-20</v>
      </c>
      <c r="E50" s="171">
        <f t="shared" si="4"/>
        <v>0</v>
      </c>
      <c r="F50" s="558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'[15]Sch C'!D36</f>
        <v>0</v>
      </c>
      <c r="D51" s="558">
        <f>'[15]Sch C'!F36</f>
        <v>0</v>
      </c>
      <c r="E51" s="171">
        <f t="shared" si="4"/>
        <v>0</v>
      </c>
      <c r="F51" s="558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'[15]Sch C'!D37</f>
        <v>0</v>
      </c>
      <c r="D52" s="558">
        <f>'[15]Sch C'!F37</f>
        <v>0</v>
      </c>
      <c r="E52" s="171">
        <f t="shared" si="4"/>
        <v>0</v>
      </c>
      <c r="F52" s="558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'[15]Sch C'!D38</f>
        <v>300</v>
      </c>
      <c r="D53" s="558">
        <f>'[15]Sch C'!F38</f>
        <v>-300</v>
      </c>
      <c r="E53" s="171">
        <f t="shared" si="4"/>
        <v>0</v>
      </c>
      <c r="F53" s="558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'[15]Sch C'!D39</f>
        <v>4759</v>
      </c>
      <c r="D54" s="558">
        <f>'[15]Sch C'!F39</f>
        <v>0</v>
      </c>
      <c r="E54" s="171">
        <f t="shared" si="4"/>
        <v>4759</v>
      </c>
      <c r="F54" s="558">
        <v>1442</v>
      </c>
      <c r="G54" s="171">
        <f t="shared" si="5"/>
        <v>6201</v>
      </c>
      <c r="H54" s="172">
        <f t="shared" si="6"/>
        <v>1.2529041979867459E-3</v>
      </c>
      <c r="I54" s="336"/>
      <c r="J54" s="168"/>
      <c r="K54" s="168"/>
      <c r="M54" s="359">
        <f t="shared" si="7"/>
        <v>0.29549678341672625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'[15]Sch C'!D40</f>
        <v>6220</v>
      </c>
      <c r="D55" s="558">
        <f>'[15]Sch C'!F40</f>
        <v>0</v>
      </c>
      <c r="E55" s="171">
        <f t="shared" si="4"/>
        <v>6220</v>
      </c>
      <c r="F55" s="558">
        <v>2236</v>
      </c>
      <c r="G55" s="171">
        <f t="shared" si="5"/>
        <v>8456</v>
      </c>
      <c r="H55" s="172">
        <f t="shared" si="6"/>
        <v>1.7085240925940855E-3</v>
      </c>
      <c r="I55" s="336"/>
      <c r="J55" s="168"/>
      <c r="K55" s="168"/>
      <c r="M55" s="359">
        <f t="shared" si="7"/>
        <v>0.4029544913033119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'[15]Sch C'!D41</f>
        <v>23040</v>
      </c>
      <c r="D56" s="558">
        <f>'[15]Sch C'!F41</f>
        <v>0</v>
      </c>
      <c r="E56" s="171">
        <f t="shared" si="4"/>
        <v>23040</v>
      </c>
      <c r="F56" s="558">
        <v>2831</v>
      </c>
      <c r="G56" s="171">
        <f t="shared" si="5"/>
        <v>25871</v>
      </c>
      <c r="H56" s="172">
        <f t="shared" si="6"/>
        <v>5.2272027908587494E-3</v>
      </c>
      <c r="I56" s="336"/>
      <c r="J56" s="168"/>
      <c r="K56" s="168"/>
      <c r="M56" s="359">
        <f t="shared" si="7"/>
        <v>1.2328329759351917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'[15]Sch C'!D42</f>
        <v>11150</v>
      </c>
      <c r="D57" s="558">
        <f>'[15]Sch C'!F42</f>
        <v>0</v>
      </c>
      <c r="E57" s="171">
        <f t="shared" si="4"/>
        <v>11150</v>
      </c>
      <c r="F57" s="558">
        <v>7823</v>
      </c>
      <c r="G57" s="171">
        <f t="shared" si="5"/>
        <v>18973</v>
      </c>
      <c r="H57" s="172">
        <f t="shared" si="6"/>
        <v>3.8334706254479168E-3</v>
      </c>
      <c r="I57" s="336"/>
      <c r="J57" s="168"/>
      <c r="K57" s="168"/>
      <c r="M57" s="359">
        <f t="shared" si="7"/>
        <v>0.90412199189897546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'[15]Sch C'!D43</f>
        <v>7076</v>
      </c>
      <c r="D58" s="558">
        <f>'[15]Sch C'!F43</f>
        <v>0</v>
      </c>
      <c r="E58" s="171">
        <f t="shared" si="4"/>
        <v>7076</v>
      </c>
      <c r="F58" s="558">
        <v>1508</v>
      </c>
      <c r="G58" s="171">
        <f t="shared" si="5"/>
        <v>8584</v>
      </c>
      <c r="H58" s="172">
        <f t="shared" si="6"/>
        <v>1.7343863305141474E-3</v>
      </c>
      <c r="I58" s="336"/>
      <c r="J58" s="168"/>
      <c r="K58" s="168"/>
      <c r="M58" s="359">
        <f t="shared" si="7"/>
        <v>0.40905408625208484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'[15]Sch C'!D44</f>
        <v>65</v>
      </c>
      <c r="D59" s="558">
        <f>'[15]Sch C'!F44</f>
        <v>0</v>
      </c>
      <c r="E59" s="171">
        <f t="shared" si="4"/>
        <v>65</v>
      </c>
      <c r="F59" s="558">
        <v>0</v>
      </c>
      <c r="G59" s="171">
        <f t="shared" si="5"/>
        <v>65</v>
      </c>
      <c r="H59" s="172">
        <f t="shared" si="6"/>
        <v>1.3133167693781405E-5</v>
      </c>
      <c r="I59" s="336"/>
      <c r="J59" s="168"/>
      <c r="K59" s="168"/>
      <c r="M59" s="359">
        <f t="shared" si="7"/>
        <v>3.0974505599237552E-3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'[15]Sch C'!D45</f>
        <v>19127</v>
      </c>
      <c r="D60" s="558">
        <f>'[15]Sch C'!F45</f>
        <v>-20014</v>
      </c>
      <c r="E60" s="171">
        <f t="shared" si="4"/>
        <v>-887</v>
      </c>
      <c r="F60" s="558">
        <v>1114</v>
      </c>
      <c r="G60" s="171">
        <f t="shared" si="5"/>
        <v>227</v>
      </c>
      <c r="H60" s="172">
        <f t="shared" si="6"/>
        <v>4.5865062561359673E-5</v>
      </c>
      <c r="I60" s="336"/>
      <c r="J60" s="168"/>
      <c r="K60" s="168"/>
      <c r="M60" s="359">
        <f t="shared" si="7"/>
        <v>1.0817250416964498E-2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1419621</v>
      </c>
      <c r="D61" s="558">
        <f>SUM(D25:D60)</f>
        <v>-324781</v>
      </c>
      <c r="E61" s="171">
        <f t="shared" ref="E61" si="8">SUM(E25:E60)</f>
        <v>1094840</v>
      </c>
      <c r="F61" s="558">
        <f>SUM(F25:F60)</f>
        <v>233836</v>
      </c>
      <c r="G61" s="171">
        <f>SUM(G25:G60)</f>
        <v>1328676</v>
      </c>
      <c r="H61" s="186">
        <f t="shared" si="6"/>
        <v>0.26845730336465695</v>
      </c>
      <c r="I61" s="338"/>
      <c r="J61" s="168"/>
      <c r="K61" s="168"/>
      <c r="M61" s="364">
        <f>G61/G$228</f>
        <v>63.315511079342386</v>
      </c>
      <c r="N61" s="359">
        <f>SUMMARY!J64</f>
        <v>53.728790309602623</v>
      </c>
      <c r="O61" s="354">
        <f>M61/N61-1</f>
        <v>0.17842800320829832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'[15]Sch C'!D57</f>
        <v>350000</v>
      </c>
      <c r="D64" s="558">
        <f>'[15]Sch C'!F57</f>
        <v>0</v>
      </c>
      <c r="E64" s="171">
        <f t="shared" ref="E64:E78" si="9">C64+D64</f>
        <v>350000</v>
      </c>
      <c r="F64" s="558">
        <v>70290</v>
      </c>
      <c r="G64" s="171">
        <f t="shared" ref="G64:G78" si="10">E64+F64</f>
        <v>420290</v>
      </c>
      <c r="H64" s="172">
        <f t="shared" ref="H64:H79" si="11">IF($G$208=0,0,G64/$G$208)</f>
        <v>8.4919062307990567E-2</v>
      </c>
      <c r="I64" s="336"/>
      <c r="J64" s="190"/>
      <c r="K64" s="168"/>
      <c r="M64" s="359">
        <f t="shared" ref="M64:M79" si="12">G64/G$228</f>
        <v>20.028115320467002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'[15]Sch C'!D58</f>
        <v>78968</v>
      </c>
      <c r="D65" s="558">
        <f>'[15]Sch C'!F58</f>
        <v>0</v>
      </c>
      <c r="E65" s="171">
        <f t="shared" si="9"/>
        <v>78968</v>
      </c>
      <c r="F65" s="558">
        <v>20828</v>
      </c>
      <c r="G65" s="171">
        <f t="shared" si="10"/>
        <v>99796</v>
      </c>
      <c r="H65" s="172">
        <f t="shared" si="11"/>
        <v>2.0163655433363216E-2</v>
      </c>
      <c r="I65" s="336"/>
      <c r="J65" s="190"/>
      <c r="K65" s="168"/>
      <c r="M65" s="359">
        <f t="shared" si="12"/>
        <v>4.7555873242792472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'[15]Sch C'!D59</f>
        <v>0</v>
      </c>
      <c r="D66" s="558">
        <f>'[15]Sch C'!F59</f>
        <v>0</v>
      </c>
      <c r="E66" s="171">
        <f t="shared" si="9"/>
        <v>0</v>
      </c>
      <c r="F66" s="558">
        <v>0</v>
      </c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'[15]Sch C'!D60</f>
        <v>24106</v>
      </c>
      <c r="D67" s="558">
        <f>'[15]Sch C'!F60</f>
        <v>0</v>
      </c>
      <c r="E67" s="171">
        <f t="shared" si="9"/>
        <v>24106</v>
      </c>
      <c r="F67" s="558">
        <v>4928</v>
      </c>
      <c r="G67" s="171">
        <f t="shared" si="10"/>
        <v>29034</v>
      </c>
      <c r="H67" s="172">
        <f t="shared" si="11"/>
        <v>5.8662829357115278E-3</v>
      </c>
      <c r="I67" s="336"/>
      <c r="J67" s="193"/>
      <c r="K67" s="168"/>
      <c r="M67" s="359">
        <f t="shared" si="12"/>
        <v>1.3835596854896355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'[15]Sch C'!D61</f>
        <v>7733</v>
      </c>
      <c r="D68" s="558">
        <f>'[15]Sch C'!F61</f>
        <v>0</v>
      </c>
      <c r="E68" s="171">
        <f t="shared" si="9"/>
        <v>7733</v>
      </c>
      <c r="F68" s="558">
        <v>1475</v>
      </c>
      <c r="G68" s="171">
        <f t="shared" si="10"/>
        <v>9208</v>
      </c>
      <c r="H68" s="172">
        <f t="shared" si="11"/>
        <v>1.8604647403744489E-3</v>
      </c>
      <c r="I68" s="336"/>
      <c r="J68" s="193"/>
      <c r="K68" s="168"/>
      <c r="M68" s="359">
        <f t="shared" si="12"/>
        <v>0.43878961162735286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'[15]Sch C'!D62</f>
        <v>3360</v>
      </c>
      <c r="D69" s="558">
        <f>'[15]Sch C'!F62</f>
        <v>0</v>
      </c>
      <c r="E69" s="171">
        <f t="shared" si="9"/>
        <v>3360</v>
      </c>
      <c r="F69" s="558">
        <v>1881</v>
      </c>
      <c r="G69" s="171">
        <f t="shared" si="10"/>
        <v>5241</v>
      </c>
      <c r="H69" s="172">
        <f t="shared" si="11"/>
        <v>1.0589374135862822E-3</v>
      </c>
      <c r="I69" s="336"/>
      <c r="J69" s="195"/>
      <c r="K69" s="168"/>
      <c r="M69" s="359">
        <f t="shared" si="12"/>
        <v>0.24974982130092924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'[15]Sch C'!D63</f>
        <v>0</v>
      </c>
      <c r="D70" s="558">
        <f>'[15]Sch C'!F63</f>
        <v>0</v>
      </c>
      <c r="E70" s="171">
        <f t="shared" si="9"/>
        <v>0</v>
      </c>
      <c r="F70" s="558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'[15]Sch C'!D64</f>
        <v>0</v>
      </c>
      <c r="D71" s="558">
        <f>'[15]Sch C'!F64</f>
        <v>0</v>
      </c>
      <c r="E71" s="171">
        <f t="shared" si="9"/>
        <v>0</v>
      </c>
      <c r="F71" s="558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'[15]Sch C'!D65</f>
        <v>4482</v>
      </c>
      <c r="D72" s="558">
        <f>'[15]Sch C'!F65</f>
        <v>0</v>
      </c>
      <c r="E72" s="171">
        <f t="shared" si="9"/>
        <v>4482</v>
      </c>
      <c r="F72" s="558">
        <v>1365</v>
      </c>
      <c r="G72" s="171">
        <f t="shared" si="10"/>
        <v>5847</v>
      </c>
      <c r="H72" s="172">
        <f t="shared" si="11"/>
        <v>1.181378946239075E-3</v>
      </c>
      <c r="I72" s="336"/>
      <c r="J72" s="195"/>
      <c r="K72" s="168"/>
      <c r="M72" s="359">
        <f t="shared" si="12"/>
        <v>0.27862759113652608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'[15]Sch C'!D66</f>
        <v>1122</v>
      </c>
      <c r="D73" s="558">
        <f>'[15]Sch C'!F66</f>
        <v>0</v>
      </c>
      <c r="E73" s="171">
        <f t="shared" si="9"/>
        <v>1122</v>
      </c>
      <c r="F73" s="558">
        <v>566</v>
      </c>
      <c r="G73" s="171">
        <f t="shared" si="10"/>
        <v>1688</v>
      </c>
      <c r="H73" s="172">
        <f t="shared" si="11"/>
        <v>3.4105826257081555E-4</v>
      </c>
      <c r="I73" s="336"/>
      <c r="J73" s="195"/>
      <c r="K73" s="168"/>
      <c r="M73" s="359">
        <f t="shared" si="12"/>
        <v>8.043840838694305E-2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'[15]Sch C'!D67</f>
        <v>62905</v>
      </c>
      <c r="D74" s="558">
        <f>'[15]Sch C'!F67</f>
        <v>-114</v>
      </c>
      <c r="E74" s="171">
        <f t="shared" si="9"/>
        <v>62791</v>
      </c>
      <c r="F74" s="558">
        <v>15022</v>
      </c>
      <c r="G74" s="171">
        <f t="shared" si="10"/>
        <v>77813</v>
      </c>
      <c r="H74" s="172">
        <f t="shared" si="11"/>
        <v>1.5722018119326345E-2</v>
      </c>
      <c r="I74" s="336"/>
      <c r="J74" s="195"/>
      <c r="K74" s="168"/>
      <c r="M74" s="359">
        <f t="shared" si="12"/>
        <v>3.7080295449130332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'[15]Sch C'!D68</f>
        <v>0</v>
      </c>
      <c r="D75" s="558">
        <f>'[15]Sch C'!F68</f>
        <v>0</v>
      </c>
      <c r="E75" s="171">
        <f t="shared" si="9"/>
        <v>0</v>
      </c>
      <c r="F75" s="558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'[15]Sch C'!D69</f>
        <v>5464</v>
      </c>
      <c r="D76" s="558">
        <f>'[15]Sch C'!F69</f>
        <v>0</v>
      </c>
      <c r="E76" s="171">
        <f t="shared" si="9"/>
        <v>5464</v>
      </c>
      <c r="F76" s="558">
        <v>988</v>
      </c>
      <c r="G76" s="171">
        <f t="shared" si="10"/>
        <v>6452</v>
      </c>
      <c r="H76" s="172">
        <f t="shared" si="11"/>
        <v>1.3036184301581173E-3</v>
      </c>
      <c r="I76" s="336"/>
      <c r="J76" s="195"/>
      <c r="K76" s="168"/>
      <c r="M76" s="359">
        <f t="shared" si="12"/>
        <v>0.30745770788658566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'[15]Sch C'!D70</f>
        <v>0</v>
      </c>
      <c r="D77" s="558">
        <f>'[15]Sch C'!F70</f>
        <v>0</v>
      </c>
      <c r="E77" s="171">
        <f t="shared" si="9"/>
        <v>0</v>
      </c>
      <c r="F77" s="558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'[15]Sch C'!D71</f>
        <v>0</v>
      </c>
      <c r="D78" s="558">
        <f>'[15]Sch C'!F71</f>
        <v>0</v>
      </c>
      <c r="E78" s="171">
        <f t="shared" si="9"/>
        <v>0</v>
      </c>
      <c r="F78" s="558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538140</v>
      </c>
      <c r="D79" s="558">
        <f>SUM(D64:D78)</f>
        <v>-114</v>
      </c>
      <c r="E79" s="171">
        <f t="shared" ref="E79" si="13">SUM(E64:E78)</f>
        <v>538026</v>
      </c>
      <c r="F79" s="558">
        <f>SUM(F64:F78)</f>
        <v>117343</v>
      </c>
      <c r="G79" s="171">
        <f>SUM(G64:G78)</f>
        <v>655369</v>
      </c>
      <c r="H79" s="172">
        <f t="shared" si="11"/>
        <v>0.1324164765893204</v>
      </c>
      <c r="I79" s="336"/>
      <c r="J79" s="195"/>
      <c r="K79" s="168"/>
      <c r="M79" s="359">
        <f t="shared" si="12"/>
        <v>31.230355015487252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'[15]Sch C'!D75</f>
        <v>44545</v>
      </c>
      <c r="D82" s="558">
        <f>'[15]Sch C'!F75</f>
        <v>2636</v>
      </c>
      <c r="E82" s="171">
        <f t="shared" ref="E82:E92" si="14">C82+D82</f>
        <v>47181</v>
      </c>
      <c r="F82" s="558">
        <v>6667</v>
      </c>
      <c r="G82" s="171">
        <f t="shared" ref="G82:G92" si="15">E82+F82</f>
        <v>53848</v>
      </c>
      <c r="H82" s="172">
        <f t="shared" ref="H82:H93" si="16">IF($G$208=0,0,G82/$G$208)</f>
        <v>1.0879920214996017E-2</v>
      </c>
      <c r="I82" s="336"/>
      <c r="J82" s="183">
        <f>2166+309</f>
        <v>2475</v>
      </c>
      <c r="K82" s="183">
        <f>2294+324</f>
        <v>2618</v>
      </c>
      <c r="M82" s="359">
        <f t="shared" ref="M82:M92" si="17">G82/G$228</f>
        <v>2.5660233500119132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'[15]Sch C'!D76</f>
        <v>0</v>
      </c>
      <c r="D83" s="558">
        <f>'[15]Sch C'!F76</f>
        <v>5721</v>
      </c>
      <c r="E83" s="171">
        <f t="shared" si="14"/>
        <v>5721</v>
      </c>
      <c r="F83" s="558">
        <v>798</v>
      </c>
      <c r="G83" s="171">
        <f t="shared" si="15"/>
        <v>6519</v>
      </c>
      <c r="H83" s="172">
        <f t="shared" si="16"/>
        <v>1.3171556953193997E-3</v>
      </c>
      <c r="I83" s="336"/>
      <c r="J83" s="168"/>
      <c r="K83" s="168"/>
      <c r="M83" s="359">
        <f t="shared" si="17"/>
        <v>0.310650464617584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'[15]Sch C'!D77</f>
        <v>18445</v>
      </c>
      <c r="D84" s="558">
        <f>'[15]Sch C'!F77</f>
        <v>0</v>
      </c>
      <c r="E84" s="171">
        <f t="shared" si="14"/>
        <v>18445</v>
      </c>
      <c r="F84" s="558">
        <v>3784</v>
      </c>
      <c r="G84" s="171">
        <f t="shared" si="15"/>
        <v>22229</v>
      </c>
      <c r="H84" s="172">
        <f t="shared" si="16"/>
        <v>4.4913413025394902E-3</v>
      </c>
      <c r="I84" s="336"/>
      <c r="J84" s="168"/>
      <c r="K84" s="168"/>
      <c r="M84" s="359">
        <f t="shared" si="17"/>
        <v>1.0592804384083869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'[15]Sch C'!D78</f>
        <v>0</v>
      </c>
      <c r="D85" s="558">
        <f>'[15]Sch C'!F78</f>
        <v>0</v>
      </c>
      <c r="E85" s="171">
        <f t="shared" si="14"/>
        <v>0</v>
      </c>
      <c r="F85" s="558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'[15]Sch C'!D79</f>
        <v>5668</v>
      </c>
      <c r="D86" s="558">
        <f>'[15]Sch C'!F79</f>
        <v>0</v>
      </c>
      <c r="E86" s="171">
        <f t="shared" si="14"/>
        <v>5668</v>
      </c>
      <c r="F86" s="558">
        <v>1003</v>
      </c>
      <c r="G86" s="171">
        <f>E86+F86</f>
        <v>6671</v>
      </c>
      <c r="H86" s="172">
        <f t="shared" si="16"/>
        <v>1.3478671028494731E-3</v>
      </c>
      <c r="I86" s="336"/>
      <c r="J86" s="168"/>
      <c r="K86" s="168"/>
      <c r="M86" s="359">
        <f t="shared" si="17"/>
        <v>0.31789373361925183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'[15]Sch C'!D80</f>
        <v>17115</v>
      </c>
      <c r="D87" s="558">
        <f>'[15]Sch C'!F80</f>
        <v>0</v>
      </c>
      <c r="E87" s="171">
        <f t="shared" si="14"/>
        <v>17115</v>
      </c>
      <c r="F87" s="558">
        <v>2183</v>
      </c>
      <c r="G87" s="171">
        <f t="shared" si="15"/>
        <v>19298</v>
      </c>
      <c r="H87" s="172">
        <f t="shared" si="16"/>
        <v>3.8991364639168239E-3</v>
      </c>
      <c r="I87" s="336"/>
      <c r="J87" s="168"/>
      <c r="K87" s="168"/>
      <c r="M87" s="359">
        <f t="shared" si="17"/>
        <v>0.91960924469859429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'[15]Sch C'!D81</f>
        <v>9839</v>
      </c>
      <c r="D88" s="558">
        <f>'[15]Sch C'!F81</f>
        <v>0</v>
      </c>
      <c r="E88" s="171">
        <f t="shared" si="14"/>
        <v>9839</v>
      </c>
      <c r="F88" s="558">
        <v>622</v>
      </c>
      <c r="G88" s="171">
        <f t="shared" si="15"/>
        <v>10461</v>
      </c>
      <c r="H88" s="172">
        <f t="shared" si="16"/>
        <v>2.1136318037638041E-3</v>
      </c>
      <c r="I88" s="336"/>
      <c r="J88" s="168"/>
      <c r="K88" s="168"/>
      <c r="M88" s="359">
        <f t="shared" si="17"/>
        <v>0.49849892780557542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'[15]Sch C'!D82</f>
        <v>5718</v>
      </c>
      <c r="D89" s="558">
        <f>'[15]Sch C'!F82</f>
        <v>0</v>
      </c>
      <c r="E89" s="171">
        <f t="shared" si="14"/>
        <v>5718</v>
      </c>
      <c r="F89" s="558">
        <v>266</v>
      </c>
      <c r="G89" s="171">
        <f t="shared" si="15"/>
        <v>5984</v>
      </c>
      <c r="H89" s="172">
        <f t="shared" si="16"/>
        <v>1.2090596227628911E-3</v>
      </c>
      <c r="I89" s="336"/>
      <c r="J89" s="168"/>
      <c r="K89" s="168"/>
      <c r="M89" s="359">
        <f t="shared" si="17"/>
        <v>0.28515606385513464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'[15]Sch C'!D83</f>
        <v>0</v>
      </c>
      <c r="D90" s="558">
        <f>'[15]Sch C'!F83</f>
        <v>0</v>
      </c>
      <c r="E90" s="171">
        <f t="shared" si="14"/>
        <v>0</v>
      </c>
      <c r="F90" s="558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'[15]Sch C'!D84</f>
        <v>66316</v>
      </c>
      <c r="D91" s="558">
        <f>'[15]Sch C'!F84</f>
        <v>0</v>
      </c>
      <c r="E91" s="171">
        <f t="shared" si="14"/>
        <v>66316</v>
      </c>
      <c r="F91" s="558">
        <v>9922</v>
      </c>
      <c r="G91" s="171">
        <f t="shared" si="15"/>
        <v>76238</v>
      </c>
      <c r="H91" s="172">
        <f t="shared" si="16"/>
        <v>1.5403791363669334E-2</v>
      </c>
      <c r="I91" s="336"/>
      <c r="J91" s="168"/>
      <c r="K91" s="168"/>
      <c r="M91" s="359">
        <f t="shared" si="17"/>
        <v>3.6329759351918036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'[15]Sch C'!D85</f>
        <v>0</v>
      </c>
      <c r="D92" s="558">
        <f>'[15]Sch C'!F85</f>
        <v>0</v>
      </c>
      <c r="E92" s="171">
        <f t="shared" si="14"/>
        <v>0</v>
      </c>
      <c r="F92" s="558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167646</v>
      </c>
      <c r="D93" s="558">
        <f>SUM(D82:D92)</f>
        <v>8357</v>
      </c>
      <c r="E93" s="171">
        <f t="shared" ref="E93" si="18">SUM(E82:E92)</f>
        <v>176003</v>
      </c>
      <c r="F93" s="558">
        <f>SUM(F82:F92)</f>
        <v>25245</v>
      </c>
      <c r="G93" s="171">
        <f>SUM(G82:G92)</f>
        <v>201248</v>
      </c>
      <c r="H93" s="172">
        <f t="shared" si="16"/>
        <v>4.0661903569817234E-2</v>
      </c>
      <c r="I93" s="336"/>
      <c r="J93" s="168"/>
      <c r="K93" s="168"/>
      <c r="M93" s="364">
        <f>G93/G$228</f>
        <v>9.5900881582082445</v>
      </c>
      <c r="N93" s="359">
        <f>SUMMARY!J96</f>
        <v>11.458724454710746</v>
      </c>
      <c r="O93" s="354">
        <f>M93/N93-1</f>
        <v>-0.16307541942282189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'[15]Sch C'!D89</f>
        <v>120434</v>
      </c>
      <c r="D96" s="558">
        <f>'[15]Sch C'!F89</f>
        <v>7127</v>
      </c>
      <c r="E96" s="171">
        <f t="shared" ref="E96:E101" si="19">C96+D96</f>
        <v>127561</v>
      </c>
      <c r="F96" s="558">
        <v>25391</v>
      </c>
      <c r="G96" s="171">
        <f t="shared" ref="G96:G101" si="20">E96+F96</f>
        <v>152952</v>
      </c>
      <c r="H96" s="172">
        <f t="shared" ref="H96:H102" si="21">IF($G$208=0,0,G96/$G$208)</f>
        <v>3.0903757924603897E-2</v>
      </c>
      <c r="I96" s="336"/>
      <c r="J96" s="183">
        <f>9055+1818</f>
        <v>10873</v>
      </c>
      <c r="K96" s="183">
        <f>9591+1909</f>
        <v>11500</v>
      </c>
      <c r="M96" s="364">
        <f t="shared" ref="M96:M101" si="22">G96/G$228</f>
        <v>7.2886347390993569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'[15]Sch C'!D90</f>
        <v>0</v>
      </c>
      <c r="D97" s="558">
        <f>'[15]Sch C'!F90</f>
        <v>15468</v>
      </c>
      <c r="E97" s="171">
        <f t="shared" si="19"/>
        <v>15468</v>
      </c>
      <c r="F97" s="558">
        <v>3040</v>
      </c>
      <c r="G97" s="171">
        <f t="shared" si="20"/>
        <v>18508</v>
      </c>
      <c r="H97" s="172">
        <f t="shared" si="21"/>
        <v>3.7395179642539422E-3</v>
      </c>
      <c r="I97" s="336"/>
      <c r="J97" s="168"/>
      <c r="K97" s="168"/>
      <c r="M97" s="364">
        <f t="shared" si="22"/>
        <v>0.88196330712413629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'[15]Sch C'!D91</f>
        <v>12210</v>
      </c>
      <c r="D98" s="558">
        <f>'[15]Sch C'!F91</f>
        <v>0</v>
      </c>
      <c r="E98" s="171">
        <f t="shared" si="19"/>
        <v>12210</v>
      </c>
      <c r="F98" s="558">
        <v>2321</v>
      </c>
      <c r="G98" s="171">
        <f t="shared" si="20"/>
        <v>14531</v>
      </c>
      <c r="H98" s="172">
        <f t="shared" si="21"/>
        <v>2.9359701501282705E-3</v>
      </c>
      <c r="I98" s="336"/>
      <c r="J98" s="168"/>
      <c r="K98" s="168"/>
      <c r="M98" s="364">
        <f t="shared" si="22"/>
        <v>0.69244698594233978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'[15]Sch C'!D92</f>
        <v>120254</v>
      </c>
      <c r="D99" s="558">
        <f>'[15]Sch C'!F92</f>
        <v>0</v>
      </c>
      <c r="E99" s="171">
        <f t="shared" si="19"/>
        <v>120254</v>
      </c>
      <c r="F99" s="558">
        <v>28179</v>
      </c>
      <c r="G99" s="171">
        <f t="shared" si="20"/>
        <v>148433</v>
      </c>
      <c r="H99" s="172">
        <f t="shared" si="21"/>
        <v>2.9990699696785465E-2</v>
      </c>
      <c r="I99" s="336"/>
      <c r="J99" s="168"/>
      <c r="K99" s="168"/>
      <c r="M99" s="364">
        <f t="shared" si="22"/>
        <v>7.0732904455563501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'[15]Sch C'!D93</f>
        <v>16554</v>
      </c>
      <c r="D100" s="558">
        <f>'[15]Sch C'!F93</f>
        <v>0</v>
      </c>
      <c r="E100" s="171">
        <f t="shared" si="19"/>
        <v>16554</v>
      </c>
      <c r="F100" s="558">
        <v>2535</v>
      </c>
      <c r="G100" s="171">
        <f t="shared" si="20"/>
        <v>19089</v>
      </c>
      <c r="H100" s="172">
        <f t="shared" si="21"/>
        <v>3.8569082785629726E-3</v>
      </c>
      <c r="I100" s="336"/>
      <c r="J100" s="168"/>
      <c r="K100" s="168"/>
      <c r="M100" s="364">
        <f t="shared" si="22"/>
        <v>0.90964974982130098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'[15]Sch C'!D94</f>
        <v>0</v>
      </c>
      <c r="D101" s="558">
        <f>'[15]Sch C'!F94</f>
        <v>0</v>
      </c>
      <c r="E101" s="171">
        <f t="shared" si="19"/>
        <v>0</v>
      </c>
      <c r="F101" s="558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269452</v>
      </c>
      <c r="D102" s="558">
        <f>SUM(D96:D101)</f>
        <v>22595</v>
      </c>
      <c r="E102" s="171">
        <f t="shared" ref="E102" si="23">SUM(E96:E101)</f>
        <v>292047</v>
      </c>
      <c r="F102" s="558">
        <f>SUM(F96:F101)</f>
        <v>61466</v>
      </c>
      <c r="G102" s="171">
        <f>SUM(G96:G101)</f>
        <v>353513</v>
      </c>
      <c r="H102" s="172">
        <f t="shared" si="21"/>
        <v>7.1426854014334545E-2</v>
      </c>
      <c r="I102" s="336"/>
      <c r="J102" s="168"/>
      <c r="K102" s="168"/>
      <c r="M102" s="364">
        <f>G102/G$228</f>
        <v>16.845985227543483</v>
      </c>
      <c r="N102" s="359">
        <f>SUMMARY!J105</f>
        <v>19.901077037785338</v>
      </c>
      <c r="O102" s="354">
        <f>M102/N102-1</f>
        <v>-0.15351389296374662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'[15]Sch C'!D98</f>
        <v>32204</v>
      </c>
      <c r="D105" s="558">
        <f>'[15]Sch C'!F98</f>
        <v>1906</v>
      </c>
      <c r="E105" s="171">
        <f t="shared" ref="E105:E110" si="24">C105+D105</f>
        <v>34110</v>
      </c>
      <c r="F105" s="558">
        <v>5823</v>
      </c>
      <c r="G105" s="171">
        <f t="shared" ref="G105:G110" si="25">E105+F105</f>
        <v>39933</v>
      </c>
      <c r="H105" s="172">
        <f t="shared" ref="H105:H111" si="26">IF($G$208=0,0,G105/$G$208)</f>
        <v>8.068412084858043E-3</v>
      </c>
      <c r="I105" s="336"/>
      <c r="J105" s="183">
        <f>3269+561</f>
        <v>3830</v>
      </c>
      <c r="K105" s="183">
        <f>3463+591</f>
        <v>4054</v>
      </c>
      <c r="M105" s="364">
        <f t="shared" ref="M105:M110" si="27">G105/G$228</f>
        <v>1.9029306647605433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'[15]Sch C'!D99</f>
        <v>0</v>
      </c>
      <c r="D106" s="558">
        <f>'[15]Sch C'!F99</f>
        <v>4136</v>
      </c>
      <c r="E106" s="171">
        <f t="shared" si="24"/>
        <v>4136</v>
      </c>
      <c r="F106" s="558">
        <v>697</v>
      </c>
      <c r="G106" s="171">
        <f t="shared" si="25"/>
        <v>4833</v>
      </c>
      <c r="H106" s="172">
        <f t="shared" si="26"/>
        <v>9.7650153021608507E-4</v>
      </c>
      <c r="I106" s="336"/>
      <c r="J106" s="168"/>
      <c r="K106" s="168"/>
      <c r="M106" s="364">
        <f t="shared" si="27"/>
        <v>0.23030736240171551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'[15]Sch C'!D100</f>
        <v>4812</v>
      </c>
      <c r="D107" s="558">
        <f>'[15]Sch C'!F100</f>
        <v>0</v>
      </c>
      <c r="E107" s="171">
        <f t="shared" si="24"/>
        <v>4812</v>
      </c>
      <c r="F107" s="558">
        <v>1261</v>
      </c>
      <c r="G107" s="171">
        <f t="shared" si="25"/>
        <v>6073</v>
      </c>
      <c r="H107" s="172">
        <f t="shared" si="26"/>
        <v>1.2270419600666843E-3</v>
      </c>
      <c r="I107" s="336"/>
      <c r="J107" s="168"/>
      <c r="K107" s="168"/>
      <c r="M107" s="364">
        <f t="shared" si="27"/>
        <v>0.28939718846795331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'[15]Sch C'!D101</f>
        <v>0</v>
      </c>
      <c r="D108" s="558">
        <f>'[15]Sch C'!F101</f>
        <v>0</v>
      </c>
      <c r="E108" s="171">
        <f t="shared" si="24"/>
        <v>0</v>
      </c>
      <c r="F108" s="558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'[15]Sch C'!D102</f>
        <v>4133</v>
      </c>
      <c r="D109" s="558">
        <f>'[15]Sch C'!F102</f>
        <v>0</v>
      </c>
      <c r="E109" s="171">
        <f t="shared" si="24"/>
        <v>4133</v>
      </c>
      <c r="F109" s="558">
        <v>1069</v>
      </c>
      <c r="G109" s="171">
        <f t="shared" si="25"/>
        <v>5202</v>
      </c>
      <c r="H109" s="172">
        <f t="shared" si="26"/>
        <v>1.0510575129700132E-3</v>
      </c>
      <c r="I109" s="336"/>
      <c r="J109" s="168"/>
      <c r="K109" s="168"/>
      <c r="M109" s="364">
        <f t="shared" si="27"/>
        <v>0.24789135096497497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'[15]Sch C'!D103</f>
        <v>0</v>
      </c>
      <c r="D110" s="558">
        <f>'[15]Sch C'!F103</f>
        <v>0</v>
      </c>
      <c r="E110" s="171">
        <f t="shared" si="24"/>
        <v>0</v>
      </c>
      <c r="F110" s="558"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41149</v>
      </c>
      <c r="D111" s="558">
        <f>SUM(D105:D110)</f>
        <v>6042</v>
      </c>
      <c r="E111" s="171">
        <f t="shared" ref="E111" si="28">SUM(E105:E110)</f>
        <v>47191</v>
      </c>
      <c r="F111" s="558">
        <f>SUM(F105:F110)</f>
        <v>8850</v>
      </c>
      <c r="G111" s="171">
        <f>SUM(G105:G110)</f>
        <v>56041</v>
      </c>
      <c r="H111" s="172">
        <f t="shared" si="26"/>
        <v>1.1323013088110826E-2</v>
      </c>
      <c r="I111" s="336"/>
      <c r="J111" s="168"/>
      <c r="K111" s="168"/>
      <c r="M111" s="364">
        <f>G111/G$228</f>
        <v>2.6705265665951869</v>
      </c>
      <c r="N111" s="359">
        <f>SUMMARY!J114</f>
        <v>2.4242384372309496</v>
      </c>
      <c r="O111" s="354">
        <f>M111/N111-1</f>
        <v>0.10159402044856458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'[15]Sch C'!D115</f>
        <v>37280</v>
      </c>
      <c r="D114" s="558">
        <f>'[15]Sch C'!F115</f>
        <v>2206</v>
      </c>
      <c r="E114" s="171">
        <f t="shared" ref="E114:E118" si="29">C114+D114</f>
        <v>39486</v>
      </c>
      <c r="F114" s="558">
        <v>14617</v>
      </c>
      <c r="G114" s="171">
        <f>E114+F114</f>
        <v>54103</v>
      </c>
      <c r="H114" s="172">
        <f t="shared" ref="H114:H119" si="30">IF($G$208=0,0,G114/$G$208)</f>
        <v>1.093144264210239E-2</v>
      </c>
      <c r="I114" s="336"/>
      <c r="J114" s="183">
        <f>3800+1419</f>
        <v>5219</v>
      </c>
      <c r="K114" s="183">
        <f>4025+1490</f>
        <v>5515</v>
      </c>
      <c r="M114" s="364">
        <f t="shared" ref="M114:M119" si="31">G114/G$228</f>
        <v>2.578174886823922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'[15]Sch C'!D116</f>
        <v>0</v>
      </c>
      <c r="D115" s="558">
        <f>'[15]Sch C'!F116</f>
        <v>4788</v>
      </c>
      <c r="E115" s="171">
        <f t="shared" si="29"/>
        <v>4788</v>
      </c>
      <c r="F115" s="558">
        <v>1750</v>
      </c>
      <c r="G115" s="171">
        <f>E115+F115</f>
        <v>6538</v>
      </c>
      <c r="H115" s="172">
        <f t="shared" si="30"/>
        <v>1.3209946212606588E-3</v>
      </c>
      <c r="I115" s="336"/>
      <c r="J115" s="168"/>
      <c r="K115" s="168"/>
      <c r="M115" s="364">
        <f t="shared" si="31"/>
        <v>0.31155587324279249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'[15]Sch C'!D117</f>
        <v>20701</v>
      </c>
      <c r="D116" s="558">
        <f>'[15]Sch C'!F117</f>
        <v>0</v>
      </c>
      <c r="E116" s="171">
        <f t="shared" si="29"/>
        <v>20701</v>
      </c>
      <c r="F116" s="558">
        <v>3090</v>
      </c>
      <c r="G116" s="171">
        <f>E116+F116</f>
        <v>23791</v>
      </c>
      <c r="H116" s="172">
        <f t="shared" si="30"/>
        <v>4.8069414246577442E-3</v>
      </c>
      <c r="I116" s="336"/>
      <c r="J116" s="168"/>
      <c r="K116" s="168"/>
      <c r="M116" s="364">
        <f t="shared" si="31"/>
        <v>1.1337145580176315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'[15]Sch C'!D118</f>
        <v>0</v>
      </c>
      <c r="D117" s="558">
        <f>'[15]Sch C'!F118</f>
        <v>0</v>
      </c>
      <c r="E117" s="171">
        <f t="shared" si="29"/>
        <v>0</v>
      </c>
      <c r="F117" s="558">
        <v>585</v>
      </c>
      <c r="G117" s="171">
        <f>E117+F117</f>
        <v>585</v>
      </c>
      <c r="H117" s="172">
        <f t="shared" si="30"/>
        <v>1.1819850924403264E-4</v>
      </c>
      <c r="I117" s="336"/>
      <c r="J117" s="168"/>
      <c r="K117" s="168"/>
      <c r="M117" s="364">
        <f t="shared" si="31"/>
        <v>2.7877055039313797E-2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'[15]Sch C'!D119</f>
        <v>0</v>
      </c>
      <c r="D118" s="558">
        <f>'[15]Sch C'!F119</f>
        <v>0</v>
      </c>
      <c r="E118" s="171">
        <f t="shared" si="29"/>
        <v>0</v>
      </c>
      <c r="F118" s="558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57981</v>
      </c>
      <c r="D119" s="558">
        <f>SUM(D114:D118)</f>
        <v>6994</v>
      </c>
      <c r="E119" s="171">
        <f t="shared" ref="E119" si="32">SUM(E114:E118)</f>
        <v>64975</v>
      </c>
      <c r="F119" s="558">
        <f>SUM(F114:F118)</f>
        <v>20042</v>
      </c>
      <c r="G119" s="171">
        <f>SUM(G114:G118)</f>
        <v>85017</v>
      </c>
      <c r="H119" s="172">
        <f t="shared" si="30"/>
        <v>1.7177577197264825E-2</v>
      </c>
      <c r="I119" s="336"/>
      <c r="J119" s="168"/>
      <c r="K119" s="168"/>
      <c r="M119" s="364">
        <f t="shared" si="31"/>
        <v>4.0513223731236598</v>
      </c>
      <c r="N119" s="359">
        <f>SUMMARY!J122</f>
        <v>6.0247597205909562</v>
      </c>
      <c r="O119" s="354">
        <f>M119/N119-1</f>
        <v>-0.32755453146498692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'[15]Sch C'!D124</f>
        <v>0</v>
      </c>
      <c r="D123" s="558">
        <f>'[15]Sch C'!F124</f>
        <v>0</v>
      </c>
      <c r="E123" s="171">
        <f t="shared" ref="E123:E127" si="33">C123+D123</f>
        <v>0</v>
      </c>
      <c r="F123" s="558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'[15]Sch C'!D125</f>
        <v>63193</v>
      </c>
      <c r="D124" s="558">
        <f>'[15]Sch C'!F125</f>
        <v>3740</v>
      </c>
      <c r="E124" s="171">
        <f t="shared" si="33"/>
        <v>66933</v>
      </c>
      <c r="F124" s="558">
        <v>11239</v>
      </c>
      <c r="G124" s="171">
        <f>E124+F124</f>
        <v>78172</v>
      </c>
      <c r="H124" s="172">
        <f>IF($G$208=0,0,G124/$G$208)</f>
        <v>1.579455361474277E-2</v>
      </c>
      <c r="I124" s="336"/>
      <c r="J124" s="183">
        <f>1669+283</f>
        <v>1952</v>
      </c>
      <c r="K124" s="183">
        <f>1768+297</f>
        <v>2065</v>
      </c>
      <c r="M124" s="364">
        <f t="shared" si="34"/>
        <v>3.7251370026209196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'[15]Sch C'!D126</f>
        <v>51920</v>
      </c>
      <c r="D125" s="558">
        <f>'[15]Sch C'!F126</f>
        <v>3072</v>
      </c>
      <c r="E125" s="171">
        <f t="shared" si="33"/>
        <v>54992</v>
      </c>
      <c r="F125" s="558">
        <v>0</v>
      </c>
      <c r="G125" s="171">
        <f>E125+F125</f>
        <v>54992</v>
      </c>
      <c r="H125" s="172">
        <f>IF($G$208=0,0,G125/$G$208)</f>
        <v>1.1111063966406569E-2</v>
      </c>
      <c r="I125" s="336"/>
      <c r="J125" s="183">
        <v>1617</v>
      </c>
      <c r="K125" s="183">
        <v>1713</v>
      </c>
      <c r="M125" s="364">
        <f t="shared" si="34"/>
        <v>2.6205384798665712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'[15]Sch C'!D127</f>
        <v>0</v>
      </c>
      <c r="D126" s="558">
        <f>'[15]Sch C'!F127</f>
        <v>0</v>
      </c>
      <c r="E126" s="171">
        <f t="shared" si="33"/>
        <v>0</v>
      </c>
      <c r="F126" s="558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'[15]Sch C'!D128</f>
        <v>51372</v>
      </c>
      <c r="D127" s="558">
        <f>'[15]Sch C'!F128</f>
        <v>3040</v>
      </c>
      <c r="E127" s="171">
        <f t="shared" si="33"/>
        <v>54412</v>
      </c>
      <c r="F127" s="558">
        <v>3312</v>
      </c>
      <c r="G127" s="171">
        <f>E127+F127</f>
        <v>57724</v>
      </c>
      <c r="H127" s="172">
        <f>IF($G$208=0,0,G127/$G$208)</f>
        <v>1.1663061107012889E-2</v>
      </c>
      <c r="I127" s="336"/>
      <c r="J127" s="183">
        <v>210</v>
      </c>
      <c r="K127" s="183">
        <v>221</v>
      </c>
      <c r="M127" s="364">
        <f t="shared" si="34"/>
        <v>2.7507267095544439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558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'[15]Sch C'!D130</f>
        <v>0</v>
      </c>
      <c r="D129" s="558">
        <f>'[15]Sch C'!F130</f>
        <v>0</v>
      </c>
      <c r="E129" s="171">
        <f t="shared" ref="E129:E133" si="35">C129+D129</f>
        <v>0</v>
      </c>
      <c r="F129" s="558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'[15]Sch C'!D131</f>
        <v>0</v>
      </c>
      <c r="D130" s="558">
        <f>'[15]Sch C'!F131</f>
        <v>8116</v>
      </c>
      <c r="E130" s="171">
        <f t="shared" si="35"/>
        <v>8116</v>
      </c>
      <c r="F130" s="558">
        <v>1345</v>
      </c>
      <c r="G130" s="171">
        <f>E130+F130</f>
        <v>9461</v>
      </c>
      <c r="H130" s="172">
        <f>IF($G$208=0,0,G130/$G$208)</f>
        <v>1.911583070013321E-3</v>
      </c>
      <c r="I130" s="336"/>
      <c r="J130" s="204"/>
      <c r="K130" s="204"/>
      <c r="M130" s="364">
        <f t="shared" si="34"/>
        <v>0.45084584226828689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'[15]Sch C'!D132</f>
        <v>0</v>
      </c>
      <c r="D131" s="558">
        <f>'[15]Sch C'!F132</f>
        <v>6668</v>
      </c>
      <c r="E131" s="171">
        <f t="shared" si="35"/>
        <v>6668</v>
      </c>
      <c r="F131" s="558">
        <v>0</v>
      </c>
      <c r="G131" s="171">
        <f>E131+F131</f>
        <v>6668</v>
      </c>
      <c r="H131" s="172">
        <f>IF($G$208=0,0,G131/$G$208)</f>
        <v>1.3472609566482217E-3</v>
      </c>
      <c r="I131" s="336"/>
      <c r="J131" s="168"/>
      <c r="K131" s="168"/>
      <c r="M131" s="364">
        <f t="shared" si="34"/>
        <v>0.31775077436263999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'[15]Sch C'!D133</f>
        <v>0</v>
      </c>
      <c r="D132" s="558">
        <f>'[15]Sch C'!F133</f>
        <v>0</v>
      </c>
      <c r="E132" s="171">
        <f t="shared" si="35"/>
        <v>0</v>
      </c>
      <c r="F132" s="558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'[15]Sch C'!D134</f>
        <v>0</v>
      </c>
      <c r="D133" s="558">
        <f>'[15]Sch C'!F134</f>
        <v>6598</v>
      </c>
      <c r="E133" s="171">
        <f t="shared" si="35"/>
        <v>6598</v>
      </c>
      <c r="F133" s="558">
        <v>397</v>
      </c>
      <c r="G133" s="171">
        <f>E133+F133</f>
        <v>6995</v>
      </c>
      <c r="H133" s="172">
        <f>IF($G$208=0,0,G133/$G$208)</f>
        <v>1.4133308925846297E-3</v>
      </c>
      <c r="I133" s="336"/>
      <c r="J133" s="168"/>
      <c r="K133" s="168"/>
      <c r="M133" s="364">
        <f t="shared" si="34"/>
        <v>0.33333333333333331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'[15]Sch C'!D136</f>
        <v>375067</v>
      </c>
      <c r="D135" s="558">
        <f>'[15]Sch C'!F136</f>
        <v>22195</v>
      </c>
      <c r="E135" s="171">
        <f t="shared" ref="E135:E138" si="36">C135+D135</f>
        <v>397262</v>
      </c>
      <c r="F135" s="558">
        <v>95395</v>
      </c>
      <c r="G135" s="171">
        <f>E135+F135</f>
        <v>492657</v>
      </c>
      <c r="H135" s="172">
        <f>IF($G$208=0,0,G135/$G$208)</f>
        <v>9.9540723023311781E-2</v>
      </c>
      <c r="I135" s="336"/>
      <c r="J135" s="183">
        <f>12358+2993</f>
        <v>15351</v>
      </c>
      <c r="K135" s="183">
        <f>13089+3143</f>
        <v>16232</v>
      </c>
      <c r="M135" s="364">
        <f t="shared" si="34"/>
        <v>23.476626161543958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'[15]Sch C'!D137</f>
        <v>94704</v>
      </c>
      <c r="D136" s="558">
        <f>'[15]Sch C'!F137</f>
        <v>5604</v>
      </c>
      <c r="E136" s="171">
        <f t="shared" si="36"/>
        <v>100308</v>
      </c>
      <c r="F136" s="558">
        <v>32629</v>
      </c>
      <c r="G136" s="171">
        <f>E136+F136</f>
        <v>132937</v>
      </c>
      <c r="H136" s="172">
        <f>IF($G$208=0,0,G136/$G$208)</f>
        <v>2.6859752518587979E-2</v>
      </c>
      <c r="I136" s="336"/>
      <c r="J136" s="183">
        <f>4262+1398</f>
        <v>5660</v>
      </c>
      <c r="K136" s="183">
        <f>4514+1468</f>
        <v>5982</v>
      </c>
      <c r="M136" s="364">
        <f t="shared" si="34"/>
        <v>6.3348582320705269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'[15]Sch C'!D138</f>
        <v>372432</v>
      </c>
      <c r="D137" s="558">
        <f>'[15]Sch C'!F138</f>
        <v>22039</v>
      </c>
      <c r="E137" s="171">
        <f t="shared" si="36"/>
        <v>394471</v>
      </c>
      <c r="F137" s="558">
        <v>74266</v>
      </c>
      <c r="G137" s="171">
        <f>E137+F137</f>
        <v>468737</v>
      </c>
      <c r="H137" s="172">
        <f>IF($G$208=0,0,G137/$G$208)</f>
        <v>9.4707717312000214E-2</v>
      </c>
      <c r="I137" s="336"/>
      <c r="J137" s="183">
        <f>29723+5643</f>
        <v>35366</v>
      </c>
      <c r="K137" s="183">
        <f>31482+5927</f>
        <v>37409</v>
      </c>
      <c r="M137" s="364">
        <f t="shared" si="34"/>
        <v>22.336764355492019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'[15]Sch C'!D139</f>
        <v>67847</v>
      </c>
      <c r="D138" s="558">
        <f>'[15]Sch C'!F139</f>
        <v>4015</v>
      </c>
      <c r="E138" s="171">
        <f t="shared" si="36"/>
        <v>71862</v>
      </c>
      <c r="F138" s="558">
        <v>13273</v>
      </c>
      <c r="G138" s="171">
        <f>E138+F138</f>
        <v>85135</v>
      </c>
      <c r="H138" s="172">
        <f>IF($G$208=0,0,G138/$G$208)</f>
        <v>1.7201418947847383E-2</v>
      </c>
      <c r="I138" s="336"/>
      <c r="J138" s="183">
        <f>6505+1212</f>
        <v>7717</v>
      </c>
      <c r="K138" s="183">
        <f>6890+1273</f>
        <v>8163</v>
      </c>
      <c r="M138" s="364">
        <f t="shared" si="34"/>
        <v>4.0569454372170597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'[15]Sch C'!D141</f>
        <v>0</v>
      </c>
      <c r="D140" s="558">
        <f>'[15]Sch C'!F141</f>
        <v>48174</v>
      </c>
      <c r="E140" s="171">
        <f t="shared" ref="E140:E143" si="37">C140+D140</f>
        <v>48174</v>
      </c>
      <c r="F140" s="558">
        <v>11420</v>
      </c>
      <c r="G140" s="171">
        <f>E140+F140</f>
        <v>59594</v>
      </c>
      <c r="H140" s="172">
        <f>IF($G$208=0,0,G140/$G$208)</f>
        <v>1.2040892239126293E-2</v>
      </c>
      <c r="I140" s="336"/>
      <c r="J140" s="168"/>
      <c r="K140" s="168"/>
      <c r="M140" s="364">
        <f t="shared" si="34"/>
        <v>2.839837979509173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'[15]Sch C'!D142</f>
        <v>0</v>
      </c>
      <c r="D141" s="558">
        <f>'[15]Sch C'!F142</f>
        <v>12164</v>
      </c>
      <c r="E141" s="171">
        <f t="shared" si="37"/>
        <v>12164</v>
      </c>
      <c r="F141" s="558">
        <v>3906</v>
      </c>
      <c r="G141" s="171">
        <f>E141+F141</f>
        <v>16070</v>
      </c>
      <c r="H141" s="172">
        <f>IF($G$208=0,0,G141/$G$208)</f>
        <v>3.2469231513702641E-3</v>
      </c>
      <c r="I141" s="336"/>
      <c r="J141" s="168"/>
      <c r="K141" s="168"/>
      <c r="M141" s="364">
        <f t="shared" si="34"/>
        <v>0.76578508458422678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'[15]Sch C'!D143</f>
        <v>0</v>
      </c>
      <c r="D142" s="558">
        <f>'[15]Sch C'!F143</f>
        <v>47836</v>
      </c>
      <c r="E142" s="171">
        <f t="shared" si="37"/>
        <v>47836</v>
      </c>
      <c r="F142" s="558">
        <v>8890</v>
      </c>
      <c r="G142" s="171">
        <f>E142+F142</f>
        <v>56726</v>
      </c>
      <c r="H142" s="172">
        <f>IF($G$208=0,0,G142/$G$208)</f>
        <v>1.1461416470729907E-2</v>
      </c>
      <c r="I142" s="336"/>
      <c r="J142" s="168"/>
      <c r="K142" s="168"/>
      <c r="M142" s="364">
        <f t="shared" si="34"/>
        <v>2.7031689301882298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'[15]Sch C'!D144</f>
        <v>0</v>
      </c>
      <c r="D143" s="558">
        <f>'[15]Sch C'!F144</f>
        <v>8715</v>
      </c>
      <c r="E143" s="171">
        <f t="shared" si="37"/>
        <v>8715</v>
      </c>
      <c r="F143" s="558">
        <v>1589</v>
      </c>
      <c r="G143" s="171">
        <f>E143+F143</f>
        <v>10304</v>
      </c>
      <c r="H143" s="172">
        <f>IF($G$208=0,0,G143/$G$208)</f>
        <v>2.0819101525649782E-3</v>
      </c>
      <c r="I143" s="336"/>
      <c r="J143" s="168"/>
      <c r="K143" s="168"/>
      <c r="M143" s="364">
        <f t="shared" si="34"/>
        <v>0.49101739337622113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'[15]Sch C'!D146</f>
        <v>20000</v>
      </c>
      <c r="D145" s="558">
        <f>'[15]Sch C'!F146</f>
        <v>0</v>
      </c>
      <c r="E145" s="171">
        <f t="shared" ref="E145:E153" si="38">C145+D145</f>
        <v>20000</v>
      </c>
      <c r="F145" s="558">
        <v>4000</v>
      </c>
      <c r="G145" s="171">
        <f t="shared" ref="G145:G153" si="39">E145+F145</f>
        <v>24000</v>
      </c>
      <c r="H145" s="172">
        <f t="shared" ref="H145:H153" si="40">IF($G$208=0,0,G145/$G$208)</f>
        <v>4.8491696100115955E-3</v>
      </c>
      <c r="I145" s="336"/>
      <c r="J145" s="183">
        <v>0</v>
      </c>
      <c r="K145" s="183">
        <v>0</v>
      </c>
      <c r="M145" s="364">
        <f t="shared" si="34"/>
        <v>1.143674052894925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'[15]Sch C'!D147</f>
        <v>0</v>
      </c>
      <c r="D146" s="558">
        <f>'[15]Sch C'!F147</f>
        <v>0</v>
      </c>
      <c r="E146" s="171">
        <f t="shared" si="38"/>
        <v>0</v>
      </c>
      <c r="F146" s="558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'[15]Sch C'!D148</f>
        <v>0</v>
      </c>
      <c r="D147" s="558">
        <f>'[15]Sch C'!F148</f>
        <v>0</v>
      </c>
      <c r="E147" s="171">
        <f t="shared" si="38"/>
        <v>0</v>
      </c>
      <c r="F147" s="558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'[15]Sch C'!D149</f>
        <v>25547</v>
      </c>
      <c r="D148" s="558">
        <f>'[15]Sch C'!F149</f>
        <v>0</v>
      </c>
      <c r="E148" s="171">
        <f t="shared" si="38"/>
        <v>25547</v>
      </c>
      <c r="F148" s="558">
        <v>11229</v>
      </c>
      <c r="G148" s="171">
        <f t="shared" si="39"/>
        <v>36776</v>
      </c>
      <c r="H148" s="172">
        <f t="shared" si="40"/>
        <v>7.4305442324077682E-3</v>
      </c>
      <c r="I148" s="336"/>
      <c r="J148" s="183">
        <f>1502.76470588235+661</f>
        <v>2163.76470588235</v>
      </c>
      <c r="K148" s="183">
        <v>661</v>
      </c>
      <c r="M148" s="364">
        <f t="shared" si="34"/>
        <v>1.7524898737193233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'[15]Sch C'!D150</f>
        <v>10215</v>
      </c>
      <c r="D149" s="558">
        <f>'[15]Sch C'!F150</f>
        <v>0</v>
      </c>
      <c r="E149" s="171">
        <f t="shared" si="38"/>
        <v>10215</v>
      </c>
      <c r="F149" s="558">
        <v>2710</v>
      </c>
      <c r="G149" s="171">
        <f t="shared" si="39"/>
        <v>12925</v>
      </c>
      <c r="H149" s="172">
        <f t="shared" si="40"/>
        <v>2.6114798837249945E-3</v>
      </c>
      <c r="I149" s="336"/>
      <c r="J149" s="183">
        <f>681+159</f>
        <v>840</v>
      </c>
      <c r="K149" s="183">
        <v>159</v>
      </c>
      <c r="M149" s="364">
        <f t="shared" si="34"/>
        <v>0.61591613056945438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'[15]Sch C'!D151</f>
        <v>61208</v>
      </c>
      <c r="D150" s="558">
        <f>'[15]Sch C'!F151</f>
        <v>0</v>
      </c>
      <c r="E150" s="171">
        <f t="shared" si="38"/>
        <v>61208</v>
      </c>
      <c r="F150" s="558">
        <v>12033</v>
      </c>
      <c r="G150" s="171">
        <f t="shared" si="39"/>
        <v>73241</v>
      </c>
      <c r="H150" s="172">
        <f t="shared" si="40"/>
        <v>1.4798251308619136E-2</v>
      </c>
      <c r="I150" s="336"/>
      <c r="J150" s="168"/>
      <c r="K150" s="168"/>
      <c r="M150" s="364">
        <f t="shared" si="34"/>
        <v>3.49015963783655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'[15]Sch C'!D152</f>
        <v>5628</v>
      </c>
      <c r="D151" s="558">
        <f>'[15]Sch C'!F152</f>
        <v>0</v>
      </c>
      <c r="E151" s="171">
        <f t="shared" si="38"/>
        <v>5628</v>
      </c>
      <c r="F151" s="558">
        <v>52</v>
      </c>
      <c r="G151" s="171">
        <f t="shared" si="39"/>
        <v>5680</v>
      </c>
      <c r="H151" s="172">
        <f t="shared" si="40"/>
        <v>1.1476368077027444E-3</v>
      </c>
      <c r="I151" s="336"/>
      <c r="J151" s="168"/>
      <c r="K151" s="168"/>
      <c r="M151" s="364">
        <f t="shared" si="34"/>
        <v>0.27066952585179893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'[15]Sch C'!D153</f>
        <v>0</v>
      </c>
      <c r="D152" s="558">
        <f>'[15]Sch C'!F153</f>
        <v>0</v>
      </c>
      <c r="E152" s="171">
        <f t="shared" si="38"/>
        <v>0</v>
      </c>
      <c r="F152" s="558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'[15]Sch C'!D154</f>
        <v>0</v>
      </c>
      <c r="D153" s="558">
        <f>'[15]Sch C'!F154</f>
        <v>0</v>
      </c>
      <c r="E153" s="171">
        <f t="shared" si="38"/>
        <v>0</v>
      </c>
      <c r="F153" s="558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557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'[15]Sch C'!D156</f>
        <v>0</v>
      </c>
      <c r="D155" s="558">
        <f>'[15]Sch C'!F156</f>
        <v>0</v>
      </c>
      <c r="E155" s="171">
        <f t="shared" ref="E155:E160" si="41">C155+D155</f>
        <v>0</v>
      </c>
      <c r="F155" s="558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'[15]Sch C'!D157</f>
        <v>0</v>
      </c>
      <c r="D156" s="558">
        <f>'[15]Sch C'!F157</f>
        <v>0</v>
      </c>
      <c r="E156" s="171">
        <f t="shared" si="41"/>
        <v>0</v>
      </c>
      <c r="F156" s="558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'[15]Sch C'!D158</f>
        <v>0</v>
      </c>
      <c r="D157" s="558">
        <f>'[15]Sch C'!F158</f>
        <v>0</v>
      </c>
      <c r="E157" s="171">
        <f t="shared" si="41"/>
        <v>0</v>
      </c>
      <c r="F157" s="558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'[15]Sch C'!D159</f>
        <v>0</v>
      </c>
      <c r="D158" s="558">
        <f>'[15]Sch C'!F159</f>
        <v>0</v>
      </c>
      <c r="E158" s="171">
        <f t="shared" si="41"/>
        <v>0</v>
      </c>
      <c r="F158" s="558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'[15]Sch C'!D160</f>
        <v>0</v>
      </c>
      <c r="D159" s="558">
        <f>'[15]Sch C'!F160</f>
        <v>0</v>
      </c>
      <c r="E159" s="171">
        <f t="shared" si="41"/>
        <v>0</v>
      </c>
      <c r="F159" s="558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'[15]Sch C'!D161</f>
        <v>1420</v>
      </c>
      <c r="D160" s="558">
        <f>'[15]Sch C'!F161</f>
        <v>0</v>
      </c>
      <c r="E160" s="171">
        <f t="shared" si="41"/>
        <v>1420</v>
      </c>
      <c r="F160" s="558">
        <v>400</v>
      </c>
      <c r="G160" s="171">
        <f t="shared" si="42"/>
        <v>1820</v>
      </c>
      <c r="H160" s="172">
        <f t="shared" si="43"/>
        <v>3.6772869542587932E-4</v>
      </c>
      <c r="I160" s="336"/>
      <c r="J160" s="168"/>
      <c r="K160" s="168"/>
      <c r="M160" s="364">
        <f t="shared" si="34"/>
        <v>8.6728615677865148E-2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1200553</v>
      </c>
      <c r="D161" s="558">
        <f>SUM(D123:D160)</f>
        <v>201976</v>
      </c>
      <c r="E161" s="171">
        <f t="shared" ref="E161" si="44">SUM(E123:E160)</f>
        <v>1402529</v>
      </c>
      <c r="F161" s="558">
        <f>SUM(F123:F160)</f>
        <v>288085</v>
      </c>
      <c r="G161" s="171">
        <f>SUM(G123:G160)</f>
        <v>1690614</v>
      </c>
      <c r="H161" s="172">
        <f t="shared" si="43"/>
        <v>0.34158641796083933</v>
      </c>
      <c r="I161" s="336"/>
      <c r="J161" s="168"/>
      <c r="K161" s="168"/>
      <c r="M161" s="364">
        <f>G161/G$228</f>
        <v>80.562973552537528</v>
      </c>
      <c r="N161" s="359">
        <f>SUMMARY!J164</f>
        <v>105.56901037202306</v>
      </c>
      <c r="O161" s="354">
        <f>M161/N161-1</f>
        <v>-0.23686910326586141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'[15]Sch C'!D175</f>
        <v>0</v>
      </c>
      <c r="D164" s="558">
        <f>'[15]Sch C'!F175</f>
        <v>0</v>
      </c>
      <c r="E164" s="171">
        <f t="shared" ref="E164:E196" si="45">C164+D164</f>
        <v>0</v>
      </c>
      <c r="F164" s="558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'[15]Sch C'!D176</f>
        <v>0</v>
      </c>
      <c r="D165" s="558">
        <f>'[15]Sch C'!F176</f>
        <v>0</v>
      </c>
      <c r="E165" s="171">
        <f t="shared" si="45"/>
        <v>0</v>
      </c>
      <c r="F165" s="558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'[15]Sch C'!D177</f>
        <v>124108</v>
      </c>
      <c r="D166" s="558">
        <f>'[15]Sch C'!F177</f>
        <v>7344</v>
      </c>
      <c r="E166" s="171">
        <f t="shared" si="45"/>
        <v>131452</v>
      </c>
      <c r="F166" s="558">
        <v>22140</v>
      </c>
      <c r="G166" s="171">
        <f t="shared" si="46"/>
        <v>153592</v>
      </c>
      <c r="H166" s="172">
        <f t="shared" si="47"/>
        <v>3.1033069114204209E-2</v>
      </c>
      <c r="I166" s="342"/>
      <c r="J166" s="217">
        <f>3699+628</f>
        <v>4327</v>
      </c>
      <c r="K166" s="217">
        <f>3918+660</f>
        <v>4578</v>
      </c>
      <c r="L166" s="218"/>
      <c r="M166" s="364">
        <f t="shared" si="48"/>
        <v>7.3191327138432216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'[15]Sch C'!D178</f>
        <v>0</v>
      </c>
      <c r="D167" s="558">
        <f>'[15]Sch C'!F178</f>
        <v>15941</v>
      </c>
      <c r="E167" s="171">
        <f t="shared" si="45"/>
        <v>15941</v>
      </c>
      <c r="F167" s="558">
        <v>2651</v>
      </c>
      <c r="G167" s="171">
        <f t="shared" si="46"/>
        <v>18592</v>
      </c>
      <c r="H167" s="172">
        <f t="shared" si="47"/>
        <v>3.7564900578889826E-3</v>
      </c>
      <c r="I167" s="343"/>
      <c r="J167" s="222"/>
      <c r="K167" s="222"/>
      <c r="L167" s="218"/>
      <c r="M167" s="364">
        <f t="shared" si="48"/>
        <v>0.8859661663092685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'[15]Sch C'!D179</f>
        <v>26195</v>
      </c>
      <c r="D168" s="558">
        <f>'[15]Sch C'!F179</f>
        <v>1550</v>
      </c>
      <c r="E168" s="171">
        <f t="shared" si="45"/>
        <v>27745</v>
      </c>
      <c r="F168" s="558">
        <v>8089</v>
      </c>
      <c r="G168" s="171">
        <f t="shared" si="46"/>
        <v>35834</v>
      </c>
      <c r="H168" s="172">
        <f t="shared" si="47"/>
        <v>7.2402143252148134E-3</v>
      </c>
      <c r="I168" s="342"/>
      <c r="J168" s="217">
        <f>692+204</f>
        <v>896</v>
      </c>
      <c r="K168" s="217">
        <f>733+214</f>
        <v>947</v>
      </c>
      <c r="L168" s="218"/>
      <c r="M168" s="364">
        <f t="shared" si="48"/>
        <v>1.7076006671431976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'[15]Sch C'!D180</f>
        <v>0</v>
      </c>
      <c r="D169" s="558">
        <f>'[15]Sch C'!F180</f>
        <v>3364</v>
      </c>
      <c r="E169" s="171">
        <f t="shared" si="45"/>
        <v>3364</v>
      </c>
      <c r="F169" s="558">
        <v>969</v>
      </c>
      <c r="G169" s="171">
        <f t="shared" si="46"/>
        <v>4333</v>
      </c>
      <c r="H169" s="172">
        <f t="shared" si="47"/>
        <v>8.754771633408435E-4</v>
      </c>
      <c r="I169" s="343"/>
      <c r="J169" s="222"/>
      <c r="K169" s="222"/>
      <c r="L169" s="218"/>
      <c r="M169" s="364">
        <f t="shared" si="48"/>
        <v>0.20648081963307124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'[15]Sch C'!D181</f>
        <v>0</v>
      </c>
      <c r="D170" s="558">
        <f>'[15]Sch C'!F181</f>
        <v>0</v>
      </c>
      <c r="E170" s="171">
        <f t="shared" si="45"/>
        <v>0</v>
      </c>
      <c r="F170" s="558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'[15]Sch C'!D182</f>
        <v>0</v>
      </c>
      <c r="D171" s="558">
        <f>'[15]Sch C'!F182</f>
        <v>0</v>
      </c>
      <c r="E171" s="171">
        <f t="shared" si="45"/>
        <v>0</v>
      </c>
      <c r="F171" s="558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'[15]Sch C'!D183</f>
        <v>91520</v>
      </c>
      <c r="D172" s="558">
        <f>'[15]Sch C'!F183</f>
        <v>5416</v>
      </c>
      <c r="E172" s="171">
        <f t="shared" si="45"/>
        <v>96936</v>
      </c>
      <c r="F172" s="558">
        <v>20762</v>
      </c>
      <c r="G172" s="171">
        <f t="shared" si="46"/>
        <v>117698</v>
      </c>
      <c r="H172" s="172">
        <f t="shared" si="47"/>
        <v>2.3780731864964367E-2</v>
      </c>
      <c r="I172" s="342"/>
      <c r="J172" s="217">
        <f>2419+523</f>
        <v>2942</v>
      </c>
      <c r="K172" s="217">
        <f>2562+549</f>
        <v>3111</v>
      </c>
      <c r="L172" s="218"/>
      <c r="M172" s="364">
        <f t="shared" si="48"/>
        <v>5.6086728615677863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'[15]Sch C'!D184</f>
        <v>0</v>
      </c>
      <c r="D173" s="558">
        <f>'[15]Sch C'!F184</f>
        <v>11754</v>
      </c>
      <c r="E173" s="171">
        <f t="shared" si="45"/>
        <v>11754</v>
      </c>
      <c r="F173" s="558">
        <v>2486</v>
      </c>
      <c r="G173" s="171">
        <f t="shared" si="46"/>
        <v>14240</v>
      </c>
      <c r="H173" s="172">
        <f t="shared" si="47"/>
        <v>2.8771739686068798E-3</v>
      </c>
      <c r="I173" s="343"/>
      <c r="J173" s="222"/>
      <c r="K173" s="222"/>
      <c r="L173" s="218"/>
      <c r="M173" s="364">
        <f t="shared" si="48"/>
        <v>0.67857993805098882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'[15]Sch C'!D185</f>
        <v>0</v>
      </c>
      <c r="D174" s="558">
        <f>'[15]Sch C'!F185</f>
        <v>0</v>
      </c>
      <c r="E174" s="171">
        <f t="shared" si="45"/>
        <v>0</v>
      </c>
      <c r="F174" s="558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'[15]Sch C'!D186</f>
        <v>0</v>
      </c>
      <c r="D175" s="558">
        <f>'[15]Sch C'!F186</f>
        <v>0</v>
      </c>
      <c r="E175" s="171">
        <f t="shared" si="45"/>
        <v>0</v>
      </c>
      <c r="F175" s="558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'[15]Sch C'!D187</f>
        <v>0</v>
      </c>
      <c r="D176" s="558">
        <f>'[15]Sch C'!F187</f>
        <v>0</v>
      </c>
      <c r="E176" s="171">
        <f t="shared" si="45"/>
        <v>0</v>
      </c>
      <c r="F176" s="558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'[15]Sch C'!D188</f>
        <v>1126</v>
      </c>
      <c r="D177" s="558">
        <f>'[15]Sch C'!F188</f>
        <v>0</v>
      </c>
      <c r="E177" s="171">
        <f t="shared" si="45"/>
        <v>1126</v>
      </c>
      <c r="F177" s="558">
        <v>349</v>
      </c>
      <c r="G177" s="171">
        <f t="shared" si="46"/>
        <v>1475</v>
      </c>
      <c r="H177" s="172">
        <f t="shared" si="47"/>
        <v>2.9802188228196264E-4</v>
      </c>
      <c r="I177" s="336"/>
      <c r="J177" s="223"/>
      <c r="K177" s="218"/>
      <c r="L177" s="220"/>
      <c r="M177" s="364">
        <f t="shared" si="48"/>
        <v>7.0288301167500594E-2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'[15]Sch C'!D189</f>
        <v>509</v>
      </c>
      <c r="D178" s="558">
        <f>'[15]Sch C'!F189</f>
        <v>0</v>
      </c>
      <c r="E178" s="171">
        <f t="shared" si="45"/>
        <v>509</v>
      </c>
      <c r="F178" s="558">
        <v>0</v>
      </c>
      <c r="G178" s="171">
        <f t="shared" si="46"/>
        <v>509</v>
      </c>
      <c r="H178" s="172">
        <f t="shared" si="47"/>
        <v>1.0284280547899592E-4</v>
      </c>
      <c r="I178" s="336"/>
      <c r="J178" s="223"/>
      <c r="K178" s="218"/>
      <c r="L178" s="220"/>
      <c r="M178" s="364">
        <f t="shared" si="48"/>
        <v>2.4255420538479868E-2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'[15]Sch C'!D190</f>
        <v>0</v>
      </c>
      <c r="D179" s="558">
        <f>'[15]Sch C'!F190</f>
        <v>0</v>
      </c>
      <c r="E179" s="171">
        <f t="shared" si="45"/>
        <v>0</v>
      </c>
      <c r="F179" s="558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'[15]Sch C'!D191</f>
        <v>32</v>
      </c>
      <c r="D180" s="558">
        <f>'[15]Sch C'!F191</f>
        <v>0</v>
      </c>
      <c r="E180" s="171">
        <f t="shared" si="45"/>
        <v>32</v>
      </c>
      <c r="F180" s="558">
        <v>0</v>
      </c>
      <c r="G180" s="171">
        <f t="shared" si="46"/>
        <v>32</v>
      </c>
      <c r="H180" s="172">
        <f t="shared" si="47"/>
        <v>6.4655594800154608E-6</v>
      </c>
      <c r="I180" s="336"/>
      <c r="J180" s="223"/>
      <c r="K180" s="218"/>
      <c r="L180" s="220"/>
      <c r="M180" s="364">
        <f t="shared" si="48"/>
        <v>1.5248987371932333E-3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'[15]Sch C'!D192</f>
        <v>0</v>
      </c>
      <c r="D181" s="558">
        <f>'[15]Sch C'!F192</f>
        <v>0</v>
      </c>
      <c r="E181" s="171">
        <f t="shared" si="45"/>
        <v>0</v>
      </c>
      <c r="F181" s="558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'[15]Sch C'!D193</f>
        <v>0</v>
      </c>
      <c r="D182" s="558">
        <f>'[15]Sch C'!F193</f>
        <v>0</v>
      </c>
      <c r="E182" s="171">
        <f t="shared" si="45"/>
        <v>0</v>
      </c>
      <c r="F182" s="558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'[15]Sch C'!D194</f>
        <v>0</v>
      </c>
      <c r="D183" s="558">
        <f>'[15]Sch C'!F194</f>
        <v>0</v>
      </c>
      <c r="E183" s="171">
        <f t="shared" si="45"/>
        <v>0</v>
      </c>
      <c r="F183" s="558">
        <v>0</v>
      </c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'[15]Sch C'!D195</f>
        <v>1273</v>
      </c>
      <c r="D184" s="558">
        <f>'[15]Sch C'!F195</f>
        <v>0</v>
      </c>
      <c r="E184" s="171">
        <f t="shared" si="45"/>
        <v>1273</v>
      </c>
      <c r="F184" s="558">
        <v>1177</v>
      </c>
      <c r="G184" s="171">
        <f t="shared" si="46"/>
        <v>2450</v>
      </c>
      <c r="H184" s="172">
        <f t="shared" si="47"/>
        <v>4.9501939768868371E-4</v>
      </c>
      <c r="I184" s="336"/>
      <c r="J184" s="223"/>
      <c r="K184" s="218"/>
      <c r="M184" s="364">
        <f t="shared" si="48"/>
        <v>0.11675005956635692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'[15]Sch C'!D196</f>
        <v>0</v>
      </c>
      <c r="D185" s="558">
        <f>'[15]Sch C'!F196</f>
        <v>0</v>
      </c>
      <c r="E185" s="171">
        <f t="shared" si="45"/>
        <v>0</v>
      </c>
      <c r="F185" s="558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'[15]Sch C'!D197</f>
        <v>0</v>
      </c>
      <c r="D186" s="558">
        <f>'[15]Sch C'!F197</f>
        <v>0</v>
      </c>
      <c r="E186" s="171">
        <f t="shared" si="45"/>
        <v>0</v>
      </c>
      <c r="F186" s="558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'[15]Sch C'!D198</f>
        <v>15858</v>
      </c>
      <c r="D187" s="558">
        <f>'[15]Sch C'!F198</f>
        <v>0</v>
      </c>
      <c r="E187" s="171">
        <f t="shared" si="45"/>
        <v>15858</v>
      </c>
      <c r="F187" s="558">
        <v>4276</v>
      </c>
      <c r="G187" s="171">
        <f t="shared" si="46"/>
        <v>20134</v>
      </c>
      <c r="H187" s="172">
        <f t="shared" si="47"/>
        <v>4.0680492053322276E-3</v>
      </c>
      <c r="I187" s="336"/>
      <c r="J187" s="223"/>
      <c r="K187" s="218"/>
      <c r="M187" s="364">
        <f t="shared" si="48"/>
        <v>0.9594472242077674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'[15]Sch C'!D199</f>
        <v>0</v>
      </c>
      <c r="D188" s="558">
        <f>'[15]Sch C'!F199</f>
        <v>0</v>
      </c>
      <c r="E188" s="171">
        <f t="shared" si="45"/>
        <v>0</v>
      </c>
      <c r="F188" s="558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'[15]Sch C'!D200</f>
        <v>0</v>
      </c>
      <c r="D189" s="558">
        <f>'[15]Sch C'!F200</f>
        <v>0</v>
      </c>
      <c r="E189" s="171">
        <f t="shared" si="45"/>
        <v>0</v>
      </c>
      <c r="F189" s="558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'[15]Sch C'!D201</f>
        <v>0</v>
      </c>
      <c r="D190" s="558">
        <f>'[15]Sch C'!F201</f>
        <v>0</v>
      </c>
      <c r="E190" s="171">
        <f t="shared" si="45"/>
        <v>0</v>
      </c>
      <c r="F190" s="558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'[15]Sch C'!D202</f>
        <v>0</v>
      </c>
      <c r="D191" s="558">
        <f>'[15]Sch C'!F202</f>
        <v>0</v>
      </c>
      <c r="E191" s="171">
        <f t="shared" si="45"/>
        <v>0</v>
      </c>
      <c r="F191" s="558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'[15]Sch C'!D203</f>
        <v>0</v>
      </c>
      <c r="D192" s="558">
        <f>'[15]Sch C'!F203</f>
        <v>0</v>
      </c>
      <c r="E192" s="171">
        <f t="shared" si="45"/>
        <v>0</v>
      </c>
      <c r="F192" s="558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'[15]Sch C'!D204</f>
        <v>0</v>
      </c>
      <c r="D193" s="558">
        <f>'[15]Sch C'!F204</f>
        <v>0</v>
      </c>
      <c r="E193" s="171">
        <f t="shared" si="45"/>
        <v>0</v>
      </c>
      <c r="F193" s="558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'[15]Sch C'!D205</f>
        <v>63785</v>
      </c>
      <c r="D194" s="558">
        <f>'[15]Sch C'!F205</f>
        <v>0</v>
      </c>
      <c r="E194" s="171">
        <f t="shared" si="45"/>
        <v>63785</v>
      </c>
      <c r="F194" s="558">
        <v>11199</v>
      </c>
      <c r="G194" s="171">
        <f t="shared" si="46"/>
        <v>74984</v>
      </c>
      <c r="H194" s="172">
        <f t="shared" si="47"/>
        <v>1.5150422251546228E-2</v>
      </c>
      <c r="I194" s="336"/>
      <c r="J194" s="223"/>
      <c r="K194" s="218"/>
      <c r="M194" s="364">
        <f t="shared" si="48"/>
        <v>3.573218965928044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'[15]Sch C'!D206</f>
        <v>1437</v>
      </c>
      <c r="D195" s="558">
        <f>'[15]Sch C'!F206</f>
        <v>0</v>
      </c>
      <c r="E195" s="171">
        <f t="shared" si="45"/>
        <v>1437</v>
      </c>
      <c r="F195" s="558">
        <v>244</v>
      </c>
      <c r="G195" s="171">
        <f t="shared" si="46"/>
        <v>1681</v>
      </c>
      <c r="H195" s="172">
        <f t="shared" si="47"/>
        <v>3.3964392143456216E-4</v>
      </c>
      <c r="I195" s="336"/>
      <c r="J195" s="223"/>
      <c r="K195" s="218"/>
      <c r="M195" s="364">
        <f t="shared" si="48"/>
        <v>8.0104836788182032E-2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'[15]Sch C'!D207</f>
        <v>18781</v>
      </c>
      <c r="D196" s="558">
        <f>'[15]Sch C'!F207</f>
        <v>-718</v>
      </c>
      <c r="E196" s="171">
        <f t="shared" si="45"/>
        <v>18063</v>
      </c>
      <c r="F196" s="558">
        <v>-116</v>
      </c>
      <c r="G196" s="171">
        <f t="shared" si="46"/>
        <v>17947</v>
      </c>
      <c r="H196" s="172">
        <f t="shared" si="47"/>
        <v>3.6261686246199212E-3</v>
      </c>
      <c r="I196" s="336"/>
      <c r="J196" s="223"/>
      <c r="K196" s="218"/>
      <c r="M196" s="364">
        <f t="shared" si="48"/>
        <v>0.85522992613771742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344624</v>
      </c>
      <c r="D197" s="558">
        <f>SUM(D164:D196)</f>
        <v>44651</v>
      </c>
      <c r="E197" s="171">
        <f t="shared" ref="E197" si="49">SUM(E164:E196)</f>
        <v>389275</v>
      </c>
      <c r="F197" s="558">
        <f>SUM(F164:F196)</f>
        <v>74226</v>
      </c>
      <c r="G197" s="171">
        <f>SUM(G164:G196)</f>
        <v>463501</v>
      </c>
      <c r="H197" s="172">
        <f>IF($G$208=0,0,G197/$G$208)</f>
        <v>9.3649790142082689E-2</v>
      </c>
      <c r="I197" s="336"/>
      <c r="J197" s="168"/>
      <c r="K197" s="168"/>
      <c r="M197" s="364">
        <f>G197/G$228</f>
        <v>22.087252799618774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'[15]Sch C'!D211</f>
        <v>73107</v>
      </c>
      <c r="D200" s="558">
        <f>'[15]Sch C'!F211</f>
        <v>4326</v>
      </c>
      <c r="E200" s="171">
        <f t="shared" ref="E200:E205" si="50">C200+D200</f>
        <v>77433</v>
      </c>
      <c r="F200" s="558">
        <v>17057</v>
      </c>
      <c r="G200" s="171">
        <f t="shared" ref="G200:G205" si="51">E200+F200</f>
        <v>94490</v>
      </c>
      <c r="H200" s="172">
        <f t="shared" ref="H200:H206" si="52">IF($G$208=0,0,G200/$G$208)</f>
        <v>1.9091584852083152E-2</v>
      </c>
      <c r="I200" s="336"/>
      <c r="J200" s="183">
        <f>3995+887</f>
        <v>4882</v>
      </c>
      <c r="K200" s="183">
        <f>4231+932</f>
        <v>5163</v>
      </c>
      <c r="M200" s="364">
        <f t="shared" ref="M200:M205" si="53">G200/G$228</f>
        <v>4.5027400524183943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'[15]Sch C'!D212</f>
        <v>0</v>
      </c>
      <c r="D201" s="558">
        <f>'[15]Sch C'!F212</f>
        <v>9390</v>
      </c>
      <c r="E201" s="171">
        <f t="shared" si="50"/>
        <v>9390</v>
      </c>
      <c r="F201" s="558">
        <v>2042</v>
      </c>
      <c r="G201" s="171">
        <f t="shared" si="51"/>
        <v>11432</v>
      </c>
      <c r="H201" s="172">
        <f t="shared" si="52"/>
        <v>2.3098211242355234E-3</v>
      </c>
      <c r="I201" s="336"/>
      <c r="J201" s="168"/>
      <c r="K201" s="168"/>
      <c r="M201" s="364">
        <f t="shared" si="53"/>
        <v>0.5447700738622826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'[15]Sch C'!D213</f>
        <v>3463</v>
      </c>
      <c r="D202" s="558">
        <f>'[15]Sch C'!F213</f>
        <v>0</v>
      </c>
      <c r="E202" s="171">
        <f t="shared" si="50"/>
        <v>3463</v>
      </c>
      <c r="F202" s="558">
        <v>646</v>
      </c>
      <c r="G202" s="171">
        <f t="shared" si="51"/>
        <v>4109</v>
      </c>
      <c r="H202" s="172">
        <f t="shared" si="52"/>
        <v>8.3021824698073521E-4</v>
      </c>
      <c r="I202" s="336"/>
      <c r="J202" s="168"/>
      <c r="K202" s="168"/>
      <c r="M202" s="364">
        <f t="shared" si="53"/>
        <v>0.19580652847271862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'[15]Sch C'!D214</f>
        <v>0</v>
      </c>
      <c r="D203" s="558">
        <f>'[15]Sch C'!F214</f>
        <v>0</v>
      </c>
      <c r="E203" s="171">
        <f t="shared" si="50"/>
        <v>0</v>
      </c>
      <c r="F203" s="558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'[15]Sch C'!D215</f>
        <v>0</v>
      </c>
      <c r="D204" s="558">
        <f>'[15]Sch C'!F215</f>
        <v>0</v>
      </c>
      <c r="E204" s="171">
        <f t="shared" si="50"/>
        <v>0</v>
      </c>
      <c r="F204" s="558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'[15]Sch C'!D216</f>
        <v>4277</v>
      </c>
      <c r="D205" s="558">
        <f>'[15]Sch C'!F216</f>
        <v>0</v>
      </c>
      <c r="E205" s="171">
        <f t="shared" si="50"/>
        <v>4277</v>
      </c>
      <c r="F205" s="558">
        <v>1014</v>
      </c>
      <c r="G205" s="171">
        <f t="shared" si="51"/>
        <v>5291</v>
      </c>
      <c r="H205" s="172">
        <f t="shared" si="52"/>
        <v>1.0690398502738064E-3</v>
      </c>
      <c r="I205" s="336"/>
      <c r="J205" s="168"/>
      <c r="K205" s="168"/>
      <c r="M205" s="364">
        <f t="shared" si="53"/>
        <v>0.25213247557779367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80847</v>
      </c>
      <c r="D206" s="558">
        <f>SUM(D200:D205)</f>
        <v>13716</v>
      </c>
      <c r="E206" s="171">
        <f t="shared" ref="E206:F206" si="54">SUM(E200:E205)</f>
        <v>94563</v>
      </c>
      <c r="F206" s="171">
        <f t="shared" si="54"/>
        <v>20759</v>
      </c>
      <c r="G206" s="171">
        <f>SUM(G200:G205)</f>
        <v>115322</v>
      </c>
      <c r="H206" s="172">
        <f t="shared" si="52"/>
        <v>2.3300664073573219E-2</v>
      </c>
      <c r="I206" s="336"/>
      <c r="J206" s="168"/>
      <c r="K206" s="168"/>
      <c r="M206" s="364">
        <f>G206/G$228</f>
        <v>5.4954491303311892</v>
      </c>
      <c r="N206" s="359">
        <f>SUMMARY!J209</f>
        <v>7.1515095990067339</v>
      </c>
      <c r="O206" s="354">
        <f>M206/N206-1</f>
        <v>-0.23156795719124157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4120013</v>
      </c>
      <c r="D208" s="558">
        <f>SUM(D25:D206)/2</f>
        <v>-20564</v>
      </c>
      <c r="E208" s="171">
        <f t="shared" ref="E208:F208" si="55">SUM(E25:E206)/2</f>
        <v>4099449</v>
      </c>
      <c r="F208" s="171">
        <f t="shared" si="55"/>
        <v>849852</v>
      </c>
      <c r="G208" s="171">
        <f>SUM(G25:G206)/2</f>
        <v>4949301</v>
      </c>
      <c r="H208" s="172">
        <f>IF($G$208=0,0,G208/$G$208)</f>
        <v>1</v>
      </c>
      <c r="I208" s="336"/>
      <c r="J208" s="183">
        <f>SUM(J25:J200)</f>
        <v>117792.76470588235</v>
      </c>
      <c r="K208" s="183">
        <f>SUM(K25:K200)</f>
        <v>122221</v>
      </c>
      <c r="M208" s="364">
        <f>G208/G$228</f>
        <v>235.8494639027877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-0.83255888065179551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 s="140" t="s">
        <v>494</v>
      </c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'[15]Sch C'!D221</f>
        <v>4120013</v>
      </c>
      <c r="D211" s="196"/>
      <c r="E211" s="165"/>
      <c r="F211" s="459" t="s">
        <v>495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59" t="s">
        <v>496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491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-67961</v>
      </c>
      <c r="D215" s="558">
        <f>D21-D208</f>
        <v>20564</v>
      </c>
      <c r="E215" s="171">
        <f t="shared" ref="E215:F215" si="56">E21-E208</f>
        <v>-47397</v>
      </c>
      <c r="F215" s="171">
        <f t="shared" si="56"/>
        <v>-27292.369999999995</v>
      </c>
      <c r="G215" s="171">
        <f>G21-G208</f>
        <v>-74689.370000001043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'[15]Sch D'!C9</f>
        <v>12270</v>
      </c>
      <c r="D219" s="592"/>
      <c r="E219" s="235">
        <f t="shared" ref="E219:G227" si="57">C219+D219</f>
        <v>12270</v>
      </c>
      <c r="F219" s="592">
        <v>1987</v>
      </c>
      <c r="G219" s="235">
        <f t="shared" si="57"/>
        <v>14257</v>
      </c>
      <c r="H219" s="172">
        <f t="shared" ref="H219:H228" si="58">IF($G$228=0,0,G219/$G$228)</f>
        <v>0.67939004050512275</v>
      </c>
      <c r="I219" s="336"/>
      <c r="J219" s="168"/>
      <c r="K219" s="168"/>
    </row>
    <row r="220" spans="1:17">
      <c r="A220" s="163"/>
      <c r="B220" s="170" t="s">
        <v>217</v>
      </c>
      <c r="C220" s="592">
        <f>'[15]Sch D'!D9</f>
        <v>0</v>
      </c>
      <c r="D220" s="592"/>
      <c r="E220" s="235">
        <f t="shared" ref="E220:E227" si="59">C220+D220</f>
        <v>0</v>
      </c>
      <c r="F220" s="592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'[15]Sch D'!E9</f>
        <v>1097</v>
      </c>
      <c r="D221" s="592"/>
      <c r="E221" s="235">
        <f t="shared" si="59"/>
        <v>1097</v>
      </c>
      <c r="F221" s="592">
        <v>274</v>
      </c>
      <c r="G221" s="235">
        <f t="shared" si="57"/>
        <v>1371</v>
      </c>
      <c r="H221" s="172">
        <f t="shared" si="58"/>
        <v>6.5332380271622581E-2</v>
      </c>
      <c r="I221" s="336"/>
      <c r="J221" s="168"/>
      <c r="K221" s="168"/>
    </row>
    <row r="222" spans="1:17">
      <c r="A222" s="163"/>
      <c r="B222" s="202" t="s">
        <v>334</v>
      </c>
      <c r="C222" s="592">
        <f>'[15]Sch D'!F9</f>
        <v>1207</v>
      </c>
      <c r="D222" s="592"/>
      <c r="E222" s="235">
        <f>C222+D222</f>
        <v>1207</v>
      </c>
      <c r="F222" s="592">
        <v>284</v>
      </c>
      <c r="G222" s="235">
        <f>E222+F222</f>
        <v>1491</v>
      </c>
      <c r="H222" s="172">
        <f t="shared" si="58"/>
        <v>7.1050750536097218E-2</v>
      </c>
      <c r="I222" s="336"/>
      <c r="J222" s="168"/>
      <c r="K222" s="168"/>
    </row>
    <row r="223" spans="1:17">
      <c r="A223" s="163"/>
      <c r="B223" s="170" t="s">
        <v>73</v>
      </c>
      <c r="C223" s="592">
        <f>'[15]Sch D'!G9</f>
        <v>0</v>
      </c>
      <c r="D223" s="592"/>
      <c r="E223" s="235">
        <f t="shared" si="59"/>
        <v>0</v>
      </c>
      <c r="F223" s="592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'[15]Sch D'!H9</f>
        <v>1565</v>
      </c>
      <c r="D224" s="592"/>
      <c r="E224" s="235">
        <f t="shared" si="59"/>
        <v>1565</v>
      </c>
      <c r="F224" s="592">
        <v>295</v>
      </c>
      <c r="G224" s="235">
        <f t="shared" si="57"/>
        <v>1860</v>
      </c>
      <c r="H224" s="172">
        <f t="shared" si="58"/>
        <v>8.863473909935668E-2</v>
      </c>
      <c r="I224" s="336"/>
      <c r="J224" s="168"/>
      <c r="K224" s="168"/>
    </row>
    <row r="225" spans="1:11">
      <c r="A225" s="163"/>
      <c r="B225" s="170" t="s">
        <v>236</v>
      </c>
      <c r="C225" s="592">
        <f>'[15]Sch D'!I9</f>
        <v>0</v>
      </c>
      <c r="D225" s="592"/>
      <c r="E225" s="235">
        <f t="shared" si="59"/>
        <v>0</v>
      </c>
      <c r="F225" s="592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'[15]Sch D'!J9</f>
        <v>1638</v>
      </c>
      <c r="D226" s="592"/>
      <c r="E226" s="235">
        <f>C226+D226</f>
        <v>1638</v>
      </c>
      <c r="F226" s="592">
        <v>368</v>
      </c>
      <c r="G226" s="235">
        <f>E226+F226</f>
        <v>2006</v>
      </c>
      <c r="H226" s="172">
        <f t="shared" si="58"/>
        <v>9.5592089587800813E-2</v>
      </c>
      <c r="I226" s="336"/>
      <c r="J226" s="168"/>
      <c r="K226" s="168"/>
    </row>
    <row r="227" spans="1:11">
      <c r="A227" s="163"/>
      <c r="B227" s="170" t="s">
        <v>179</v>
      </c>
      <c r="C227" s="592">
        <f>'[15]Sch D'!K9</f>
        <v>0</v>
      </c>
      <c r="D227" s="592"/>
      <c r="E227" s="235">
        <f t="shared" si="59"/>
        <v>0</v>
      </c>
      <c r="F227" s="592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17777</v>
      </c>
      <c r="D228" s="592">
        <f>SUM(D219:D227)</f>
        <v>0</v>
      </c>
      <c r="E228" s="237">
        <f>SUM(E219:E227)</f>
        <v>17777</v>
      </c>
      <c r="F228" s="237">
        <f>SUM(F219:F227)</f>
        <v>3208</v>
      </c>
      <c r="G228" s="237">
        <f>SUM(G219:G227)</f>
        <v>20985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'[15]Sch D'!N22</f>
        <v>93</v>
      </c>
      <c r="D231" s="559"/>
      <c r="E231" s="235">
        <f>C231+D231</f>
        <v>93</v>
      </c>
      <c r="F231" s="235"/>
      <c r="G231" s="235">
        <f>E231+F231</f>
        <v>93</v>
      </c>
      <c r="H231" s="167"/>
      <c r="J231" s="168"/>
      <c r="K231" s="168"/>
    </row>
    <row r="232" spans="1:11">
      <c r="A232" s="163"/>
      <c r="B232" s="202" t="s">
        <v>290</v>
      </c>
      <c r="C232" s="593">
        <f>'[15]Sch D'!N24</f>
        <v>93</v>
      </c>
      <c r="D232" s="559"/>
      <c r="E232" s="235">
        <f>C232+D232</f>
        <v>93</v>
      </c>
      <c r="F232" s="235"/>
      <c r="G232" s="235">
        <f>E232+F232</f>
        <v>93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'[15]Sch D'!N28</f>
        <v>28365</v>
      </c>
      <c r="D235" s="483"/>
      <c r="E235" s="234">
        <f>E231*E233</f>
        <v>28365</v>
      </c>
      <c r="F235" s="239"/>
      <c r="G235" s="234">
        <f>G231*G233</f>
        <v>34038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'[15]Sch D'!N30</f>
        <v>0.62672307421117579</v>
      </c>
      <c r="D236" s="239"/>
      <c r="E236" s="244">
        <f>E228/E235</f>
        <v>0.62672307421117579</v>
      </c>
      <c r="F236" s="245"/>
      <c r="G236" s="244">
        <f>G228/G235</f>
        <v>0.61651683412656444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'[15]Sch D'!N32</f>
        <v>0.43257535695399257</v>
      </c>
      <c r="D237" s="239"/>
      <c r="E237" s="244">
        <f>(E219+E220)/E235</f>
        <v>0.43257535695399257</v>
      </c>
      <c r="F237" s="245"/>
      <c r="G237" s="244">
        <f>(G219+G220)/G235</f>
        <v>0.4188553969093366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'[15]Sch D'!N34</f>
        <v>0.69021769702424474</v>
      </c>
      <c r="D238" s="239"/>
      <c r="E238" s="244">
        <f>(E237/E236)</f>
        <v>0.69021769702424474</v>
      </c>
      <c r="F238" s="245"/>
      <c r="G238" s="244">
        <f>(G237/G236)</f>
        <v>0.67939004050512264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'[15]Sch B'!C85</f>
        <v>204.35917312661499</v>
      </c>
    </row>
    <row r="242" spans="2:7">
      <c r="F242" s="142" t="s">
        <v>341</v>
      </c>
      <c r="G242" s="558">
        <f>'[15]Sch B'!E85</f>
        <v>190.42142857142858</v>
      </c>
    </row>
    <row r="243" spans="2:7">
      <c r="F243" s="142" t="s">
        <v>342</v>
      </c>
      <c r="G243" s="558">
        <f>'[15]Sch B'!G85</f>
        <v>192.8197424892704</v>
      </c>
    </row>
    <row r="244" spans="2:7">
      <c r="F244" s="142" t="s">
        <v>343</v>
      </c>
      <c r="G244" s="558">
        <f>'[15]Sch B'!I85*1/3+205*2/3</f>
        <v>201.42105263157896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3"/>
  <headerFooter alignWithMargins="0">
    <oddFooter>&amp;R&amp;D
&amp;T
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0">
    <tabColor rgb="FFE28CAB"/>
  </sheetPr>
  <dimension ref="A1:T247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28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527"/>
    </row>
    <row r="2" spans="1:17" ht="23">
      <c r="B2" s="143" t="s">
        <v>189</v>
      </c>
      <c r="C2" s="246" t="s">
        <v>372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29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30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30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31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'[16]Sch B'!E10</f>
        <v>1195315.6000000001</v>
      </c>
      <c r="D11" s="558">
        <f>'[16]Sch B'!G10</f>
        <v>319565.33</v>
      </c>
      <c r="E11" s="171">
        <f>C11+D11</f>
        <v>1514880.9300000002</v>
      </c>
      <c r="F11" s="171"/>
      <c r="G11" s="171">
        <f t="shared" ref="G11:G20" si="0">E11+F11</f>
        <v>1514880.9300000002</v>
      </c>
      <c r="H11" s="172">
        <f t="shared" ref="H11:H21" si="1">IF($G$21=0,0,G11/$G$21)</f>
        <v>0.61755572784970747</v>
      </c>
      <c r="I11" s="526"/>
      <c r="J11" s="368" t="s">
        <v>344</v>
      </c>
      <c r="K11" s="369">
        <f>G21</f>
        <v>2453027.0900000003</v>
      </c>
      <c r="M11" s="359">
        <f>IFERROR(G11/G219,0)</f>
        <v>230.78624771480807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'[16]Sch B'!E15</f>
        <v>0</v>
      </c>
      <c r="D12" s="558">
        <f>'[16]Sch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26"/>
      <c r="J12" s="370" t="s">
        <v>345</v>
      </c>
      <c r="K12" s="371">
        <f>G208</f>
        <v>2203617.4899999998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'[16]Sch B'!E21</f>
        <v>543647.6</v>
      </c>
      <c r="D13" s="558">
        <f>'[16]Sch B'!G21</f>
        <v>0</v>
      </c>
      <c r="E13" s="171">
        <f t="shared" si="2"/>
        <v>543647.6</v>
      </c>
      <c r="F13" s="171"/>
      <c r="G13" s="171">
        <f t="shared" si="0"/>
        <v>543647.6</v>
      </c>
      <c r="H13" s="172">
        <f t="shared" si="1"/>
        <v>0.22162315378261882</v>
      </c>
      <c r="I13" s="526"/>
      <c r="J13" s="370" t="s">
        <v>346</v>
      </c>
      <c r="K13" s="371">
        <f>G228</f>
        <v>10402</v>
      </c>
      <c r="M13" s="359">
        <f t="shared" si="3"/>
        <v>403.89866270430906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'[16]Sch B'!E27</f>
        <v>0</v>
      </c>
      <c r="D14" s="558">
        <f>'[16]Sch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532"/>
      <c r="J14" s="370" t="s">
        <v>347</v>
      </c>
      <c r="K14" s="371">
        <f>G231</f>
        <v>55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'[16]Sch B'!E32</f>
        <v>0</v>
      </c>
      <c r="D15" s="558">
        <f>'[16]Sch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26"/>
      <c r="J15" s="370" t="s">
        <v>348</v>
      </c>
      <c r="K15" s="371">
        <f>G235</f>
        <v>20130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'[16]Sch B'!E37</f>
        <v>298559.69</v>
      </c>
      <c r="D16" s="558">
        <f>'[16]Sch B'!G37</f>
        <v>0</v>
      </c>
      <c r="E16" s="171">
        <f t="shared" si="2"/>
        <v>298559.69</v>
      </c>
      <c r="F16" s="171"/>
      <c r="G16" s="171">
        <f t="shared" si="0"/>
        <v>298559.69</v>
      </c>
      <c r="H16" s="172">
        <f t="shared" si="1"/>
        <v>0.12171071865333537</v>
      </c>
      <c r="I16" s="526"/>
      <c r="J16" s="372"/>
      <c r="K16" s="371"/>
      <c r="M16" s="359">
        <f t="shared" si="3"/>
        <v>145.70995119570523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'[16]Sch B'!E42</f>
        <v>77807.600000000006</v>
      </c>
      <c r="D17" s="558">
        <f>'[16]Sch B'!G42</f>
        <v>0</v>
      </c>
      <c r="E17" s="171">
        <f t="shared" si="2"/>
        <v>77807.600000000006</v>
      </c>
      <c r="F17" s="171"/>
      <c r="G17" s="171">
        <f>E17+F17</f>
        <v>77807.600000000006</v>
      </c>
      <c r="H17" s="172">
        <f t="shared" si="1"/>
        <v>3.1719013751291263E-2</v>
      </c>
      <c r="I17" s="526"/>
      <c r="J17" s="370" t="s">
        <v>156</v>
      </c>
      <c r="K17" s="371">
        <f>J208</f>
        <v>67520.460000000006</v>
      </c>
      <c r="M17" s="359">
        <f t="shared" si="3"/>
        <v>181.79345794392523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'[16]Sch B'!E47</f>
        <v>0</v>
      </c>
      <c r="D18" s="558">
        <f>'[16]Sch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526"/>
      <c r="J18" s="373" t="s">
        <v>252</v>
      </c>
      <c r="K18" s="374">
        <f>K208</f>
        <v>73766.650000000009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'[16]Sch B'!E52</f>
        <v>0</v>
      </c>
      <c r="D19" s="558">
        <f>'[16]Sch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2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'[16]Sch B'!E67</f>
        <v>492895.74</v>
      </c>
      <c r="D20" s="558">
        <f>'[16]Sch B'!G67</f>
        <v>-474764.47</v>
      </c>
      <c r="E20" s="171">
        <f t="shared" si="2"/>
        <v>18131.270000000019</v>
      </c>
      <c r="F20" s="171"/>
      <c r="G20" s="171">
        <f t="shared" si="0"/>
        <v>18131.270000000019</v>
      </c>
      <c r="H20" s="172">
        <f t="shared" si="1"/>
        <v>7.391385963046994E-3</v>
      </c>
      <c r="I20" s="52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2608226.2300000004</v>
      </c>
      <c r="D21" s="558">
        <f>SUM(D11:D20)</f>
        <v>-155199.13999999996</v>
      </c>
      <c r="E21" s="171">
        <f>SUM(E11:E20)</f>
        <v>2453027.0900000003</v>
      </c>
      <c r="F21" s="171">
        <f>SUM(F11:F20)</f>
        <v>0</v>
      </c>
      <c r="G21" s="171">
        <f>SUM(G11:G20)</f>
        <v>2453027.0900000003</v>
      </c>
      <c r="H21" s="172">
        <f t="shared" si="1"/>
        <v>1</v>
      </c>
      <c r="I21" s="526"/>
      <c r="J21" s="168"/>
      <c r="K21" s="168"/>
      <c r="M21" s="359">
        <f>IFERROR(G21/G228,0)</f>
        <v>235.82263891559319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'[16]Sch C'!D10</f>
        <v>65644.800000000003</v>
      </c>
      <c r="D25" s="558">
        <f>'[16]Sch C'!F10</f>
        <v>0</v>
      </c>
      <c r="E25" s="171">
        <f t="shared" ref="E25:E60" si="4">C25+D25</f>
        <v>65644.800000000003</v>
      </c>
      <c r="F25" s="171"/>
      <c r="G25" s="182">
        <f>E25+F25</f>
        <v>65644.800000000003</v>
      </c>
      <c r="H25" s="172">
        <f>IF($G$208=0,0,G25/$G$208)</f>
        <v>2.9789562071410137E-2</v>
      </c>
      <c r="I25" s="526"/>
      <c r="J25" s="183">
        <v>1773.2</v>
      </c>
      <c r="K25" s="183">
        <v>2080.08</v>
      </c>
      <c r="M25" s="359">
        <f>G25/G$228</f>
        <v>6.3107863872332244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'[16]Sch C'!D11</f>
        <v>0</v>
      </c>
      <c r="D26" s="558">
        <f>'[16]Sch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2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'[16]Sch C'!D12</f>
        <v>39179.620000000003</v>
      </c>
      <c r="D27" s="558">
        <f>'[16]Sch C'!F12</f>
        <v>0</v>
      </c>
      <c r="E27" s="171">
        <f t="shared" si="4"/>
        <v>39179.620000000003</v>
      </c>
      <c r="F27" s="171"/>
      <c r="G27" s="171">
        <f t="shared" si="5"/>
        <v>39179.620000000003</v>
      </c>
      <c r="H27" s="172">
        <f t="shared" si="6"/>
        <v>1.7779682806928532E-2</v>
      </c>
      <c r="I27" s="526"/>
      <c r="J27" s="185">
        <v>2429.1799999999998</v>
      </c>
      <c r="K27" s="185">
        <v>2683.03</v>
      </c>
      <c r="M27" s="359">
        <f t="shared" si="7"/>
        <v>3.7665468179196311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'[16]Sch C'!D13</f>
        <v>233613.2</v>
      </c>
      <c r="D28" s="558">
        <f>'[16]Sch C'!F13</f>
        <v>-216398.01388481754</v>
      </c>
      <c r="E28" s="171">
        <f t="shared" si="4"/>
        <v>17215.186115182471</v>
      </c>
      <c r="F28" s="171"/>
      <c r="G28" s="171">
        <f t="shared" si="5"/>
        <v>17215.186115182471</v>
      </c>
      <c r="H28" s="172">
        <f t="shared" si="6"/>
        <v>7.8122388269764882E-3</v>
      </c>
      <c r="I28" s="526"/>
      <c r="J28" s="168"/>
      <c r="K28" s="168"/>
      <c r="M28" s="359">
        <f t="shared" si="7"/>
        <v>1.6549880902886436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'[16]Sch C'!D14</f>
        <v>3600</v>
      </c>
      <c r="D29" s="558">
        <f>'[16]Sch C'!F14</f>
        <v>0</v>
      </c>
      <c r="E29" s="171">
        <f t="shared" si="4"/>
        <v>3600</v>
      </c>
      <c r="F29" s="171"/>
      <c r="G29" s="171">
        <f t="shared" si="5"/>
        <v>3600</v>
      </c>
      <c r="H29" s="172">
        <f t="shared" si="6"/>
        <v>1.6336773584057914E-3</v>
      </c>
      <c r="I29" s="526"/>
      <c r="J29" s="168"/>
      <c r="K29" s="168"/>
      <c r="M29" s="359">
        <f t="shared" si="7"/>
        <v>0.34608729090559509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'[16]Sch C'!D15</f>
        <v>38400</v>
      </c>
      <c r="D30" s="558">
        <f>'[16]Sch C'!F15</f>
        <v>-38400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52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'[16]Sch C'!D16</f>
        <v>0</v>
      </c>
      <c r="D31" s="558">
        <f>'[16]Sch C'!F16</f>
        <v>63167</v>
      </c>
      <c r="E31" s="171">
        <f t="shared" si="4"/>
        <v>63167</v>
      </c>
      <c r="F31" s="171"/>
      <c r="G31" s="171">
        <f t="shared" si="5"/>
        <v>63167</v>
      </c>
      <c r="H31" s="172">
        <f t="shared" si="6"/>
        <v>2.8665138249560729E-2</v>
      </c>
      <c r="I31" s="526"/>
      <c r="J31" s="168"/>
      <c r="K31" s="168"/>
      <c r="M31" s="359">
        <f t="shared" si="7"/>
        <v>6.0725821957315897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'[16]Sch C'!D17</f>
        <v>4513.9399999999996</v>
      </c>
      <c r="D32" s="558">
        <f>'[16]Sch C'!F17</f>
        <v>-4515</v>
      </c>
      <c r="E32" s="171">
        <f t="shared" si="4"/>
        <v>-1.0600000000004002</v>
      </c>
      <c r="F32" s="171"/>
      <c r="G32" s="171">
        <f t="shared" si="5"/>
        <v>-1.0600000000004002</v>
      </c>
      <c r="H32" s="172">
        <f t="shared" si="6"/>
        <v>-4.8102722219744242E-7</v>
      </c>
      <c r="I32" s="526"/>
      <c r="J32" s="168"/>
      <c r="K32" s="168"/>
      <c r="M32" s="359">
        <f t="shared" si="7"/>
        <v>-1.0190348010001925E-4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'[16]Sch C'!D18</f>
        <v>13902.44</v>
      </c>
      <c r="D33" s="558">
        <f>'[16]Sch C'!F18</f>
        <v>0</v>
      </c>
      <c r="E33" s="171">
        <f t="shared" si="4"/>
        <v>13902.44</v>
      </c>
      <c r="F33" s="171"/>
      <c r="G33" s="171">
        <f t="shared" si="5"/>
        <v>13902.44</v>
      </c>
      <c r="H33" s="172">
        <f t="shared" si="6"/>
        <v>6.3089170707208361E-3</v>
      </c>
      <c r="I33" s="526"/>
      <c r="J33" s="168"/>
      <c r="K33" s="168"/>
      <c r="M33" s="359">
        <f t="shared" si="7"/>
        <v>1.3365160546048838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'[16]Sch C'!D19</f>
        <v>9069.0499999999993</v>
      </c>
      <c r="D34" s="558">
        <f>'[16]Sch C'!F19</f>
        <v>0</v>
      </c>
      <c r="E34" s="171">
        <f t="shared" si="4"/>
        <v>9069.0499999999993</v>
      </c>
      <c r="F34" s="171"/>
      <c r="G34" s="171">
        <f t="shared" si="5"/>
        <v>9069.0499999999993</v>
      </c>
      <c r="H34" s="172">
        <f t="shared" si="6"/>
        <v>4.1155282353472333E-3</v>
      </c>
      <c r="I34" s="526"/>
      <c r="J34" s="168"/>
      <c r="K34" s="168"/>
      <c r="M34" s="359">
        <f t="shared" si="7"/>
        <v>0.87185637377427416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'[16]Sch C'!D20</f>
        <v>5888</v>
      </c>
      <c r="D35" s="558">
        <f>'[16]Sch C'!F20</f>
        <v>0</v>
      </c>
      <c r="E35" s="171">
        <f t="shared" si="4"/>
        <v>5888</v>
      </c>
      <c r="F35" s="171"/>
      <c r="G35" s="171">
        <f t="shared" si="5"/>
        <v>5888</v>
      </c>
      <c r="H35" s="172">
        <f t="shared" si="6"/>
        <v>2.6719700795259167E-3</v>
      </c>
      <c r="I35" s="526"/>
      <c r="J35" s="168"/>
      <c r="K35" s="168"/>
      <c r="M35" s="359">
        <f t="shared" si="7"/>
        <v>0.56604499134781772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'[16]Sch C'!D21</f>
        <v>7632.9</v>
      </c>
      <c r="D36" s="558">
        <f>'[16]Sch C'!F21</f>
        <v>0</v>
      </c>
      <c r="E36" s="171">
        <f t="shared" si="4"/>
        <v>7632.9</v>
      </c>
      <c r="F36" s="171"/>
      <c r="G36" s="171">
        <f t="shared" si="5"/>
        <v>7632.9</v>
      </c>
      <c r="H36" s="172">
        <f t="shared" si="6"/>
        <v>3.4638044191598791E-3</v>
      </c>
      <c r="I36" s="526"/>
      <c r="J36" s="168"/>
      <c r="K36" s="168"/>
      <c r="M36" s="359">
        <f t="shared" si="7"/>
        <v>0.73379157854258792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'[16]Sch C'!D22</f>
        <v>0</v>
      </c>
      <c r="D37" s="558">
        <f>'[16]Sch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2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'[16]Sch C'!D23</f>
        <v>2068.06</v>
      </c>
      <c r="D38" s="558">
        <f>'[16]Sch C'!F23</f>
        <v>0</v>
      </c>
      <c r="E38" s="171">
        <f t="shared" si="4"/>
        <v>2068.06</v>
      </c>
      <c r="F38" s="171"/>
      <c r="G38" s="171">
        <f t="shared" si="5"/>
        <v>2068.06</v>
      </c>
      <c r="H38" s="172">
        <f t="shared" si="6"/>
        <v>9.3848411050685579E-4</v>
      </c>
      <c r="I38" s="526"/>
      <c r="J38" s="168"/>
      <c r="K38" s="168"/>
      <c r="M38" s="359">
        <f t="shared" si="7"/>
        <v>0.19881368967506249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'[16]Sch C'!D24</f>
        <v>44059.83</v>
      </c>
      <c r="D39" s="558">
        <f>'[16]Sch C'!F24</f>
        <v>0</v>
      </c>
      <c r="E39" s="171">
        <f t="shared" si="4"/>
        <v>44059.83</v>
      </c>
      <c r="F39" s="171"/>
      <c r="G39" s="171">
        <f t="shared" si="5"/>
        <v>44059.83</v>
      </c>
      <c r="H39" s="172">
        <f t="shared" si="6"/>
        <v>1.9994318523946734E-2</v>
      </c>
      <c r="I39" s="526"/>
      <c r="J39" s="168"/>
      <c r="K39" s="168"/>
      <c r="M39" s="359">
        <f t="shared" si="7"/>
        <v>4.235707556239185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'[16]Sch C'!D25</f>
        <v>0</v>
      </c>
      <c r="D40" s="558">
        <f>'[16]Sch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2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'[16]Sch C'!D26</f>
        <v>165484.56</v>
      </c>
      <c r="D41" s="558">
        <f>'[16]Sch C'!F26</f>
        <v>0</v>
      </c>
      <c r="E41" s="171">
        <f t="shared" si="4"/>
        <v>165484.56</v>
      </c>
      <c r="F41" s="171"/>
      <c r="G41" s="171">
        <f t="shared" si="5"/>
        <v>165484.56</v>
      </c>
      <c r="H41" s="172">
        <f t="shared" si="6"/>
        <v>7.5096771899373527E-2</v>
      </c>
      <c r="I41" s="526"/>
      <c r="J41" s="168"/>
      <c r="K41" s="168"/>
      <c r="M41" s="359">
        <f t="shared" si="7"/>
        <v>15.908917515862335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'[16]Sch C'!D27</f>
        <v>347.98</v>
      </c>
      <c r="D42" s="558">
        <f>'[16]Sch C'!F27</f>
        <v>0</v>
      </c>
      <c r="E42" s="171">
        <f t="shared" si="4"/>
        <v>347.98</v>
      </c>
      <c r="F42" s="171"/>
      <c r="G42" s="171">
        <f t="shared" si="5"/>
        <v>347.98</v>
      </c>
      <c r="H42" s="172">
        <f t="shared" si="6"/>
        <v>1.5791306866056869E-4</v>
      </c>
      <c r="I42" s="526"/>
      <c r="J42" s="168"/>
      <c r="K42" s="168"/>
      <c r="M42" s="359">
        <f t="shared" si="7"/>
        <v>3.3453182080369161E-2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'[16]Sch C'!D28</f>
        <v>0</v>
      </c>
      <c r="D43" s="558">
        <f>'[16]Sch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2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'[16]Sch C'!D29</f>
        <v>52939.61</v>
      </c>
      <c r="D44" s="558">
        <f>'[16]Sch C'!F29</f>
        <v>-52939.61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2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'[16]Sch C'!D30</f>
        <v>0</v>
      </c>
      <c r="D45" s="558">
        <f>'[16]Sch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2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'[16]Sch C'!D31</f>
        <v>79289.8</v>
      </c>
      <c r="D46" s="558">
        <f>'[16]Sch C'!F31</f>
        <v>0</v>
      </c>
      <c r="E46" s="171">
        <f t="shared" si="4"/>
        <v>79289.8</v>
      </c>
      <c r="F46" s="171"/>
      <c r="G46" s="171">
        <f t="shared" si="5"/>
        <v>79289.8</v>
      </c>
      <c r="H46" s="172">
        <f t="shared" si="6"/>
        <v>3.5981653059034314E-2</v>
      </c>
      <c r="I46" s="526"/>
      <c r="J46" s="168"/>
      <c r="K46" s="168"/>
      <c r="M46" s="359">
        <f t="shared" si="7"/>
        <v>7.6225533551240146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'[16]Sch C'!D32</f>
        <v>0</v>
      </c>
      <c r="D47" s="558">
        <f>'[16]Sch C'!F32</f>
        <v>0</v>
      </c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526"/>
      <c r="J47" s="168"/>
      <c r="K47" s="168"/>
      <c r="M47" s="359">
        <f t="shared" si="7"/>
        <v>0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'[16]Sch C'!D33</f>
        <v>0</v>
      </c>
      <c r="D48" s="558">
        <f>'[16]Sch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2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'[16]Sch C'!D34</f>
        <v>0</v>
      </c>
      <c r="D49" s="558">
        <f>'[16]Sch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2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'[16]Sch C'!D35</f>
        <v>0</v>
      </c>
      <c r="D50" s="558">
        <f>'[16]Sch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2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'[16]Sch C'!D36</f>
        <v>0</v>
      </c>
      <c r="D51" s="558">
        <f>'[16]Sch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52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'[16]Sch C'!D37</f>
        <v>0</v>
      </c>
      <c r="D52" s="558">
        <f>'[16]Sch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52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'[16]Sch C'!D38</f>
        <v>198.51</v>
      </c>
      <c r="D53" s="558">
        <f>'[16]Sch C'!F38</f>
        <v>0</v>
      </c>
      <c r="E53" s="171">
        <f t="shared" si="4"/>
        <v>198.51</v>
      </c>
      <c r="F53" s="171"/>
      <c r="G53" s="171">
        <f t="shared" si="5"/>
        <v>198.51</v>
      </c>
      <c r="H53" s="172">
        <f t="shared" si="6"/>
        <v>9.008369233809267E-5</v>
      </c>
      <c r="I53" s="526"/>
      <c r="J53" s="168"/>
      <c r="K53" s="168"/>
      <c r="M53" s="359">
        <f t="shared" si="7"/>
        <v>1.908383003268602E-2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'[16]Sch C'!D39</f>
        <v>2461.31</v>
      </c>
      <c r="D54" s="558">
        <f>'[16]Sch C'!F39</f>
        <v>0</v>
      </c>
      <c r="E54" s="171">
        <f t="shared" si="4"/>
        <v>2461.31</v>
      </c>
      <c r="F54" s="171"/>
      <c r="G54" s="171">
        <f t="shared" si="5"/>
        <v>2461.31</v>
      </c>
      <c r="H54" s="172">
        <f t="shared" si="6"/>
        <v>1.1169406719493773E-3</v>
      </c>
      <c r="I54" s="526"/>
      <c r="J54" s="168"/>
      <c r="K54" s="168"/>
      <c r="M54" s="359">
        <f t="shared" si="7"/>
        <v>0.2366189194385695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'[16]Sch C'!D40</f>
        <v>1719.73</v>
      </c>
      <c r="D55" s="558">
        <f>'[16]Sch C'!F40</f>
        <v>-1719.73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52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'[16]Sch C'!D41</f>
        <v>89.75</v>
      </c>
      <c r="D56" s="558">
        <f>'[16]Sch C'!F41</f>
        <v>0</v>
      </c>
      <c r="E56" s="171">
        <f t="shared" si="4"/>
        <v>89.75</v>
      </c>
      <c r="F56" s="171"/>
      <c r="G56" s="171">
        <f t="shared" si="5"/>
        <v>89.75</v>
      </c>
      <c r="H56" s="172">
        <f t="shared" si="6"/>
        <v>4.0728484143588826E-5</v>
      </c>
      <c r="I56" s="526"/>
      <c r="J56" s="168"/>
      <c r="K56" s="168"/>
      <c r="M56" s="359">
        <f t="shared" si="7"/>
        <v>8.6281484329936552E-3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'[16]Sch C'!D42</f>
        <v>1572.14</v>
      </c>
      <c r="D57" s="558">
        <f>'[16]Sch C'!F42</f>
        <v>0</v>
      </c>
      <c r="E57" s="171">
        <f t="shared" si="4"/>
        <v>1572.14</v>
      </c>
      <c r="F57" s="171"/>
      <c r="G57" s="171">
        <f t="shared" si="5"/>
        <v>1572.14</v>
      </c>
      <c r="H57" s="172">
        <f t="shared" si="6"/>
        <v>7.1343597840113366E-4</v>
      </c>
      <c r="I57" s="526"/>
      <c r="J57" s="168"/>
      <c r="K57" s="168"/>
      <c r="M57" s="359">
        <f t="shared" si="7"/>
        <v>0.15113824264564507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'[16]Sch C'!D43</f>
        <v>0</v>
      </c>
      <c r="D58" s="558">
        <f>'[16]Sch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52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'[16]Sch C'!D44</f>
        <v>0</v>
      </c>
      <c r="D59" s="558">
        <f>'[16]Sch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52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'[16]Sch C'!D45</f>
        <v>155219.14000000001</v>
      </c>
      <c r="D60" s="558">
        <f>'[16]Sch C'!F45</f>
        <v>-155199.14000000001</v>
      </c>
      <c r="E60" s="171">
        <f t="shared" si="4"/>
        <v>20</v>
      </c>
      <c r="F60" s="171"/>
      <c r="G60" s="171">
        <f t="shared" si="5"/>
        <v>20</v>
      </c>
      <c r="H60" s="172">
        <f t="shared" si="6"/>
        <v>9.0759853244766192E-6</v>
      </c>
      <c r="I60" s="526"/>
      <c r="J60" s="168"/>
      <c r="K60" s="168"/>
      <c r="M60" s="359">
        <f t="shared" si="7"/>
        <v>1.9227071716977505E-3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926894.37000000011</v>
      </c>
      <c r="D61" s="558">
        <f>SUM(D25:D60)</f>
        <v>-406004.49388481758</v>
      </c>
      <c r="E61" s="171">
        <f t="shared" ref="E61:F61" si="8">SUM(E25:E60)</f>
        <v>520889.87611518247</v>
      </c>
      <c r="F61" s="171">
        <f t="shared" si="8"/>
        <v>0</v>
      </c>
      <c r="G61" s="171">
        <f>SUM(G25:G60)</f>
        <v>520889.87611518247</v>
      </c>
      <c r="H61" s="186">
        <f t="shared" si="6"/>
        <v>0.236379443564492</v>
      </c>
      <c r="I61" s="533"/>
      <c r="J61" s="168"/>
      <c r="K61" s="168"/>
      <c r="M61" s="364">
        <f>G61/G$228</f>
        <v>50.075935023570707</v>
      </c>
      <c r="N61" s="359">
        <f>SUMMARY!J64</f>
        <v>53.728790309602623</v>
      </c>
      <c r="O61" s="354">
        <f>M61/N61-1</f>
        <v>-6.7986925910354268E-2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534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34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'[16]Sch C'!D57</f>
        <v>78986.81</v>
      </c>
      <c r="D64" s="558">
        <f>'[16]Sch C'!F57</f>
        <v>-78987</v>
      </c>
      <c r="E64" s="171">
        <f t="shared" ref="E64:E78" si="9">C64+D64</f>
        <v>-0.19000000000232831</v>
      </c>
      <c r="F64" s="171"/>
      <c r="G64" s="171">
        <f t="shared" ref="G64:G78" si="10">E64+F64</f>
        <v>-0.19000000000232831</v>
      </c>
      <c r="H64" s="172">
        <f t="shared" ref="H64:H79" si="11">IF($G$208=0,0,G64/$G$208)</f>
        <v>-8.6221860583584456E-8</v>
      </c>
      <c r="I64" s="526"/>
      <c r="J64" s="190"/>
      <c r="K64" s="168"/>
      <c r="M64" s="359">
        <f t="shared" ref="M64:M79" si="12">G64/G$228</f>
        <v>-1.8265718131352462E-5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'[16]Sch C'!D58</f>
        <v>114462.21</v>
      </c>
      <c r="D65" s="558">
        <f>'[16]Sch C'!F58</f>
        <v>0</v>
      </c>
      <c r="E65" s="171">
        <f t="shared" si="9"/>
        <v>114462.21</v>
      </c>
      <c r="F65" s="171"/>
      <c r="G65" s="171">
        <f t="shared" si="10"/>
        <v>114462.21</v>
      </c>
      <c r="H65" s="172">
        <f t="shared" si="11"/>
        <v>5.1942866908358046E-2</v>
      </c>
      <c r="I65" s="526"/>
      <c r="J65" s="190"/>
      <c r="K65" s="168"/>
      <c r="M65" s="359">
        <f t="shared" si="12"/>
        <v>11.003865602768698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'[16]Sch C'!D59</f>
        <v>0</v>
      </c>
      <c r="D66" s="558">
        <f>'[16]Sch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52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'[16]Sch C'!D60</f>
        <v>0</v>
      </c>
      <c r="D67" s="558">
        <f>'[16]Sch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52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'[16]Sch C'!D61</f>
        <v>47055.73</v>
      </c>
      <c r="D68" s="558">
        <f>'[16]Sch C'!F61</f>
        <v>0</v>
      </c>
      <c r="E68" s="171">
        <f t="shared" si="9"/>
        <v>47055.73</v>
      </c>
      <c r="F68" s="171"/>
      <c r="G68" s="171">
        <f t="shared" si="10"/>
        <v>47055.73</v>
      </c>
      <c r="H68" s="172">
        <f t="shared" si="11"/>
        <v>2.1353855745626711E-2</v>
      </c>
      <c r="I68" s="526"/>
      <c r="J68" s="193"/>
      <c r="K68" s="168"/>
      <c r="M68" s="359">
        <f t="shared" si="12"/>
        <v>4.5237194770236497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'[16]Sch C'!D62</f>
        <v>2065.8000000000002</v>
      </c>
      <c r="D69" s="558">
        <f>'[16]Sch C'!F62</f>
        <v>0</v>
      </c>
      <c r="E69" s="171">
        <f t="shared" si="9"/>
        <v>2065.8000000000002</v>
      </c>
      <c r="F69" s="171"/>
      <c r="G69" s="171">
        <f t="shared" si="10"/>
        <v>2065.8000000000002</v>
      </c>
      <c r="H69" s="172">
        <f t="shared" si="11"/>
        <v>9.3745852416519005E-4</v>
      </c>
      <c r="I69" s="526"/>
      <c r="J69" s="195"/>
      <c r="K69" s="168"/>
      <c r="M69" s="359">
        <f t="shared" si="12"/>
        <v>0.19859642376466066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'[16]Sch C'!D63</f>
        <v>0</v>
      </c>
      <c r="D70" s="558">
        <f>'[16]Sch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52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'[16]Sch C'!D64</f>
        <v>0</v>
      </c>
      <c r="D71" s="558">
        <f>'[16]Sch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2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'[16]Sch C'!D65</f>
        <v>4357.75</v>
      </c>
      <c r="D72" s="558">
        <f>'[16]Sch C'!F65</f>
        <v>0</v>
      </c>
      <c r="E72" s="171">
        <f t="shared" si="9"/>
        <v>4357.75</v>
      </c>
      <c r="F72" s="171"/>
      <c r="G72" s="171">
        <f t="shared" si="10"/>
        <v>4357.75</v>
      </c>
      <c r="H72" s="172">
        <f t="shared" si="11"/>
        <v>1.9775437523868993E-3</v>
      </c>
      <c r="I72" s="526"/>
      <c r="J72" s="195"/>
      <c r="K72" s="168"/>
      <c r="M72" s="359">
        <f t="shared" si="12"/>
        <v>0.4189338588732936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'[16]Sch C'!D66</f>
        <v>10676.7</v>
      </c>
      <c r="D73" s="558">
        <f>'[16]Sch C'!F66</f>
        <v>0</v>
      </c>
      <c r="E73" s="171">
        <f t="shared" si="9"/>
        <v>10676.7</v>
      </c>
      <c r="F73" s="171"/>
      <c r="G73" s="171">
        <f t="shared" si="10"/>
        <v>10676.7</v>
      </c>
      <c r="H73" s="172">
        <f t="shared" si="11"/>
        <v>4.8450786256919757E-3</v>
      </c>
      <c r="I73" s="526"/>
      <c r="J73" s="195"/>
      <c r="K73" s="168"/>
      <c r="M73" s="359">
        <f t="shared" si="12"/>
        <v>1.0264083830032686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'[16]Sch C'!D67</f>
        <v>9523.0499999999993</v>
      </c>
      <c r="D74" s="558">
        <f>'[16]Sch C'!F67</f>
        <v>0</v>
      </c>
      <c r="E74" s="171">
        <f t="shared" si="9"/>
        <v>9523.0499999999993</v>
      </c>
      <c r="F74" s="171"/>
      <c r="G74" s="171">
        <f t="shared" si="10"/>
        <v>9523.0499999999993</v>
      </c>
      <c r="H74" s="172">
        <f t="shared" si="11"/>
        <v>4.3215531022128533E-3</v>
      </c>
      <c r="I74" s="526"/>
      <c r="J74" s="195"/>
      <c r="K74" s="168"/>
      <c r="M74" s="359">
        <f t="shared" si="12"/>
        <v>0.915501826571813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'[16]Sch C'!D68</f>
        <v>0</v>
      </c>
      <c r="D75" s="558">
        <f>'[16]Sch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2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'[16]Sch C'!D69</f>
        <v>0</v>
      </c>
      <c r="D76" s="558">
        <f>'[16]Sch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52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'[16]Sch C'!D70</f>
        <v>-1085</v>
      </c>
      <c r="D77" s="558">
        <f>'[16]Sch C'!F70</f>
        <v>0</v>
      </c>
      <c r="E77" s="171">
        <f t="shared" si="9"/>
        <v>-1085</v>
      </c>
      <c r="F77" s="171"/>
      <c r="G77" s="171">
        <f t="shared" si="10"/>
        <v>-1085</v>
      </c>
      <c r="H77" s="172">
        <f t="shared" si="11"/>
        <v>-4.9237220385285661E-4</v>
      </c>
      <c r="I77" s="526"/>
      <c r="J77" s="195"/>
      <c r="K77" s="168"/>
      <c r="M77" s="359">
        <f t="shared" si="12"/>
        <v>-0.10430686406460296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'[16]Sch C'!D71</f>
        <v>0</v>
      </c>
      <c r="D78" s="558">
        <f>'[16]Sch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2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266043.05000000005</v>
      </c>
      <c r="D79" s="558">
        <f>SUM(D64:D78)</f>
        <v>-78987</v>
      </c>
      <c r="E79" s="171">
        <f t="shared" ref="E79:F79" si="13">SUM(E64:E78)</f>
        <v>187056.05</v>
      </c>
      <c r="F79" s="171">
        <f t="shared" si="13"/>
        <v>0</v>
      </c>
      <c r="G79" s="171">
        <f>SUM(G64:G78)</f>
        <v>187056.05</v>
      </c>
      <c r="H79" s="172">
        <f t="shared" si="11"/>
        <v>8.4885898232728227E-2</v>
      </c>
      <c r="I79" s="526"/>
      <c r="J79" s="195"/>
      <c r="K79" s="168"/>
      <c r="M79" s="359">
        <f t="shared" si="12"/>
        <v>17.982700442222647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52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2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'[16]Sch C'!D75</f>
        <v>32484.14</v>
      </c>
      <c r="D82" s="558">
        <f>'[16]Sch C'!F75</f>
        <v>0</v>
      </c>
      <c r="E82" s="171">
        <f t="shared" ref="E82:E92" si="14">C82+D82</f>
        <v>32484.14</v>
      </c>
      <c r="F82" s="171"/>
      <c r="G82" s="171">
        <f t="shared" ref="G82:G92" si="15">E82+F82</f>
        <v>32484.14</v>
      </c>
      <c r="H82" s="172">
        <f t="shared" ref="H82:H93" si="16">IF($G$208=0,0,G82/$G$208)</f>
        <v>1.4741278895912195E-2</v>
      </c>
      <c r="I82" s="526"/>
      <c r="J82" s="183">
        <v>2210.83</v>
      </c>
      <c r="K82" s="183">
        <v>2435.16</v>
      </c>
      <c r="M82" s="359">
        <f t="shared" ref="M82:M92" si="17">G82/G$228</f>
        <v>3.1228744472216881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'[16]Sch C'!D76</f>
        <v>0</v>
      </c>
      <c r="D83" s="558">
        <f>'[16]Sch C'!F76</f>
        <v>8518.8852108871251</v>
      </c>
      <c r="E83" s="171">
        <f t="shared" si="14"/>
        <v>8518.8852108871251</v>
      </c>
      <c r="F83" s="171"/>
      <c r="G83" s="171">
        <f t="shared" si="15"/>
        <v>8518.8852108871251</v>
      </c>
      <c r="H83" s="172">
        <f t="shared" si="16"/>
        <v>3.8658638577456226E-3</v>
      </c>
      <c r="I83" s="526"/>
      <c r="J83" s="168"/>
      <c r="K83" s="168"/>
      <c r="M83" s="359">
        <f t="shared" si="17"/>
        <v>0.81896608449212893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'[16]Sch C'!D77</f>
        <v>1292.44</v>
      </c>
      <c r="D84" s="558">
        <f>'[16]Sch C'!F77</f>
        <v>0</v>
      </c>
      <c r="E84" s="171">
        <f t="shared" si="14"/>
        <v>1292.44</v>
      </c>
      <c r="F84" s="171"/>
      <c r="G84" s="171">
        <f t="shared" si="15"/>
        <v>1292.44</v>
      </c>
      <c r="H84" s="172">
        <f t="shared" si="16"/>
        <v>5.8650832363832807E-4</v>
      </c>
      <c r="I84" s="526"/>
      <c r="J84" s="168"/>
      <c r="K84" s="168"/>
      <c r="M84" s="359">
        <f t="shared" si="17"/>
        <v>0.12424918284945204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'[16]Sch C'!D78</f>
        <v>0</v>
      </c>
      <c r="D85" s="558">
        <f>'[16]Sch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52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'[16]Sch C'!D79</f>
        <v>-6242.06</v>
      </c>
      <c r="D86" s="558">
        <f>'[16]Sch C'!F79</f>
        <v>0</v>
      </c>
      <c r="E86" s="171">
        <f t="shared" si="14"/>
        <v>-6242.06</v>
      </c>
      <c r="F86" s="171"/>
      <c r="G86" s="171">
        <f>E86+F86</f>
        <v>-6242.06</v>
      </c>
      <c r="H86" s="172">
        <f t="shared" si="16"/>
        <v>-2.8326422477251262E-3</v>
      </c>
      <c r="I86" s="526"/>
      <c r="J86" s="168"/>
      <c r="K86" s="168"/>
      <c r="M86" s="359">
        <f t="shared" si="17"/>
        <v>-0.60008267640838309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'[16]Sch C'!D80</f>
        <v>22887.37</v>
      </c>
      <c r="D87" s="558">
        <f>'[16]Sch C'!F80</f>
        <v>0</v>
      </c>
      <c r="E87" s="171">
        <f t="shared" si="14"/>
        <v>22887.37</v>
      </c>
      <c r="F87" s="171"/>
      <c r="G87" s="171">
        <f t="shared" si="15"/>
        <v>22887.37</v>
      </c>
      <c r="H87" s="172">
        <f t="shared" si="16"/>
        <v>1.0386271711793321E-2</v>
      </c>
      <c r="I87" s="526"/>
      <c r="J87" s="168"/>
      <c r="K87" s="168"/>
      <c r="M87" s="359">
        <f t="shared" si="17"/>
        <v>2.2002855220149971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'[16]Sch C'!D81</f>
        <v>14857.72</v>
      </c>
      <c r="D88" s="558">
        <f>'[16]Sch C'!F81</f>
        <v>0</v>
      </c>
      <c r="E88" s="171">
        <f t="shared" si="14"/>
        <v>14857.72</v>
      </c>
      <c r="F88" s="171"/>
      <c r="G88" s="171">
        <f t="shared" si="15"/>
        <v>14857.72</v>
      </c>
      <c r="H88" s="172">
        <f t="shared" si="16"/>
        <v>6.7424224337591368E-3</v>
      </c>
      <c r="I88" s="526"/>
      <c r="J88" s="168"/>
      <c r="K88" s="168"/>
      <c r="M88" s="359">
        <f t="shared" si="17"/>
        <v>1.4283522399538551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'[16]Sch C'!D82</f>
        <v>1680.42</v>
      </c>
      <c r="D89" s="558">
        <f>'[16]Sch C'!F82</f>
        <v>0</v>
      </c>
      <c r="E89" s="171">
        <f t="shared" si="14"/>
        <v>1680.42</v>
      </c>
      <c r="F89" s="171"/>
      <c r="G89" s="171">
        <f t="shared" si="15"/>
        <v>1680.42</v>
      </c>
      <c r="H89" s="172">
        <f t="shared" si="16"/>
        <v>7.6257336294785006E-4</v>
      </c>
      <c r="I89" s="526"/>
      <c r="J89" s="168"/>
      <c r="K89" s="168"/>
      <c r="M89" s="359">
        <f t="shared" si="17"/>
        <v>0.1615477792732167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'[16]Sch C'!D83</f>
        <v>9632.4500000000007</v>
      </c>
      <c r="D90" s="558">
        <f>'[16]Sch C'!F83</f>
        <v>0</v>
      </c>
      <c r="E90" s="171">
        <f t="shared" si="14"/>
        <v>9632.4500000000007</v>
      </c>
      <c r="F90" s="171"/>
      <c r="G90" s="171">
        <f t="shared" si="15"/>
        <v>9632.4500000000007</v>
      </c>
      <c r="H90" s="172">
        <f t="shared" si="16"/>
        <v>4.371198741937741E-3</v>
      </c>
      <c r="I90" s="526"/>
      <c r="J90" s="168"/>
      <c r="K90" s="168"/>
      <c r="M90" s="359">
        <f t="shared" si="17"/>
        <v>0.9260190348009999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'[16]Sch C'!D84</f>
        <v>60290.11</v>
      </c>
      <c r="D91" s="558">
        <f>'[16]Sch C'!F84</f>
        <v>0</v>
      </c>
      <c r="E91" s="171">
        <f t="shared" si="14"/>
        <v>60290.11</v>
      </c>
      <c r="F91" s="171"/>
      <c r="G91" s="171">
        <f t="shared" si="15"/>
        <v>60290.11</v>
      </c>
      <c r="H91" s="172">
        <f t="shared" si="16"/>
        <v>2.7359607678554051E-2</v>
      </c>
      <c r="I91" s="526"/>
      <c r="J91" s="168"/>
      <c r="K91" s="168"/>
      <c r="M91" s="359">
        <f t="shared" si="17"/>
        <v>5.7960113439723129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'[16]Sch C'!D85</f>
        <v>0</v>
      </c>
      <c r="D92" s="558">
        <f>'[16]Sch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52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136882.59</v>
      </c>
      <c r="D93" s="558">
        <f>SUM(D82:D92)</f>
        <v>8518.8852108871251</v>
      </c>
      <c r="E93" s="171">
        <f t="shared" ref="E93:F93" si="18">SUM(E82:E92)</f>
        <v>145401.47521088712</v>
      </c>
      <c r="F93" s="171">
        <f t="shared" si="18"/>
        <v>0</v>
      </c>
      <c r="G93" s="171">
        <f>SUM(G82:G92)</f>
        <v>145401.47521088712</v>
      </c>
      <c r="H93" s="172">
        <f t="shared" si="16"/>
        <v>6.5983082758563114E-2</v>
      </c>
      <c r="I93" s="526"/>
      <c r="J93" s="168"/>
      <c r="K93" s="168"/>
      <c r="M93" s="364">
        <f>G93/G$228</f>
        <v>13.978222958170267</v>
      </c>
      <c r="N93" s="359">
        <f>SUMMARY!J96</f>
        <v>11.458724454710746</v>
      </c>
      <c r="O93" s="354">
        <f>M93/N93-1</f>
        <v>0.21987600045864975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52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2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'[16]Sch C'!D89</f>
        <v>102831.22</v>
      </c>
      <c r="D96" s="558">
        <f>'[16]Sch C'!F89</f>
        <v>0</v>
      </c>
      <c r="E96" s="171">
        <f t="shared" ref="E96:E101" si="19">C96+D96</f>
        <v>102831.22</v>
      </c>
      <c r="F96" s="171"/>
      <c r="G96" s="171">
        <f t="shared" ref="G96:G101" si="20">E96+F96</f>
        <v>102831.22</v>
      </c>
      <c r="H96" s="172">
        <f t="shared" ref="H96:H102" si="21">IF($G$208=0,0,G96/$G$208)</f>
        <v>4.6664732180901329E-2</v>
      </c>
      <c r="I96" s="526"/>
      <c r="J96" s="183">
        <v>11198.13</v>
      </c>
      <c r="K96" s="183">
        <v>11898.87</v>
      </c>
      <c r="M96" s="364">
        <f t="shared" ref="M96:M101" si="22">G96/G$228</f>
        <v>9.8857162084214583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'[16]Sch C'!D90</f>
        <v>0</v>
      </c>
      <c r="D97" s="558">
        <f>'[16]Sch C'!F90</f>
        <v>26967.232602601773</v>
      </c>
      <c r="E97" s="171">
        <f t="shared" si="19"/>
        <v>26967.232602601773</v>
      </c>
      <c r="F97" s="171"/>
      <c r="G97" s="171">
        <f t="shared" si="20"/>
        <v>26967.232602601773</v>
      </c>
      <c r="H97" s="172">
        <f t="shared" si="21"/>
        <v>1.2237710367148056E-2</v>
      </c>
      <c r="I97" s="526"/>
      <c r="J97" s="168"/>
      <c r="K97" s="168"/>
      <c r="M97" s="364">
        <f t="shared" si="22"/>
        <v>2.5925045762931909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'[16]Sch C'!D91</f>
        <v>8071.76</v>
      </c>
      <c r="D98" s="558">
        <f>'[16]Sch C'!F91</f>
        <v>0</v>
      </c>
      <c r="E98" s="171">
        <f t="shared" si="19"/>
        <v>8071.76</v>
      </c>
      <c r="F98" s="171"/>
      <c r="G98" s="171">
        <f t="shared" si="20"/>
        <v>8071.76</v>
      </c>
      <c r="H98" s="172">
        <f t="shared" si="21"/>
        <v>3.6629587651348695E-3</v>
      </c>
      <c r="I98" s="526"/>
      <c r="J98" s="168"/>
      <c r="K98" s="168"/>
      <c r="M98" s="364">
        <f t="shared" si="22"/>
        <v>0.77598154201115177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'[16]Sch C'!D92</f>
        <v>70088.899999999994</v>
      </c>
      <c r="D99" s="558">
        <f>'[16]Sch C'!F92</f>
        <v>0</v>
      </c>
      <c r="E99" s="171">
        <f t="shared" si="19"/>
        <v>70088.899999999994</v>
      </c>
      <c r="F99" s="171"/>
      <c r="G99" s="171">
        <f t="shared" si="20"/>
        <v>70088.899999999994</v>
      </c>
      <c r="H99" s="172">
        <f t="shared" si="21"/>
        <v>3.1806291390435462E-2</v>
      </c>
      <c r="I99" s="526"/>
      <c r="J99" s="168"/>
      <c r="K99" s="168"/>
      <c r="M99" s="364">
        <f t="shared" si="22"/>
        <v>6.738021534320322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'[16]Sch C'!D93</f>
        <v>12401.66</v>
      </c>
      <c r="D100" s="558">
        <f>'[16]Sch C'!F93</f>
        <v>0</v>
      </c>
      <c r="E100" s="171">
        <f t="shared" si="19"/>
        <v>12401.66</v>
      </c>
      <c r="F100" s="171"/>
      <c r="G100" s="171">
        <f t="shared" si="20"/>
        <v>12401.66</v>
      </c>
      <c r="H100" s="172">
        <f t="shared" si="21"/>
        <v>5.6278642079574349E-3</v>
      </c>
      <c r="I100" s="526"/>
      <c r="J100" s="168"/>
      <c r="K100" s="168"/>
      <c r="M100" s="364">
        <f t="shared" si="22"/>
        <v>1.1922380311478562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'[16]Sch C'!D94</f>
        <v>0</v>
      </c>
      <c r="D101" s="558">
        <f>'[16]Sch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2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193393.54</v>
      </c>
      <c r="D102" s="558">
        <f>SUM(D96:D101)</f>
        <v>26967.232602601773</v>
      </c>
      <c r="E102" s="171">
        <f t="shared" ref="E102:F102" si="23">SUM(E96:E101)</f>
        <v>220360.77260260176</v>
      </c>
      <c r="F102" s="171">
        <f t="shared" si="23"/>
        <v>0</v>
      </c>
      <c r="G102" s="171">
        <f>SUM(G96:G101)</f>
        <v>220360.77260260176</v>
      </c>
      <c r="H102" s="172">
        <f t="shared" si="21"/>
        <v>9.999955691157715E-2</v>
      </c>
      <c r="I102" s="526"/>
      <c r="J102" s="168"/>
      <c r="K102" s="168"/>
      <c r="M102" s="364">
        <f>G102/G$228</f>
        <v>21.18446189219398</v>
      </c>
      <c r="N102" s="359">
        <f>SUMMARY!J105</f>
        <v>19.901077037785338</v>
      </c>
      <c r="O102" s="354">
        <f>M102/N102-1</f>
        <v>6.4488210963252524E-2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52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2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'[16]Sch C'!D98</f>
        <v>24678.35</v>
      </c>
      <c r="D105" s="558">
        <f>'[16]Sch C'!F98</f>
        <v>0</v>
      </c>
      <c r="E105" s="171">
        <f t="shared" ref="E105:E110" si="24">C105+D105</f>
        <v>24678.35</v>
      </c>
      <c r="F105" s="171"/>
      <c r="G105" s="171">
        <f t="shared" ref="G105:G110" si="25">E105+F105</f>
        <v>24678.35</v>
      </c>
      <c r="H105" s="172">
        <f t="shared" ref="H105:H111" si="26">IF($G$208=0,0,G105/$G$208)</f>
        <v>1.1199017121614878E-2</v>
      </c>
      <c r="I105" s="526"/>
      <c r="J105" s="183">
        <v>2346.1</v>
      </c>
      <c r="K105" s="183">
        <v>2793.79</v>
      </c>
      <c r="M105" s="364">
        <f t="shared" ref="M105:M110" si="27">G105/G$228</f>
        <v>2.3724620265333587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'[16]Sch C'!D99</f>
        <v>0</v>
      </c>
      <c r="D106" s="558">
        <f>'[16]Sch C'!F99</f>
        <v>6471.8361281565803</v>
      </c>
      <c r="E106" s="171">
        <f t="shared" si="24"/>
        <v>6471.8361281565803</v>
      </c>
      <c r="F106" s="171"/>
      <c r="G106" s="171">
        <f t="shared" si="25"/>
        <v>6471.8361281565803</v>
      </c>
      <c r="H106" s="172">
        <f t="shared" si="26"/>
        <v>2.9369144860783352E-3</v>
      </c>
      <c r="I106" s="526"/>
      <c r="J106" s="168"/>
      <c r="K106" s="168"/>
      <c r="M106" s="364">
        <f t="shared" si="27"/>
        <v>0.62217228688296289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'[16]Sch C'!D100</f>
        <v>3189.85</v>
      </c>
      <c r="D107" s="558">
        <f>'[16]Sch C'!F100</f>
        <v>0</v>
      </c>
      <c r="E107" s="171">
        <f t="shared" si="24"/>
        <v>3189.85</v>
      </c>
      <c r="F107" s="171"/>
      <c r="G107" s="171">
        <f t="shared" si="25"/>
        <v>3189.85</v>
      </c>
      <c r="H107" s="172">
        <f t="shared" si="26"/>
        <v>1.4475515893640871E-3</v>
      </c>
      <c r="I107" s="526"/>
      <c r="J107" s="168"/>
      <c r="K107" s="168"/>
      <c r="M107" s="364">
        <f t="shared" si="27"/>
        <v>0.30665737358200346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'[16]Sch C'!D101</f>
        <v>0</v>
      </c>
      <c r="D108" s="558">
        <f>'[16]Sch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52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'[16]Sch C'!D102</f>
        <v>1952.08</v>
      </c>
      <c r="D109" s="558">
        <f>'[16]Sch C'!F102</f>
        <v>0</v>
      </c>
      <c r="E109" s="171">
        <f t="shared" si="24"/>
        <v>1952.08</v>
      </c>
      <c r="F109" s="171"/>
      <c r="G109" s="171">
        <f t="shared" si="25"/>
        <v>1952.08</v>
      </c>
      <c r="H109" s="172">
        <f t="shared" si="26"/>
        <v>8.8585247161021585E-4</v>
      </c>
      <c r="I109" s="526"/>
      <c r="J109" s="168"/>
      <c r="K109" s="168"/>
      <c r="M109" s="364">
        <f t="shared" si="27"/>
        <v>0.18766391078638722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'[16]Sch C'!D103</f>
        <v>0</v>
      </c>
      <c r="D110" s="558">
        <f>'[16]Sch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52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29820.28</v>
      </c>
      <c r="D111" s="558">
        <f>SUM(D105:D110)</f>
        <v>6471.8361281565803</v>
      </c>
      <c r="E111" s="171">
        <f t="shared" ref="E111:F111" si="28">SUM(E105:E110)</f>
        <v>36292.11612815658</v>
      </c>
      <c r="F111" s="171">
        <f t="shared" si="28"/>
        <v>0</v>
      </c>
      <c r="G111" s="171">
        <f>SUM(G105:G110)</f>
        <v>36292.11612815658</v>
      </c>
      <c r="H111" s="172">
        <f t="shared" si="26"/>
        <v>1.6469335668667515E-2</v>
      </c>
      <c r="I111" s="526"/>
      <c r="J111" s="168"/>
      <c r="K111" s="168"/>
      <c r="M111" s="364">
        <f>G111/G$228</f>
        <v>3.4889555977847126</v>
      </c>
      <c r="N111" s="359">
        <f>SUMMARY!J114</f>
        <v>2.4242384372309496</v>
      </c>
      <c r="O111" s="354">
        <f>M111/N111-1</f>
        <v>0.43919655104962385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52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2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'[16]Sch C'!D115</f>
        <v>25826.13</v>
      </c>
      <c r="D114" s="558">
        <f>'[16]Sch C'!F115</f>
        <v>0</v>
      </c>
      <c r="E114" s="171">
        <f t="shared" ref="E114:E118" si="29">C114+D114</f>
        <v>25826.13</v>
      </c>
      <c r="F114" s="171"/>
      <c r="G114" s="171">
        <f>E114+F114</f>
        <v>25826.13</v>
      </c>
      <c r="H114" s="172">
        <f t="shared" ref="H114:H119" si="30">IF($G$208=0,0,G114/$G$208)</f>
        <v>1.1719878843401267E-2</v>
      </c>
      <c r="I114" s="526"/>
      <c r="J114" s="183">
        <v>2864.39</v>
      </c>
      <c r="K114" s="183">
        <v>3192.73</v>
      </c>
      <c r="M114" s="364">
        <f t="shared" ref="M114:M119" si="31">G114/G$228</f>
        <v>2.4828042684099212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'[16]Sch C'!D116</f>
        <v>0</v>
      </c>
      <c r="D115" s="558">
        <f>'[16]Sch C'!F116</f>
        <v>6772.8385886604456</v>
      </c>
      <c r="E115" s="171">
        <f t="shared" si="29"/>
        <v>6772.8385886604456</v>
      </c>
      <c r="F115" s="171"/>
      <c r="G115" s="171">
        <f>E115+F115</f>
        <v>6772.8385886604456</v>
      </c>
      <c r="H115" s="172">
        <f t="shared" si="30"/>
        <v>3.073509181786557E-3</v>
      </c>
      <c r="I115" s="526"/>
      <c r="J115" s="168"/>
      <c r="K115" s="168"/>
      <c r="M115" s="364">
        <f t="shared" si="31"/>
        <v>0.65110926635843547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'[16]Sch C'!D117</f>
        <v>8563.9</v>
      </c>
      <c r="D116" s="558">
        <f>'[16]Sch C'!F117</f>
        <v>0</v>
      </c>
      <c r="E116" s="171">
        <f t="shared" si="29"/>
        <v>8563.9</v>
      </c>
      <c r="F116" s="171"/>
      <c r="G116" s="171">
        <f>E116+F116</f>
        <v>8563.9</v>
      </c>
      <c r="H116" s="172">
        <f t="shared" si="30"/>
        <v>3.8862915360142656E-3</v>
      </c>
      <c r="I116" s="526"/>
      <c r="J116" s="168"/>
      <c r="K116" s="168"/>
      <c r="M116" s="364">
        <f t="shared" si="31"/>
        <v>0.8232935973851182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'[16]Sch C'!D118</f>
        <v>0</v>
      </c>
      <c r="D117" s="558">
        <f>'[16]Sch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2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'[16]Sch C'!D119</f>
        <v>0</v>
      </c>
      <c r="D118" s="558">
        <f>'[16]Sch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2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34390.03</v>
      </c>
      <c r="D119" s="558">
        <f>SUM(D114:D118)</f>
        <v>6772.8385886604456</v>
      </c>
      <c r="E119" s="171">
        <f t="shared" ref="E119:F119" si="32">SUM(E114:E118)</f>
        <v>41162.868588660443</v>
      </c>
      <c r="F119" s="171">
        <f t="shared" si="32"/>
        <v>0</v>
      </c>
      <c r="G119" s="171">
        <f>SUM(G114:G118)</f>
        <v>41162.868588660443</v>
      </c>
      <c r="H119" s="172">
        <f t="shared" si="30"/>
        <v>1.8679679561202089E-2</v>
      </c>
      <c r="I119" s="526"/>
      <c r="J119" s="168"/>
      <c r="K119" s="168"/>
      <c r="M119" s="364">
        <f t="shared" si="31"/>
        <v>3.9572071321534747</v>
      </c>
      <c r="N119" s="359">
        <f>SUMMARY!J122</f>
        <v>6.0247597205909562</v>
      </c>
      <c r="O119" s="354">
        <f>M119/N119-1</f>
        <v>-0.34317594133607698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52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2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2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'[16]Sch C'!D124</f>
        <v>0</v>
      </c>
      <c r="D123" s="558">
        <f>'[16]Sch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2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'[16]Sch C'!D125</f>
        <v>57481.919999999998</v>
      </c>
      <c r="D124" s="558">
        <f>'[16]Sch C'!F125</f>
        <v>0</v>
      </c>
      <c r="E124" s="171">
        <f t="shared" si="33"/>
        <v>57481.919999999998</v>
      </c>
      <c r="F124" s="171"/>
      <c r="G124" s="171">
        <f>E124+F124</f>
        <v>57481.919999999998</v>
      </c>
      <c r="H124" s="172">
        <f>IF($G$208=0,0,G124/$G$208)</f>
        <v>2.6085253117136952E-2</v>
      </c>
      <c r="I124" s="526"/>
      <c r="J124" s="183">
        <v>1941.95</v>
      </c>
      <c r="K124" s="183">
        <v>2114.9499999999998</v>
      </c>
      <c r="M124" s="364">
        <f t="shared" si="34"/>
        <v>5.5260449913478178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'[16]Sch C'!D126</f>
        <v>0</v>
      </c>
      <c r="D125" s="558">
        <f>'[16]Sch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2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'[16]Sch C'!D127</f>
        <v>0</v>
      </c>
      <c r="D126" s="558">
        <f>'[16]Sch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52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'[16]Sch C'!D128</f>
        <v>17419.400000000001</v>
      </c>
      <c r="D127" s="558">
        <f>'[16]Sch C'!F128</f>
        <v>0</v>
      </c>
      <c r="E127" s="171">
        <f t="shared" si="33"/>
        <v>17419.400000000001</v>
      </c>
      <c r="F127" s="171"/>
      <c r="G127" s="171">
        <f>E127+F127</f>
        <v>17419.400000000001</v>
      </c>
      <c r="H127" s="172">
        <f>IF($G$208=0,0,G127/$G$208)</f>
        <v>7.9049109380594021E-3</v>
      </c>
      <c r="I127" s="526"/>
      <c r="J127" s="183">
        <v>1442.54</v>
      </c>
      <c r="K127" s="183">
        <v>1729.5</v>
      </c>
      <c r="M127" s="364">
        <f t="shared" si="34"/>
        <v>1.6746202653335898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53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'[16]Sch C'!D130</f>
        <v>0</v>
      </c>
      <c r="D129" s="558">
        <f>'[16]Sch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2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'[16]Sch C'!D131</f>
        <v>0</v>
      </c>
      <c r="D130" s="558">
        <f>'[16]Sch C'!F131</f>
        <v>15074.491064913429</v>
      </c>
      <c r="E130" s="171">
        <f t="shared" si="35"/>
        <v>15074.491064913429</v>
      </c>
      <c r="F130" s="171"/>
      <c r="G130" s="171">
        <f>E130+F130</f>
        <v>15074.491064913429</v>
      </c>
      <c r="H130" s="172">
        <f>IF($G$208=0,0,G130/$G$208)</f>
        <v>6.8407929839554103E-3</v>
      </c>
      <c r="I130" s="526"/>
      <c r="J130" s="204"/>
      <c r="K130" s="204"/>
      <c r="M130" s="364">
        <f t="shared" si="34"/>
        <v>1.4491916040101354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'[16]Sch C'!D132</f>
        <v>0</v>
      </c>
      <c r="D131" s="558">
        <f>'[16]Sch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2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'[16]Sch C'!D133</f>
        <v>0</v>
      </c>
      <c r="D132" s="558">
        <f>'[16]Sch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525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'[16]Sch C'!D134</f>
        <v>0</v>
      </c>
      <c r="D133" s="558">
        <f>'[16]Sch C'!F134</f>
        <v>4568.1944802148746</v>
      </c>
      <c r="E133" s="171">
        <f t="shared" si="35"/>
        <v>4568.1944802148746</v>
      </c>
      <c r="F133" s="171"/>
      <c r="G133" s="171">
        <f>E133+F133</f>
        <v>4568.1944802148746</v>
      </c>
      <c r="H133" s="172">
        <f>IF($G$208=0,0,G133/$G$208)</f>
        <v>2.0730433030892647E-3</v>
      </c>
      <c r="I133" s="525"/>
      <c r="J133" s="168"/>
      <c r="K133" s="168"/>
      <c r="M133" s="364">
        <f t="shared" si="34"/>
        <v>0.43916501444096084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2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'[16]Sch C'!D136</f>
        <v>106135.64</v>
      </c>
      <c r="D135" s="558">
        <f>'[16]Sch C'!F136</f>
        <v>0</v>
      </c>
      <c r="E135" s="171">
        <f t="shared" ref="E135:E138" si="36">C135+D135</f>
        <v>106135.64</v>
      </c>
      <c r="F135" s="171"/>
      <c r="G135" s="171">
        <f>E135+F135</f>
        <v>106135.64</v>
      </c>
      <c r="H135" s="172">
        <f>IF($G$208=0,0,G135/$G$208)</f>
        <v>4.8164275552196677E-2</v>
      </c>
      <c r="I135" s="526"/>
      <c r="J135" s="183">
        <v>3753.68</v>
      </c>
      <c r="K135" s="183">
        <v>4285.6499999999996</v>
      </c>
      <c r="M135" s="364">
        <f t="shared" si="34"/>
        <v>10.203387810036531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'[16]Sch C'!D137</f>
        <v>128768.13</v>
      </c>
      <c r="D136" s="558">
        <f>'[16]Sch C'!F137</f>
        <v>0</v>
      </c>
      <c r="E136" s="171">
        <f t="shared" si="36"/>
        <v>128768.13</v>
      </c>
      <c r="F136" s="171"/>
      <c r="G136" s="171">
        <f>E136+F136</f>
        <v>128768.13</v>
      </c>
      <c r="H136" s="172">
        <f>IF($G$208=0,0,G136/$G$208)</f>
        <v>5.8434882907014873E-2</v>
      </c>
      <c r="I136" s="526"/>
      <c r="J136" s="183">
        <v>6143.79</v>
      </c>
      <c r="K136" s="183">
        <v>6623.44</v>
      </c>
      <c r="M136" s="364">
        <f t="shared" si="34"/>
        <v>12.379170351855413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'[16]Sch C'!D138</f>
        <v>295138.52</v>
      </c>
      <c r="D137" s="558">
        <f>'[16]Sch C'!F138</f>
        <v>0</v>
      </c>
      <c r="E137" s="171">
        <f t="shared" si="36"/>
        <v>295138.52</v>
      </c>
      <c r="F137" s="171"/>
      <c r="G137" s="171">
        <f>E137+F137</f>
        <v>295138.52</v>
      </c>
      <c r="H137" s="172">
        <f>IF($G$208=0,0,G137/$G$208)</f>
        <v>0.13393364381038747</v>
      </c>
      <c r="I137" s="526"/>
      <c r="J137" s="183">
        <v>28329.96</v>
      </c>
      <c r="K137" s="183">
        <v>30596.73</v>
      </c>
      <c r="M137" s="364">
        <f t="shared" si="34"/>
        <v>28.373247452413001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'[16]Sch C'!D139</f>
        <v>0</v>
      </c>
      <c r="D138" s="558">
        <f>'[16]Sch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2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2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'[16]Sch C'!D141</f>
        <v>0</v>
      </c>
      <c r="D140" s="558">
        <f>'[16]Sch C'!F141</f>
        <v>27833.808558393113</v>
      </c>
      <c r="E140" s="171">
        <f t="shared" ref="E140:E143" si="37">C140+D140</f>
        <v>27833.808558393113</v>
      </c>
      <c r="F140" s="171"/>
      <c r="G140" s="171">
        <f>E140+F140</f>
        <v>27833.808558393113</v>
      </c>
      <c r="H140" s="172">
        <f>IF($G$208=0,0,G140/$G$208)</f>
        <v>1.2630961900013381E-2</v>
      </c>
      <c r="I140" s="526"/>
      <c r="J140" s="168"/>
      <c r="K140" s="168"/>
      <c r="M140" s="364">
        <f t="shared" si="34"/>
        <v>2.6758131665442333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'[16]Sch C'!D142</f>
        <v>0</v>
      </c>
      <c r="D141" s="558">
        <f>'[16]Sch C'!F142</f>
        <v>33769.122971720688</v>
      </c>
      <c r="E141" s="171">
        <f t="shared" si="37"/>
        <v>33769.122971720688</v>
      </c>
      <c r="F141" s="171"/>
      <c r="G141" s="171">
        <f>E141+F141</f>
        <v>33769.122971720688</v>
      </c>
      <c r="H141" s="172">
        <f>IF($G$208=0,0,G141/$G$208)</f>
        <v>1.5324403225589162E-2</v>
      </c>
      <c r="I141" s="526"/>
      <c r="J141" s="168"/>
      <c r="K141" s="168"/>
      <c r="M141" s="364">
        <f t="shared" si="34"/>
        <v>3.2464067459835309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'[16]Sch C'!D143</f>
        <v>0</v>
      </c>
      <c r="D142" s="558">
        <f>'[16]Sch C'!F143</f>
        <v>77399.345440301462</v>
      </c>
      <c r="E142" s="171">
        <f t="shared" si="37"/>
        <v>77399.345440301462</v>
      </c>
      <c r="F142" s="171"/>
      <c r="G142" s="171">
        <f>E142+F142</f>
        <v>77399.345440301462</v>
      </c>
      <c r="H142" s="172">
        <f>IF($G$208=0,0,G142/$G$208)</f>
        <v>3.5123766167013619E-2</v>
      </c>
      <c r="I142" s="526"/>
      <c r="J142" s="168"/>
      <c r="K142" s="168"/>
      <c r="M142" s="364">
        <f t="shared" si="34"/>
        <v>7.4408138281389604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'[16]Sch C'!D144</f>
        <v>0</v>
      </c>
      <c r="D143" s="558">
        <f>'[16]Sch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2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2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'[16]Sch C'!D146</f>
        <v>16500</v>
      </c>
      <c r="D145" s="558">
        <f>'[16]Sch C'!F146</f>
        <v>0</v>
      </c>
      <c r="E145" s="171">
        <f t="shared" ref="E145:E153" si="38">C145+D145</f>
        <v>16500</v>
      </c>
      <c r="F145" s="171"/>
      <c r="G145" s="171">
        <f t="shared" ref="G145:G153" si="39">E145+F145</f>
        <v>16500</v>
      </c>
      <c r="H145" s="172">
        <f t="shared" ref="H145:H153" si="40">IF($G$208=0,0,G145/$G$208)</f>
        <v>7.4876878926932108E-3</v>
      </c>
      <c r="I145" s="526"/>
      <c r="J145" s="183">
        <v>0</v>
      </c>
      <c r="K145" s="183">
        <v>0</v>
      </c>
      <c r="M145" s="364">
        <f t="shared" si="34"/>
        <v>1.5862334166506442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'[16]Sch C'!D147</f>
        <v>0</v>
      </c>
      <c r="D146" s="558">
        <f>'[16]Sch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2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'[16]Sch C'!D148</f>
        <v>0</v>
      </c>
      <c r="D147" s="558">
        <f>'[16]Sch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2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'[16]Sch C'!D149</f>
        <v>0</v>
      </c>
      <c r="D148" s="558">
        <f>'[16]Sch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2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'[16]Sch C'!D150</f>
        <v>3733.54</v>
      </c>
      <c r="D149" s="558">
        <f>'[16]Sch C'!F150</f>
        <v>0</v>
      </c>
      <c r="E149" s="171">
        <f t="shared" si="38"/>
        <v>3733.54</v>
      </c>
      <c r="F149" s="171"/>
      <c r="G149" s="171">
        <f t="shared" si="39"/>
        <v>3733.54</v>
      </c>
      <c r="H149" s="172">
        <f t="shared" si="40"/>
        <v>1.6942777124173216E-3</v>
      </c>
      <c r="I149" s="526"/>
      <c r="J149" s="183">
        <v>0</v>
      </c>
      <c r="K149" s="183">
        <v>0</v>
      </c>
      <c r="M149" s="364">
        <f t="shared" si="34"/>
        <v>0.35892520669102096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'[16]Sch C'!D151</f>
        <v>44952.07</v>
      </c>
      <c r="D150" s="558">
        <f>'[16]Sch C'!F151</f>
        <v>0</v>
      </c>
      <c r="E150" s="171">
        <f t="shared" si="38"/>
        <v>44952.07</v>
      </c>
      <c r="F150" s="171"/>
      <c r="G150" s="171">
        <f t="shared" si="39"/>
        <v>44952.07</v>
      </c>
      <c r="H150" s="172">
        <f t="shared" si="40"/>
        <v>2.0399216381242286E-2</v>
      </c>
      <c r="I150" s="525"/>
      <c r="J150" s="168"/>
      <c r="K150" s="168"/>
      <c r="M150" s="364">
        <f t="shared" si="34"/>
        <v>4.3214833685829648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'[16]Sch C'!D152</f>
        <v>129.02000000000001</v>
      </c>
      <c r="D151" s="558">
        <f>'[16]Sch C'!F152</f>
        <v>0</v>
      </c>
      <c r="E151" s="171">
        <f t="shared" si="38"/>
        <v>129.02000000000001</v>
      </c>
      <c r="F151" s="171"/>
      <c r="G151" s="171">
        <f t="shared" si="39"/>
        <v>129.02000000000001</v>
      </c>
      <c r="H151" s="172">
        <f t="shared" si="40"/>
        <v>5.854918132819867E-5</v>
      </c>
      <c r="I151" s="526"/>
      <c r="J151" s="168"/>
      <c r="K151" s="168"/>
      <c r="M151" s="364">
        <f t="shared" si="34"/>
        <v>1.240338396462219E-2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'[16]Sch C'!D153</f>
        <v>995.31</v>
      </c>
      <c r="D152" s="558">
        <f>'[16]Sch C'!F153</f>
        <v>0</v>
      </c>
      <c r="E152" s="171">
        <f t="shared" si="38"/>
        <v>995.31</v>
      </c>
      <c r="F152" s="171"/>
      <c r="G152" s="171">
        <f t="shared" si="39"/>
        <v>995.31</v>
      </c>
      <c r="H152" s="172">
        <f t="shared" si="40"/>
        <v>4.5167094766524114E-4</v>
      </c>
      <c r="I152" s="526"/>
      <c r="J152" s="168"/>
      <c r="K152" s="168"/>
      <c r="M152" s="364">
        <f t="shared" si="34"/>
        <v>9.5684483753124397E-2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'[16]Sch C'!D154</f>
        <v>0</v>
      </c>
      <c r="D153" s="558">
        <f>'[16]Sch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2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52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'[16]Sch C'!D156</f>
        <v>0</v>
      </c>
      <c r="D155" s="558">
        <f>'[16]Sch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2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'[16]Sch C'!D157</f>
        <v>5320</v>
      </c>
      <c r="D156" s="558">
        <f>'[16]Sch C'!F157</f>
        <v>0</v>
      </c>
      <c r="E156" s="171">
        <f t="shared" si="41"/>
        <v>5320</v>
      </c>
      <c r="F156" s="171"/>
      <c r="G156" s="171">
        <f t="shared" si="42"/>
        <v>5320</v>
      </c>
      <c r="H156" s="172">
        <f t="shared" si="43"/>
        <v>2.4142120963107807E-3</v>
      </c>
      <c r="I156" s="526"/>
      <c r="J156" s="168"/>
      <c r="K156" s="168"/>
      <c r="M156" s="364">
        <f t="shared" si="34"/>
        <v>0.51144010767160164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'[16]Sch C'!D158</f>
        <v>975</v>
      </c>
      <c r="D157" s="558">
        <f>'[16]Sch C'!F158</f>
        <v>0</v>
      </c>
      <c r="E157" s="171">
        <f t="shared" si="41"/>
        <v>975</v>
      </c>
      <c r="F157" s="171"/>
      <c r="G157" s="171">
        <f t="shared" si="42"/>
        <v>975</v>
      </c>
      <c r="H157" s="172">
        <f t="shared" si="43"/>
        <v>4.4245428456823519E-4</v>
      </c>
      <c r="I157" s="526"/>
      <c r="J157" s="168"/>
      <c r="K157" s="168"/>
      <c r="M157" s="364">
        <f t="shared" si="34"/>
        <v>9.3731974620265335E-2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'[16]Sch C'!D159</f>
        <v>123.23</v>
      </c>
      <c r="D158" s="558">
        <f>'[16]Sch C'!F159</f>
        <v>0</v>
      </c>
      <c r="E158" s="171">
        <f t="shared" si="41"/>
        <v>123.23</v>
      </c>
      <c r="F158" s="171"/>
      <c r="G158" s="171">
        <f t="shared" si="42"/>
        <v>123.23</v>
      </c>
      <c r="H158" s="172">
        <f t="shared" si="43"/>
        <v>5.5921683576762688E-5</v>
      </c>
      <c r="I158" s="526"/>
      <c r="J158" s="168"/>
      <c r="K158" s="168"/>
      <c r="M158" s="364">
        <f t="shared" si="34"/>
        <v>1.184676023841569E-2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'[16]Sch C'!D160</f>
        <v>0</v>
      </c>
      <c r="D159" s="558">
        <f>'[16]Sch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2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'[16]Sch C'!D161</f>
        <v>0</v>
      </c>
      <c r="D160" s="558">
        <f>'[16]Sch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2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677671.78000000014</v>
      </c>
      <c r="D161" s="558">
        <f>SUM(D123:D160)</f>
        <v>158644.96251554356</v>
      </c>
      <c r="E161" s="171">
        <f t="shared" ref="E161:F161" si="44">SUM(E123:E160)</f>
        <v>836316.74251554371</v>
      </c>
      <c r="F161" s="171">
        <f t="shared" si="44"/>
        <v>0</v>
      </c>
      <c r="G161" s="171">
        <f>SUM(G123:G160)</f>
        <v>836316.74251554371</v>
      </c>
      <c r="H161" s="172">
        <f t="shared" si="43"/>
        <v>0.37951992408425828</v>
      </c>
      <c r="I161" s="526"/>
      <c r="J161" s="168"/>
      <c r="K161" s="168"/>
      <c r="M161" s="364">
        <f>G161/G$228</f>
        <v>80.399609932276846</v>
      </c>
      <c r="N161" s="359">
        <f>SUMMARY!J164</f>
        <v>105.56901037202306</v>
      </c>
      <c r="O161" s="354">
        <f>M161/N161-1</f>
        <v>-0.23841656136634937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52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2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'[16]Sch C'!D175</f>
        <v>0</v>
      </c>
      <c r="D164" s="558">
        <f>'[16]Sch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536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'[16]Sch C'!D176</f>
        <v>0</v>
      </c>
      <c r="D165" s="558">
        <f>'[16]Sch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537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'[16]Sch C'!D177</f>
        <v>0</v>
      </c>
      <c r="D166" s="558">
        <f>'[16]Sch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536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'[16]Sch C'!D178</f>
        <v>0</v>
      </c>
      <c r="D167" s="558">
        <f>'[16]Sch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537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'[16]Sch C'!D179</f>
        <v>0</v>
      </c>
      <c r="D168" s="558">
        <f>'[16]Sch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536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'[16]Sch C'!D180</f>
        <v>0</v>
      </c>
      <c r="D169" s="558">
        <f>'[16]Sch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537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'[16]Sch C'!D181</f>
        <v>0</v>
      </c>
      <c r="D170" s="558">
        <f>'[16]Sch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536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'[16]Sch C'!D182</f>
        <v>0</v>
      </c>
      <c r="D171" s="558">
        <f>'[16]Sch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537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'[16]Sch C'!D183</f>
        <v>0</v>
      </c>
      <c r="D172" s="558">
        <f>'[16]Sch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536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'[16]Sch C'!D184</f>
        <v>0</v>
      </c>
      <c r="D173" s="558">
        <f>'[16]Sch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537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'[16]Sch C'!D185</f>
        <v>0</v>
      </c>
      <c r="D174" s="558">
        <f>'[16]Sch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536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'[16]Sch C'!D186</f>
        <v>0</v>
      </c>
      <c r="D175" s="558">
        <f>'[16]Sch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52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'[16]Sch C'!D187</f>
        <v>0</v>
      </c>
      <c r="D176" s="558">
        <f>'[16]Sch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52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'[16]Sch C'!D188</f>
        <v>0</v>
      </c>
      <c r="D177" s="558">
        <f>'[16]Sch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52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'[16]Sch C'!D189</f>
        <v>0</v>
      </c>
      <c r="D178" s="558">
        <f>'[16]Sch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52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'[16]Sch C'!D190</f>
        <v>0</v>
      </c>
      <c r="D179" s="558">
        <f>'[16]Sch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52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'[16]Sch C'!D191</f>
        <v>0</v>
      </c>
      <c r="D180" s="558">
        <f>'[16]Sch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52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'[16]Sch C'!D192</f>
        <v>980.13</v>
      </c>
      <c r="D181" s="558">
        <f>'[16]Sch C'!F192</f>
        <v>0</v>
      </c>
      <c r="E181" s="171">
        <f t="shared" si="45"/>
        <v>980.13</v>
      </c>
      <c r="F181" s="216"/>
      <c r="G181" s="171">
        <f t="shared" si="46"/>
        <v>980.13</v>
      </c>
      <c r="H181" s="172">
        <f t="shared" si="47"/>
        <v>4.447822748039634E-4</v>
      </c>
      <c r="I181" s="526"/>
      <c r="J181" s="223"/>
      <c r="K181" s="218"/>
      <c r="L181" s="220"/>
      <c r="M181" s="364">
        <f t="shared" si="48"/>
        <v>9.4225149009805803E-2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'[16]Sch C'!D193</f>
        <v>280</v>
      </c>
      <c r="D182" s="558">
        <f>'[16]Sch C'!F193</f>
        <v>0</v>
      </c>
      <c r="E182" s="171">
        <f t="shared" si="45"/>
        <v>280</v>
      </c>
      <c r="F182" s="216"/>
      <c r="G182" s="171">
        <f t="shared" si="46"/>
        <v>280</v>
      </c>
      <c r="H182" s="172">
        <f t="shared" si="47"/>
        <v>1.2706379454267266E-4</v>
      </c>
      <c r="I182" s="526"/>
      <c r="J182" s="223"/>
      <c r="K182" s="218"/>
      <c r="L182" s="220"/>
      <c r="M182" s="364">
        <f t="shared" si="48"/>
        <v>2.6917900403768506E-2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'[16]Sch C'!D194</f>
        <v>63989.51</v>
      </c>
      <c r="D183" s="558">
        <f>'[16]Sch C'!F194</f>
        <v>0</v>
      </c>
      <c r="E183" s="171">
        <f t="shared" si="45"/>
        <v>63989.51</v>
      </c>
      <c r="F183" s="216"/>
      <c r="G183" s="171">
        <f t="shared" si="46"/>
        <v>63989.51</v>
      </c>
      <c r="H183" s="172">
        <f t="shared" si="47"/>
        <v>2.9038392684022495E-2</v>
      </c>
      <c r="I183" s="526"/>
      <c r="J183" s="223"/>
      <c r="K183" s="218"/>
      <c r="M183" s="364">
        <f t="shared" si="48"/>
        <v>6.1516544895212464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'[16]Sch C'!D195</f>
        <v>2378.1</v>
      </c>
      <c r="D184" s="558">
        <f>'[16]Sch C'!F195</f>
        <v>0</v>
      </c>
      <c r="E184" s="171">
        <f t="shared" si="45"/>
        <v>2378.1</v>
      </c>
      <c r="F184" s="216"/>
      <c r="G184" s="171">
        <f t="shared" si="46"/>
        <v>2378.1</v>
      </c>
      <c r="H184" s="172">
        <f t="shared" si="47"/>
        <v>1.0791800350068922E-3</v>
      </c>
      <c r="I184" s="526"/>
      <c r="J184" s="223"/>
      <c r="K184" s="218"/>
      <c r="M184" s="364">
        <f t="shared" si="48"/>
        <v>0.228619496250721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'[16]Sch C'!D196</f>
        <v>0</v>
      </c>
      <c r="D185" s="558">
        <f>'[16]Sch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52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'[16]Sch C'!D197</f>
        <v>21488.31</v>
      </c>
      <c r="D186" s="558">
        <f>'[16]Sch C'!F197</f>
        <v>0</v>
      </c>
      <c r="E186" s="171">
        <f t="shared" si="45"/>
        <v>21488.31</v>
      </c>
      <c r="F186" s="216"/>
      <c r="G186" s="171">
        <f t="shared" si="46"/>
        <v>21488.31</v>
      </c>
      <c r="H186" s="172">
        <f t="shared" si="47"/>
        <v>9.7513793103902093E-3</v>
      </c>
      <c r="I186" s="526"/>
      <c r="J186" s="223"/>
      <c r="K186" s="218"/>
      <c r="M186" s="364">
        <f t="shared" si="48"/>
        <v>2.0657863872332247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'[16]Sch C'!D198</f>
        <v>11890.37</v>
      </c>
      <c r="D187" s="558">
        <f>'[16]Sch C'!F198</f>
        <v>0</v>
      </c>
      <c r="E187" s="171">
        <f t="shared" si="45"/>
        <v>11890.37</v>
      </c>
      <c r="F187" s="216"/>
      <c r="G187" s="171">
        <f t="shared" si="46"/>
        <v>11890.37</v>
      </c>
      <c r="H187" s="172">
        <f t="shared" si="47"/>
        <v>5.3958411811298526E-3</v>
      </c>
      <c r="I187" s="526"/>
      <c r="J187" s="223"/>
      <c r="K187" s="218"/>
      <c r="M187" s="364">
        <f t="shared" si="48"/>
        <v>1.1430849836569892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'[16]Sch C'!D199</f>
        <v>0</v>
      </c>
      <c r="D188" s="558">
        <f>'[16]Sch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52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'[16]Sch C'!D200</f>
        <v>0</v>
      </c>
      <c r="D189" s="558">
        <f>'[16]Sch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52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'[16]Sch C'!D201</f>
        <v>0</v>
      </c>
      <c r="D190" s="558">
        <f>'[16]Sch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52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'[16]Sch C'!D202</f>
        <v>0</v>
      </c>
      <c r="D191" s="558">
        <f>'[16]Sch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52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'[16]Sch C'!D203</f>
        <v>0</v>
      </c>
      <c r="D192" s="558">
        <f>'[16]Sch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52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'[16]Sch C'!D204</f>
        <v>0</v>
      </c>
      <c r="D193" s="558">
        <f>'[16]Sch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52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'[16]Sch C'!D205</f>
        <v>46339.49</v>
      </c>
      <c r="D194" s="558">
        <f>'[16]Sch C'!F205</f>
        <v>0</v>
      </c>
      <c r="E194" s="171">
        <f t="shared" si="45"/>
        <v>46339.49</v>
      </c>
      <c r="F194" s="216"/>
      <c r="G194" s="171">
        <f t="shared" si="46"/>
        <v>46339.49</v>
      </c>
      <c r="H194" s="172">
        <f t="shared" si="47"/>
        <v>2.1028826559186552E-2</v>
      </c>
      <c r="I194" s="526"/>
      <c r="J194" s="223"/>
      <c r="K194" s="218"/>
      <c r="M194" s="364">
        <f t="shared" si="48"/>
        <v>4.4548634877908091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'[16]Sch C'!D206</f>
        <v>4907.6499999999996</v>
      </c>
      <c r="D195" s="558">
        <f>'[16]Sch C'!F206</f>
        <v>0</v>
      </c>
      <c r="E195" s="171">
        <f t="shared" si="45"/>
        <v>4907.6499999999996</v>
      </c>
      <c r="F195" s="216"/>
      <c r="G195" s="171">
        <f t="shared" si="46"/>
        <v>4907.6499999999996</v>
      </c>
      <c r="H195" s="172">
        <f t="shared" si="47"/>
        <v>2.2270879688833837E-3</v>
      </c>
      <c r="I195" s="526"/>
      <c r="J195" s="223"/>
      <c r="K195" s="218"/>
      <c r="M195" s="364">
        <f t="shared" si="48"/>
        <v>0.47179869255912321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'[16]Sch C'!D207</f>
        <v>0</v>
      </c>
      <c r="D196" s="558">
        <f>'[16]Sch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52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152253.56</v>
      </c>
      <c r="D197" s="558">
        <f>SUM(D164:D196)</f>
        <v>0</v>
      </c>
      <c r="E197" s="171">
        <f t="shared" ref="E197:F197" si="49">SUM(E164:E196)</f>
        <v>152253.56</v>
      </c>
      <c r="F197" s="171">
        <f t="shared" si="49"/>
        <v>0</v>
      </c>
      <c r="G197" s="171">
        <f>SUM(G164:G196)</f>
        <v>152253.56</v>
      </c>
      <c r="H197" s="172">
        <f>IF($G$208=0,0,G197/$G$208)</f>
        <v>6.9092553807966015E-2</v>
      </c>
      <c r="I197" s="526"/>
      <c r="J197" s="168"/>
      <c r="K197" s="168"/>
      <c r="M197" s="364">
        <f>G197/G$228</f>
        <v>14.636950586425687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52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2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'[16]Sch C'!D211</f>
        <v>34403.599999999999</v>
      </c>
      <c r="D200" s="558">
        <f>'[16]Sch C'!F211</f>
        <v>0</v>
      </c>
      <c r="E200" s="171">
        <f t="shared" ref="E200:E205" si="50">C200+D200</f>
        <v>34403.599999999999</v>
      </c>
      <c r="F200" s="171"/>
      <c r="G200" s="171">
        <f t="shared" ref="G200:G205" si="51">E200+F200</f>
        <v>34403.599999999999</v>
      </c>
      <c r="H200" s="172">
        <f t="shared" ref="H200:H206" si="52">IF($G$208=0,0,G200/$G$208)</f>
        <v>1.5612328435458189E-2</v>
      </c>
      <c r="I200" s="526"/>
      <c r="J200" s="183">
        <v>3086.71</v>
      </c>
      <c r="K200" s="183">
        <v>3332.72</v>
      </c>
      <c r="M200" s="364">
        <f t="shared" ref="M200:M205" si="53">G200/G$228</f>
        <v>3.3074024226110361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'[16]Sch C'!D212</f>
        <v>0</v>
      </c>
      <c r="D201" s="558">
        <f>'[16]Sch C'!F212</f>
        <v>9022.2588389680732</v>
      </c>
      <c r="E201" s="171">
        <f t="shared" si="50"/>
        <v>9022.2588389680732</v>
      </c>
      <c r="F201" s="171"/>
      <c r="G201" s="171">
        <f t="shared" si="51"/>
        <v>9022.2588389680732</v>
      </c>
      <c r="H201" s="172">
        <f t="shared" si="52"/>
        <v>4.0942944408051841E-3</v>
      </c>
      <c r="I201" s="526"/>
      <c r="J201" s="168"/>
      <c r="K201" s="168"/>
      <c r="M201" s="364">
        <f t="shared" si="53"/>
        <v>0.86735808872986664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'[16]Sch C'!D213</f>
        <v>19738.169999999998</v>
      </c>
      <c r="D202" s="558">
        <f>'[16]Sch C'!F213</f>
        <v>0</v>
      </c>
      <c r="E202" s="171">
        <f t="shared" si="50"/>
        <v>19738.169999999998</v>
      </c>
      <c r="F202" s="171"/>
      <c r="G202" s="171">
        <f t="shared" si="51"/>
        <v>19738.169999999998</v>
      </c>
      <c r="H202" s="172">
        <f t="shared" si="52"/>
        <v>8.9571670626012317E-3</v>
      </c>
      <c r="I202" s="526"/>
      <c r="J202" s="168"/>
      <c r="K202" s="168"/>
      <c r="M202" s="364">
        <f t="shared" si="53"/>
        <v>1.8975360507594692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'[16]Sch C'!D214</f>
        <v>720</v>
      </c>
      <c r="D203" s="558">
        <f>'[16]Sch C'!F214</f>
        <v>0</v>
      </c>
      <c r="E203" s="171">
        <f t="shared" si="50"/>
        <v>720</v>
      </c>
      <c r="F203" s="171"/>
      <c r="G203" s="171">
        <f t="shared" si="51"/>
        <v>720</v>
      </c>
      <c r="H203" s="172">
        <f t="shared" si="52"/>
        <v>3.2673547168115825E-4</v>
      </c>
      <c r="I203" s="526"/>
      <c r="J203" s="168"/>
      <c r="K203" s="168"/>
      <c r="M203" s="364">
        <f t="shared" si="53"/>
        <v>6.9217458181119018E-2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'[16]Sch C'!D215</f>
        <v>0</v>
      </c>
      <c r="D204" s="558">
        <f>'[16]Sch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2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'[16]Sch C'!D216</f>
        <v>0</v>
      </c>
      <c r="D205" s="558">
        <f>'[16]Sch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525"/>
      <c r="J205" s="168"/>
      <c r="K205" s="168"/>
      <c r="M205" s="364">
        <f t="shared" si="53"/>
        <v>0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54861.77</v>
      </c>
      <c r="D206" s="558">
        <f>SUM(D200:D205)</f>
        <v>9022.2588389680732</v>
      </c>
      <c r="E206" s="171">
        <f t="shared" ref="E206:F206" si="54">SUM(E200:E205)</f>
        <v>63884.028838968072</v>
      </c>
      <c r="F206" s="171">
        <f t="shared" si="54"/>
        <v>0</v>
      </c>
      <c r="G206" s="171">
        <f>SUM(G200:G205)</f>
        <v>63884.028838968072</v>
      </c>
      <c r="H206" s="172">
        <f t="shared" si="52"/>
        <v>2.8990525410545764E-2</v>
      </c>
      <c r="I206" s="526"/>
      <c r="J206" s="168"/>
      <c r="K206" s="168"/>
      <c r="M206" s="364">
        <f>G206/G$228</f>
        <v>6.1415140202814911</v>
      </c>
      <c r="N206" s="359">
        <f>SUMMARY!J209</f>
        <v>7.1515095990067339</v>
      </c>
      <c r="O206" s="354">
        <f>M206/N206-1</f>
        <v>-0.14122830498130357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52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2472210.9699999988</v>
      </c>
      <c r="D208" s="558">
        <f>SUM(D25:D206)/2</f>
        <v>-268593.47999999986</v>
      </c>
      <c r="E208" s="171">
        <f t="shared" ref="E208:F208" si="55">SUM(E25:E206)/2</f>
        <v>2203617.4899999998</v>
      </c>
      <c r="F208" s="171">
        <f t="shared" si="55"/>
        <v>0</v>
      </c>
      <c r="G208" s="171">
        <f>SUM(G25:G206)/2</f>
        <v>2203617.4899999998</v>
      </c>
      <c r="H208" s="172">
        <f>IF($G$208=0,0,G208/$G$208)</f>
        <v>1</v>
      </c>
      <c r="I208" s="526"/>
      <c r="J208" s="183">
        <f>SUM(J25:J200)</f>
        <v>67520.460000000006</v>
      </c>
      <c r="K208" s="183">
        <f>SUM(K25:K200)</f>
        <v>73766.650000000009</v>
      </c>
      <c r="M208" s="364">
        <f>G208/G$228</f>
        <v>211.84555758507977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528"/>
      <c r="J209" s="168"/>
      <c r="K209" s="168"/>
      <c r="O209" s="553">
        <f>SUM(O61:O206)</f>
        <v>-6.7246971122558064E-2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528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'[16]Sch C'!D221</f>
        <v>2472210.9700000002</v>
      </c>
      <c r="D211" s="196"/>
      <c r="E211" s="165"/>
      <c r="F211"/>
      <c r="G211"/>
      <c r="I211" s="528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528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531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528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136015.26000000164</v>
      </c>
      <c r="D215" s="558">
        <f>D21-D208</f>
        <v>113394.33999999991</v>
      </c>
      <c r="E215" s="171">
        <f t="shared" ref="E215:F215" si="56">E21-E208</f>
        <v>249409.60000000056</v>
      </c>
      <c r="F215" s="171">
        <f t="shared" si="56"/>
        <v>0</v>
      </c>
      <c r="G215" s="171">
        <f>G21-G208</f>
        <v>249409.60000000056</v>
      </c>
      <c r="I215" s="528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528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528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31"/>
      <c r="J218" s="168"/>
      <c r="K218" s="168"/>
    </row>
    <row r="219" spans="1:17">
      <c r="A219" s="163"/>
      <c r="B219" s="170" t="s">
        <v>218</v>
      </c>
      <c r="C219" s="592">
        <f>'[16]Sch D'!C9</f>
        <v>6564</v>
      </c>
      <c r="D219" s="592"/>
      <c r="E219" s="235">
        <f t="shared" ref="E219:G227" si="57">C219+D219</f>
        <v>6564</v>
      </c>
      <c r="F219" s="234"/>
      <c r="G219" s="235">
        <f t="shared" si="57"/>
        <v>6564</v>
      </c>
      <c r="H219" s="172">
        <f t="shared" ref="H219:H228" si="58">IF($G$228=0,0,G219/$G$228)</f>
        <v>0.63103249375120174</v>
      </c>
      <c r="I219" s="526"/>
      <c r="J219" s="168"/>
      <c r="K219" s="168"/>
    </row>
    <row r="220" spans="1:17">
      <c r="A220" s="163"/>
      <c r="B220" s="170" t="s">
        <v>217</v>
      </c>
      <c r="C220" s="592">
        <f>'[16]Sch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26"/>
      <c r="J220" s="168"/>
      <c r="K220" s="168"/>
    </row>
    <row r="221" spans="1:17">
      <c r="A221" s="163"/>
      <c r="B221" s="170" t="s">
        <v>72</v>
      </c>
      <c r="C221" s="592">
        <f>'[16]Sch D'!E9</f>
        <v>1346</v>
      </c>
      <c r="D221" s="592"/>
      <c r="E221" s="235">
        <f t="shared" si="59"/>
        <v>1346</v>
      </c>
      <c r="F221" s="234"/>
      <c r="G221" s="235">
        <f t="shared" si="57"/>
        <v>1346</v>
      </c>
      <c r="H221" s="172">
        <f t="shared" si="58"/>
        <v>0.12939819265525859</v>
      </c>
      <c r="I221" s="526"/>
      <c r="J221" s="168"/>
      <c r="K221" s="168"/>
    </row>
    <row r="222" spans="1:17">
      <c r="A222" s="163"/>
      <c r="B222" s="202" t="s">
        <v>334</v>
      </c>
      <c r="C222" s="592">
        <f>'[16]Sch D'!F9</f>
        <v>0</v>
      </c>
      <c r="D222" s="592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526"/>
      <c r="J222" s="168"/>
      <c r="K222" s="168"/>
    </row>
    <row r="223" spans="1:17">
      <c r="A223" s="163"/>
      <c r="B223" s="170" t="s">
        <v>73</v>
      </c>
      <c r="C223" s="592">
        <f>'[16]Sch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26"/>
      <c r="J223" s="168"/>
      <c r="K223" s="168"/>
    </row>
    <row r="224" spans="1:17">
      <c r="A224" s="163"/>
      <c r="B224" s="170" t="s">
        <v>74</v>
      </c>
      <c r="C224" s="592">
        <f>'[16]Sch D'!H9</f>
        <v>2049</v>
      </c>
      <c r="D224" s="592"/>
      <c r="E224" s="235">
        <f t="shared" si="59"/>
        <v>2049</v>
      </c>
      <c r="F224" s="234"/>
      <c r="G224" s="235">
        <f t="shared" si="57"/>
        <v>2049</v>
      </c>
      <c r="H224" s="172">
        <f t="shared" si="58"/>
        <v>0.19698134974043452</v>
      </c>
      <c r="I224" s="526"/>
      <c r="J224" s="168"/>
      <c r="K224" s="168"/>
    </row>
    <row r="225" spans="1:11">
      <c r="A225" s="163"/>
      <c r="B225" s="170" t="s">
        <v>236</v>
      </c>
      <c r="C225" s="592">
        <f>'[16]Sch D'!I9</f>
        <v>428</v>
      </c>
      <c r="D225" s="592"/>
      <c r="E225" s="235">
        <f t="shared" si="59"/>
        <v>428</v>
      </c>
      <c r="F225" s="234"/>
      <c r="G225" s="235">
        <f t="shared" si="57"/>
        <v>428</v>
      </c>
      <c r="H225" s="172">
        <f t="shared" si="58"/>
        <v>4.1145933474331861E-2</v>
      </c>
      <c r="I225" s="526"/>
      <c r="J225" s="168"/>
      <c r="K225" s="168"/>
    </row>
    <row r="226" spans="1:11">
      <c r="A226" s="163"/>
      <c r="B226" s="170" t="s">
        <v>235</v>
      </c>
      <c r="C226" s="592">
        <f>'[16]Sch D'!J9</f>
        <v>15</v>
      </c>
      <c r="D226" s="592"/>
      <c r="E226" s="235">
        <f>C226+D226</f>
        <v>15</v>
      </c>
      <c r="F226" s="234"/>
      <c r="G226" s="235">
        <f>E226+F226</f>
        <v>15</v>
      </c>
      <c r="H226" s="172">
        <f t="shared" si="58"/>
        <v>1.4420303787733128E-3</v>
      </c>
      <c r="I226" s="526"/>
      <c r="J226" s="168"/>
      <c r="K226" s="168"/>
    </row>
    <row r="227" spans="1:11">
      <c r="A227" s="163"/>
      <c r="B227" s="170" t="s">
        <v>179</v>
      </c>
      <c r="C227" s="592">
        <f>'[16]Sch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2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10402</v>
      </c>
      <c r="D228" s="592">
        <f>SUM(D219:D227)</f>
        <v>0</v>
      </c>
      <c r="E228" s="237">
        <f>SUM(E219:E227)</f>
        <v>10402</v>
      </c>
      <c r="F228" s="237">
        <f>SUM(F219:F227)</f>
        <v>0</v>
      </c>
      <c r="G228" s="237">
        <f>SUM(G219:G227)</f>
        <v>10402</v>
      </c>
      <c r="H228" s="172">
        <f t="shared" si="58"/>
        <v>1</v>
      </c>
      <c r="I228" s="52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'[16]Sch D'!N22</f>
        <v>55</v>
      </c>
      <c r="D231" s="559"/>
      <c r="E231" s="235">
        <f>C231+D231</f>
        <v>55</v>
      </c>
      <c r="F231" s="235"/>
      <c r="G231" s="235">
        <f>E231+F231</f>
        <v>55</v>
      </c>
      <c r="H231" s="167"/>
      <c r="J231" s="168"/>
      <c r="K231" s="168"/>
    </row>
    <row r="232" spans="1:11">
      <c r="A232" s="163"/>
      <c r="B232" s="202" t="s">
        <v>290</v>
      </c>
      <c r="C232" s="593">
        <f>'[16]Sch D'!N24</f>
        <v>55</v>
      </c>
      <c r="D232" s="559"/>
      <c r="E232" s="235">
        <f>C232+D232</f>
        <v>55</v>
      </c>
      <c r="F232" s="235"/>
      <c r="G232" s="235">
        <f>E232+F232</f>
        <v>55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'[16]Sch D'!N28</f>
        <v>20130</v>
      </c>
      <c r="D235" s="483"/>
      <c r="E235" s="234">
        <f>E231*E233</f>
        <v>20130</v>
      </c>
      <c r="F235" s="239"/>
      <c r="G235" s="234">
        <f>G231*G233</f>
        <v>20130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'[16]Sch D'!N30</f>
        <v>0.51674118231495281</v>
      </c>
      <c r="D236" s="239"/>
      <c r="E236" s="244">
        <f>E228/E235</f>
        <v>0.51674118231495281</v>
      </c>
      <c r="F236" s="245"/>
      <c r="G236" s="244">
        <f>G228/G235</f>
        <v>0.51674118231495281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'[16]Sch D'!N32</f>
        <v>0.32608047690014902</v>
      </c>
      <c r="D237" s="239"/>
      <c r="E237" s="244">
        <f>(E219+E220)/E235</f>
        <v>0.32608047690014902</v>
      </c>
      <c r="F237" s="245"/>
      <c r="G237" s="244">
        <f>(G219+G220)/G235</f>
        <v>0.32608047690014902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'[16]Sch D'!N34</f>
        <v>0.63103249375120163</v>
      </c>
      <c r="D238" s="239"/>
      <c r="E238" s="244">
        <f>(E237/E236)</f>
        <v>0.63103249375120163</v>
      </c>
      <c r="F238" s="245"/>
      <c r="G238" s="244">
        <f>(G237/G236)</f>
        <v>0.63103249375120163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'[16]Sch B'!C85</f>
        <v>158.39296226415095</v>
      </c>
    </row>
    <row r="242" spans="2:7">
      <c r="F242" s="142" t="s">
        <v>341</v>
      </c>
      <c r="G242" s="558">
        <f>'[16]Sch B'!E85</f>
        <v>149.09833659491193</v>
      </c>
    </row>
    <row r="243" spans="2:7">
      <c r="B243" s="454"/>
      <c r="F243" s="142" t="s">
        <v>342</v>
      </c>
      <c r="G243" s="558">
        <f>'[16]Sch B'!G85</f>
        <v>108.62037109374999</v>
      </c>
    </row>
    <row r="244" spans="2:7" ht="16.5">
      <c r="B244" s="538"/>
      <c r="F244" s="142" t="s">
        <v>343</v>
      </c>
      <c r="G244" s="558">
        <f>'[16]Sch B'!I85</f>
        <v>166.95270161290324</v>
      </c>
    </row>
    <row r="245" spans="2:7" ht="16.5">
      <c r="B245" s="538"/>
      <c r="F245" s="142"/>
    </row>
    <row r="246" spans="2:7" ht="16.5">
      <c r="B246" s="538"/>
    </row>
    <row r="247" spans="2:7" ht="16.5">
      <c r="B247" s="538"/>
    </row>
  </sheetData>
  <customSheetViews>
    <customSheetView guid="{00D6F160-3E2B-11D5-8BE5-C1A1C12816BD}" showPageBreaks="1" showGridLines="0" showRuler="0">
      <selection activeCell="F13" sqref="F13"/>
      <pageMargins left="0" right="0" top="0.5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E28CAB"/>
  </sheetPr>
  <dimension ref="A1:T245"/>
  <sheetViews>
    <sheetView showGridLines="0" zoomScale="125" zoomScaleNormal="125" workbookViewId="0">
      <pane xSplit="2" ySplit="8" topLeftCell="C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496" t="s">
        <v>401</v>
      </c>
      <c r="D2" s="246"/>
      <c r="E2" s="144"/>
    </row>
    <row r="3" spans="1:17" ht="23">
      <c r="A3" s="145"/>
      <c r="B3" s="140" t="s">
        <v>79</v>
      </c>
      <c r="C3" s="489">
        <v>42186</v>
      </c>
      <c r="D3"/>
      <c r="E3" s="496"/>
    </row>
    <row r="4" spans="1:17">
      <c r="A4" s="145"/>
      <c r="B4" s="148" t="s">
        <v>80</v>
      </c>
      <c r="C4" s="489">
        <v>42551</v>
      </c>
      <c r="D4"/>
      <c r="E4" s="149"/>
      <c r="G4" s="150"/>
    </row>
    <row r="5" spans="1:17">
      <c r="A5" s="145"/>
      <c r="B5" s="148"/>
      <c r="C5" s="151"/>
      <c r="D5" s="497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/>
      <c r="H9"/>
      <c r="I9"/>
      <c r="J9"/>
      <c r="K9"/>
    </row>
    <row r="10" spans="1:17" s="167" customFormat="1" ht="16" thickBot="1">
      <c r="A10" s="163" t="s">
        <v>245</v>
      </c>
      <c r="B10" s="164" t="s">
        <v>246</v>
      </c>
      <c r="C10" s="504"/>
      <c r="D10" s="165"/>
      <c r="E10" s="165"/>
      <c r="F10"/>
      <c r="G10"/>
      <c r="H10"/>
      <c r="I10"/>
      <c r="J10"/>
      <c r="K10"/>
      <c r="P10"/>
      <c r="Q10"/>
    </row>
    <row r="11" spans="1:17" s="167" customFormat="1">
      <c r="A11" s="169" t="s">
        <v>13</v>
      </c>
      <c r="B11" s="170" t="s">
        <v>213</v>
      </c>
      <c r="C11" s="558">
        <f>'[17]Sch B'!E10</f>
        <v>1904153</v>
      </c>
      <c r="D11" s="558">
        <f>'[17]Sch B'!G10</f>
        <v>0</v>
      </c>
      <c r="E11" s="171">
        <f>C11+D11</f>
        <v>1904153</v>
      </c>
      <c r="F11" s="490"/>
      <c r="G11" s="171">
        <f t="shared" ref="G11:G20" si="0">E11+F11</f>
        <v>1904153</v>
      </c>
      <c r="H11" s="172">
        <f t="shared" ref="H11:H21" si="1">IF($G$21=0,0,G11/$G$21)</f>
        <v>0.83630327436492835</v>
      </c>
      <c r="I11" s="336"/>
      <c r="J11" s="368" t="s">
        <v>344</v>
      </c>
      <c r="K11" s="369">
        <f>G21</f>
        <v>2276869</v>
      </c>
      <c r="M11" s="359">
        <f>IFERROR(G11/G219,0)</f>
        <v>171.3909090909091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'[17]Sch B'!E15</f>
        <v>0</v>
      </c>
      <c r="D12" s="558">
        <f>'[17]Sch B'!G15</f>
        <v>0</v>
      </c>
      <c r="E12" s="171">
        <f t="shared" ref="E12:E20" si="2">C12+D12</f>
        <v>0</v>
      </c>
      <c r="F12" s="490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2203791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'[17]Sch B'!E21</f>
        <v>0</v>
      </c>
      <c r="D13" s="558">
        <f>'[17]Sch B'!G21</f>
        <v>0</v>
      </c>
      <c r="E13" s="171">
        <f t="shared" si="2"/>
        <v>0</v>
      </c>
      <c r="F13" s="490"/>
      <c r="G13" s="171">
        <f t="shared" si="0"/>
        <v>0</v>
      </c>
      <c r="H13" s="172">
        <f t="shared" si="1"/>
        <v>0</v>
      </c>
      <c r="I13" s="336"/>
      <c r="J13" s="370" t="s">
        <v>346</v>
      </c>
      <c r="K13" s="371">
        <f>G228</f>
        <v>13010</v>
      </c>
      <c r="M13" s="359">
        <f t="shared" si="3"/>
        <v>0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'[17]Sch B'!E27</f>
        <v>0</v>
      </c>
      <c r="D14" s="558">
        <f>'[17]Sch B'!G27</f>
        <v>0</v>
      </c>
      <c r="E14" s="171">
        <f t="shared" si="2"/>
        <v>0</v>
      </c>
      <c r="F14" s="490"/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36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'[17]Sch B'!E32</f>
        <v>0</v>
      </c>
      <c r="D15" s="558">
        <f>'[17]Sch B'!G32</f>
        <v>0</v>
      </c>
      <c r="E15" s="171">
        <f t="shared" si="2"/>
        <v>0</v>
      </c>
      <c r="F15" s="490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13176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'[17]Sch B'!E37</f>
        <v>137297</v>
      </c>
      <c r="D16" s="558">
        <f>'[17]Sch B'!G37</f>
        <v>0</v>
      </c>
      <c r="E16" s="171">
        <f t="shared" si="2"/>
        <v>137297</v>
      </c>
      <c r="F16" s="490"/>
      <c r="G16" s="171">
        <f t="shared" si="0"/>
        <v>137297</v>
      </c>
      <c r="H16" s="172">
        <f t="shared" si="1"/>
        <v>6.0300790251876589E-2</v>
      </c>
      <c r="I16" s="336"/>
      <c r="J16" s="372"/>
      <c r="K16" s="371"/>
      <c r="M16" s="359">
        <f t="shared" si="3"/>
        <v>187.56420765027323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'[17]Sch B'!E42</f>
        <v>214660</v>
      </c>
      <c r="D17" s="558">
        <f>'[17]Sch B'!G42</f>
        <v>0</v>
      </c>
      <c r="E17" s="171">
        <f t="shared" si="2"/>
        <v>214660</v>
      </c>
      <c r="F17" s="490"/>
      <c r="G17" s="171">
        <f>E17+F17</f>
        <v>214660</v>
      </c>
      <c r="H17" s="172">
        <f t="shared" si="1"/>
        <v>9.4278590467874956E-2</v>
      </c>
      <c r="I17" s="336"/>
      <c r="J17" s="370" t="s">
        <v>156</v>
      </c>
      <c r="K17" s="371">
        <f>J208</f>
        <v>72370</v>
      </c>
      <c r="M17" s="359">
        <f t="shared" si="3"/>
        <v>183.78424657534248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'[17]Sch B'!E47</f>
        <v>0</v>
      </c>
      <c r="D18" s="558">
        <f>'[17]Sch B'!G47</f>
        <v>0</v>
      </c>
      <c r="E18" s="171">
        <f t="shared" si="2"/>
        <v>0</v>
      </c>
      <c r="F18" s="490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76895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'[17]Sch B'!E52</f>
        <v>0</v>
      </c>
      <c r="D19" s="558">
        <f>'[17]Sch B'!G52</f>
        <v>0</v>
      </c>
      <c r="E19" s="171">
        <f t="shared" si="2"/>
        <v>0</v>
      </c>
      <c r="F19" s="490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'[17]Sch B'!E67</f>
        <v>20759</v>
      </c>
      <c r="D20" s="558">
        <f>'[17]Sch B'!G67</f>
        <v>0</v>
      </c>
      <c r="E20" s="171">
        <f t="shared" si="2"/>
        <v>20759</v>
      </c>
      <c r="F20" s="490"/>
      <c r="G20" s="171">
        <f t="shared" si="0"/>
        <v>20759</v>
      </c>
      <c r="H20" s="172">
        <f t="shared" si="1"/>
        <v>9.1173449153201178E-3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2276869</v>
      </c>
      <c r="D21" s="558">
        <f>SUM(D11:D20)</f>
        <v>0</v>
      </c>
      <c r="E21" s="171">
        <f>SUM(E11:E20)</f>
        <v>2276869</v>
      </c>
      <c r="F21" s="490">
        <f>SUM(F11:F20)</f>
        <v>0</v>
      </c>
      <c r="G21" s="171">
        <f>SUM(G11:G20)</f>
        <v>2276869</v>
      </c>
      <c r="H21" s="172">
        <f t="shared" si="1"/>
        <v>1</v>
      </c>
      <c r="I21" s="336"/>
      <c r="J21" s="168"/>
      <c r="K21" s="168"/>
      <c r="M21" s="359">
        <f>IFERROR(G21/G228,0)</f>
        <v>175.00914681014604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399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'[17]Sch C'!D10</f>
        <v>27626</v>
      </c>
      <c r="D25" s="558">
        <f>'[17]Sch C'!F10</f>
        <v>0</v>
      </c>
      <c r="E25" s="171">
        <f t="shared" ref="E25:E60" si="4">C25+D25</f>
        <v>27626</v>
      </c>
      <c r="F25" s="490"/>
      <c r="G25" s="182">
        <f>E25+F25</f>
        <v>27626</v>
      </c>
      <c r="H25" s="172">
        <f>IF($G$208=0,0,G25/$G$208)</f>
        <v>1.2535671486089198E-2</v>
      </c>
      <c r="I25" s="336"/>
      <c r="J25" s="183">
        <v>883</v>
      </c>
      <c r="K25" s="183">
        <v>883</v>
      </c>
      <c r="M25" s="359">
        <f>G25/G$228</f>
        <v>2.1234435049961569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'[17]Sch C'!D11</f>
        <v>0</v>
      </c>
      <c r="D26" s="558">
        <f>'[17]Sch C'!F11</f>
        <v>0</v>
      </c>
      <c r="E26" s="171">
        <f t="shared" si="4"/>
        <v>0</v>
      </c>
      <c r="F26" s="490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'[17]Sch C'!D12</f>
        <v>19452</v>
      </c>
      <c r="D27" s="558">
        <f>'[17]Sch C'!F12</f>
        <v>0</v>
      </c>
      <c r="E27" s="171">
        <f t="shared" si="4"/>
        <v>19452</v>
      </c>
      <c r="F27" s="490"/>
      <c r="G27" s="171">
        <f t="shared" si="5"/>
        <v>19452</v>
      </c>
      <c r="H27" s="172">
        <f t="shared" si="6"/>
        <v>8.8266083308262897E-3</v>
      </c>
      <c r="I27" s="336"/>
      <c r="J27" s="185">
        <v>556</v>
      </c>
      <c r="K27" s="185">
        <v>556</v>
      </c>
      <c r="M27" s="359">
        <f t="shared" si="7"/>
        <v>1.4951575710991545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'[17]Sch C'!D13</f>
        <v>6514</v>
      </c>
      <c r="D28" s="558">
        <f>'[17]Sch C'!F13</f>
        <v>0</v>
      </c>
      <c r="E28" s="171">
        <f t="shared" si="4"/>
        <v>6514</v>
      </c>
      <c r="F28" s="490"/>
      <c r="G28" s="171">
        <f t="shared" si="5"/>
        <v>6514</v>
      </c>
      <c r="H28" s="172">
        <f t="shared" si="6"/>
        <v>2.9558156830661346E-3</v>
      </c>
      <c r="I28" s="336"/>
      <c r="J28" s="168"/>
      <c r="K28" s="168"/>
      <c r="M28" s="359">
        <f t="shared" si="7"/>
        <v>0.50069177555726363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'[17]Sch C'!D14</f>
        <v>0</v>
      </c>
      <c r="D29" s="558">
        <f>'[17]Sch C'!F14</f>
        <v>0</v>
      </c>
      <c r="E29" s="171">
        <f t="shared" si="4"/>
        <v>0</v>
      </c>
      <c r="F29" s="490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'[17]Sch C'!D15</f>
        <v>0</v>
      </c>
      <c r="D30" s="558">
        <f>'[17]Sch C'!F15</f>
        <v>0</v>
      </c>
      <c r="E30" s="171">
        <f t="shared" si="4"/>
        <v>0</v>
      </c>
      <c r="F30" s="490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'[17]Sch C'!D16</f>
        <v>0</v>
      </c>
      <c r="D31" s="558">
        <f>'[17]Sch C'!F16</f>
        <v>0</v>
      </c>
      <c r="E31" s="171">
        <f t="shared" si="4"/>
        <v>0</v>
      </c>
      <c r="F31" s="490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'[17]Sch C'!D17</f>
        <v>3531</v>
      </c>
      <c r="D32" s="558">
        <f>'[17]Sch C'!F17</f>
        <v>0</v>
      </c>
      <c r="E32" s="171">
        <f t="shared" si="4"/>
        <v>3531</v>
      </c>
      <c r="F32" s="490"/>
      <c r="G32" s="171">
        <f t="shared" si="5"/>
        <v>3531</v>
      </c>
      <c r="H32" s="172">
        <f t="shared" si="6"/>
        <v>1.6022390507992818E-3</v>
      </c>
      <c r="I32" s="336"/>
      <c r="J32" s="168"/>
      <c r="K32" s="168"/>
      <c r="M32" s="359">
        <f t="shared" si="7"/>
        <v>0.27140661029976942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'[17]Sch C'!D18</f>
        <v>7342</v>
      </c>
      <c r="D33" s="558">
        <f>'[17]Sch C'!F18</f>
        <v>0</v>
      </c>
      <c r="E33" s="171">
        <f t="shared" si="4"/>
        <v>7342</v>
      </c>
      <c r="F33" s="490"/>
      <c r="G33" s="171">
        <f t="shared" si="5"/>
        <v>7342</v>
      </c>
      <c r="H33" s="172">
        <f t="shared" si="6"/>
        <v>3.3315318920895858E-3</v>
      </c>
      <c r="I33" s="336"/>
      <c r="J33" s="168"/>
      <c r="K33" s="168"/>
      <c r="M33" s="359">
        <f t="shared" si="7"/>
        <v>0.56433512682551878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'[17]Sch C'!D19</f>
        <v>5493</v>
      </c>
      <c r="D34" s="558">
        <f>'[17]Sch C'!F19</f>
        <v>0</v>
      </c>
      <c r="E34" s="171">
        <f t="shared" si="4"/>
        <v>5493</v>
      </c>
      <c r="F34" s="490"/>
      <c r="G34" s="171">
        <f t="shared" si="5"/>
        <v>5493</v>
      </c>
      <c r="H34" s="172">
        <f t="shared" si="6"/>
        <v>2.492523111311372E-3</v>
      </c>
      <c r="I34" s="336"/>
      <c r="J34" s="168"/>
      <c r="K34" s="168"/>
      <c r="M34" s="359">
        <f t="shared" si="7"/>
        <v>0.42221368178324364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'[17]Sch C'!D20</f>
        <v>16823</v>
      </c>
      <c r="D35" s="558">
        <f>'[17]Sch C'!F20</f>
        <v>0</v>
      </c>
      <c r="E35" s="171">
        <f t="shared" si="4"/>
        <v>16823</v>
      </c>
      <c r="F35" s="490">
        <f>(-1593-1558)</f>
        <v>-3151</v>
      </c>
      <c r="G35" s="171">
        <f t="shared" si="5"/>
        <v>13672</v>
      </c>
      <c r="H35" s="172">
        <f t="shared" si="6"/>
        <v>6.2038550842616197E-3</v>
      </c>
      <c r="I35" s="336"/>
      <c r="J35" s="168"/>
      <c r="K35" s="168"/>
      <c r="M35" s="359">
        <f t="shared" si="7"/>
        <v>1.0508839354342814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'[17]Sch C'!D21</f>
        <v>1600</v>
      </c>
      <c r="D36" s="558">
        <f>'[17]Sch C'!F21</f>
        <v>0</v>
      </c>
      <c r="E36" s="171">
        <f t="shared" si="4"/>
        <v>1600</v>
      </c>
      <c r="F36" s="490"/>
      <c r="G36" s="171">
        <f t="shared" si="5"/>
        <v>1600</v>
      </c>
      <c r="H36" s="172">
        <f t="shared" si="6"/>
        <v>7.2602165994869745E-4</v>
      </c>
      <c r="I36" s="336"/>
      <c r="J36" s="168"/>
      <c r="K36" s="168"/>
      <c r="M36" s="359">
        <f t="shared" si="7"/>
        <v>0.12298232129131437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'[17]Sch C'!D22</f>
        <v>0</v>
      </c>
      <c r="D37" s="558">
        <f>'[17]Sch C'!F22</f>
        <v>0</v>
      </c>
      <c r="E37" s="171">
        <f t="shared" si="4"/>
        <v>0</v>
      </c>
      <c r="F37" s="490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'[17]Sch C'!D23</f>
        <v>4101</v>
      </c>
      <c r="D38" s="558">
        <f>'[17]Sch C'!F23</f>
        <v>0</v>
      </c>
      <c r="E38" s="171">
        <f t="shared" si="4"/>
        <v>4101</v>
      </c>
      <c r="F38" s="490"/>
      <c r="G38" s="171">
        <f t="shared" si="5"/>
        <v>4101</v>
      </c>
      <c r="H38" s="172">
        <f t="shared" si="6"/>
        <v>1.8608842671560054E-3</v>
      </c>
      <c r="I38" s="336"/>
      <c r="J38" s="168"/>
      <c r="K38" s="168"/>
      <c r="M38" s="359">
        <f t="shared" si="7"/>
        <v>0.31521906225980018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'[17]Sch C'!D24</f>
        <v>0</v>
      </c>
      <c r="D39" s="558">
        <f>'[17]Sch C'!F24</f>
        <v>0</v>
      </c>
      <c r="E39" s="171">
        <f t="shared" si="4"/>
        <v>0</v>
      </c>
      <c r="F39" s="490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'[17]Sch C'!D25</f>
        <v>0</v>
      </c>
      <c r="D40" s="558">
        <f>'[17]Sch C'!F25</f>
        <v>0</v>
      </c>
      <c r="E40" s="171">
        <f t="shared" si="4"/>
        <v>0</v>
      </c>
      <c r="F40" s="490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'[17]Sch C'!D26</f>
        <v>238629</v>
      </c>
      <c r="D41" s="558">
        <f>'[17]Sch C'!F26</f>
        <v>0</v>
      </c>
      <c r="E41" s="171">
        <f t="shared" si="4"/>
        <v>238629</v>
      </c>
      <c r="F41" s="490"/>
      <c r="G41" s="171">
        <f t="shared" si="5"/>
        <v>238629</v>
      </c>
      <c r="H41" s="172">
        <f t="shared" si="6"/>
        <v>0.10828113918243608</v>
      </c>
      <c r="I41" s="336"/>
      <c r="J41" s="168"/>
      <c r="K41" s="168"/>
      <c r="M41" s="359">
        <f t="shared" si="7"/>
        <v>18.341967717140662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'[17]Sch C'!D27</f>
        <v>1638</v>
      </c>
      <c r="D42" s="558">
        <f>'[17]Sch C'!F27</f>
        <v>0</v>
      </c>
      <c r="E42" s="171">
        <f t="shared" si="4"/>
        <v>1638</v>
      </c>
      <c r="F42" s="490"/>
      <c r="G42" s="171">
        <f t="shared" si="5"/>
        <v>1638</v>
      </c>
      <c r="H42" s="172">
        <f t="shared" si="6"/>
        <v>7.4326467437247907E-4</v>
      </c>
      <c r="I42" s="336"/>
      <c r="J42" s="168"/>
      <c r="K42" s="168"/>
      <c r="M42" s="359">
        <f t="shared" si="7"/>
        <v>0.12590315142198308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'[17]Sch C'!D28</f>
        <v>0</v>
      </c>
      <c r="D43" s="558">
        <f>'[17]Sch C'!F28</f>
        <v>0</v>
      </c>
      <c r="E43" s="171">
        <f t="shared" si="4"/>
        <v>0</v>
      </c>
      <c r="F43" s="490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'[17]Sch C'!D29</f>
        <v>8562</v>
      </c>
      <c r="D44" s="558">
        <f>'[17]Sch C'!F29</f>
        <v>-8562</v>
      </c>
      <c r="E44" s="171">
        <f t="shared" si="4"/>
        <v>0</v>
      </c>
      <c r="F44" s="490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'[17]Sch C'!D30</f>
        <v>0</v>
      </c>
      <c r="D45" s="558">
        <f>'[17]Sch C'!F30</f>
        <v>0</v>
      </c>
      <c r="E45" s="171">
        <f t="shared" si="4"/>
        <v>0</v>
      </c>
      <c r="F45" s="490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'[17]Sch C'!D31</f>
        <v>13983</v>
      </c>
      <c r="D46" s="558">
        <f>'[17]Sch C'!F31</f>
        <v>0</v>
      </c>
      <c r="E46" s="171">
        <f t="shared" si="4"/>
        <v>13983</v>
      </c>
      <c r="F46" s="490"/>
      <c r="G46" s="171">
        <f t="shared" si="5"/>
        <v>13983</v>
      </c>
      <c r="H46" s="172">
        <f t="shared" si="6"/>
        <v>6.3449755444141484E-3</v>
      </c>
      <c r="I46" s="336"/>
      <c r="J46" s="168"/>
      <c r="K46" s="168"/>
      <c r="M46" s="359">
        <f t="shared" si="7"/>
        <v>1.0747886241352806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'[17]Sch C'!D32</f>
        <v>15963</v>
      </c>
      <c r="D47" s="558">
        <f>'[17]Sch C'!F32</f>
        <v>0</v>
      </c>
      <c r="E47" s="171">
        <f t="shared" si="4"/>
        <v>15963</v>
      </c>
      <c r="F47" s="490"/>
      <c r="G47" s="171">
        <f t="shared" si="5"/>
        <v>15963</v>
      </c>
      <c r="H47" s="172">
        <f t="shared" si="6"/>
        <v>7.2434273486006616E-3</v>
      </c>
      <c r="I47" s="336"/>
      <c r="J47" s="168"/>
      <c r="K47" s="168"/>
      <c r="M47" s="359">
        <f t="shared" si="7"/>
        <v>1.2269792467332821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'[17]Sch C'!D33</f>
        <v>0</v>
      </c>
      <c r="D48" s="558">
        <f>'[17]Sch C'!F33</f>
        <v>0</v>
      </c>
      <c r="E48" s="171">
        <f t="shared" si="4"/>
        <v>0</v>
      </c>
      <c r="F48" s="490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'[17]Sch C'!D34</f>
        <v>0</v>
      </c>
      <c r="D49" s="558">
        <f>'[17]Sch C'!F34</f>
        <v>0</v>
      </c>
      <c r="E49" s="171">
        <f t="shared" si="4"/>
        <v>0</v>
      </c>
      <c r="F49" s="490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'[17]Sch C'!D35</f>
        <v>0</v>
      </c>
      <c r="D50" s="558">
        <f>'[17]Sch C'!F35</f>
        <v>0</v>
      </c>
      <c r="E50" s="171">
        <f t="shared" si="4"/>
        <v>0</v>
      </c>
      <c r="F50" s="490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'[17]Sch C'!D36</f>
        <v>0</v>
      </c>
      <c r="D51" s="558">
        <f>'[17]Sch C'!F36</f>
        <v>0</v>
      </c>
      <c r="E51" s="171">
        <f t="shared" si="4"/>
        <v>0</v>
      </c>
      <c r="F51" s="490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'[17]Sch C'!D37</f>
        <v>0</v>
      </c>
      <c r="D52" s="558">
        <f>'[17]Sch C'!F37</f>
        <v>0</v>
      </c>
      <c r="E52" s="171">
        <f t="shared" si="4"/>
        <v>0</v>
      </c>
      <c r="F52" s="490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'[17]Sch C'!D38</f>
        <v>0</v>
      </c>
      <c r="D53" s="558">
        <f>'[17]Sch C'!F38</f>
        <v>0</v>
      </c>
      <c r="E53" s="171">
        <f t="shared" si="4"/>
        <v>0</v>
      </c>
      <c r="F53" s="490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'[17]Sch C'!D39</f>
        <v>1758</v>
      </c>
      <c r="D54" s="558">
        <f>'[17]Sch C'!F39</f>
        <v>0</v>
      </c>
      <c r="E54" s="171">
        <f t="shared" si="4"/>
        <v>1758</v>
      </c>
      <c r="F54" s="490"/>
      <c r="G54" s="171">
        <f t="shared" si="5"/>
        <v>1758</v>
      </c>
      <c r="H54" s="172">
        <f t="shared" si="6"/>
        <v>7.9771629886863141E-4</v>
      </c>
      <c r="I54" s="336"/>
      <c r="J54" s="168"/>
      <c r="K54" s="168"/>
      <c r="M54" s="359">
        <f t="shared" si="7"/>
        <v>0.13512682551883168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'[17]Sch C'!D40</f>
        <v>500</v>
      </c>
      <c r="D55" s="558">
        <f>'[17]Sch C'!F40</f>
        <v>0</v>
      </c>
      <c r="E55" s="171">
        <f t="shared" si="4"/>
        <v>500</v>
      </c>
      <c r="F55" s="490"/>
      <c r="G55" s="171">
        <f t="shared" si="5"/>
        <v>500</v>
      </c>
      <c r="H55" s="172">
        <f t="shared" si="6"/>
        <v>2.2688176873396796E-4</v>
      </c>
      <c r="I55" s="336"/>
      <c r="J55" s="168"/>
      <c r="K55" s="168"/>
      <c r="M55" s="359">
        <f t="shared" si="7"/>
        <v>3.843197540353574E-2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'[17]Sch C'!D41</f>
        <v>618</v>
      </c>
      <c r="D56" s="558">
        <f>'[17]Sch C'!F41</f>
        <v>0</v>
      </c>
      <c r="E56" s="171">
        <f t="shared" si="4"/>
        <v>618</v>
      </c>
      <c r="F56" s="490"/>
      <c r="G56" s="171">
        <f t="shared" si="5"/>
        <v>618</v>
      </c>
      <c r="H56" s="172">
        <f t="shared" si="6"/>
        <v>2.8042586615518441E-4</v>
      </c>
      <c r="I56" s="336"/>
      <c r="J56" s="168"/>
      <c r="K56" s="168"/>
      <c r="M56" s="359">
        <f t="shared" si="7"/>
        <v>4.7501921598770175E-2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'[17]Sch C'!D42</f>
        <v>0</v>
      </c>
      <c r="D57" s="558">
        <f>'[17]Sch C'!F42</f>
        <v>0</v>
      </c>
      <c r="E57" s="171">
        <f t="shared" si="4"/>
        <v>0</v>
      </c>
      <c r="F57" s="490"/>
      <c r="G57" s="171">
        <f t="shared" si="5"/>
        <v>0</v>
      </c>
      <c r="H57" s="172">
        <f t="shared" si="6"/>
        <v>0</v>
      </c>
      <c r="I57" s="33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'[17]Sch C'!D43</f>
        <v>0</v>
      </c>
      <c r="D58" s="558">
        <f>'[17]Sch C'!F43</f>
        <v>0</v>
      </c>
      <c r="E58" s="171">
        <f t="shared" si="4"/>
        <v>0</v>
      </c>
      <c r="F58" s="490">
        <v>3337</v>
      </c>
      <c r="G58" s="171">
        <f t="shared" si="5"/>
        <v>3337</v>
      </c>
      <c r="H58" s="172">
        <f t="shared" si="6"/>
        <v>1.5142089245305022E-3</v>
      </c>
      <c r="I58" s="336"/>
      <c r="J58" s="168"/>
      <c r="K58" s="168"/>
      <c r="M58" s="359">
        <f t="shared" si="7"/>
        <v>0.25649500384319757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'[17]Sch C'!D44</f>
        <v>0</v>
      </c>
      <c r="D59" s="558">
        <f>'[17]Sch C'!F44</f>
        <v>0</v>
      </c>
      <c r="E59" s="171">
        <f t="shared" si="4"/>
        <v>0</v>
      </c>
      <c r="F59" s="490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'[17]Sch C'!D45</f>
        <v>0</v>
      </c>
      <c r="D60" s="558">
        <f>'[17]Sch C'!F45</f>
        <v>0</v>
      </c>
      <c r="E60" s="171">
        <f t="shared" si="4"/>
        <v>0</v>
      </c>
      <c r="F60" s="490"/>
      <c r="G60" s="171">
        <f t="shared" si="5"/>
        <v>0</v>
      </c>
      <c r="H60" s="172">
        <f t="shared" si="6"/>
        <v>0</v>
      </c>
      <c r="I60" s="336"/>
      <c r="J60" s="168"/>
      <c r="K60" s="168"/>
      <c r="M60" s="359">
        <f t="shared" si="7"/>
        <v>0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374133</v>
      </c>
      <c r="D61" s="558">
        <f>SUM(D25:D60)</f>
        <v>-8562</v>
      </c>
      <c r="E61" s="171">
        <f t="shared" ref="E61:F61" si="8">SUM(E25:E60)</f>
        <v>365571</v>
      </c>
      <c r="F61" s="171">
        <f t="shared" si="8"/>
        <v>186</v>
      </c>
      <c r="G61" s="171">
        <f>SUM(G25:G60)</f>
        <v>365757</v>
      </c>
      <c r="H61" s="186">
        <f t="shared" si="6"/>
        <v>0.16596719017365985</v>
      </c>
      <c r="I61" s="338"/>
      <c r="J61" s="168"/>
      <c r="K61" s="168"/>
      <c r="M61" s="364">
        <f>G61/G$228</f>
        <v>28.113528055342044</v>
      </c>
      <c r="N61" s="359">
        <f>SUMMARY!J64</f>
        <v>53.728790309602623</v>
      </c>
      <c r="O61" s="354">
        <f>M61/N61-1</f>
        <v>-0.47675114415673936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'[17]Sch C'!D57</f>
        <v>100368</v>
      </c>
      <c r="D64" s="558">
        <f>'[17]Sch C'!F57</f>
        <v>-100368</v>
      </c>
      <c r="E64" s="171">
        <f t="shared" ref="E64:E78" si="9">C64+D64</f>
        <v>0</v>
      </c>
      <c r="F64" s="490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'[17]Sch C'!D58</f>
        <v>593</v>
      </c>
      <c r="D65" s="558">
        <f>'[17]Sch C'!F58</f>
        <v>15453</v>
      </c>
      <c r="E65" s="171">
        <f t="shared" si="9"/>
        <v>16046</v>
      </c>
      <c r="F65" s="490"/>
      <c r="G65" s="171">
        <f t="shared" si="10"/>
        <v>16046</v>
      </c>
      <c r="H65" s="172">
        <f t="shared" si="11"/>
        <v>7.2810897222104999E-3</v>
      </c>
      <c r="I65" s="336"/>
      <c r="J65" s="190"/>
      <c r="K65" s="168"/>
      <c r="M65" s="359">
        <f t="shared" si="12"/>
        <v>1.233358954650269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'[17]Sch C'!D59</f>
        <v>0</v>
      </c>
      <c r="D66" s="558">
        <f>'[17]Sch C'!F59</f>
        <v>66914</v>
      </c>
      <c r="E66" s="171">
        <f t="shared" si="9"/>
        <v>66914</v>
      </c>
      <c r="F66" s="490">
        <v>-7152</v>
      </c>
      <c r="G66" s="171">
        <f t="shared" si="10"/>
        <v>59762</v>
      </c>
      <c r="H66" s="172">
        <f t="shared" si="11"/>
        <v>2.7117816526158786E-2</v>
      </c>
      <c r="I66" s="336"/>
      <c r="J66" s="190"/>
      <c r="K66" s="168"/>
      <c r="M66" s="359">
        <f t="shared" si="12"/>
        <v>4.5935434281322056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'[17]Sch C'!D60</f>
        <v>0</v>
      </c>
      <c r="D67" s="558">
        <f>'[17]Sch C'!F60</f>
        <v>9801</v>
      </c>
      <c r="E67" s="171">
        <f t="shared" si="9"/>
        <v>9801</v>
      </c>
      <c r="F67" s="490"/>
      <c r="G67" s="171">
        <f t="shared" si="10"/>
        <v>9801</v>
      </c>
      <c r="H67" s="172">
        <f t="shared" si="11"/>
        <v>4.4473364307232397E-3</v>
      </c>
      <c r="I67" s="336"/>
      <c r="J67" s="193"/>
      <c r="K67" s="168"/>
      <c r="M67" s="359">
        <f t="shared" si="12"/>
        <v>0.75334358186010764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'[17]Sch C'!D61</f>
        <v>0</v>
      </c>
      <c r="D68" s="558">
        <f>'[17]Sch C'!F61</f>
        <v>0</v>
      </c>
      <c r="E68" s="171">
        <f t="shared" si="9"/>
        <v>0</v>
      </c>
      <c r="F68" s="490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'[17]Sch C'!D62</f>
        <v>1720</v>
      </c>
      <c r="D69" s="558">
        <f>'[17]Sch C'!F62</f>
        <v>0</v>
      </c>
      <c r="E69" s="171">
        <f t="shared" si="9"/>
        <v>1720</v>
      </c>
      <c r="F69" s="490"/>
      <c r="G69" s="171">
        <f t="shared" si="10"/>
        <v>1720</v>
      </c>
      <c r="H69" s="172">
        <f t="shared" si="11"/>
        <v>7.8047328444484979E-4</v>
      </c>
      <c r="I69" s="336"/>
      <c r="J69" s="195"/>
      <c r="K69" s="168"/>
      <c r="M69" s="359">
        <f t="shared" si="12"/>
        <v>0.13220599538816294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'[17]Sch C'!D63</f>
        <v>0</v>
      </c>
      <c r="D70" s="558">
        <f>'[17]Sch C'!F63</f>
        <v>0</v>
      </c>
      <c r="E70" s="171">
        <f t="shared" si="9"/>
        <v>0</v>
      </c>
      <c r="F70" s="490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'[17]Sch C'!D64</f>
        <v>185</v>
      </c>
      <c r="D71" s="558">
        <f>'[17]Sch C'!F64</f>
        <v>0</v>
      </c>
      <c r="E71" s="171">
        <f t="shared" si="9"/>
        <v>185</v>
      </c>
      <c r="F71" s="490"/>
      <c r="G71" s="171">
        <f t="shared" si="10"/>
        <v>185</v>
      </c>
      <c r="H71" s="172">
        <f t="shared" si="11"/>
        <v>8.3946254431568152E-5</v>
      </c>
      <c r="I71" s="336"/>
      <c r="J71" s="195"/>
      <c r="K71" s="168"/>
      <c r="M71" s="359">
        <f t="shared" si="12"/>
        <v>1.4219830899308224E-2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'[17]Sch C'!D65</f>
        <v>4339</v>
      </c>
      <c r="D72" s="558">
        <f>'[17]Sch C'!F65</f>
        <v>0</v>
      </c>
      <c r="E72" s="171">
        <f t="shared" si="9"/>
        <v>4339</v>
      </c>
      <c r="F72" s="490"/>
      <c r="G72" s="171">
        <f t="shared" si="10"/>
        <v>4339</v>
      </c>
      <c r="H72" s="172">
        <f t="shared" si="11"/>
        <v>1.9688799890733742E-3</v>
      </c>
      <c r="I72" s="336"/>
      <c r="J72" s="195"/>
      <c r="K72" s="168"/>
      <c r="M72" s="359">
        <f t="shared" si="12"/>
        <v>0.33351268255188316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'[17]Sch C'!D66</f>
        <v>0</v>
      </c>
      <c r="D73" s="558">
        <f>'[17]Sch C'!F66</f>
        <v>0</v>
      </c>
      <c r="E73" s="171">
        <f t="shared" si="9"/>
        <v>0</v>
      </c>
      <c r="F73" s="490">
        <v>664</v>
      </c>
      <c r="G73" s="171">
        <f t="shared" si="10"/>
        <v>664</v>
      </c>
      <c r="H73" s="172">
        <f t="shared" si="11"/>
        <v>3.0129898887870947E-4</v>
      </c>
      <c r="I73" s="336"/>
      <c r="J73" s="195"/>
      <c r="K73" s="168"/>
      <c r="M73" s="359">
        <f t="shared" si="12"/>
        <v>5.1037663335895468E-2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'[17]Sch C'!D67</f>
        <v>32780</v>
      </c>
      <c r="D74" s="558">
        <f>'[17]Sch C'!F67</f>
        <v>0</v>
      </c>
      <c r="E74" s="171">
        <f t="shared" si="9"/>
        <v>32780</v>
      </c>
      <c r="F74" s="490">
        <v>403</v>
      </c>
      <c r="G74" s="171">
        <f t="shared" si="10"/>
        <v>33183</v>
      </c>
      <c r="H74" s="172">
        <f t="shared" si="11"/>
        <v>1.5057235463798517E-2</v>
      </c>
      <c r="I74" s="336"/>
      <c r="J74" s="195"/>
      <c r="K74" s="168"/>
      <c r="M74" s="359">
        <f t="shared" si="12"/>
        <v>2.5505764796310531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'[17]Sch C'!D68</f>
        <v>21983</v>
      </c>
      <c r="D75" s="558">
        <f>'[17]Sch C'!F68</f>
        <v>-21983</v>
      </c>
      <c r="E75" s="171">
        <f t="shared" si="9"/>
        <v>0</v>
      </c>
      <c r="F75" s="490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'[17]Sch C'!D69</f>
        <v>418</v>
      </c>
      <c r="D76" s="558">
        <f>'[17]Sch C'!F69</f>
        <v>0</v>
      </c>
      <c r="E76" s="171">
        <f t="shared" si="9"/>
        <v>418</v>
      </c>
      <c r="F76" s="490"/>
      <c r="G76" s="171">
        <f t="shared" si="10"/>
        <v>418</v>
      </c>
      <c r="H76" s="172">
        <f t="shared" si="11"/>
        <v>1.8967315866159722E-4</v>
      </c>
      <c r="I76" s="336"/>
      <c r="J76" s="195"/>
      <c r="K76" s="168"/>
      <c r="M76" s="359">
        <f t="shared" si="12"/>
        <v>3.2129131437355879E-2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'[17]Sch C'!D70</f>
        <v>0</v>
      </c>
      <c r="D77" s="558">
        <f>'[17]Sch C'!F70</f>
        <v>0</v>
      </c>
      <c r="E77" s="171">
        <f t="shared" si="9"/>
        <v>0</v>
      </c>
      <c r="F77" s="490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'[17]Sch C'!D71</f>
        <v>0</v>
      </c>
      <c r="D78" s="558">
        <f>'[17]Sch C'!F71</f>
        <v>0</v>
      </c>
      <c r="E78" s="171">
        <f t="shared" si="9"/>
        <v>0</v>
      </c>
      <c r="F78" s="490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162386</v>
      </c>
      <c r="D79" s="558">
        <f>SUM(D64:D78)</f>
        <v>-30183</v>
      </c>
      <c r="E79" s="171">
        <f t="shared" ref="E79:F79" si="13">SUM(E64:E78)</f>
        <v>132203</v>
      </c>
      <c r="F79" s="171">
        <f t="shared" si="13"/>
        <v>-6085</v>
      </c>
      <c r="G79" s="171">
        <f>SUM(G64:G78)</f>
        <v>126118</v>
      </c>
      <c r="H79" s="172">
        <f t="shared" si="11"/>
        <v>5.7227749818381142E-2</v>
      </c>
      <c r="I79" s="336"/>
      <c r="J79" s="195"/>
      <c r="K79" s="168"/>
      <c r="M79" s="359">
        <f t="shared" si="12"/>
        <v>9.6939277478862422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'[17]Sch C'!D75</f>
        <v>67536</v>
      </c>
      <c r="D82" s="558">
        <f>'[17]Sch C'!F75</f>
        <v>0</v>
      </c>
      <c r="E82" s="171">
        <f t="shared" ref="E82:E92" si="14">C82+D82</f>
        <v>67536</v>
      </c>
      <c r="F82" s="490"/>
      <c r="G82" s="171">
        <f t="shared" ref="G82:G92" si="15">E82+F82</f>
        <v>67536</v>
      </c>
      <c r="H82" s="172">
        <f t="shared" ref="H82:H93" si="16">IF($G$208=0,0,G82/$G$208)</f>
        <v>3.064537426643452E-2</v>
      </c>
      <c r="I82" s="336"/>
      <c r="J82" s="183">
        <v>4011</v>
      </c>
      <c r="K82" s="183">
        <v>4371</v>
      </c>
      <c r="M82" s="359">
        <f t="shared" ref="M82:M92" si="17">G82/G$228</f>
        <v>5.1910837817063795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'[17]Sch C'!D76</f>
        <v>9344</v>
      </c>
      <c r="D83" s="558">
        <f>'[17]Sch C'!F76</f>
        <v>0</v>
      </c>
      <c r="E83" s="171">
        <f t="shared" si="14"/>
        <v>9344</v>
      </c>
      <c r="F83" s="490"/>
      <c r="G83" s="171">
        <f t="shared" si="15"/>
        <v>9344</v>
      </c>
      <c r="H83" s="172">
        <f t="shared" si="16"/>
        <v>4.2399664941003929E-3</v>
      </c>
      <c r="I83" s="336"/>
      <c r="J83" s="168"/>
      <c r="K83" s="168"/>
      <c r="M83" s="359">
        <f t="shared" si="17"/>
        <v>0.71821675634127591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'[17]Sch C'!D77</f>
        <v>31247</v>
      </c>
      <c r="D84" s="558">
        <f>'[17]Sch C'!F77</f>
        <v>0</v>
      </c>
      <c r="E84" s="171">
        <f t="shared" si="14"/>
        <v>31247</v>
      </c>
      <c r="F84" s="490">
        <v>-8298</v>
      </c>
      <c r="G84" s="171">
        <f t="shared" si="15"/>
        <v>22949</v>
      </c>
      <c r="H84" s="172">
        <f t="shared" si="16"/>
        <v>1.0413419421351662E-2</v>
      </c>
      <c r="I84" s="336"/>
      <c r="J84" s="168"/>
      <c r="K84" s="168"/>
      <c r="M84" s="359">
        <f t="shared" si="17"/>
        <v>1.7639508070714836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'[17]Sch C'!D78</f>
        <v>2766</v>
      </c>
      <c r="D85" s="558">
        <f>'[17]Sch C'!F78</f>
        <v>0</v>
      </c>
      <c r="E85" s="171">
        <f t="shared" si="14"/>
        <v>2766</v>
      </c>
      <c r="F85" s="490"/>
      <c r="G85" s="171">
        <f t="shared" si="15"/>
        <v>2766</v>
      </c>
      <c r="H85" s="172">
        <f t="shared" si="16"/>
        <v>1.2551099446363107E-3</v>
      </c>
      <c r="I85" s="336"/>
      <c r="J85" s="168"/>
      <c r="K85" s="168"/>
      <c r="M85" s="359">
        <f t="shared" si="17"/>
        <v>0.21260568793235973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'[17]Sch C'!D79</f>
        <v>0</v>
      </c>
      <c r="D86" s="558">
        <f>'[17]Sch C'!F79</f>
        <v>0</v>
      </c>
      <c r="E86" s="171">
        <f t="shared" si="14"/>
        <v>0</v>
      </c>
      <c r="F86" s="490"/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'[17]Sch C'!D80</f>
        <v>18272</v>
      </c>
      <c r="D87" s="558">
        <f>'[17]Sch C'!F80</f>
        <v>0</v>
      </c>
      <c r="E87" s="171">
        <f t="shared" si="14"/>
        <v>18272</v>
      </c>
      <c r="F87" s="490">
        <v>-1779</v>
      </c>
      <c r="G87" s="171">
        <f t="shared" si="15"/>
        <v>16493</v>
      </c>
      <c r="H87" s="172">
        <f t="shared" si="16"/>
        <v>7.4839220234586678E-3</v>
      </c>
      <c r="I87" s="336"/>
      <c r="J87" s="168"/>
      <c r="K87" s="168"/>
      <c r="M87" s="359">
        <f t="shared" si="17"/>
        <v>1.2677171406610299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'[17]Sch C'!D81</f>
        <v>0</v>
      </c>
      <c r="D88" s="558">
        <f>'[17]Sch C'!F81</f>
        <v>0</v>
      </c>
      <c r="E88" s="171">
        <f t="shared" si="14"/>
        <v>0</v>
      </c>
      <c r="F88" s="490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'[17]Sch C'!D82</f>
        <v>0</v>
      </c>
      <c r="D89" s="558">
        <f>'[17]Sch C'!F82</f>
        <v>0</v>
      </c>
      <c r="E89" s="171">
        <f t="shared" si="14"/>
        <v>0</v>
      </c>
      <c r="F89" s="490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'[17]Sch C'!D83</f>
        <v>4306</v>
      </c>
      <c r="D90" s="558">
        <f>'[17]Sch C'!F83</f>
        <v>0</v>
      </c>
      <c r="E90" s="171">
        <f t="shared" si="14"/>
        <v>4306</v>
      </c>
      <c r="F90" s="490"/>
      <c r="G90" s="171">
        <f t="shared" si="15"/>
        <v>4306</v>
      </c>
      <c r="H90" s="172">
        <f t="shared" si="16"/>
        <v>1.9539057923369323E-3</v>
      </c>
      <c r="I90" s="336"/>
      <c r="J90" s="168"/>
      <c r="K90" s="168"/>
      <c r="M90" s="359">
        <f t="shared" si="17"/>
        <v>0.33097617217524983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'[17]Sch C'!D84</f>
        <v>38890</v>
      </c>
      <c r="D91" s="558">
        <f>'[17]Sch C'!F84</f>
        <v>0</v>
      </c>
      <c r="E91" s="171">
        <f t="shared" si="14"/>
        <v>38890</v>
      </c>
      <c r="F91" s="490"/>
      <c r="G91" s="171">
        <f t="shared" si="15"/>
        <v>38890</v>
      </c>
      <c r="H91" s="172">
        <f t="shared" si="16"/>
        <v>1.764686397212803E-2</v>
      </c>
      <c r="I91" s="336"/>
      <c r="J91" s="168"/>
      <c r="K91" s="168"/>
      <c r="M91" s="359">
        <f t="shared" si="17"/>
        <v>2.9892390468870098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'[17]Sch C'!D85</f>
        <v>0</v>
      </c>
      <c r="D92" s="558">
        <f>'[17]Sch C'!F85</f>
        <v>0</v>
      </c>
      <c r="E92" s="171">
        <f t="shared" si="14"/>
        <v>0</v>
      </c>
      <c r="F92" s="490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172361</v>
      </c>
      <c r="D93" s="558">
        <f>SUM(D82:D92)</f>
        <v>0</v>
      </c>
      <c r="E93" s="171">
        <f t="shared" ref="E93:F93" si="18">SUM(E82:E92)</f>
        <v>172361</v>
      </c>
      <c r="F93" s="171">
        <f t="shared" si="18"/>
        <v>-10077</v>
      </c>
      <c r="G93" s="171">
        <f>SUM(G82:G92)</f>
        <v>162284</v>
      </c>
      <c r="H93" s="172">
        <f t="shared" si="16"/>
        <v>7.363856191444651E-2</v>
      </c>
      <c r="I93" s="336"/>
      <c r="J93" s="168"/>
      <c r="K93" s="168"/>
      <c r="M93" s="364">
        <f>G93/G$228</f>
        <v>12.473789392774789</v>
      </c>
      <c r="N93" s="359">
        <f>SUMMARY!J96</f>
        <v>11.458724454710746</v>
      </c>
      <c r="O93" s="354">
        <f>M93/N93-1</f>
        <v>8.85844617414413E-2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'[17]Sch C'!D89</f>
        <v>139283</v>
      </c>
      <c r="D96" s="558">
        <f>'[17]Sch C'!F89</f>
        <v>0</v>
      </c>
      <c r="E96" s="171">
        <f t="shared" ref="E96:E101" si="19">C96+D96</f>
        <v>139283</v>
      </c>
      <c r="F96" s="490"/>
      <c r="G96" s="171">
        <f t="shared" ref="G96:G101" si="20">E96+F96</f>
        <v>139283</v>
      </c>
      <c r="H96" s="172">
        <f t="shared" ref="H96:H102" si="21">IF($G$208=0,0,G96/$G$208)</f>
        <v>6.3201546789146523E-2</v>
      </c>
      <c r="I96" s="336"/>
      <c r="J96" s="183">
        <v>12062</v>
      </c>
      <c r="K96" s="183">
        <v>12662</v>
      </c>
      <c r="M96" s="364">
        <f t="shared" ref="M96:M101" si="22">G96/G$228</f>
        <v>10.705841660261337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'[17]Sch C'!D90</f>
        <v>19271</v>
      </c>
      <c r="D97" s="558">
        <f>'[17]Sch C'!F90</f>
        <v>0</v>
      </c>
      <c r="E97" s="171">
        <f t="shared" si="19"/>
        <v>19271</v>
      </c>
      <c r="F97" s="490"/>
      <c r="G97" s="171">
        <f t="shared" si="20"/>
        <v>19271</v>
      </c>
      <c r="H97" s="172">
        <f t="shared" si="21"/>
        <v>8.744477130544593E-3</v>
      </c>
      <c r="I97" s="336"/>
      <c r="J97" s="168"/>
      <c r="K97" s="168"/>
      <c r="M97" s="364">
        <f t="shared" si="22"/>
        <v>1.4812451960030746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'[17]Sch C'!D91</f>
        <v>6877</v>
      </c>
      <c r="D98" s="558">
        <f>'[17]Sch C'!F91</f>
        <v>0</v>
      </c>
      <c r="E98" s="171">
        <f t="shared" si="19"/>
        <v>6877</v>
      </c>
      <c r="F98" s="490"/>
      <c r="G98" s="171">
        <f t="shared" si="20"/>
        <v>6877</v>
      </c>
      <c r="H98" s="172">
        <f t="shared" si="21"/>
        <v>3.1205318471669956E-3</v>
      </c>
      <c r="I98" s="336"/>
      <c r="J98" s="168"/>
      <c r="K98" s="168"/>
      <c r="M98" s="364">
        <f t="shared" si="22"/>
        <v>0.52859338970023062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'[17]Sch C'!D92</f>
        <v>136073</v>
      </c>
      <c r="D99" s="558">
        <f>'[17]Sch C'!F92</f>
        <v>0</v>
      </c>
      <c r="E99" s="171">
        <f t="shared" si="19"/>
        <v>136073</v>
      </c>
      <c r="F99" s="490"/>
      <c r="G99" s="171">
        <f t="shared" si="20"/>
        <v>136073</v>
      </c>
      <c r="H99" s="172">
        <f t="shared" si="21"/>
        <v>6.1744965833874448E-2</v>
      </c>
      <c r="I99" s="336"/>
      <c r="J99" s="168"/>
      <c r="K99" s="168"/>
      <c r="M99" s="364">
        <f t="shared" si="22"/>
        <v>10.459108378170638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'[17]Sch C'!D93</f>
        <v>15723</v>
      </c>
      <c r="D100" s="558">
        <f>'[17]Sch C'!F93</f>
        <v>0</v>
      </c>
      <c r="E100" s="171">
        <f t="shared" si="19"/>
        <v>15723</v>
      </c>
      <c r="F100" s="490"/>
      <c r="G100" s="171">
        <f t="shared" si="20"/>
        <v>15723</v>
      </c>
      <c r="H100" s="172">
        <f t="shared" si="21"/>
        <v>7.1345240996083569E-3</v>
      </c>
      <c r="I100" s="336"/>
      <c r="J100" s="168"/>
      <c r="K100" s="168"/>
      <c r="M100" s="364">
        <f t="shared" si="22"/>
        <v>1.208531898539585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'[17]Sch C'!D94</f>
        <v>0</v>
      </c>
      <c r="D101" s="558">
        <f>'[17]Sch C'!F94</f>
        <v>0</v>
      </c>
      <c r="E101" s="171">
        <f t="shared" si="19"/>
        <v>0</v>
      </c>
      <c r="F101" s="490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317227</v>
      </c>
      <c r="D102" s="558">
        <f>SUM(D96:D101)</f>
        <v>0</v>
      </c>
      <c r="E102" s="171">
        <f t="shared" ref="E102:F102" si="23">SUM(E96:E101)</f>
        <v>317227</v>
      </c>
      <c r="F102" s="171">
        <f t="shared" si="23"/>
        <v>0</v>
      </c>
      <c r="G102" s="171">
        <f>SUM(G96:G101)</f>
        <v>317227</v>
      </c>
      <c r="H102" s="172">
        <f t="shared" si="21"/>
        <v>0.14394604570034092</v>
      </c>
      <c r="I102" s="336"/>
      <c r="J102" s="168"/>
      <c r="K102" s="168"/>
      <c r="M102" s="364">
        <f>G102/G$228</f>
        <v>24.383320522674865</v>
      </c>
      <c r="N102" s="359">
        <f>SUMMARY!J105</f>
        <v>19.901077037785338</v>
      </c>
      <c r="O102" s="354">
        <f>M102/N102-1</f>
        <v>0.2252261762707255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'[17]Sch C'!D98</f>
        <v>19689</v>
      </c>
      <c r="D105" s="558">
        <f>'[17]Sch C'!F98</f>
        <v>0</v>
      </c>
      <c r="E105" s="171">
        <f t="shared" ref="E105:E110" si="24">C105+D105</f>
        <v>19689</v>
      </c>
      <c r="F105" s="490"/>
      <c r="G105" s="171">
        <f t="shared" ref="G105:G110" si="25">E105+F105</f>
        <v>19689</v>
      </c>
      <c r="H105" s="172">
        <f t="shared" ref="H105:H111" si="26">IF($G$208=0,0,G105/$G$208)</f>
        <v>8.9341502892061903E-3</v>
      </c>
      <c r="I105" s="336"/>
      <c r="J105" s="183">
        <v>2004</v>
      </c>
      <c r="K105" s="183">
        <v>2164</v>
      </c>
      <c r="M105" s="364">
        <f t="shared" ref="M105:M110" si="27">G105/G$228</f>
        <v>1.5133743274404305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'[17]Sch C'!D99</f>
        <v>2724</v>
      </c>
      <c r="D106" s="558">
        <f>'[17]Sch C'!F99</f>
        <v>0</v>
      </c>
      <c r="E106" s="171">
        <f t="shared" si="24"/>
        <v>2724</v>
      </c>
      <c r="F106" s="490"/>
      <c r="G106" s="171">
        <f t="shared" si="25"/>
        <v>2724</v>
      </c>
      <c r="H106" s="172">
        <f t="shared" si="26"/>
        <v>1.2360518760626575E-3</v>
      </c>
      <c r="I106" s="336"/>
      <c r="J106" s="168"/>
      <c r="K106" s="168"/>
      <c r="M106" s="364">
        <f t="shared" si="27"/>
        <v>0.20937740199846272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'[17]Sch C'!D100</f>
        <v>403</v>
      </c>
      <c r="D107" s="558">
        <f>'[17]Sch C'!F100</f>
        <v>0</v>
      </c>
      <c r="E107" s="171">
        <f t="shared" si="24"/>
        <v>403</v>
      </c>
      <c r="F107" s="490"/>
      <c r="G107" s="171">
        <f t="shared" si="25"/>
        <v>403</v>
      </c>
      <c r="H107" s="172">
        <f t="shared" si="26"/>
        <v>1.8286670559957818E-4</v>
      </c>
      <c r="I107" s="336"/>
      <c r="J107" s="168"/>
      <c r="K107" s="168"/>
      <c r="M107" s="364">
        <f t="shared" si="27"/>
        <v>3.0976172175249807E-2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'[17]Sch C'!D101</f>
        <v>0</v>
      </c>
      <c r="D108" s="558">
        <f>'[17]Sch C'!F101</f>
        <v>0</v>
      </c>
      <c r="E108" s="171">
        <f t="shared" si="24"/>
        <v>0</v>
      </c>
      <c r="F108" s="490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'[17]Sch C'!D102</f>
        <v>0</v>
      </c>
      <c r="D109" s="558">
        <f>'[17]Sch C'!F102</f>
        <v>0</v>
      </c>
      <c r="E109" s="171">
        <f t="shared" si="24"/>
        <v>0</v>
      </c>
      <c r="F109" s="490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'[17]Sch C'!D103</f>
        <v>0</v>
      </c>
      <c r="D110" s="558">
        <f>'[17]Sch C'!F103</f>
        <v>0</v>
      </c>
      <c r="E110" s="171">
        <f t="shared" si="24"/>
        <v>0</v>
      </c>
      <c r="F110" s="490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22816</v>
      </c>
      <c r="D111" s="558">
        <f>SUM(D105:D110)</f>
        <v>0</v>
      </c>
      <c r="E111" s="171">
        <f t="shared" ref="E111:F111" si="28">SUM(E105:E110)</f>
        <v>22816</v>
      </c>
      <c r="F111" s="171">
        <f t="shared" si="28"/>
        <v>0</v>
      </c>
      <c r="G111" s="171">
        <f>SUM(G105:G110)</f>
        <v>22816</v>
      </c>
      <c r="H111" s="172">
        <f t="shared" si="26"/>
        <v>1.0353068870868426E-2</v>
      </c>
      <c r="I111" s="336"/>
      <c r="J111" s="168"/>
      <c r="K111" s="168"/>
      <c r="M111" s="364">
        <f>G111/G$228</f>
        <v>1.7537279016141429</v>
      </c>
      <c r="N111" s="359">
        <f>SUMMARY!J114</f>
        <v>2.4242384372309496</v>
      </c>
      <c r="O111" s="354">
        <f>M111/N111-1</f>
        <v>-0.27658605082703303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'[17]Sch C'!D115</f>
        <v>50230</v>
      </c>
      <c r="D114" s="558">
        <f>'[17]Sch C'!F115</f>
        <v>0</v>
      </c>
      <c r="E114" s="171">
        <f t="shared" ref="E114:E118" si="29">C114+D114</f>
        <v>50230</v>
      </c>
      <c r="F114" s="490"/>
      <c r="G114" s="171">
        <f>E114+F114</f>
        <v>50230</v>
      </c>
      <c r="H114" s="172">
        <f t="shared" ref="H114:H119" si="30">IF($G$208=0,0,G114/$G$208)</f>
        <v>2.2792542487014421E-2</v>
      </c>
      <c r="I114" s="336"/>
      <c r="J114" s="183">
        <v>4965</v>
      </c>
      <c r="K114" s="183">
        <v>5205</v>
      </c>
      <c r="M114" s="364">
        <f t="shared" ref="M114:M119" si="31">G114/G$228</f>
        <v>3.8608762490392006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'[17]Sch C'!D116</f>
        <v>6950</v>
      </c>
      <c r="D115" s="558">
        <f>'[17]Sch C'!F116</f>
        <v>0</v>
      </c>
      <c r="E115" s="171">
        <f t="shared" si="29"/>
        <v>6950</v>
      </c>
      <c r="F115" s="490"/>
      <c r="G115" s="171">
        <f>E115+F115</f>
        <v>6950</v>
      </c>
      <c r="H115" s="172">
        <f t="shared" si="30"/>
        <v>3.1536565854021546E-3</v>
      </c>
      <c r="I115" s="336"/>
      <c r="J115" s="168"/>
      <c r="K115" s="168"/>
      <c r="M115" s="364">
        <f t="shared" si="31"/>
        <v>0.53420445810914685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'[17]Sch C'!D117</f>
        <v>22113</v>
      </c>
      <c r="D116" s="558">
        <f>'[17]Sch C'!F117</f>
        <v>0</v>
      </c>
      <c r="E116" s="171">
        <f t="shared" si="29"/>
        <v>22113</v>
      </c>
      <c r="F116" s="490"/>
      <c r="G116" s="171">
        <f>E116+F116</f>
        <v>22113</v>
      </c>
      <c r="H116" s="172">
        <f t="shared" si="30"/>
        <v>1.0034073104028467E-2</v>
      </c>
      <c r="I116" s="336"/>
      <c r="J116" s="168"/>
      <c r="K116" s="168"/>
      <c r="M116" s="364">
        <f t="shared" si="31"/>
        <v>1.6996925441967716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'[17]Sch C'!D118</f>
        <v>0</v>
      </c>
      <c r="D117" s="558">
        <f>'[17]Sch C'!F118</f>
        <v>0</v>
      </c>
      <c r="E117" s="171">
        <f t="shared" si="29"/>
        <v>0</v>
      </c>
      <c r="F117" s="490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'[17]Sch C'!D119</f>
        <v>0</v>
      </c>
      <c r="D118" s="558">
        <f>'[17]Sch C'!F119</f>
        <v>0</v>
      </c>
      <c r="E118" s="171">
        <f t="shared" si="29"/>
        <v>0</v>
      </c>
      <c r="F118" s="490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79293</v>
      </c>
      <c r="D119" s="558">
        <f>SUM(D114:D118)</f>
        <v>0</v>
      </c>
      <c r="E119" s="171">
        <f t="shared" ref="E119:F119" si="32">SUM(E114:E118)</f>
        <v>79293</v>
      </c>
      <c r="F119" s="171">
        <f t="shared" si="32"/>
        <v>0</v>
      </c>
      <c r="G119" s="171">
        <f>SUM(G114:G118)</f>
        <v>79293</v>
      </c>
      <c r="H119" s="172">
        <f t="shared" si="30"/>
        <v>3.5980272176445047E-2</v>
      </c>
      <c r="I119" s="336"/>
      <c r="J119" s="168"/>
      <c r="K119" s="168"/>
      <c r="M119" s="364">
        <f t="shared" si="31"/>
        <v>6.0947732513451189</v>
      </c>
      <c r="N119" s="359">
        <f>SUMMARY!J122</f>
        <v>6.0247597205909562</v>
      </c>
      <c r="O119" s="354">
        <f>M119/N119-1</f>
        <v>1.1620966478526285E-2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'[17]Sch C'!D124</f>
        <v>0</v>
      </c>
      <c r="D123" s="558">
        <f>'[17]Sch C'!F124</f>
        <v>0</v>
      </c>
      <c r="E123" s="171">
        <f t="shared" ref="E123:E127" si="33">C123+D123</f>
        <v>0</v>
      </c>
      <c r="F123" s="490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L123" s="167" t="s">
        <v>402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'[17]Sch C'!D125</f>
        <v>108975</v>
      </c>
      <c r="D124" s="558">
        <f>'[17]Sch C'!F125</f>
        <v>0</v>
      </c>
      <c r="E124" s="171">
        <f t="shared" si="33"/>
        <v>108975</v>
      </c>
      <c r="F124" s="490"/>
      <c r="G124" s="171">
        <f>E124+F124</f>
        <v>108975</v>
      </c>
      <c r="H124" s="172">
        <f>IF($G$208=0,0,G124/$G$208)</f>
        <v>4.9448881495568316E-2</v>
      </c>
      <c r="I124" s="336"/>
      <c r="J124" s="183">
        <v>1848</v>
      </c>
      <c r="K124" s="183">
        <v>2133</v>
      </c>
      <c r="M124" s="364">
        <f t="shared" si="34"/>
        <v>8.3762490392006157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'[17]Sch C'!D126</f>
        <v>0</v>
      </c>
      <c r="D125" s="558">
        <f>'[17]Sch C'!F126</f>
        <v>0</v>
      </c>
      <c r="E125" s="171">
        <f t="shared" si="33"/>
        <v>0</v>
      </c>
      <c r="F125" s="490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'[17]Sch C'!D127</f>
        <v>0</v>
      </c>
      <c r="D126" s="558">
        <f>'[17]Sch C'!F127</f>
        <v>0</v>
      </c>
      <c r="E126" s="171">
        <f t="shared" si="33"/>
        <v>0</v>
      </c>
      <c r="F126" s="490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'[17]Sch C'!D128</f>
        <v>78529</v>
      </c>
      <c r="D127" s="558">
        <f>'[17]Sch C'!F128</f>
        <v>0</v>
      </c>
      <c r="E127" s="171">
        <f t="shared" si="33"/>
        <v>78529</v>
      </c>
      <c r="F127" s="490"/>
      <c r="G127" s="171">
        <f>E127+F127</f>
        <v>78529</v>
      </c>
      <c r="H127" s="172">
        <f>IF($G$208=0,0,G127/$G$208)</f>
        <v>3.5633596833819538E-2</v>
      </c>
      <c r="I127" s="336"/>
      <c r="J127" s="183">
        <v>1845</v>
      </c>
      <c r="K127" s="183">
        <v>2805</v>
      </c>
      <c r="M127" s="364">
        <f t="shared" si="34"/>
        <v>6.0360491929285169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'[17]Sch C'!D130</f>
        <v>0</v>
      </c>
      <c r="D129" s="558">
        <f>'[17]Sch C'!F130</f>
        <v>0</v>
      </c>
      <c r="E129" s="171">
        <f t="shared" ref="E129:E133" si="35">C129+D129</f>
        <v>0</v>
      </c>
      <c r="F129" s="490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'[17]Sch C'!D131</f>
        <v>15078</v>
      </c>
      <c r="D130" s="558">
        <f>'[17]Sch C'!F131</f>
        <v>0</v>
      </c>
      <c r="E130" s="171">
        <f t="shared" si="35"/>
        <v>15078</v>
      </c>
      <c r="F130" s="490"/>
      <c r="G130" s="171">
        <f>E130+F130</f>
        <v>15078</v>
      </c>
      <c r="H130" s="172">
        <f>IF($G$208=0,0,G130/$G$208)</f>
        <v>6.8418466179415377E-3</v>
      </c>
      <c r="I130" s="336"/>
      <c r="J130" s="204"/>
      <c r="K130" s="204"/>
      <c r="M130" s="364">
        <f t="shared" si="34"/>
        <v>1.1589546502690238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'[17]Sch C'!D132</f>
        <v>0</v>
      </c>
      <c r="D131" s="558">
        <f>'[17]Sch C'!F132</f>
        <v>0</v>
      </c>
      <c r="E131" s="171">
        <f t="shared" si="35"/>
        <v>0</v>
      </c>
      <c r="F131" s="490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'[17]Sch C'!D133</f>
        <v>0</v>
      </c>
      <c r="D132" s="558">
        <f>'[17]Sch C'!F133</f>
        <v>0</v>
      </c>
      <c r="E132" s="171">
        <f t="shared" si="35"/>
        <v>0</v>
      </c>
      <c r="F132" s="490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'[17]Sch C'!D134</f>
        <v>10865</v>
      </c>
      <c r="D133" s="558">
        <f>'[17]Sch C'!F134</f>
        <v>0</v>
      </c>
      <c r="E133" s="171">
        <f t="shared" si="35"/>
        <v>10865</v>
      </c>
      <c r="F133" s="490"/>
      <c r="G133" s="171">
        <f>E133+F133</f>
        <v>10865</v>
      </c>
      <c r="H133" s="172">
        <f>IF($G$208=0,0,G133/$G$208)</f>
        <v>4.9301408345891239E-3</v>
      </c>
      <c r="I133" s="336"/>
      <c r="J133" s="168"/>
      <c r="K133" s="168"/>
      <c r="M133" s="364">
        <f t="shared" si="34"/>
        <v>0.83512682551883166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'[17]Sch C'!D136</f>
        <v>126861</v>
      </c>
      <c r="D135" s="558">
        <f>'[17]Sch C'!F136</f>
        <v>0</v>
      </c>
      <c r="E135" s="171">
        <f t="shared" ref="E135:E138" si="36">C135+D135</f>
        <v>126861</v>
      </c>
      <c r="F135" s="490"/>
      <c r="G135" s="171">
        <f>E135+F135</f>
        <v>126861</v>
      </c>
      <c r="H135" s="172">
        <f>IF($G$208=0,0,G135/$G$208)</f>
        <v>5.7564896126719819E-2</v>
      </c>
      <c r="I135" s="336"/>
      <c r="J135" s="183">
        <v>3593</v>
      </c>
      <c r="K135" s="183">
        <v>4073</v>
      </c>
      <c r="M135" s="364">
        <f t="shared" si="34"/>
        <v>9.7510376633358948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'[17]Sch C'!D137</f>
        <v>168088</v>
      </c>
      <c r="D136" s="558">
        <f>'[17]Sch C'!F137</f>
        <v>0</v>
      </c>
      <c r="E136" s="171">
        <f t="shared" si="36"/>
        <v>168088</v>
      </c>
      <c r="F136" s="490"/>
      <c r="G136" s="171">
        <f>E136+F136</f>
        <v>168088</v>
      </c>
      <c r="H136" s="172">
        <f>IF($G$208=0,0,G136/$G$208)</f>
        <v>7.6272205485910419E-2</v>
      </c>
      <c r="I136" s="336"/>
      <c r="J136" s="183">
        <v>6125</v>
      </c>
      <c r="K136" s="183">
        <v>6605</v>
      </c>
      <c r="M136" s="364">
        <f t="shared" si="34"/>
        <v>12.919907763259031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'[17]Sch C'!D138</f>
        <v>337149</v>
      </c>
      <c r="D137" s="558">
        <f>'[17]Sch C'!F138</f>
        <v>0</v>
      </c>
      <c r="E137" s="171">
        <f t="shared" si="36"/>
        <v>337149</v>
      </c>
      <c r="F137" s="490"/>
      <c r="G137" s="171">
        <f>E137+F137</f>
        <v>337149</v>
      </c>
      <c r="H137" s="172">
        <f>IF($G$208=0,0,G137/$G$208)</f>
        <v>0.15298592289377713</v>
      </c>
      <c r="I137" s="336"/>
      <c r="J137" s="183">
        <v>30354</v>
      </c>
      <c r="K137" s="183">
        <v>31074</v>
      </c>
      <c r="M137" s="364">
        <f t="shared" si="34"/>
        <v>25.914604150653343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'[17]Sch C'!D139</f>
        <v>0</v>
      </c>
      <c r="D138" s="558">
        <f>'[17]Sch C'!F139</f>
        <v>0</v>
      </c>
      <c r="E138" s="171">
        <f t="shared" si="36"/>
        <v>0</v>
      </c>
      <c r="F138" s="490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'[17]Sch C'!D141</f>
        <v>17553</v>
      </c>
      <c r="D140" s="558">
        <f>'[17]Sch C'!F141</f>
        <v>0</v>
      </c>
      <c r="E140" s="171">
        <f t="shared" ref="E140:E143" si="37">C140+D140</f>
        <v>17553</v>
      </c>
      <c r="F140" s="490"/>
      <c r="G140" s="171">
        <f>E140+F140</f>
        <v>17553</v>
      </c>
      <c r="H140" s="172">
        <f>IF($G$208=0,0,G140/$G$208)</f>
        <v>7.9649113731746803E-3</v>
      </c>
      <c r="I140" s="336"/>
      <c r="J140" s="168"/>
      <c r="K140" s="168"/>
      <c r="M140" s="364">
        <f t="shared" si="34"/>
        <v>1.3491929285165258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'[17]Sch C'!D142</f>
        <v>23257</v>
      </c>
      <c r="D141" s="558">
        <f>'[17]Sch C'!F142</f>
        <v>0</v>
      </c>
      <c r="E141" s="171">
        <f t="shared" si="37"/>
        <v>23257</v>
      </c>
      <c r="F141" s="490"/>
      <c r="G141" s="171">
        <f>E141+F141</f>
        <v>23257</v>
      </c>
      <c r="H141" s="172">
        <f>IF($G$208=0,0,G141/$G$208)</f>
        <v>1.0553178590891787E-2</v>
      </c>
      <c r="I141" s="336"/>
      <c r="J141" s="168"/>
      <c r="K141" s="168"/>
      <c r="M141" s="364">
        <f t="shared" si="34"/>
        <v>1.7876249039200616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'[17]Sch C'!D143</f>
        <v>46648</v>
      </c>
      <c r="D142" s="558">
        <f>'[17]Sch C'!F143</f>
        <v>0</v>
      </c>
      <c r="E142" s="171">
        <f t="shared" si="37"/>
        <v>46648</v>
      </c>
      <c r="F142" s="490"/>
      <c r="G142" s="171">
        <f>E142+F142</f>
        <v>46648</v>
      </c>
      <c r="H142" s="172">
        <f>IF($G$208=0,0,G142/$G$208)</f>
        <v>2.1167161495804276E-2</v>
      </c>
      <c r="I142" s="336"/>
      <c r="J142" s="168"/>
      <c r="K142" s="168"/>
      <c r="M142" s="364">
        <f t="shared" si="34"/>
        <v>3.5855495772482704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'[17]Sch C'!D144</f>
        <v>0</v>
      </c>
      <c r="D143" s="558">
        <f>'[17]Sch C'!F144</f>
        <v>0</v>
      </c>
      <c r="E143" s="171">
        <f t="shared" si="37"/>
        <v>0</v>
      </c>
      <c r="F143" s="490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'[17]Sch C'!D146</f>
        <v>7563</v>
      </c>
      <c r="D145" s="558">
        <f>'[17]Sch C'!F146</f>
        <v>0</v>
      </c>
      <c r="E145" s="171">
        <f t="shared" ref="E145:E153" si="38">C145+D145</f>
        <v>7563</v>
      </c>
      <c r="F145" s="490"/>
      <c r="G145" s="171">
        <f t="shared" ref="G145:G153" si="39">E145+F145</f>
        <v>7563</v>
      </c>
      <c r="H145" s="172">
        <f t="shared" ref="H145:H153" si="40">IF($G$208=0,0,G145/$G$208)</f>
        <v>3.4318136338699996E-3</v>
      </c>
      <c r="I145" s="336"/>
      <c r="J145" s="183">
        <v>208</v>
      </c>
      <c r="K145" s="183">
        <v>208</v>
      </c>
      <c r="M145" s="364">
        <f t="shared" si="34"/>
        <v>0.58132205995388164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'[17]Sch C'!D147</f>
        <v>0</v>
      </c>
      <c r="D146" s="558">
        <f>'[17]Sch C'!F147</f>
        <v>0</v>
      </c>
      <c r="E146" s="171">
        <f t="shared" si="38"/>
        <v>0</v>
      </c>
      <c r="F146" s="490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'[17]Sch C'!D148</f>
        <v>0</v>
      </c>
      <c r="D147" s="558">
        <f>'[17]Sch C'!F148</f>
        <v>0</v>
      </c>
      <c r="E147" s="171">
        <f t="shared" si="38"/>
        <v>0</v>
      </c>
      <c r="F147" s="490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'[17]Sch C'!D149</f>
        <v>0</v>
      </c>
      <c r="D148" s="558">
        <f>'[17]Sch C'!F149</f>
        <v>0</v>
      </c>
      <c r="E148" s="171">
        <f t="shared" si="38"/>
        <v>0</v>
      </c>
      <c r="F148" s="490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'[17]Sch C'!D150</f>
        <v>4116</v>
      </c>
      <c r="D149" s="558">
        <f>'[17]Sch C'!F150</f>
        <v>0</v>
      </c>
      <c r="E149" s="171">
        <f t="shared" si="38"/>
        <v>4116</v>
      </c>
      <c r="F149" s="490"/>
      <c r="G149" s="171">
        <f t="shared" si="39"/>
        <v>4116</v>
      </c>
      <c r="H149" s="172">
        <f t="shared" si="40"/>
        <v>1.8676907202180243E-3</v>
      </c>
      <c r="I149" s="336"/>
      <c r="J149" s="183">
        <v>165</v>
      </c>
      <c r="K149" s="183">
        <v>165</v>
      </c>
      <c r="M149" s="364">
        <f t="shared" si="34"/>
        <v>0.31637202152190624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'[17]Sch C'!D151</f>
        <v>38661</v>
      </c>
      <c r="D150" s="558">
        <f>'[17]Sch C'!F151</f>
        <v>0</v>
      </c>
      <c r="E150" s="171">
        <f t="shared" si="38"/>
        <v>38661</v>
      </c>
      <c r="F150" s="490"/>
      <c r="G150" s="171">
        <f t="shared" si="39"/>
        <v>38661</v>
      </c>
      <c r="H150" s="172">
        <f t="shared" si="40"/>
        <v>1.7542952122047872E-2</v>
      </c>
      <c r="I150" s="336"/>
      <c r="J150" s="168"/>
      <c r="K150" s="168"/>
      <c r="M150" s="364">
        <f t="shared" si="34"/>
        <v>2.9716372021521904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'[17]Sch C'!D152</f>
        <v>104</v>
      </c>
      <c r="D151" s="558">
        <f>'[17]Sch C'!F152</f>
        <v>0</v>
      </c>
      <c r="E151" s="171">
        <f t="shared" si="38"/>
        <v>104</v>
      </c>
      <c r="F151" s="490"/>
      <c r="G151" s="171">
        <f t="shared" si="39"/>
        <v>104</v>
      </c>
      <c r="H151" s="172">
        <f t="shared" si="40"/>
        <v>4.719140789666534E-5</v>
      </c>
      <c r="I151" s="336"/>
      <c r="J151" s="168"/>
      <c r="K151" s="168"/>
      <c r="M151" s="364">
        <f t="shared" si="34"/>
        <v>7.9938508839354338E-3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'[17]Sch C'!D153</f>
        <v>0</v>
      </c>
      <c r="D152" s="558">
        <f>'[17]Sch C'!F153</f>
        <v>0</v>
      </c>
      <c r="E152" s="171">
        <f t="shared" si="38"/>
        <v>0</v>
      </c>
      <c r="F152" s="490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'[17]Sch C'!D154</f>
        <v>0</v>
      </c>
      <c r="D153" s="558">
        <f>'[17]Sch C'!F154</f>
        <v>0</v>
      </c>
      <c r="E153" s="171">
        <f t="shared" si="38"/>
        <v>0</v>
      </c>
      <c r="F153" s="490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'[17]Sch C'!D156</f>
        <v>0</v>
      </c>
      <c r="D155" s="558">
        <f>'[17]Sch C'!F156</f>
        <v>0</v>
      </c>
      <c r="E155" s="171">
        <f t="shared" ref="E155:E160" si="41">C155+D155</f>
        <v>0</v>
      </c>
      <c r="F155" s="490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'[17]Sch C'!D157</f>
        <v>0</v>
      </c>
      <c r="D156" s="558">
        <f>'[17]Sch C'!F157</f>
        <v>0</v>
      </c>
      <c r="E156" s="171">
        <f t="shared" si="41"/>
        <v>0</v>
      </c>
      <c r="F156" s="490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'[17]Sch C'!D158</f>
        <v>0</v>
      </c>
      <c r="D157" s="558">
        <f>'[17]Sch C'!F158</f>
        <v>0</v>
      </c>
      <c r="E157" s="171">
        <f t="shared" si="41"/>
        <v>0</v>
      </c>
      <c r="F157" s="490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'[17]Sch C'!D159</f>
        <v>0</v>
      </c>
      <c r="D158" s="558">
        <f>'[17]Sch C'!F159</f>
        <v>0</v>
      </c>
      <c r="E158" s="171">
        <f t="shared" si="41"/>
        <v>0</v>
      </c>
      <c r="F158" s="490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'[17]Sch C'!D160</f>
        <v>0</v>
      </c>
      <c r="D159" s="558">
        <f>'[17]Sch C'!F160</f>
        <v>0</v>
      </c>
      <c r="E159" s="171">
        <f t="shared" si="41"/>
        <v>0</v>
      </c>
      <c r="F159" s="490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'[17]Sch C'!D161</f>
        <v>633</v>
      </c>
      <c r="D160" s="558">
        <f>'[17]Sch C'!F161</f>
        <v>0</v>
      </c>
      <c r="E160" s="171">
        <f t="shared" si="41"/>
        <v>633</v>
      </c>
      <c r="F160" s="490"/>
      <c r="G160" s="171">
        <f t="shared" si="42"/>
        <v>633</v>
      </c>
      <c r="H160" s="172">
        <f t="shared" si="43"/>
        <v>2.8723231921720346E-4</v>
      </c>
      <c r="I160" s="336"/>
      <c r="J160" s="168"/>
      <c r="K160" s="168"/>
      <c r="M160" s="364">
        <f t="shared" si="34"/>
        <v>4.865488086087625E-2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984080</v>
      </c>
      <c r="D161" s="558">
        <f>SUM(D123:D160)</f>
        <v>0</v>
      </c>
      <c r="E161" s="171">
        <f t="shared" ref="E161:F161" si="44">SUM(E123:E160)</f>
        <v>984080</v>
      </c>
      <c r="F161" s="171">
        <f t="shared" si="44"/>
        <v>0</v>
      </c>
      <c r="G161" s="171">
        <f>SUM(G123:G160)</f>
        <v>984080</v>
      </c>
      <c r="H161" s="172">
        <f t="shared" si="43"/>
        <v>0.44653962195144642</v>
      </c>
      <c r="I161" s="336"/>
      <c r="J161" s="168"/>
      <c r="K161" s="168"/>
      <c r="M161" s="364">
        <f>G161/G$228</f>
        <v>75.640276710222906</v>
      </c>
      <c r="N161" s="359">
        <f>SUMMARY!J164</f>
        <v>105.56901037202306</v>
      </c>
      <c r="O161" s="354">
        <f>M161/N161-1</f>
        <v>-0.28349923482593897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'[17]Sch C'!D175</f>
        <v>0</v>
      </c>
      <c r="D164" s="558">
        <f>'[17]Sch C'!F175</f>
        <v>0</v>
      </c>
      <c r="E164" s="171">
        <f t="shared" ref="E164:E196" si="45">C164+D164</f>
        <v>0</v>
      </c>
      <c r="F164" s="490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'[17]Sch C'!D176</f>
        <v>0</v>
      </c>
      <c r="D165" s="558">
        <f>'[17]Sch C'!F176</f>
        <v>0</v>
      </c>
      <c r="E165" s="171">
        <f t="shared" si="45"/>
        <v>0</v>
      </c>
      <c r="F165" s="490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'[17]Sch C'!D177</f>
        <v>0</v>
      </c>
      <c r="D166" s="558">
        <f>'[17]Sch C'!F177</f>
        <v>0</v>
      </c>
      <c r="E166" s="171">
        <f t="shared" si="45"/>
        <v>0</v>
      </c>
      <c r="F166" s="490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'[17]Sch C'!D178</f>
        <v>0</v>
      </c>
      <c r="D167" s="558">
        <f>'[17]Sch C'!F178</f>
        <v>0</v>
      </c>
      <c r="E167" s="171">
        <f t="shared" si="45"/>
        <v>0</v>
      </c>
      <c r="F167" s="490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'[17]Sch C'!D179</f>
        <v>0</v>
      </c>
      <c r="D168" s="558">
        <f>'[17]Sch C'!F179</f>
        <v>0</v>
      </c>
      <c r="E168" s="171">
        <f t="shared" si="45"/>
        <v>0</v>
      </c>
      <c r="F168" s="490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'[17]Sch C'!D180</f>
        <v>0</v>
      </c>
      <c r="D169" s="558">
        <f>'[17]Sch C'!F180</f>
        <v>0</v>
      </c>
      <c r="E169" s="171">
        <f t="shared" si="45"/>
        <v>0</v>
      </c>
      <c r="F169" s="490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'[17]Sch C'!D181</f>
        <v>0</v>
      </c>
      <c r="D170" s="558">
        <f>'[17]Sch C'!F181</f>
        <v>0</v>
      </c>
      <c r="E170" s="171">
        <f t="shared" si="45"/>
        <v>0</v>
      </c>
      <c r="F170" s="490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'[17]Sch C'!D182</f>
        <v>0</v>
      </c>
      <c r="D171" s="558">
        <f>'[17]Sch C'!F182</f>
        <v>0</v>
      </c>
      <c r="E171" s="171">
        <f t="shared" si="45"/>
        <v>0</v>
      </c>
      <c r="F171" s="490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'[17]Sch C'!D183</f>
        <v>0</v>
      </c>
      <c r="D172" s="558">
        <f>'[17]Sch C'!F183</f>
        <v>0</v>
      </c>
      <c r="E172" s="171">
        <f t="shared" si="45"/>
        <v>0</v>
      </c>
      <c r="F172" s="490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'[17]Sch C'!D184</f>
        <v>0</v>
      </c>
      <c r="D173" s="558">
        <f>'[17]Sch C'!F184</f>
        <v>0</v>
      </c>
      <c r="E173" s="171">
        <f t="shared" si="45"/>
        <v>0</v>
      </c>
      <c r="F173" s="490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'[17]Sch C'!D185</f>
        <v>0</v>
      </c>
      <c r="D174" s="558">
        <f>'[17]Sch C'!F185</f>
        <v>0</v>
      </c>
      <c r="E174" s="171">
        <f t="shared" si="45"/>
        <v>0</v>
      </c>
      <c r="F174" s="490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'[17]Sch C'!D186</f>
        <v>0</v>
      </c>
      <c r="D175" s="558">
        <f>'[17]Sch C'!F186</f>
        <v>0</v>
      </c>
      <c r="E175" s="171">
        <f t="shared" si="45"/>
        <v>0</v>
      </c>
      <c r="F175" s="490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'[17]Sch C'!D187</f>
        <v>0</v>
      </c>
      <c r="D176" s="558">
        <f>'[17]Sch C'!F187</f>
        <v>0</v>
      </c>
      <c r="E176" s="171">
        <f t="shared" si="45"/>
        <v>0</v>
      </c>
      <c r="F176" s="490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'[17]Sch C'!D188</f>
        <v>0</v>
      </c>
      <c r="D177" s="558">
        <f>'[17]Sch C'!F188</f>
        <v>0</v>
      </c>
      <c r="E177" s="171">
        <f t="shared" si="45"/>
        <v>0</v>
      </c>
      <c r="F177" s="490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'[17]Sch C'!D189</f>
        <v>0</v>
      </c>
      <c r="D178" s="558">
        <f>'[17]Sch C'!F189</f>
        <v>0</v>
      </c>
      <c r="E178" s="171">
        <f t="shared" si="45"/>
        <v>0</v>
      </c>
      <c r="F178" s="490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'[17]Sch C'!D190</f>
        <v>0</v>
      </c>
      <c r="D179" s="558">
        <f>'[17]Sch C'!F190</f>
        <v>0</v>
      </c>
      <c r="E179" s="171">
        <f t="shared" si="45"/>
        <v>0</v>
      </c>
      <c r="F179" s="490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'[17]Sch C'!D191</f>
        <v>0</v>
      </c>
      <c r="D180" s="558">
        <f>'[17]Sch C'!F191</f>
        <v>0</v>
      </c>
      <c r="E180" s="171">
        <f t="shared" si="45"/>
        <v>0</v>
      </c>
      <c r="F180" s="490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'[17]Sch C'!D192</f>
        <v>0</v>
      </c>
      <c r="D181" s="558">
        <f>'[17]Sch C'!F192</f>
        <v>0</v>
      </c>
      <c r="E181" s="171">
        <f t="shared" si="45"/>
        <v>0</v>
      </c>
      <c r="F181" s="490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'[17]Sch C'!D193</f>
        <v>0</v>
      </c>
      <c r="D182" s="558">
        <f>'[17]Sch C'!F193</f>
        <v>0</v>
      </c>
      <c r="E182" s="171">
        <f t="shared" si="45"/>
        <v>0</v>
      </c>
      <c r="F182" s="490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'[17]Sch C'!D194</f>
        <v>0</v>
      </c>
      <c r="D183" s="558">
        <f>'[17]Sch C'!F194</f>
        <v>0</v>
      </c>
      <c r="E183" s="171">
        <f t="shared" si="45"/>
        <v>0</v>
      </c>
      <c r="F183" s="490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'[17]Sch C'!D195</f>
        <v>0</v>
      </c>
      <c r="D184" s="558">
        <f>'[17]Sch C'!F195</f>
        <v>0</v>
      </c>
      <c r="E184" s="171">
        <f t="shared" si="45"/>
        <v>0</v>
      </c>
      <c r="F184" s="490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'[17]Sch C'!D196</f>
        <v>0</v>
      </c>
      <c r="D185" s="558">
        <f>'[17]Sch C'!F196</f>
        <v>0</v>
      </c>
      <c r="E185" s="171">
        <f t="shared" si="45"/>
        <v>0</v>
      </c>
      <c r="F185" s="490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'[17]Sch C'!D197</f>
        <v>0</v>
      </c>
      <c r="D186" s="558">
        <f>'[17]Sch C'!F197</f>
        <v>0</v>
      </c>
      <c r="E186" s="171">
        <f t="shared" si="45"/>
        <v>0</v>
      </c>
      <c r="F186" s="490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'[17]Sch C'!D198</f>
        <v>225</v>
      </c>
      <c r="D187" s="558">
        <f>'[17]Sch C'!F198</f>
        <v>0</v>
      </c>
      <c r="E187" s="171">
        <f t="shared" si="45"/>
        <v>225</v>
      </c>
      <c r="F187" s="490"/>
      <c r="G187" s="171">
        <f t="shared" si="46"/>
        <v>225</v>
      </c>
      <c r="H187" s="172">
        <f t="shared" si="47"/>
        <v>1.0209679593028558E-4</v>
      </c>
      <c r="I187" s="336"/>
      <c r="J187" s="223"/>
      <c r="K187" s="218"/>
      <c r="M187" s="364">
        <f t="shared" si="48"/>
        <v>1.7294388931591083E-2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'[17]Sch C'!D199</f>
        <v>0</v>
      </c>
      <c r="D188" s="558">
        <f>'[17]Sch C'!F199</f>
        <v>0</v>
      </c>
      <c r="E188" s="171">
        <f t="shared" si="45"/>
        <v>0</v>
      </c>
      <c r="F188" s="490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'[17]Sch C'!D200</f>
        <v>0</v>
      </c>
      <c r="D189" s="558">
        <f>'[17]Sch C'!F200</f>
        <v>0</v>
      </c>
      <c r="E189" s="171">
        <f t="shared" si="45"/>
        <v>0</v>
      </c>
      <c r="F189" s="490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'[17]Sch C'!D201</f>
        <v>0</v>
      </c>
      <c r="D190" s="558">
        <f>'[17]Sch C'!F201</f>
        <v>0</v>
      </c>
      <c r="E190" s="171">
        <f t="shared" si="45"/>
        <v>0</v>
      </c>
      <c r="F190" s="490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'[17]Sch C'!D202</f>
        <v>0</v>
      </c>
      <c r="D191" s="558">
        <f>'[17]Sch C'!F202</f>
        <v>0</v>
      </c>
      <c r="E191" s="171">
        <f t="shared" si="45"/>
        <v>0</v>
      </c>
      <c r="F191" s="490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'[17]Sch C'!D203</f>
        <v>0</v>
      </c>
      <c r="D192" s="558">
        <f>'[17]Sch C'!F203</f>
        <v>0</v>
      </c>
      <c r="E192" s="171">
        <f t="shared" si="45"/>
        <v>0</v>
      </c>
      <c r="F192" s="490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'[17]Sch C'!D204</f>
        <v>0</v>
      </c>
      <c r="D193" s="558">
        <f>'[17]Sch C'!F204</f>
        <v>0</v>
      </c>
      <c r="E193" s="171">
        <f t="shared" si="45"/>
        <v>0</v>
      </c>
      <c r="F193" s="490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'[17]Sch C'!D205</f>
        <v>8069</v>
      </c>
      <c r="D194" s="558">
        <f>'[17]Sch C'!F205</f>
        <v>0</v>
      </c>
      <c r="E194" s="171">
        <f t="shared" si="45"/>
        <v>8069</v>
      </c>
      <c r="F194" s="490"/>
      <c r="G194" s="171">
        <f t="shared" si="46"/>
        <v>8069</v>
      </c>
      <c r="H194" s="172">
        <f t="shared" si="47"/>
        <v>3.6614179838287751E-3</v>
      </c>
      <c r="I194" s="336"/>
      <c r="J194" s="223"/>
      <c r="K194" s="218"/>
      <c r="M194" s="364">
        <f t="shared" si="48"/>
        <v>0.62021521906225985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'[17]Sch C'!D206</f>
        <v>0</v>
      </c>
      <c r="D195" s="558">
        <f>'[17]Sch C'!F206</f>
        <v>0</v>
      </c>
      <c r="E195" s="171">
        <f t="shared" si="45"/>
        <v>0</v>
      </c>
      <c r="F195" s="490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'[17]Sch C'!D207</f>
        <v>0</v>
      </c>
      <c r="D196" s="558">
        <f>'[17]Sch C'!F207</f>
        <v>0</v>
      </c>
      <c r="E196" s="171">
        <f t="shared" si="45"/>
        <v>0</v>
      </c>
      <c r="F196" s="490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8294</v>
      </c>
      <c r="D197" s="558">
        <f>SUM(D164:D196)</f>
        <v>0</v>
      </c>
      <c r="E197" s="171">
        <f t="shared" ref="E197:F197" si="49">SUM(E164:E196)</f>
        <v>8294</v>
      </c>
      <c r="F197" s="171">
        <f t="shared" si="49"/>
        <v>0</v>
      </c>
      <c r="G197" s="171">
        <f>SUM(G164:G196)</f>
        <v>8294</v>
      </c>
      <c r="H197" s="172">
        <f>IF($G$208=0,0,G197/$G$208)</f>
        <v>3.7635147797590606E-3</v>
      </c>
      <c r="I197" s="336"/>
      <c r="J197" s="168"/>
      <c r="K197" s="168"/>
      <c r="M197" s="364">
        <f>G197/G$228</f>
        <v>0.63750960799385092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'[17]Sch C'!D211</f>
        <v>61855</v>
      </c>
      <c r="D200" s="558">
        <f>'[17]Sch C'!F211</f>
        <v>0</v>
      </c>
      <c r="E200" s="171">
        <f t="shared" ref="E200:E205" si="50">C200+D200</f>
        <v>61855</v>
      </c>
      <c r="F200" s="490"/>
      <c r="G200" s="171">
        <f t="shared" ref="G200:G205" si="51">E200+F200</f>
        <v>61855</v>
      </c>
      <c r="H200" s="172">
        <f t="shared" ref="H200:H206" si="52">IF($G$208=0,0,G200/$G$208)</f>
        <v>2.8067543610079179E-2</v>
      </c>
      <c r="I200" s="336"/>
      <c r="J200" s="183">
        <v>3751</v>
      </c>
      <c r="K200" s="183">
        <v>3991</v>
      </c>
      <c r="M200" s="364">
        <f t="shared" ref="M200:M205" si="53">G200/G$228</f>
        <v>4.7544196771714065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'[17]Sch C'!D212</f>
        <v>8558</v>
      </c>
      <c r="D201" s="558">
        <f>'[17]Sch C'!F212</f>
        <v>0</v>
      </c>
      <c r="E201" s="171">
        <f t="shared" si="50"/>
        <v>8558</v>
      </c>
      <c r="F201" s="490"/>
      <c r="G201" s="171">
        <f t="shared" si="51"/>
        <v>8558</v>
      </c>
      <c r="H201" s="172">
        <f t="shared" si="52"/>
        <v>3.8833083536505956E-3</v>
      </c>
      <c r="I201" s="336"/>
      <c r="J201" s="168"/>
      <c r="K201" s="168"/>
      <c r="M201" s="364">
        <f t="shared" si="53"/>
        <v>0.65780169100691777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'[17]Sch C'!D213</f>
        <v>8675</v>
      </c>
      <c r="D202" s="558">
        <f>'[17]Sch C'!F213</f>
        <v>0</v>
      </c>
      <c r="E202" s="171">
        <f t="shared" si="50"/>
        <v>8675</v>
      </c>
      <c r="F202" s="490">
        <v>-664</v>
      </c>
      <c r="G202" s="171">
        <f t="shared" si="51"/>
        <v>8011</v>
      </c>
      <c r="H202" s="172">
        <f t="shared" si="52"/>
        <v>3.6350996986556348E-3</v>
      </c>
      <c r="I202" s="336"/>
      <c r="J202" s="168"/>
      <c r="K202" s="168"/>
      <c r="M202" s="364">
        <f t="shared" si="53"/>
        <v>0.61575710991544963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'[17]Sch C'!D214</f>
        <v>0</v>
      </c>
      <c r="D203" s="558">
        <f>'[17]Sch C'!F214</f>
        <v>0</v>
      </c>
      <c r="E203" s="171">
        <f t="shared" si="50"/>
        <v>0</v>
      </c>
      <c r="F203" s="490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'[17]Sch C'!D215</f>
        <v>0</v>
      </c>
      <c r="D204" s="558">
        <f>'[17]Sch C'!F215</f>
        <v>0</v>
      </c>
      <c r="E204" s="171">
        <f t="shared" si="50"/>
        <v>0</v>
      </c>
      <c r="F204" s="490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'[17]Sch C'!D216</f>
        <v>139053</v>
      </c>
      <c r="D205" s="558">
        <f>'[17]Sch C'!F216</f>
        <v>-77764</v>
      </c>
      <c r="E205" s="171">
        <f t="shared" si="50"/>
        <v>61289</v>
      </c>
      <c r="F205" s="490">
        <v>-1791</v>
      </c>
      <c r="G205" s="171">
        <f t="shared" si="51"/>
        <v>59498</v>
      </c>
      <c r="H205" s="172">
        <f t="shared" si="52"/>
        <v>2.6998022952267251E-2</v>
      </c>
      <c r="I205" s="336"/>
      <c r="J205" s="168"/>
      <c r="K205" s="168"/>
      <c r="M205" s="364">
        <f t="shared" si="53"/>
        <v>4.5732513451191394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218141</v>
      </c>
      <c r="D206" s="558">
        <f>SUM(D200:D205)</f>
        <v>-77764</v>
      </c>
      <c r="E206" s="171">
        <f t="shared" ref="E206:F206" si="54">SUM(E200:E205)</f>
        <v>140377</v>
      </c>
      <c r="F206" s="171">
        <f t="shared" si="54"/>
        <v>-2455</v>
      </c>
      <c r="G206" s="171">
        <f>SUM(G200:G205)</f>
        <v>137922</v>
      </c>
      <c r="H206" s="172">
        <f t="shared" si="52"/>
        <v>6.2583974614652663E-2</v>
      </c>
      <c r="I206" s="336"/>
      <c r="J206" s="168"/>
      <c r="K206" s="168"/>
      <c r="M206" s="364">
        <f>G206/G$228</f>
        <v>10.601229823212913</v>
      </c>
      <c r="N206" s="359">
        <f>SUMMARY!J209</f>
        <v>7.1515095990067339</v>
      </c>
      <c r="O206" s="354">
        <f>M206/N206-1</f>
        <v>0.48237650756775996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2338731</v>
      </c>
      <c r="D208" s="558">
        <f>SUM(D25:D206)/2</f>
        <v>-116509</v>
      </c>
      <c r="E208" s="171">
        <f t="shared" ref="E208:F208" si="55">SUM(E25:E206)/2</f>
        <v>2222222</v>
      </c>
      <c r="F208" s="171">
        <f t="shared" si="55"/>
        <v>-18431</v>
      </c>
      <c r="G208" s="171">
        <f>SUM(G25:G206)/2</f>
        <v>2203791</v>
      </c>
      <c r="H208" s="172">
        <f>IF($G$208=0,0,G208/$G$208)</f>
        <v>1</v>
      </c>
      <c r="I208" s="336"/>
      <c r="J208" s="183">
        <f>SUM(J25:J200)</f>
        <v>72370</v>
      </c>
      <c r="K208" s="183">
        <f>SUM(K25:K200)</f>
        <v>76895</v>
      </c>
      <c r="M208" s="364">
        <f>G208/G$228</f>
        <v>169.39208301306687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505"/>
      <c r="F209"/>
      <c r="G209"/>
      <c r="I209" s="332"/>
      <c r="J209" s="168"/>
      <c r="K209" s="168"/>
      <c r="O209" s="553">
        <f>SUM(O61:O206)</f>
        <v>-0.22902831775125831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'[17]Sch C'!D221</f>
        <v>2338731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-61862</v>
      </c>
      <c r="D215" s="558">
        <f>D21-D208</f>
        <v>116509</v>
      </c>
      <c r="E215" s="171">
        <f t="shared" ref="E215:F215" si="56">E21-E208</f>
        <v>54647</v>
      </c>
      <c r="F215" s="171">
        <f t="shared" si="56"/>
        <v>18431</v>
      </c>
      <c r="G215" s="171">
        <f>G21-G208</f>
        <v>73078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'[17]Sch D'!C9</f>
        <v>11110</v>
      </c>
      <c r="D219" s="592"/>
      <c r="E219" s="235">
        <f t="shared" ref="E219:G227" si="57">C219+D219</f>
        <v>11110</v>
      </c>
      <c r="F219" s="490"/>
      <c r="G219" s="235">
        <f t="shared" si="57"/>
        <v>11110</v>
      </c>
      <c r="H219" s="172">
        <f t="shared" ref="H219:H228" si="58">IF($G$228=0,0,G219/$G$228)</f>
        <v>0.85395849346656416</v>
      </c>
      <c r="I219" s="336"/>
      <c r="J219" s="168"/>
      <c r="K219" s="168"/>
    </row>
    <row r="220" spans="1:17">
      <c r="A220" s="163"/>
      <c r="B220" s="170" t="s">
        <v>217</v>
      </c>
      <c r="C220" s="592">
        <f>'[17]Sch D'!D9</f>
        <v>0</v>
      </c>
      <c r="D220" s="592"/>
      <c r="E220" s="235">
        <f t="shared" ref="E220:E227" si="59">C220+D220</f>
        <v>0</v>
      </c>
      <c r="F220" s="490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'[17]Sch D'!E9</f>
        <v>0</v>
      </c>
      <c r="D221" s="592"/>
      <c r="E221" s="235">
        <f t="shared" si="59"/>
        <v>0</v>
      </c>
      <c r="F221" s="490"/>
      <c r="G221" s="235">
        <f t="shared" si="57"/>
        <v>0</v>
      </c>
      <c r="H221" s="172">
        <f t="shared" si="58"/>
        <v>0</v>
      </c>
      <c r="I221" s="336"/>
      <c r="J221" s="168"/>
      <c r="K221" s="168"/>
    </row>
    <row r="222" spans="1:17">
      <c r="A222" s="163"/>
      <c r="B222" s="202" t="s">
        <v>334</v>
      </c>
      <c r="C222" s="592">
        <f>'[17]Sch D'!F9</f>
        <v>0</v>
      </c>
      <c r="D222" s="592"/>
      <c r="E222" s="235">
        <f>C222+D222</f>
        <v>0</v>
      </c>
      <c r="F222" s="490"/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f>'[17]Sch D'!G9</f>
        <v>0</v>
      </c>
      <c r="D223" s="592"/>
      <c r="E223" s="235">
        <f t="shared" si="59"/>
        <v>0</v>
      </c>
      <c r="F223" s="490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'[17]Sch D'!H9</f>
        <v>732</v>
      </c>
      <c r="D224" s="592"/>
      <c r="E224" s="235">
        <f t="shared" si="59"/>
        <v>732</v>
      </c>
      <c r="F224" s="490"/>
      <c r="G224" s="235">
        <f t="shared" si="57"/>
        <v>732</v>
      </c>
      <c r="H224" s="172">
        <f t="shared" si="58"/>
        <v>5.6264411990776329E-2</v>
      </c>
      <c r="I224" s="336"/>
      <c r="J224" s="168"/>
      <c r="K224" s="168"/>
    </row>
    <row r="225" spans="1:11">
      <c r="A225" s="163"/>
      <c r="B225" s="170" t="s">
        <v>236</v>
      </c>
      <c r="C225" s="592">
        <f>'[17]Sch D'!I9</f>
        <v>1168</v>
      </c>
      <c r="D225" s="592"/>
      <c r="E225" s="235">
        <f t="shared" si="59"/>
        <v>1168</v>
      </c>
      <c r="F225" s="490"/>
      <c r="G225" s="235">
        <f t="shared" si="57"/>
        <v>1168</v>
      </c>
      <c r="H225" s="172">
        <f t="shared" si="58"/>
        <v>8.9777094542659489E-2</v>
      </c>
      <c r="I225" s="336"/>
      <c r="J225" s="168"/>
      <c r="K225" s="168"/>
    </row>
    <row r="226" spans="1:11">
      <c r="A226" s="163"/>
      <c r="B226" s="170" t="s">
        <v>235</v>
      </c>
      <c r="C226" s="592">
        <f>'[17]Sch D'!J9</f>
        <v>0</v>
      </c>
      <c r="D226" s="592"/>
      <c r="E226" s="235">
        <f>C226+D226</f>
        <v>0</v>
      </c>
      <c r="F226" s="490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'[17]Sch D'!K9</f>
        <v>0</v>
      </c>
      <c r="D227" s="592"/>
      <c r="E227" s="235">
        <f t="shared" si="59"/>
        <v>0</v>
      </c>
      <c r="F227" s="490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13010</v>
      </c>
      <c r="D228" s="592">
        <f>SUM(D219:D227)</f>
        <v>0</v>
      </c>
      <c r="E228" s="237">
        <f>SUM(E219:E227)</f>
        <v>13010</v>
      </c>
      <c r="F228" s="490">
        <f>SUM(F219:F227)</f>
        <v>0</v>
      </c>
      <c r="G228" s="237">
        <f>SUM(G219:G227)</f>
        <v>13010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'[17]Sch D'!N22</f>
        <v>36</v>
      </c>
      <c r="D231" s="559"/>
      <c r="E231" s="235">
        <f>C231+D231</f>
        <v>36</v>
      </c>
      <c r="F231" s="498"/>
      <c r="G231" s="235">
        <f>SUM(E231:F231)</f>
        <v>36</v>
      </c>
      <c r="H231" s="167"/>
      <c r="J231" s="168"/>
      <c r="K231" s="168"/>
    </row>
    <row r="232" spans="1:11">
      <c r="A232" s="163"/>
      <c r="B232" s="202" t="s">
        <v>290</v>
      </c>
      <c r="C232" s="593">
        <f>'[17]Sch D'!N24</f>
        <v>36</v>
      </c>
      <c r="D232" s="559"/>
      <c r="E232" s="235">
        <f>C232+D232</f>
        <v>36</v>
      </c>
      <c r="F232" s="498"/>
      <c r="G232" s="235">
        <f>SUM(E232:F232)</f>
        <v>36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49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'[17]Sch D'!N28</f>
        <v>13176</v>
      </c>
      <c r="D235" s="483"/>
      <c r="E235" s="234">
        <f>E231*E233</f>
        <v>13176</v>
      </c>
      <c r="F235" s="239"/>
      <c r="G235" s="234">
        <f>G231*G233</f>
        <v>13176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'[17]Sch D'!N30</f>
        <v>0.98740133576199152</v>
      </c>
      <c r="D236" s="239"/>
      <c r="E236" s="244">
        <f>E228/E235</f>
        <v>0.98740133576199152</v>
      </c>
      <c r="F236" s="245"/>
      <c r="G236" s="244">
        <f>G228/G235</f>
        <v>0.98740133576199152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'[17]Sch D'!N32</f>
        <v>0.84319975713418338</v>
      </c>
      <c r="D237" s="239"/>
      <c r="E237" s="244">
        <f>(E219+E220)/E235</f>
        <v>0.84319975713418338</v>
      </c>
      <c r="F237" s="245"/>
      <c r="G237" s="244">
        <f>(G219+G220)/G235</f>
        <v>0.84319975713418338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'[17]Sch D'!N34</f>
        <v>0.85395849346656416</v>
      </c>
      <c r="D238" s="239"/>
      <c r="E238" s="244">
        <f>(E237/E236)</f>
        <v>0.85395849346656416</v>
      </c>
      <c r="F238" s="245"/>
      <c r="G238" s="244">
        <f>(G237/G236)</f>
        <v>0.85395849346656416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187.5</v>
      </c>
    </row>
    <row r="242" spans="2:7">
      <c r="F242" s="142" t="s">
        <v>341</v>
      </c>
      <c r="G242" s="558">
        <v>187.5</v>
      </c>
    </row>
    <row r="243" spans="2:7">
      <c r="F243" s="142" t="s">
        <v>342</v>
      </c>
      <c r="G243" s="558">
        <v>187.5</v>
      </c>
    </row>
    <row r="244" spans="2:7">
      <c r="F244" s="142" t="s">
        <v>343</v>
      </c>
      <c r="G244" s="558">
        <v>187.75824175824175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tabColor rgb="FFE28CAB"/>
  </sheetPr>
  <dimension ref="A1:T248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33"/>
      <c r="F1" s="434"/>
      <c r="G1" s="434"/>
      <c r="H1" s="472"/>
      <c r="I1" s="473"/>
    </row>
    <row r="2" spans="1:17" ht="23">
      <c r="B2" s="143" t="s">
        <v>189</v>
      </c>
      <c r="C2" s="246" t="s">
        <v>585</v>
      </c>
      <c r="D2" s="246"/>
      <c r="E2" s="434"/>
      <c r="F2" s="434"/>
      <c r="G2" s="434"/>
    </row>
    <row r="3" spans="1:17">
      <c r="A3" s="145"/>
      <c r="B3" s="140" t="s">
        <v>79</v>
      </c>
      <c r="C3" s="489">
        <v>42186</v>
      </c>
      <c r="D3"/>
      <c r="E3" s="434"/>
      <c r="F3"/>
      <c r="G3" s="434"/>
    </row>
    <row r="4" spans="1:17">
      <c r="A4" s="145"/>
      <c r="B4" s="148" t="s">
        <v>80</v>
      </c>
      <c r="C4" s="489">
        <v>42551</v>
      </c>
      <c r="D4"/>
      <c r="E4" s="434"/>
      <c r="F4"/>
      <c r="G4" s="434"/>
    </row>
    <row r="5" spans="1:17">
      <c r="A5" s="145"/>
      <c r="B5" s="148"/>
      <c r="C5" s="151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'[18]Sch B'!E10</f>
        <v>4557542.9600000009</v>
      </c>
      <c r="D11" s="558">
        <f>'[18]Sch B'!G10</f>
        <v>0</v>
      </c>
      <c r="E11" s="171">
        <f>C11+D11</f>
        <v>4557542.9600000009</v>
      </c>
      <c r="F11" s="171"/>
      <c r="G11" s="171">
        <f t="shared" ref="G11:G20" si="0">E11+F11</f>
        <v>4557542.9600000009</v>
      </c>
      <c r="H11" s="172">
        <f t="shared" ref="H11:H21" si="1">IF($G$21=0,0,G11/$G$21)</f>
        <v>0.77464854029851493</v>
      </c>
      <c r="I11" s="336"/>
      <c r="J11" s="368" t="s">
        <v>344</v>
      </c>
      <c r="K11" s="369">
        <f>G21</f>
        <v>5883368.6800000006</v>
      </c>
      <c r="M11" s="359">
        <f>IFERROR(G11/G219,0)</f>
        <v>258.99545149741436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'[18]Sch B'!E15</f>
        <v>505789.24</v>
      </c>
      <c r="D12" s="558">
        <f>'[18]Sch B'!G15</f>
        <v>0</v>
      </c>
      <c r="E12" s="171">
        <f t="shared" ref="E12:E20" si="2">C12+D12</f>
        <v>505789.24</v>
      </c>
      <c r="F12" s="171"/>
      <c r="G12" s="171">
        <f>E12+F12</f>
        <v>505789.24</v>
      </c>
      <c r="H12" s="172">
        <f t="shared" si="1"/>
        <v>8.5969325995052193E-2</v>
      </c>
      <c r="I12" s="336"/>
      <c r="J12" s="370" t="s">
        <v>345</v>
      </c>
      <c r="K12" s="371">
        <f>G208</f>
        <v>4563877.8399999989</v>
      </c>
      <c r="M12" s="359">
        <f t="shared" ref="M12:M19" si="3">IFERROR(G12/G220,0)</f>
        <v>160.00925023726668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'[18]Sch B'!E21</f>
        <v>774390.41</v>
      </c>
      <c r="D13" s="558">
        <f>'[18]Sch B'!G21</f>
        <v>0</v>
      </c>
      <c r="E13" s="171">
        <f t="shared" si="2"/>
        <v>774390.41</v>
      </c>
      <c r="F13" s="171"/>
      <c r="G13" s="171">
        <f t="shared" si="0"/>
        <v>774390.41</v>
      </c>
      <c r="H13" s="172">
        <f t="shared" si="1"/>
        <v>0.1316236415087283</v>
      </c>
      <c r="I13" s="336"/>
      <c r="J13" s="370" t="s">
        <v>346</v>
      </c>
      <c r="K13" s="371">
        <f>G228</f>
        <v>22578</v>
      </c>
      <c r="M13" s="359">
        <f t="shared" si="3"/>
        <v>550.38408670931062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'[18]Sch B'!E27</f>
        <v>1694.68</v>
      </c>
      <c r="D14" s="558">
        <f>'[18]Sch B'!G27</f>
        <v>0</v>
      </c>
      <c r="E14" s="171">
        <f t="shared" si="2"/>
        <v>1694.68</v>
      </c>
      <c r="F14" s="175"/>
      <c r="G14" s="175">
        <f>E14+F14</f>
        <v>1694.68</v>
      </c>
      <c r="H14" s="176">
        <f t="shared" si="1"/>
        <v>2.8804586150803658E-4</v>
      </c>
      <c r="I14" s="337"/>
      <c r="J14" s="370" t="s">
        <v>347</v>
      </c>
      <c r="K14" s="371">
        <f>G231</f>
        <v>104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'[18]Sch B'!E32</f>
        <v>0</v>
      </c>
      <c r="D15" s="558">
        <f>'[18]Sch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38064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'[18]Sch B'!E37</f>
        <v>66354.259999999995</v>
      </c>
      <c r="D16" s="558">
        <f>'[18]Sch B'!G37</f>
        <v>0</v>
      </c>
      <c r="E16" s="171">
        <f t="shared" si="2"/>
        <v>66354.259999999995</v>
      </c>
      <c r="F16" s="171"/>
      <c r="G16" s="171">
        <f t="shared" si="0"/>
        <v>66354.259999999995</v>
      </c>
      <c r="H16" s="172">
        <f t="shared" si="1"/>
        <v>1.1278276716800957E-2</v>
      </c>
      <c r="I16" s="336"/>
      <c r="J16" s="372"/>
      <c r="K16" s="371"/>
      <c r="M16" s="359">
        <f t="shared" si="3"/>
        <v>160.66406779661017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'[18]Sch B'!E42</f>
        <v>165.6</v>
      </c>
      <c r="D17" s="558">
        <f>'[18]Sch B'!G42</f>
        <v>0</v>
      </c>
      <c r="E17" s="171">
        <f t="shared" si="2"/>
        <v>165.6</v>
      </c>
      <c r="F17" s="171"/>
      <c r="G17" s="171">
        <f>E17+F17</f>
        <v>165.6</v>
      </c>
      <c r="H17" s="172">
        <f t="shared" si="1"/>
        <v>2.8147139675768198E-5</v>
      </c>
      <c r="I17" s="336"/>
      <c r="J17" s="370" t="s">
        <v>156</v>
      </c>
      <c r="K17" s="371">
        <f>J208</f>
        <v>131909.53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'[18]Sch B'!E47</f>
        <v>0</v>
      </c>
      <c r="D18" s="558">
        <f>'[18]Sch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137237.29999999999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'[18]Sch B'!E52</f>
        <v>0</v>
      </c>
      <c r="D19" s="558">
        <f>'[18]Sch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'[18]Sch B'!E67</f>
        <v>-22416.080000000002</v>
      </c>
      <c r="D20" s="558">
        <f>'[18]Sch B'!G67</f>
        <v>-152.38999999999999</v>
      </c>
      <c r="E20" s="171">
        <f t="shared" si="2"/>
        <v>-22568.47</v>
      </c>
      <c r="F20" s="171"/>
      <c r="G20" s="171">
        <f t="shared" si="0"/>
        <v>-22568.47</v>
      </c>
      <c r="H20" s="172">
        <f t="shared" si="1"/>
        <v>-3.8359775202800989E-3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5883521.0700000003</v>
      </c>
      <c r="D21" s="558">
        <f>SUM(D11:D20)</f>
        <v>-152.38999999999999</v>
      </c>
      <c r="E21" s="171">
        <f>SUM(E11:E20)</f>
        <v>5883368.6800000006</v>
      </c>
      <c r="F21" s="171">
        <f>SUM(F11:F20)</f>
        <v>0</v>
      </c>
      <c r="G21" s="171">
        <f>SUM(G11:G20)</f>
        <v>5883368.6800000006</v>
      </c>
      <c r="H21" s="172">
        <f t="shared" si="1"/>
        <v>1</v>
      </c>
      <c r="I21" s="336"/>
      <c r="J21" s="168"/>
      <c r="K21" s="168"/>
      <c r="M21" s="359">
        <f>IFERROR(G21/G228,0)</f>
        <v>260.57970945167864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/>
      <c r="G22" s="144"/>
      <c r="J22"/>
      <c r="K22"/>
      <c r="L22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J23"/>
      <c r="K23"/>
      <c r="L23"/>
      <c r="M23" s="363"/>
      <c r="N23" s="363"/>
    </row>
    <row r="24" spans="1:17">
      <c r="A24" s="181" t="s">
        <v>161</v>
      </c>
      <c r="B24" s="148" t="s">
        <v>12</v>
      </c>
      <c r="F24"/>
      <c r="J24"/>
      <c r="K24"/>
      <c r="L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'[18]Sch C'!D10</f>
        <v>210819.59999999998</v>
      </c>
      <c r="D25" s="558">
        <f>'[18]Sch C'!F10</f>
        <v>0</v>
      </c>
      <c r="E25" s="171">
        <f t="shared" ref="E25:E60" si="4">C25+D25</f>
        <v>210819.59999999998</v>
      </c>
      <c r="F25" s="171"/>
      <c r="G25" s="182">
        <f>E25+F25</f>
        <v>210819.59999999998</v>
      </c>
      <c r="H25" s="172">
        <f>IF($G$208=0,0,G25/$G$208)</f>
        <v>4.6193085658927283E-2</v>
      </c>
      <c r="I25" s="336"/>
      <c r="J25" s="183">
        <v>1993.41</v>
      </c>
      <c r="K25" s="183">
        <v>1993.41</v>
      </c>
      <c r="M25" s="359">
        <f>G25/G$228</f>
        <v>9.3373903800159432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'[18]Sch C'!D11</f>
        <v>0</v>
      </c>
      <c r="D26" s="558">
        <f>'[18]Sch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'[18]Sch C'!D12</f>
        <v>115227.69</v>
      </c>
      <c r="D27" s="558">
        <f>'[18]Sch C'!F12</f>
        <v>0</v>
      </c>
      <c r="E27" s="171">
        <f t="shared" si="4"/>
        <v>115227.69</v>
      </c>
      <c r="F27" s="171"/>
      <c r="G27" s="171">
        <f t="shared" si="5"/>
        <v>115227.69</v>
      </c>
      <c r="H27" s="172">
        <f t="shared" si="6"/>
        <v>2.524775947990756E-2</v>
      </c>
      <c r="I27" s="336"/>
      <c r="J27" s="185">
        <v>7036.95</v>
      </c>
      <c r="K27" s="185">
        <v>7596.15</v>
      </c>
      <c r="M27" s="359">
        <f t="shared" si="7"/>
        <v>5.1035384002125967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'[18]Sch C'!D13</f>
        <v>82798.079999999987</v>
      </c>
      <c r="D28" s="558">
        <f>'[18]Sch C'!F13</f>
        <v>0</v>
      </c>
      <c r="E28" s="171">
        <f t="shared" si="4"/>
        <v>82798.079999999987</v>
      </c>
      <c r="F28" s="171"/>
      <c r="G28" s="171">
        <f t="shared" si="5"/>
        <v>82798.079999999987</v>
      </c>
      <c r="H28" s="172">
        <f t="shared" si="6"/>
        <v>1.8142045624954767E-2</v>
      </c>
      <c r="I28" s="336"/>
      <c r="J28" s="168"/>
      <c r="K28" s="168"/>
      <c r="M28" s="359">
        <f t="shared" si="7"/>
        <v>3.667201700770661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'[18]Sch C'!D14</f>
        <v>0</v>
      </c>
      <c r="D29" s="558">
        <f>'[18]Sch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'[18]Sch C'!D15</f>
        <v>409370.78</v>
      </c>
      <c r="D30" s="558">
        <f>'[18]Sch C'!F15</f>
        <v>-409370.78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'[18]Sch C'!D16</f>
        <v>0</v>
      </c>
      <c r="D31" s="558">
        <f>'[18]Sch C'!F16</f>
        <v>191577</v>
      </c>
      <c r="E31" s="171">
        <f t="shared" si="4"/>
        <v>191577</v>
      </c>
      <c r="F31" s="171"/>
      <c r="G31" s="171">
        <f t="shared" si="5"/>
        <v>191577</v>
      </c>
      <c r="H31" s="172">
        <f t="shared" si="6"/>
        <v>4.1976802779629188E-2</v>
      </c>
      <c r="I31" s="336"/>
      <c r="J31" s="168"/>
      <c r="K31" s="168"/>
      <c r="M31" s="359">
        <f t="shared" si="7"/>
        <v>8.4851182567100718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'[18]Sch C'!D17</f>
        <v>798.06999999999994</v>
      </c>
      <c r="D32" s="558">
        <f>'[18]Sch C'!F17</f>
        <v>0</v>
      </c>
      <c r="E32" s="171">
        <f t="shared" si="4"/>
        <v>798.06999999999994</v>
      </c>
      <c r="F32" s="171"/>
      <c r="G32" s="171">
        <f t="shared" si="5"/>
        <v>798.06999999999994</v>
      </c>
      <c r="H32" s="172">
        <f t="shared" si="6"/>
        <v>1.74866643669849E-4</v>
      </c>
      <c r="I32" s="336"/>
      <c r="J32" s="168"/>
      <c r="K32" s="168"/>
      <c r="M32" s="359">
        <f t="shared" si="7"/>
        <v>3.5347240676764986E-2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'[18]Sch C'!D18</f>
        <v>12849.98</v>
      </c>
      <c r="D33" s="558">
        <f>'[18]Sch C'!F18</f>
        <v>0</v>
      </c>
      <c r="E33" s="171">
        <f t="shared" si="4"/>
        <v>12849.98</v>
      </c>
      <c r="F33" s="171"/>
      <c r="G33" s="171">
        <f t="shared" si="5"/>
        <v>12849.98</v>
      </c>
      <c r="H33" s="172">
        <f t="shared" si="6"/>
        <v>2.8155836879279841E-3</v>
      </c>
      <c r="I33" s="336"/>
      <c r="J33" s="168"/>
      <c r="K33" s="168"/>
      <c r="M33" s="359">
        <f t="shared" si="7"/>
        <v>0.56913721321640531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'[18]Sch C'!D19</f>
        <v>12948.830000000002</v>
      </c>
      <c r="D34" s="558">
        <f>'[18]Sch C'!F19</f>
        <v>1097</v>
      </c>
      <c r="E34" s="171">
        <f t="shared" si="4"/>
        <v>14045.830000000002</v>
      </c>
      <c r="F34" s="171"/>
      <c r="G34" s="171">
        <f t="shared" si="5"/>
        <v>14045.830000000002</v>
      </c>
      <c r="H34" s="172">
        <f t="shared" si="6"/>
        <v>3.0776086679831036E-3</v>
      </c>
      <c r="I34" s="336"/>
      <c r="J34" s="168"/>
      <c r="K34" s="168"/>
      <c r="M34" s="359">
        <f t="shared" si="7"/>
        <v>0.6221024891487289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'[18]Sch C'!D20</f>
        <v>14254.609999999999</v>
      </c>
      <c r="D35" s="558">
        <f>'[18]Sch C'!F20</f>
        <v>0</v>
      </c>
      <c r="E35" s="171">
        <f t="shared" si="4"/>
        <v>14254.609999999999</v>
      </c>
      <c r="F35" s="171"/>
      <c r="G35" s="171">
        <f t="shared" si="5"/>
        <v>14254.609999999999</v>
      </c>
      <c r="H35" s="172">
        <f t="shared" si="6"/>
        <v>3.1233548529861618E-3</v>
      </c>
      <c r="I35" s="336"/>
      <c r="J35" s="168"/>
      <c r="K35" s="168"/>
      <c r="M35" s="359">
        <f t="shared" si="7"/>
        <v>0.63134954380370267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'[18]Sch C'!D21</f>
        <v>64520.42</v>
      </c>
      <c r="D36" s="558">
        <f>'[18]Sch C'!F21</f>
        <v>22013</v>
      </c>
      <c r="E36" s="171">
        <f t="shared" si="4"/>
        <v>86533.42</v>
      </c>
      <c r="F36" s="171"/>
      <c r="G36" s="171">
        <f t="shared" si="5"/>
        <v>86533.42</v>
      </c>
      <c r="H36" s="172">
        <f t="shared" si="6"/>
        <v>1.8960503114605717E-2</v>
      </c>
      <c r="I36" s="336"/>
      <c r="J36" s="168"/>
      <c r="K36" s="168"/>
      <c r="M36" s="359">
        <f t="shared" si="7"/>
        <v>3.8326432810700681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'[18]Sch C'!D22</f>
        <v>0</v>
      </c>
      <c r="D37" s="558">
        <f>'[18]Sch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'[18]Sch C'!D23</f>
        <v>48785.719999999994</v>
      </c>
      <c r="D38" s="558">
        <f>'[18]Sch C'!F23</f>
        <v>29482</v>
      </c>
      <c r="E38" s="171">
        <f t="shared" si="4"/>
        <v>78267.72</v>
      </c>
      <c r="F38" s="171"/>
      <c r="G38" s="171">
        <f t="shared" si="5"/>
        <v>78267.72</v>
      </c>
      <c r="H38" s="172">
        <f t="shared" si="6"/>
        <v>1.7149389782965797E-2</v>
      </c>
      <c r="I38" s="336"/>
      <c r="J38" s="168"/>
      <c r="K38" s="168"/>
      <c r="M38" s="359">
        <f t="shared" si="7"/>
        <v>3.4665479670475685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'[18]Sch C'!D24</f>
        <v>53515.72</v>
      </c>
      <c r="D39" s="558">
        <f>'[18]Sch C'!F24</f>
        <v>0</v>
      </c>
      <c r="E39" s="171">
        <f t="shared" si="4"/>
        <v>53515.72</v>
      </c>
      <c r="F39" s="171"/>
      <c r="G39" s="171">
        <f t="shared" si="5"/>
        <v>53515.72</v>
      </c>
      <c r="H39" s="172">
        <f t="shared" si="6"/>
        <v>1.172593173528063E-2</v>
      </c>
      <c r="I39" s="336"/>
      <c r="J39" s="168"/>
      <c r="K39" s="168"/>
      <c r="M39" s="359">
        <f t="shared" si="7"/>
        <v>2.3702595446895209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'[18]Sch C'!D25</f>
        <v>0</v>
      </c>
      <c r="D40" s="558">
        <f>'[18]Sch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'[18]Sch C'!D26</f>
        <v>386411.52000000002</v>
      </c>
      <c r="D41" s="558">
        <f>'[18]Sch C'!F26</f>
        <v>342</v>
      </c>
      <c r="E41" s="171">
        <f t="shared" si="4"/>
        <v>386753.52</v>
      </c>
      <c r="F41" s="171"/>
      <c r="G41" s="171">
        <f t="shared" si="5"/>
        <v>386753.52</v>
      </c>
      <c r="H41" s="172">
        <f t="shared" si="6"/>
        <v>8.4742303269011277E-2</v>
      </c>
      <c r="I41" s="336"/>
      <c r="J41" s="168"/>
      <c r="K41" s="168"/>
      <c r="M41" s="359">
        <f t="shared" si="7"/>
        <v>17.129662503321818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'[18]Sch C'!D27</f>
        <v>2921.52</v>
      </c>
      <c r="D42" s="558">
        <f>'[18]Sch C'!F27</f>
        <v>7965.61</v>
      </c>
      <c r="E42" s="171">
        <f t="shared" si="4"/>
        <v>10887.13</v>
      </c>
      <c r="F42" s="171"/>
      <c r="G42" s="171">
        <f t="shared" si="5"/>
        <v>10887.13</v>
      </c>
      <c r="H42" s="172">
        <f t="shared" si="6"/>
        <v>2.3854998713111922E-3</v>
      </c>
      <c r="I42" s="336"/>
      <c r="J42" s="168"/>
      <c r="K42" s="168"/>
      <c r="M42" s="359">
        <f t="shared" si="7"/>
        <v>0.48220081495260869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'[18]Sch C'!D28</f>
        <v>0</v>
      </c>
      <c r="D43" s="558">
        <f>'[18]Sch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'[18]Sch C'!D29</f>
        <v>-12424.189999999995</v>
      </c>
      <c r="D44" s="558">
        <f>'[18]Sch C'!F29</f>
        <v>12424.189999999995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'[18]Sch C'!D30</f>
        <v>500</v>
      </c>
      <c r="D45" s="558">
        <f>'[18]Sch C'!F30</f>
        <v>-500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'[18]Sch C'!D31</f>
        <v>0</v>
      </c>
      <c r="D46" s="558">
        <f>'[18]Sch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'[18]Sch C'!D32</f>
        <v>117749.25</v>
      </c>
      <c r="D47" s="558">
        <f>'[18]Sch C'!F32</f>
        <v>4428</v>
      </c>
      <c r="E47" s="171">
        <f t="shared" si="4"/>
        <v>122177.25</v>
      </c>
      <c r="F47" s="171"/>
      <c r="G47" s="171">
        <f t="shared" si="5"/>
        <v>122177.25</v>
      </c>
      <c r="H47" s="172">
        <f t="shared" si="6"/>
        <v>2.6770490859588835E-2</v>
      </c>
      <c r="I47" s="336"/>
      <c r="J47" s="168"/>
      <c r="K47" s="168"/>
      <c r="M47" s="359">
        <f t="shared" si="7"/>
        <v>5.4113406856231734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'[18]Sch C'!D33</f>
        <v>0</v>
      </c>
      <c r="D48" s="558">
        <f>'[18]Sch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'[18]Sch C'!D34</f>
        <v>0</v>
      </c>
      <c r="D49" s="558">
        <f>'[18]Sch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'[18]Sch C'!D35</f>
        <v>0</v>
      </c>
      <c r="D50" s="558">
        <f>'[18]Sch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'[18]Sch C'!D36</f>
        <v>0</v>
      </c>
      <c r="D51" s="558">
        <f>'[18]Sch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'[18]Sch C'!D37</f>
        <v>0</v>
      </c>
      <c r="D52" s="558">
        <f>'[18]Sch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'[18]Sch C'!D38</f>
        <v>0</v>
      </c>
      <c r="D53" s="558">
        <f>'[18]Sch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'[18]Sch C'!D39</f>
        <v>14711.35</v>
      </c>
      <c r="D54" s="558">
        <f>'[18]Sch C'!F39</f>
        <v>3610</v>
      </c>
      <c r="E54" s="171">
        <f t="shared" si="4"/>
        <v>18321.349999999999</v>
      </c>
      <c r="F54" s="171"/>
      <c r="G54" s="171">
        <f t="shared" si="5"/>
        <v>18321.349999999999</v>
      </c>
      <c r="H54" s="172">
        <f t="shared" si="6"/>
        <v>4.0144260302988309E-3</v>
      </c>
      <c r="I54" s="336"/>
      <c r="J54" s="168"/>
      <c r="K54" s="168"/>
      <c r="M54" s="359">
        <f t="shared" si="7"/>
        <v>0.8114691292408539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'[18]Sch C'!D40</f>
        <v>3155.7299999999996</v>
      </c>
      <c r="D55" s="558">
        <f>'[18]Sch C'!F40</f>
        <v>-3155.73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'[18]Sch C'!D41</f>
        <v>15561.35</v>
      </c>
      <c r="D56" s="558">
        <f>'[18]Sch C'!F41</f>
        <v>20154</v>
      </c>
      <c r="E56" s="171">
        <f t="shared" si="4"/>
        <v>35715.35</v>
      </c>
      <c r="F56" s="171"/>
      <c r="G56" s="171">
        <f t="shared" si="5"/>
        <v>35715.35</v>
      </c>
      <c r="H56" s="172">
        <f t="shared" si="6"/>
        <v>7.8256586289347316E-3</v>
      </c>
      <c r="I56" s="336"/>
      <c r="J56" s="168"/>
      <c r="K56" s="168"/>
      <c r="M56" s="359">
        <f t="shared" si="7"/>
        <v>1.5818650899105322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'[18]Sch C'!D42</f>
        <v>0</v>
      </c>
      <c r="D57" s="558">
        <f>'[18]Sch C'!F42</f>
        <v>3217</v>
      </c>
      <c r="E57" s="171">
        <f t="shared" si="4"/>
        <v>3217</v>
      </c>
      <c r="F57" s="171"/>
      <c r="G57" s="171">
        <f t="shared" si="5"/>
        <v>3217</v>
      </c>
      <c r="H57" s="172">
        <f t="shared" si="6"/>
        <v>7.0488302114589483E-4</v>
      </c>
      <c r="I57" s="336"/>
      <c r="J57" s="168"/>
      <c r="K57" s="168"/>
      <c r="M57" s="359">
        <f t="shared" si="7"/>
        <v>0.14248383382053326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'[18]Sch C'!D43</f>
        <v>0</v>
      </c>
      <c r="D58" s="558">
        <f>'[18]Sch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'[18]Sch C'!D44</f>
        <v>0</v>
      </c>
      <c r="D59" s="558">
        <f>'[18]Sch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'[18]Sch C'!D45</f>
        <v>6426.36</v>
      </c>
      <c r="D60" s="558">
        <f>'[18]Sch C'!F45</f>
        <v>139</v>
      </c>
      <c r="E60" s="171">
        <f t="shared" si="4"/>
        <v>6565.36</v>
      </c>
      <c r="F60" s="171"/>
      <c r="G60" s="171">
        <f t="shared" si="5"/>
        <v>6565.36</v>
      </c>
      <c r="H60" s="172">
        <f t="shared" si="6"/>
        <v>1.4385485830619869E-3</v>
      </c>
      <c r="I60" s="336"/>
      <c r="J60" s="168"/>
      <c r="K60" s="168"/>
      <c r="M60" s="359">
        <f t="shared" si="7"/>
        <v>0.29078572061298608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1560902.3900000004</v>
      </c>
      <c r="D61" s="558">
        <f>SUM(D25:D60)</f>
        <v>-116577.71000000005</v>
      </c>
      <c r="E61" s="171">
        <f t="shared" ref="E61:F61" si="8">SUM(E25:E60)</f>
        <v>1444324.68</v>
      </c>
      <c r="F61" s="171">
        <f t="shared" si="8"/>
        <v>0</v>
      </c>
      <c r="G61" s="171">
        <f>SUM(G25:G60)</f>
        <v>1444324.68</v>
      </c>
      <c r="H61" s="186">
        <f t="shared" si="6"/>
        <v>0.3164687422921908</v>
      </c>
      <c r="I61" s="338"/>
      <c r="J61" s="168"/>
      <c r="K61" s="168"/>
      <c r="M61" s="364">
        <f>G61/G$228</f>
        <v>63.970443794844535</v>
      </c>
      <c r="N61" s="359">
        <f>SUMMARY!J64</f>
        <v>53.728790309602623</v>
      </c>
      <c r="O61" s="354">
        <f>M61/N61-1</f>
        <v>0.19061760791981719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'[18]Sch C'!D57</f>
        <v>911040</v>
      </c>
      <c r="D64" s="558">
        <f>'[18]Sch C'!F57</f>
        <v>-911040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'[18]Sch C'!D58</f>
        <v>1495.6999999999998</v>
      </c>
      <c r="D65" s="558">
        <f>'[18]Sch C'!F58</f>
        <v>56979.43</v>
      </c>
      <c r="E65" s="171">
        <f t="shared" si="9"/>
        <v>58475.13</v>
      </c>
      <c r="F65" s="171"/>
      <c r="G65" s="171">
        <f t="shared" si="10"/>
        <v>58475.13</v>
      </c>
      <c r="H65" s="172">
        <f t="shared" si="11"/>
        <v>1.2812597543145461E-2</v>
      </c>
      <c r="I65" s="336"/>
      <c r="J65" s="190"/>
      <c r="K65" s="168"/>
      <c r="M65" s="359">
        <f t="shared" si="12"/>
        <v>2.5899162901939938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'[18]Sch C'!D59</f>
        <v>0</v>
      </c>
      <c r="D66" s="558">
        <f>'[18]Sch C'!F59</f>
        <v>133607.85999999999</v>
      </c>
      <c r="E66" s="171">
        <f t="shared" si="9"/>
        <v>133607.85999999999</v>
      </c>
      <c r="F66" s="171"/>
      <c r="G66" s="171">
        <f t="shared" si="10"/>
        <v>133607.85999999999</v>
      </c>
      <c r="H66" s="172">
        <f t="shared" si="11"/>
        <v>2.9275073672874647E-2</v>
      </c>
      <c r="I66" s="336"/>
      <c r="J66" s="190"/>
      <c r="K66" s="168"/>
      <c r="M66" s="359">
        <f t="shared" si="12"/>
        <v>5.9176127203472397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'[18]Sch C'!D60</f>
        <v>36891.129999999997</v>
      </c>
      <c r="D67" s="558">
        <f>'[18]Sch C'!F60</f>
        <v>-4628.08</v>
      </c>
      <c r="E67" s="171">
        <f t="shared" si="9"/>
        <v>32263.049999999996</v>
      </c>
      <c r="F67" s="171"/>
      <c r="G67" s="171">
        <f t="shared" si="10"/>
        <v>32263.049999999996</v>
      </c>
      <c r="H67" s="172">
        <f t="shared" si="11"/>
        <v>7.0692185748775435E-3</v>
      </c>
      <c r="I67" s="336"/>
      <c r="J67" s="193"/>
      <c r="K67" s="168"/>
      <c r="M67" s="359">
        <f t="shared" si="12"/>
        <v>1.4289596066967842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'[18]Sch C'!D61</f>
        <v>12397.380000000001</v>
      </c>
      <c r="D68" s="558">
        <f>'[18]Sch C'!F61</f>
        <v>605</v>
      </c>
      <c r="E68" s="171">
        <f t="shared" si="9"/>
        <v>13002.380000000001</v>
      </c>
      <c r="F68" s="171"/>
      <c r="G68" s="171">
        <f t="shared" si="10"/>
        <v>13002.380000000001</v>
      </c>
      <c r="H68" s="172">
        <f t="shared" si="11"/>
        <v>2.8489763433282439E-3</v>
      </c>
      <c r="I68" s="336"/>
      <c r="J68" s="193"/>
      <c r="K68" s="168"/>
      <c r="M68" s="359">
        <f t="shared" si="12"/>
        <v>0.57588714678005137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'[18]Sch C'!D62</f>
        <v>1581.36</v>
      </c>
      <c r="D69" s="558">
        <f>'[18]Sch C'!F62</f>
        <v>0</v>
      </c>
      <c r="E69" s="171">
        <f t="shared" si="9"/>
        <v>1581.36</v>
      </c>
      <c r="F69" s="171"/>
      <c r="G69" s="171">
        <f t="shared" si="10"/>
        <v>1581.36</v>
      </c>
      <c r="H69" s="172">
        <f t="shared" si="11"/>
        <v>3.4649481327922666E-4</v>
      </c>
      <c r="I69" s="336"/>
      <c r="J69" s="195"/>
      <c r="K69" s="168"/>
      <c r="M69" s="359">
        <f t="shared" si="12"/>
        <v>7.0039861812383739E-2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'[18]Sch C'!D63</f>
        <v>0</v>
      </c>
      <c r="D70" s="558">
        <f>'[18]Sch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'[18]Sch C'!D64</f>
        <v>0</v>
      </c>
      <c r="D71" s="558">
        <f>'[18]Sch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'[18]Sch C'!D65</f>
        <v>0</v>
      </c>
      <c r="D72" s="558">
        <f>'[18]Sch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'[18]Sch C'!D66</f>
        <v>0</v>
      </c>
      <c r="D73" s="558">
        <f>'[18]Sch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'[18]Sch C'!D67</f>
        <v>542.32000000000005</v>
      </c>
      <c r="D74" s="558">
        <f>'[18]Sch C'!F67</f>
        <v>36157.47</v>
      </c>
      <c r="E74" s="171">
        <f t="shared" si="9"/>
        <v>36699.79</v>
      </c>
      <c r="F74" s="171"/>
      <c r="G74" s="171">
        <f t="shared" si="10"/>
        <v>36699.79</v>
      </c>
      <c r="H74" s="172">
        <f t="shared" si="11"/>
        <v>8.0413611596580354E-3</v>
      </c>
      <c r="I74" s="336"/>
      <c r="J74" s="195"/>
      <c r="K74" s="168"/>
      <c r="M74" s="359">
        <f t="shared" si="12"/>
        <v>1.6254668261139162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'[18]Sch C'!D68</f>
        <v>0</v>
      </c>
      <c r="D75" s="558">
        <f>'[18]Sch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'[18]Sch C'!D69</f>
        <v>0</v>
      </c>
      <c r="D76" s="558">
        <f>'[18]Sch C'!F69</f>
        <v>3216.55</v>
      </c>
      <c r="E76" s="171">
        <f t="shared" si="9"/>
        <v>3216.55</v>
      </c>
      <c r="F76" s="171"/>
      <c r="G76" s="171">
        <f t="shared" si="10"/>
        <v>3216.55</v>
      </c>
      <c r="H76" s="172">
        <f t="shared" si="11"/>
        <v>7.0478442078546102E-4</v>
      </c>
      <c r="I76" s="336"/>
      <c r="J76" s="195"/>
      <c r="K76" s="168"/>
      <c r="M76" s="359">
        <f t="shared" si="12"/>
        <v>0.14246390291434141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'[18]Sch C'!D70</f>
        <v>0</v>
      </c>
      <c r="D77" s="558">
        <f>'[18]Sch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'[18]Sch C'!D71</f>
        <v>0</v>
      </c>
      <c r="D78" s="558">
        <f>'[18]Sch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963947.8899999999</v>
      </c>
      <c r="D79" s="558">
        <f>SUM(D64:D78)</f>
        <v>-685101.7699999999</v>
      </c>
      <c r="E79" s="171">
        <f t="shared" ref="E79:F79" si="13">SUM(E64:E78)</f>
        <v>278846.11999999994</v>
      </c>
      <c r="F79" s="171">
        <f t="shared" si="13"/>
        <v>0</v>
      </c>
      <c r="G79" s="171">
        <f>SUM(G64:G78)</f>
        <v>278846.11999999994</v>
      </c>
      <c r="H79" s="172">
        <f t="shared" si="11"/>
        <v>6.1098506527948612E-2</v>
      </c>
      <c r="I79" s="336"/>
      <c r="J79" s="195"/>
      <c r="K79" s="168"/>
      <c r="M79" s="359">
        <f t="shared" si="12"/>
        <v>12.35034635485871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'[18]Sch C'!D75</f>
        <v>65989.829999999987</v>
      </c>
      <c r="D82" s="558">
        <f>'[18]Sch C'!F75</f>
        <v>0</v>
      </c>
      <c r="E82" s="171">
        <f t="shared" ref="E82:E92" si="14">C82+D82</f>
        <v>65989.829999999987</v>
      </c>
      <c r="F82" s="171"/>
      <c r="G82" s="171">
        <f t="shared" ref="G82:G92" si="15">E82+F82</f>
        <v>65989.829999999987</v>
      </c>
      <c r="H82" s="172">
        <f t="shared" ref="H82:H93" si="16">IF($G$208=0,0,G82/$G$208)</f>
        <v>1.4459157828816909E-2</v>
      </c>
      <c r="I82" s="336"/>
      <c r="J82" s="183">
        <v>4531.78</v>
      </c>
      <c r="K82" s="183">
        <v>4723.71</v>
      </c>
      <c r="M82" s="359">
        <f t="shared" ref="M82:M92" si="17">G82/G$228</f>
        <v>2.9227491363273979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'[18]Sch C'!D76</f>
        <v>11301.579999999998</v>
      </c>
      <c r="D83" s="558">
        <f>'[18]Sch C'!F76</f>
        <v>0</v>
      </c>
      <c r="E83" s="171">
        <f t="shared" si="14"/>
        <v>11301.579999999998</v>
      </c>
      <c r="F83" s="171"/>
      <c r="G83" s="171">
        <f t="shared" si="15"/>
        <v>11301.579999999998</v>
      </c>
      <c r="H83" s="172">
        <f t="shared" si="16"/>
        <v>2.4763108032707557E-3</v>
      </c>
      <c r="I83" s="336"/>
      <c r="J83" s="168"/>
      <c r="K83" s="168"/>
      <c r="M83" s="359">
        <f t="shared" si="17"/>
        <v>0.5005571795553192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'[18]Sch C'!D77</f>
        <v>8977.26</v>
      </c>
      <c r="D84" s="558">
        <f>'[18]Sch C'!F77</f>
        <v>0</v>
      </c>
      <c r="E84" s="171">
        <f t="shared" si="14"/>
        <v>8977.26</v>
      </c>
      <c r="F84" s="171"/>
      <c r="G84" s="171">
        <f t="shared" si="15"/>
        <v>8977.26</v>
      </c>
      <c r="H84" s="172">
        <f t="shared" si="16"/>
        <v>1.9670246037961441E-3</v>
      </c>
      <c r="I84" s="336"/>
      <c r="J84" s="168"/>
      <c r="K84" s="168"/>
      <c r="M84" s="359">
        <f t="shared" si="17"/>
        <v>0.39761094871113473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'[18]Sch C'!D78</f>
        <v>5128.78</v>
      </c>
      <c r="D85" s="558">
        <f>'[18]Sch C'!F78</f>
        <v>1567</v>
      </c>
      <c r="E85" s="171">
        <f t="shared" si="14"/>
        <v>6695.78</v>
      </c>
      <c r="F85" s="171"/>
      <c r="G85" s="171">
        <f t="shared" si="15"/>
        <v>6695.78</v>
      </c>
      <c r="H85" s="172">
        <f t="shared" si="16"/>
        <v>1.4671251586348335E-3</v>
      </c>
      <c r="I85" s="336"/>
      <c r="J85" s="168"/>
      <c r="K85" s="168"/>
      <c r="M85" s="359">
        <f t="shared" si="17"/>
        <v>0.29656214013641596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'[18]Sch C'!D79</f>
        <v>14424.64</v>
      </c>
      <c r="D86" s="558">
        <f>'[18]Sch C'!F79</f>
        <v>0</v>
      </c>
      <c r="E86" s="171">
        <f t="shared" si="14"/>
        <v>14424.64</v>
      </c>
      <c r="F86" s="171"/>
      <c r="G86" s="171">
        <f>E86+F86</f>
        <v>14424.64</v>
      </c>
      <c r="H86" s="172">
        <f t="shared" si="16"/>
        <v>3.1606104513963069E-3</v>
      </c>
      <c r="I86" s="336"/>
      <c r="J86" s="168"/>
      <c r="K86" s="168"/>
      <c r="M86" s="359">
        <f t="shared" si="17"/>
        <v>0.6388803259810435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'[18]Sch C'!D80</f>
        <v>12235.53</v>
      </c>
      <c r="D87" s="558">
        <f>'[18]Sch C'!F80</f>
        <v>0</v>
      </c>
      <c r="E87" s="171">
        <f t="shared" si="14"/>
        <v>12235.53</v>
      </c>
      <c r="F87" s="171"/>
      <c r="G87" s="171">
        <f t="shared" si="15"/>
        <v>12235.53</v>
      </c>
      <c r="H87" s="172">
        <f t="shared" si="16"/>
        <v>2.6809503735533823E-3</v>
      </c>
      <c r="I87" s="336"/>
      <c r="J87" s="168"/>
      <c r="K87" s="168"/>
      <c r="M87" s="359">
        <f t="shared" si="17"/>
        <v>0.5419226680839756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'[18]Sch C'!D81</f>
        <v>10895.96</v>
      </c>
      <c r="D88" s="558">
        <f>'[18]Sch C'!F81</f>
        <v>0</v>
      </c>
      <c r="E88" s="171">
        <f t="shared" si="14"/>
        <v>10895.96</v>
      </c>
      <c r="F88" s="171"/>
      <c r="G88" s="171">
        <f t="shared" si="15"/>
        <v>10895.96</v>
      </c>
      <c r="H88" s="172">
        <f t="shared" si="16"/>
        <v>2.387434629494816E-3</v>
      </c>
      <c r="I88" s="336"/>
      <c r="J88" s="168"/>
      <c r="K88" s="168"/>
      <c r="M88" s="359">
        <f t="shared" si="17"/>
        <v>0.48259190362299581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'[18]Sch C'!D82</f>
        <v>0</v>
      </c>
      <c r="D89" s="558">
        <f>'[18]Sch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'[18]Sch C'!D83</f>
        <v>0</v>
      </c>
      <c r="D90" s="558">
        <f>'[18]Sch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'[18]Sch C'!D84</f>
        <v>135100.88</v>
      </c>
      <c r="D91" s="558">
        <f>'[18]Sch C'!F84</f>
        <v>883</v>
      </c>
      <c r="E91" s="171">
        <f t="shared" si="14"/>
        <v>135983.88</v>
      </c>
      <c r="F91" s="171"/>
      <c r="G91" s="171">
        <f t="shared" si="15"/>
        <v>135983.88</v>
      </c>
      <c r="H91" s="172">
        <f t="shared" si="16"/>
        <v>2.9795687958203552E-2</v>
      </c>
      <c r="I91" s="336"/>
      <c r="J91" s="168"/>
      <c r="K91" s="168"/>
      <c r="M91" s="359">
        <f t="shared" si="17"/>
        <v>6.0228487908583581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'[18]Sch C'!D85</f>
        <v>30.24</v>
      </c>
      <c r="D92" s="558">
        <f>'[18]Sch C'!F85</f>
        <v>0</v>
      </c>
      <c r="E92" s="171">
        <f t="shared" si="14"/>
        <v>30.24</v>
      </c>
      <c r="F92" s="171"/>
      <c r="G92" s="171">
        <f t="shared" si="15"/>
        <v>30.24</v>
      </c>
      <c r="H92" s="172">
        <f t="shared" si="16"/>
        <v>6.625944221153826E-6</v>
      </c>
      <c r="I92" s="336"/>
      <c r="J92" s="168"/>
      <c r="K92" s="168"/>
      <c r="M92" s="359">
        <f t="shared" si="17"/>
        <v>1.3393568960935423E-3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264084.69999999995</v>
      </c>
      <c r="D93" s="558">
        <f>SUM(D82:D92)</f>
        <v>2450</v>
      </c>
      <c r="E93" s="171">
        <f t="shared" ref="E93:F93" si="18">SUM(E82:E92)</f>
        <v>266534.69999999995</v>
      </c>
      <c r="F93" s="171">
        <f t="shared" si="18"/>
        <v>0</v>
      </c>
      <c r="G93" s="171">
        <f>SUM(G82:G92)</f>
        <v>266534.69999999995</v>
      </c>
      <c r="H93" s="172">
        <f t="shared" si="16"/>
        <v>5.8400927751387846E-2</v>
      </c>
      <c r="I93" s="336"/>
      <c r="J93" s="168"/>
      <c r="K93" s="168"/>
      <c r="M93" s="364">
        <f>G93/G$228</f>
        <v>11.805062450172732</v>
      </c>
      <c r="N93" s="359">
        <f>SUMMARY!J96</f>
        <v>11.458724454710746</v>
      </c>
      <c r="O93" s="354">
        <f>M93/N93-1</f>
        <v>3.0224829720868707E-2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'[18]Sch C'!D89</f>
        <v>150116.34</v>
      </c>
      <c r="D96" s="558">
        <f>'[18]Sch C'!F89</f>
        <v>0</v>
      </c>
      <c r="E96" s="171">
        <f t="shared" ref="E96:E101" si="19">C96+D96</f>
        <v>150116.34</v>
      </c>
      <c r="F96" s="171"/>
      <c r="G96" s="171">
        <f t="shared" ref="G96:G101" si="20">E96+F96</f>
        <v>150116.34</v>
      </c>
      <c r="H96" s="172">
        <f t="shared" ref="H96:H102" si="21">IF($G$208=0,0,G96/$G$208)</f>
        <v>3.2892278291129728E-2</v>
      </c>
      <c r="I96" s="336"/>
      <c r="J96" s="183">
        <v>17535.39</v>
      </c>
      <c r="K96" s="183">
        <v>18111.68</v>
      </c>
      <c r="M96" s="364">
        <f t="shared" ref="M96:M101" si="22">G96/G$228</f>
        <v>6.6487882009035344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'[18]Sch C'!D90</f>
        <v>31106.75</v>
      </c>
      <c r="D97" s="558">
        <f>'[18]Sch C'!F90</f>
        <v>0</v>
      </c>
      <c r="E97" s="171">
        <f t="shared" si="19"/>
        <v>31106.75</v>
      </c>
      <c r="F97" s="171"/>
      <c r="G97" s="171">
        <f t="shared" si="20"/>
        <v>31106.75</v>
      </c>
      <c r="H97" s="172">
        <f t="shared" si="21"/>
        <v>6.8158594709449996E-3</v>
      </c>
      <c r="I97" s="336"/>
      <c r="J97" s="168"/>
      <c r="K97" s="168"/>
      <c r="M97" s="364">
        <f t="shared" si="22"/>
        <v>1.3777460359642129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'[18]Sch C'!D91</f>
        <v>20339</v>
      </c>
      <c r="D98" s="558">
        <f>'[18]Sch C'!F91</f>
        <v>0</v>
      </c>
      <c r="E98" s="171">
        <f t="shared" si="19"/>
        <v>20339</v>
      </c>
      <c r="F98" s="171"/>
      <c r="G98" s="171">
        <f t="shared" si="20"/>
        <v>20339</v>
      </c>
      <c r="H98" s="172">
        <f t="shared" si="21"/>
        <v>4.4565171796973439E-3</v>
      </c>
      <c r="I98" s="336"/>
      <c r="J98" s="168"/>
      <c r="K98" s="168"/>
      <c r="M98" s="364">
        <f t="shared" si="22"/>
        <v>0.90083266896979364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'[18]Sch C'!D92</f>
        <v>167486.32</v>
      </c>
      <c r="D99" s="558">
        <f>'[18]Sch C'!F92</f>
        <v>-144</v>
      </c>
      <c r="E99" s="171">
        <f t="shared" si="19"/>
        <v>167342.32</v>
      </c>
      <c r="F99" s="171"/>
      <c r="G99" s="171">
        <f t="shared" si="20"/>
        <v>167342.32</v>
      </c>
      <c r="H99" s="172">
        <f t="shared" si="21"/>
        <v>3.6666695706298755E-2</v>
      </c>
      <c r="I99" s="336"/>
      <c r="J99" s="168"/>
      <c r="K99" s="168"/>
      <c r="M99" s="364">
        <f t="shared" si="22"/>
        <v>7.4117424041101962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'[18]Sch C'!D93</f>
        <v>8282.3100000000013</v>
      </c>
      <c r="D100" s="558">
        <f>'[18]Sch C'!F93</f>
        <v>0</v>
      </c>
      <c r="E100" s="171">
        <f t="shared" si="19"/>
        <v>8282.3100000000013</v>
      </c>
      <c r="F100" s="171"/>
      <c r="G100" s="171">
        <f t="shared" si="20"/>
        <v>8282.3100000000013</v>
      </c>
      <c r="H100" s="172">
        <f t="shared" si="21"/>
        <v>1.8147527804994892E-3</v>
      </c>
      <c r="I100" s="336"/>
      <c r="J100" s="168"/>
      <c r="K100" s="168"/>
      <c r="M100" s="364">
        <f t="shared" si="22"/>
        <v>0.36683098591549301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'[18]Sch C'!D94</f>
        <v>10832.66</v>
      </c>
      <c r="D101" s="558">
        <f>'[18]Sch C'!F94</f>
        <v>0</v>
      </c>
      <c r="E101" s="171">
        <f t="shared" si="19"/>
        <v>10832.66</v>
      </c>
      <c r="F101" s="171"/>
      <c r="G101" s="171">
        <f t="shared" si="20"/>
        <v>10832.66</v>
      </c>
      <c r="H101" s="172">
        <f t="shared" si="21"/>
        <v>2.3735648454604567E-3</v>
      </c>
      <c r="I101" s="336"/>
      <c r="J101" s="168"/>
      <c r="K101" s="168"/>
      <c r="M101" s="364">
        <f t="shared" si="22"/>
        <v>0.47978828948533969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388163.38</v>
      </c>
      <c r="D102" s="558">
        <f>SUM(D96:D101)</f>
        <v>-144</v>
      </c>
      <c r="E102" s="171">
        <f t="shared" ref="E102:F102" si="23">SUM(E96:E101)</f>
        <v>388019.38</v>
      </c>
      <c r="F102" s="171">
        <f t="shared" si="23"/>
        <v>0</v>
      </c>
      <c r="G102" s="171">
        <f>SUM(G96:G101)</f>
        <v>388019.38</v>
      </c>
      <c r="H102" s="172">
        <f t="shared" si="21"/>
        <v>8.5019668274030777E-2</v>
      </c>
      <c r="I102" s="336"/>
      <c r="J102" s="168"/>
      <c r="K102" s="168"/>
      <c r="M102" s="364">
        <f>G102/G$228</f>
        <v>17.185728585348571</v>
      </c>
      <c r="N102" s="359">
        <f>SUMMARY!J105</f>
        <v>19.901077037785338</v>
      </c>
      <c r="O102" s="354">
        <f>M102/N102-1</f>
        <v>-0.13644228637883515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'[18]Sch C'!D98</f>
        <v>25265.640000000003</v>
      </c>
      <c r="D105" s="558">
        <f>'[18]Sch C'!F98</f>
        <v>0</v>
      </c>
      <c r="E105" s="171">
        <f t="shared" ref="E105:E110" si="24">C105+D105</f>
        <v>25265.640000000003</v>
      </c>
      <c r="F105" s="171"/>
      <c r="G105" s="171">
        <f t="shared" ref="G105:G110" si="25">E105+F105</f>
        <v>25265.640000000003</v>
      </c>
      <c r="H105" s="172">
        <f t="shared" ref="H105:H111" si="26">IF($G$208=0,0,G105/$G$208)</f>
        <v>5.5360026902034716E-3</v>
      </c>
      <c r="I105" s="336"/>
      <c r="J105" s="183">
        <v>2735.68</v>
      </c>
      <c r="K105" s="183">
        <v>3001.22</v>
      </c>
      <c r="M105" s="364">
        <f t="shared" ref="M105:M110" si="27">G105/G$228</f>
        <v>1.1190380015944725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'[18]Sch C'!D99</f>
        <v>5924.5199999999986</v>
      </c>
      <c r="D106" s="558">
        <f>'[18]Sch C'!F99</f>
        <v>0</v>
      </c>
      <c r="E106" s="171">
        <f t="shared" si="24"/>
        <v>5924.5199999999986</v>
      </c>
      <c r="F106" s="171"/>
      <c r="G106" s="171">
        <f t="shared" si="25"/>
        <v>5924.5199999999986</v>
      </c>
      <c r="H106" s="172">
        <f t="shared" si="26"/>
        <v>1.2981329053277201E-3</v>
      </c>
      <c r="I106" s="336"/>
      <c r="J106" s="168"/>
      <c r="K106" s="168"/>
      <c r="M106" s="364">
        <f t="shared" si="27"/>
        <v>0.26240233855965978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'[18]Sch C'!D100</f>
        <v>11670.039999999999</v>
      </c>
      <c r="D107" s="558">
        <f>'[18]Sch C'!F100</f>
        <v>0</v>
      </c>
      <c r="E107" s="171">
        <f t="shared" si="24"/>
        <v>11670.039999999999</v>
      </c>
      <c r="F107" s="171"/>
      <c r="G107" s="171">
        <f t="shared" si="25"/>
        <v>11670.039999999999</v>
      </c>
      <c r="H107" s="172">
        <f t="shared" si="26"/>
        <v>2.5570447783939813E-3</v>
      </c>
      <c r="I107" s="336"/>
      <c r="J107" s="168"/>
      <c r="K107" s="168"/>
      <c r="M107" s="364">
        <f t="shared" si="27"/>
        <v>0.51687660554522097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'[18]Sch C'!D101</f>
        <v>0</v>
      </c>
      <c r="D108" s="558">
        <f>'[18]Sch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'[18]Sch C'!D102</f>
        <v>6261.57</v>
      </c>
      <c r="D109" s="558">
        <f>'[18]Sch C'!F102</f>
        <v>0</v>
      </c>
      <c r="E109" s="171">
        <f t="shared" si="24"/>
        <v>6261.57</v>
      </c>
      <c r="F109" s="171"/>
      <c r="G109" s="171">
        <f t="shared" si="25"/>
        <v>6261.57</v>
      </c>
      <c r="H109" s="172">
        <f t="shared" si="26"/>
        <v>1.3719845752926641E-3</v>
      </c>
      <c r="I109" s="336"/>
      <c r="J109" s="168"/>
      <c r="K109" s="168"/>
      <c r="M109" s="364">
        <f t="shared" si="27"/>
        <v>0.27733058729736909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'[18]Sch C'!D103</f>
        <v>0</v>
      </c>
      <c r="D110" s="558">
        <f>'[18]Sch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49121.770000000004</v>
      </c>
      <c r="D111" s="558">
        <f>SUM(D105:D110)</f>
        <v>0</v>
      </c>
      <c r="E111" s="171">
        <f t="shared" ref="E111:F111" si="28">SUM(E105:E110)</f>
        <v>49121.770000000004</v>
      </c>
      <c r="F111" s="171">
        <f t="shared" si="28"/>
        <v>0</v>
      </c>
      <c r="G111" s="171">
        <f>SUM(G105:G110)</f>
        <v>49121.770000000004</v>
      </c>
      <c r="H111" s="172">
        <f t="shared" si="26"/>
        <v>1.0763164949217838E-2</v>
      </c>
      <c r="I111" s="336"/>
      <c r="J111" s="168"/>
      <c r="K111" s="168"/>
      <c r="M111" s="364">
        <f>G111/G$228</f>
        <v>2.1756475329967229</v>
      </c>
      <c r="N111" s="359">
        <f>SUMMARY!J114</f>
        <v>2.4242384372309496</v>
      </c>
      <c r="O111" s="354">
        <f>M111/N111-1</f>
        <v>-0.10254391664467455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'[18]Sch C'!D115</f>
        <v>101332.13999999998</v>
      </c>
      <c r="D114" s="558">
        <f>'[18]Sch C'!F115</f>
        <v>0</v>
      </c>
      <c r="E114" s="171">
        <f t="shared" ref="E114:E118" si="29">C114+D114</f>
        <v>101332.13999999998</v>
      </c>
      <c r="F114" s="171"/>
      <c r="G114" s="171">
        <f>E114+F114</f>
        <v>101332.13999999998</v>
      </c>
      <c r="H114" s="172">
        <f t="shared" ref="H114:H119" si="30">IF($G$208=0,0,G114/$G$208)</f>
        <v>2.220307895007111E-2</v>
      </c>
      <c r="I114" s="336"/>
      <c r="J114" s="183">
        <v>12073.93</v>
      </c>
      <c r="K114" s="183">
        <v>12694.42</v>
      </c>
      <c r="M114" s="364">
        <f t="shared" ref="M114:M119" si="31">G114/G$228</f>
        <v>4.4880919479138974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'[18]Sch C'!D116</f>
        <v>19606.389999999996</v>
      </c>
      <c r="D115" s="558">
        <f>'[18]Sch C'!F116</f>
        <v>0</v>
      </c>
      <c r="E115" s="171">
        <f t="shared" si="29"/>
        <v>19606.389999999996</v>
      </c>
      <c r="F115" s="171"/>
      <c r="G115" s="171">
        <f>E115+F115</f>
        <v>19606.389999999996</v>
      </c>
      <c r="H115" s="172">
        <f t="shared" si="30"/>
        <v>4.2959936017919363E-3</v>
      </c>
      <c r="I115" s="336"/>
      <c r="J115" s="168"/>
      <c r="K115" s="168"/>
      <c r="M115" s="364">
        <f t="shared" si="31"/>
        <v>0.86838471078040547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'[18]Sch C'!D117</f>
        <v>20128.150000000001</v>
      </c>
      <c r="D116" s="558">
        <f>'[18]Sch C'!F117</f>
        <v>0</v>
      </c>
      <c r="E116" s="171">
        <f t="shared" si="29"/>
        <v>20128.150000000001</v>
      </c>
      <c r="F116" s="171"/>
      <c r="G116" s="171">
        <f>E116+F116</f>
        <v>20128.150000000001</v>
      </c>
      <c r="H116" s="172">
        <f t="shared" si="30"/>
        <v>4.4103174330362895E-3</v>
      </c>
      <c r="I116" s="336"/>
      <c r="J116" s="168"/>
      <c r="K116" s="168"/>
      <c r="M116" s="364">
        <f t="shared" si="31"/>
        <v>0.89149393214633721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'[18]Sch C'!D118</f>
        <v>609.9</v>
      </c>
      <c r="D117" s="558">
        <f>'[18]Sch C'!F118</f>
        <v>0</v>
      </c>
      <c r="E117" s="171">
        <f t="shared" si="29"/>
        <v>609.9</v>
      </c>
      <c r="F117" s="171"/>
      <c r="G117" s="171">
        <f>E117+F117</f>
        <v>609.9</v>
      </c>
      <c r="H117" s="172">
        <f t="shared" si="30"/>
        <v>1.3363635517465999E-4</v>
      </c>
      <c r="I117" s="336"/>
      <c r="J117" s="168"/>
      <c r="K117" s="168"/>
      <c r="M117" s="364">
        <f t="shared" si="31"/>
        <v>2.7013021525378687E-2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'[18]Sch C'!D119</f>
        <v>362</v>
      </c>
      <c r="D118" s="558">
        <f>'[18]Sch C'!F119</f>
        <v>0</v>
      </c>
      <c r="E118" s="171">
        <f t="shared" si="29"/>
        <v>362</v>
      </c>
      <c r="F118" s="171"/>
      <c r="G118" s="171">
        <f>E118+F118</f>
        <v>362</v>
      </c>
      <c r="H118" s="172">
        <f t="shared" si="30"/>
        <v>7.9318512171219744E-5</v>
      </c>
      <c r="I118" s="336"/>
      <c r="J118" s="168"/>
      <c r="K118" s="168"/>
      <c r="M118" s="364">
        <f t="shared" si="31"/>
        <v>1.6033306758791745E-2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142038.57999999999</v>
      </c>
      <c r="D119" s="558">
        <f>SUM(D114:D118)</f>
        <v>0</v>
      </c>
      <c r="E119" s="171">
        <f t="shared" ref="E119:F119" si="32">SUM(E114:E118)</f>
        <v>142038.57999999999</v>
      </c>
      <c r="F119" s="171">
        <f t="shared" si="32"/>
        <v>0</v>
      </c>
      <c r="G119" s="171">
        <f>SUM(G114:G118)</f>
        <v>142038.57999999999</v>
      </c>
      <c r="H119" s="172">
        <f t="shared" si="30"/>
        <v>3.1122344852245219E-2</v>
      </c>
      <c r="I119" s="336"/>
      <c r="J119" s="168"/>
      <c r="K119" s="168"/>
      <c r="M119" s="364">
        <f t="shared" si="31"/>
        <v>6.2910169191248109</v>
      </c>
      <c r="N119" s="359">
        <f>SUMMARY!J122</f>
        <v>6.0247597205909562</v>
      </c>
      <c r="O119" s="354">
        <f>M119/N119-1</f>
        <v>4.4193828614253583E-2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'[18]Sch C'!D124</f>
        <v>84806.83</v>
      </c>
      <c r="D123" s="558">
        <f>'[18]Sch C'!F124</f>
        <v>0</v>
      </c>
      <c r="E123" s="171">
        <f t="shared" ref="E123:E127" si="33">C123+D123</f>
        <v>84806.83</v>
      </c>
      <c r="F123" s="171"/>
      <c r="G123" s="171">
        <f>E123+F123</f>
        <v>84806.83</v>
      </c>
      <c r="H123" s="172">
        <f>IF($G$208=0,0,G123/$G$208)</f>
        <v>1.8582186678335812E-2</v>
      </c>
      <c r="I123" s="336"/>
      <c r="J123" s="183">
        <v>2108.7599999999998</v>
      </c>
      <c r="K123" s="183">
        <v>2108.7599999999998</v>
      </c>
      <c r="M123" s="364">
        <f t="shared" ref="M123:M160" si="34">G123/G$228</f>
        <v>3.7561710514660289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'[18]Sch C'!D125</f>
        <v>40174.450000000004</v>
      </c>
      <c r="D124" s="558">
        <f>'[18]Sch C'!F125</f>
        <v>0</v>
      </c>
      <c r="E124" s="171">
        <f t="shared" si="33"/>
        <v>40174.450000000004</v>
      </c>
      <c r="F124" s="171"/>
      <c r="G124" s="171">
        <f>E124+F124</f>
        <v>40174.450000000004</v>
      </c>
      <c r="H124" s="172">
        <f>IF($G$208=0,0,G124/$G$208)</f>
        <v>8.8027005560692255E-3</v>
      </c>
      <c r="I124" s="336"/>
      <c r="J124" s="183">
        <v>1932.08</v>
      </c>
      <c r="K124" s="183">
        <v>2108.5099999999998</v>
      </c>
      <c r="M124" s="364">
        <f t="shared" si="34"/>
        <v>1.7793626539108869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'[18]Sch C'!D126</f>
        <v>0</v>
      </c>
      <c r="D125" s="558">
        <f>'[18]Sch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'[18]Sch C'!D127</f>
        <v>0</v>
      </c>
      <c r="D126" s="558">
        <f>'[18]Sch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'[18]Sch C'!D128</f>
        <v>52222.239999999998</v>
      </c>
      <c r="D127" s="558">
        <f>'[18]Sch C'!F128</f>
        <v>30062</v>
      </c>
      <c r="E127" s="171">
        <f t="shared" si="33"/>
        <v>82284.239999999991</v>
      </c>
      <c r="F127" s="171"/>
      <c r="G127" s="171">
        <f>E127+F127</f>
        <v>82284.239999999991</v>
      </c>
      <c r="H127" s="172">
        <f>IF($G$208=0,0,G127/$G$208)</f>
        <v>1.8029457160054049E-2</v>
      </c>
      <c r="I127" s="336"/>
      <c r="J127" s="183">
        <v>3827.85</v>
      </c>
      <c r="K127" s="183">
        <v>4066.0499999999997</v>
      </c>
      <c r="M127" s="364">
        <f t="shared" si="34"/>
        <v>3.6444432633537067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'[18]Sch C'!D130</f>
        <v>17422.260000000002</v>
      </c>
      <c r="D129" s="558">
        <f>'[18]Sch C'!F130</f>
        <v>0</v>
      </c>
      <c r="E129" s="171">
        <f t="shared" ref="E129:E133" si="35">C129+D129</f>
        <v>17422.260000000002</v>
      </c>
      <c r="F129" s="171"/>
      <c r="G129" s="171">
        <f>E129+F129</f>
        <v>17422.260000000002</v>
      </c>
      <c r="H129" s="172">
        <f>IF($G$208=0,0,G129/$G$208)</f>
        <v>3.8174247012711469E-3</v>
      </c>
      <c r="I129" s="336"/>
      <c r="J129" s="204"/>
      <c r="K129" s="204"/>
      <c r="M129" s="364">
        <f t="shared" si="34"/>
        <v>0.77164762157852784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'[18]Sch C'!D131</f>
        <v>8253.2199999999993</v>
      </c>
      <c r="D130" s="558">
        <f>'[18]Sch C'!F131</f>
        <v>0</v>
      </c>
      <c r="E130" s="171">
        <f t="shared" si="35"/>
        <v>8253.2199999999993</v>
      </c>
      <c r="F130" s="171"/>
      <c r="G130" s="171">
        <f>E130+F130</f>
        <v>8253.2199999999993</v>
      </c>
      <c r="H130" s="172">
        <f>IF($G$208=0,0,G130/$G$208)</f>
        <v>1.8083788149772216E-3</v>
      </c>
      <c r="I130" s="336"/>
      <c r="J130" s="204"/>
      <c r="K130" s="204"/>
      <c r="M130" s="364">
        <f t="shared" si="34"/>
        <v>0.3655425635574453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'[18]Sch C'!D132</f>
        <v>0</v>
      </c>
      <c r="D131" s="558">
        <f>'[18]Sch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'[18]Sch C'!D133</f>
        <v>0</v>
      </c>
      <c r="D132" s="558">
        <f>'[18]Sch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'[18]Sch C'!D134</f>
        <v>13138.29</v>
      </c>
      <c r="D133" s="558">
        <f>'[18]Sch C'!F134</f>
        <v>0</v>
      </c>
      <c r="E133" s="171">
        <f t="shared" si="35"/>
        <v>13138.29</v>
      </c>
      <c r="F133" s="171"/>
      <c r="G133" s="171">
        <f>E133+F133</f>
        <v>13138.29</v>
      </c>
      <c r="H133" s="172">
        <f>IF($G$208=0,0,G133/$G$208)</f>
        <v>2.8787558432983831E-3</v>
      </c>
      <c r="I133" s="336"/>
      <c r="J133" s="168"/>
      <c r="K133" s="168"/>
      <c r="M133" s="364">
        <f t="shared" si="34"/>
        <v>0.58190672335902205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'[18]Sch C'!D136</f>
        <v>276129.08</v>
      </c>
      <c r="D135" s="558">
        <f>'[18]Sch C'!F136</f>
        <v>0</v>
      </c>
      <c r="E135" s="171">
        <f t="shared" ref="E135:E138" si="36">C135+D135</f>
        <v>276129.08</v>
      </c>
      <c r="F135" s="171"/>
      <c r="G135" s="171">
        <f>E135+F135</f>
        <v>276129.08</v>
      </c>
      <c r="H135" s="172">
        <f>IF($G$208=0,0,G135/$G$208)</f>
        <v>6.0503170698363848E-2</v>
      </c>
      <c r="I135" s="336"/>
      <c r="J135" s="183">
        <v>10600.98</v>
      </c>
      <c r="K135" s="183">
        <v>11289.3</v>
      </c>
      <c r="M135" s="364">
        <f t="shared" si="34"/>
        <v>12.230006200726372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'[18]Sch C'!D137</f>
        <v>154261.49</v>
      </c>
      <c r="D136" s="558">
        <f>'[18]Sch C'!F137</f>
        <v>0</v>
      </c>
      <c r="E136" s="171">
        <f t="shared" si="36"/>
        <v>154261.49</v>
      </c>
      <c r="F136" s="171"/>
      <c r="G136" s="171">
        <f>E136+F136</f>
        <v>154261.49</v>
      </c>
      <c r="H136" s="172">
        <f>IF($G$208=0,0,G136/$G$208)</f>
        <v>3.380053003346821E-2</v>
      </c>
      <c r="I136" s="336"/>
      <c r="J136" s="183">
        <v>8890.5</v>
      </c>
      <c r="K136" s="183">
        <v>8986.5</v>
      </c>
      <c r="M136" s="364">
        <f t="shared" si="34"/>
        <v>6.832380636017362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'[18]Sch C'!D138</f>
        <v>499697.36999999994</v>
      </c>
      <c r="D137" s="558">
        <f>'[18]Sch C'!F138</f>
        <v>0</v>
      </c>
      <c r="E137" s="171">
        <f t="shared" si="36"/>
        <v>499697.36999999994</v>
      </c>
      <c r="F137" s="171"/>
      <c r="G137" s="171">
        <f>E137+F137</f>
        <v>499697.36999999994</v>
      </c>
      <c r="H137" s="172">
        <f>IF($G$208=0,0,G137/$G$208)</f>
        <v>0.109489646199645</v>
      </c>
      <c r="I137" s="336"/>
      <c r="J137" s="183">
        <v>48703.979999999996</v>
      </c>
      <c r="K137" s="183">
        <v>50285.729999999996</v>
      </c>
      <c r="M137" s="364">
        <f t="shared" si="34"/>
        <v>22.132047568429442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'[18]Sch C'!D139</f>
        <v>65902.19</v>
      </c>
      <c r="D138" s="558">
        <f>'[18]Sch C'!F139</f>
        <v>0</v>
      </c>
      <c r="E138" s="171">
        <f t="shared" si="36"/>
        <v>65902.19</v>
      </c>
      <c r="F138" s="171"/>
      <c r="G138" s="171">
        <f>E138+F138</f>
        <v>65902.19</v>
      </c>
      <c r="H138" s="172">
        <f>IF($G$208=0,0,G138/$G$208)</f>
        <v>1.4439954860842642E-2</v>
      </c>
      <c r="I138" s="336"/>
      <c r="J138" s="183">
        <v>5701.96</v>
      </c>
      <c r="K138" s="183">
        <v>5788.8300000000008</v>
      </c>
      <c r="M138" s="364">
        <f t="shared" si="34"/>
        <v>2.9188674816192757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'[18]Sch C'!D141</f>
        <v>56726.46</v>
      </c>
      <c r="D140" s="558">
        <f>'[18]Sch C'!F141</f>
        <v>0</v>
      </c>
      <c r="E140" s="171">
        <f t="shared" ref="E140:E143" si="37">C140+D140</f>
        <v>56726.46</v>
      </c>
      <c r="F140" s="171"/>
      <c r="G140" s="171">
        <f>E140+F140</f>
        <v>56726.46</v>
      </c>
      <c r="H140" s="172">
        <f>IF($G$208=0,0,G140/$G$208)</f>
        <v>1.2429443115856934E-2</v>
      </c>
      <c r="I140" s="336"/>
      <c r="J140" s="168"/>
      <c r="K140" s="168"/>
      <c r="M140" s="364">
        <f t="shared" si="34"/>
        <v>2.5124661174594736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'[18]Sch C'!D142</f>
        <v>31690.639999999999</v>
      </c>
      <c r="D141" s="558">
        <f>'[18]Sch C'!F142</f>
        <v>0</v>
      </c>
      <c r="E141" s="171">
        <f t="shared" si="37"/>
        <v>31690.639999999999</v>
      </c>
      <c r="F141" s="171"/>
      <c r="G141" s="171">
        <f>E141+F141</f>
        <v>31690.639999999999</v>
      </c>
      <c r="H141" s="172">
        <f>IF($G$208=0,0,G141/$G$208)</f>
        <v>6.9437967252865837E-3</v>
      </c>
      <c r="I141" s="336"/>
      <c r="J141" s="168"/>
      <c r="K141" s="168"/>
      <c r="M141" s="364">
        <f t="shared" si="34"/>
        <v>1.4036070511117016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'[18]Sch C'!D143</f>
        <v>102655.11</v>
      </c>
      <c r="D142" s="558">
        <f>'[18]Sch C'!F143</f>
        <v>0</v>
      </c>
      <c r="E142" s="171">
        <f t="shared" si="37"/>
        <v>102655.11</v>
      </c>
      <c r="F142" s="171"/>
      <c r="G142" s="171">
        <f>E142+F142</f>
        <v>102655.11</v>
      </c>
      <c r="H142" s="172">
        <f>IF($G$208=0,0,G142/$G$208)</f>
        <v>2.2492957436389231E-2</v>
      </c>
      <c r="I142" s="336"/>
      <c r="J142" s="168"/>
      <c r="K142" s="168"/>
      <c r="M142" s="364">
        <f t="shared" si="34"/>
        <v>4.5466874833909117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'[18]Sch C'!D144</f>
        <v>13538.58</v>
      </c>
      <c r="D143" s="558">
        <f>'[18]Sch C'!F144</f>
        <v>0</v>
      </c>
      <c r="E143" s="171">
        <f t="shared" si="37"/>
        <v>13538.58</v>
      </c>
      <c r="F143" s="171"/>
      <c r="G143" s="171">
        <f>E143+F143</f>
        <v>13538.58</v>
      </c>
      <c r="H143" s="172">
        <f>IF($G$208=0,0,G143/$G$208)</f>
        <v>2.9664641505829622E-3</v>
      </c>
      <c r="I143" s="336"/>
      <c r="J143" s="168"/>
      <c r="K143" s="168"/>
      <c r="M143" s="364">
        <f t="shared" si="34"/>
        <v>0.59963592878022853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58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'[18]Sch C'!D146</f>
        <v>21367.760000000002</v>
      </c>
      <c r="D145" s="558">
        <f>'[18]Sch C'!F146</f>
        <v>0</v>
      </c>
      <c r="E145" s="171">
        <f t="shared" ref="E145:E153" si="38">C145+D145</f>
        <v>21367.760000000002</v>
      </c>
      <c r="F145" s="171"/>
      <c r="G145" s="171">
        <f t="shared" ref="G145:G153" si="39">E145+F145</f>
        <v>21367.760000000002</v>
      </c>
      <c r="H145" s="172">
        <f t="shared" ref="H145:H153" si="40">IF($G$208=0,0,G145/$G$208)</f>
        <v>4.6819307503638196E-3</v>
      </c>
      <c r="I145" s="336"/>
      <c r="J145" s="183" t="s">
        <v>395</v>
      </c>
      <c r="K145" s="183" t="s">
        <v>395</v>
      </c>
      <c r="M145" s="364">
        <f t="shared" si="34"/>
        <v>0.94639737797856327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'[18]Sch C'!D147</f>
        <v>0</v>
      </c>
      <c r="D146" s="558">
        <f>'[18]Sch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'[18]Sch C'!D148</f>
        <v>0</v>
      </c>
      <c r="D147" s="558">
        <f>'[18]Sch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'[18]Sch C'!D149</f>
        <v>0</v>
      </c>
      <c r="D148" s="558">
        <f>'[18]Sch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'[18]Sch C'!D150</f>
        <v>7302.4400000000005</v>
      </c>
      <c r="D149" s="558">
        <f>'[18]Sch C'!F150</f>
        <v>0</v>
      </c>
      <c r="E149" s="171">
        <f t="shared" si="38"/>
        <v>7302.4400000000005</v>
      </c>
      <c r="F149" s="171"/>
      <c r="G149" s="171">
        <f t="shared" si="39"/>
        <v>7302.4400000000005</v>
      </c>
      <c r="H149" s="172">
        <f t="shared" si="40"/>
        <v>1.6000515912143701E-3</v>
      </c>
      <c r="I149" s="336"/>
      <c r="J149" s="183" t="s">
        <v>499</v>
      </c>
      <c r="K149" s="183" t="s">
        <v>499</v>
      </c>
      <c r="M149" s="364">
        <f t="shared" si="34"/>
        <v>0.32343165913721322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'[18]Sch C'!D151</f>
        <v>79564.639999999999</v>
      </c>
      <c r="D150" s="558">
        <f>'[18]Sch C'!F151</f>
        <v>0</v>
      </c>
      <c r="E150" s="171">
        <f t="shared" si="38"/>
        <v>79564.639999999999</v>
      </c>
      <c r="F150" s="171"/>
      <c r="G150" s="171">
        <f t="shared" si="39"/>
        <v>79564.639999999999</v>
      </c>
      <c r="H150" s="172">
        <f t="shared" si="40"/>
        <v>1.7433560403974358E-2</v>
      </c>
      <c r="I150" s="336"/>
      <c r="J150" s="585"/>
      <c r="K150" s="168"/>
      <c r="M150" s="364">
        <f t="shared" si="34"/>
        <v>3.5239897245105856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'[18]Sch C'!D152</f>
        <v>9919.15</v>
      </c>
      <c r="D151" s="558">
        <f>'[18]Sch C'!F152</f>
        <v>0</v>
      </c>
      <c r="E151" s="171">
        <f t="shared" si="38"/>
        <v>9919.15</v>
      </c>
      <c r="F151" s="171"/>
      <c r="G151" s="171">
        <f t="shared" si="39"/>
        <v>9919.15</v>
      </c>
      <c r="H151" s="172">
        <f t="shared" si="40"/>
        <v>2.1734039226606471E-3</v>
      </c>
      <c r="I151" s="336"/>
      <c r="J151" s="168"/>
      <c r="K151" s="168"/>
      <c r="M151" s="364">
        <f t="shared" si="34"/>
        <v>0.43932810700682079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'[18]Sch C'!D153</f>
        <v>0</v>
      </c>
      <c r="D152" s="558">
        <f>'[18]Sch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'[18]Sch C'!D154</f>
        <v>0</v>
      </c>
      <c r="D153" s="558">
        <f>'[18]Sch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'[18]Sch C'!D156</f>
        <v>0</v>
      </c>
      <c r="D155" s="558">
        <f>'[18]Sch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'[18]Sch C'!D157</f>
        <v>0</v>
      </c>
      <c r="D156" s="558">
        <f>'[18]Sch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'[18]Sch C'!D158</f>
        <v>0</v>
      </c>
      <c r="D157" s="558">
        <f>'[18]Sch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'[18]Sch C'!D159</f>
        <v>0</v>
      </c>
      <c r="D158" s="558">
        <f>'[18]Sch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'[18]Sch C'!D160</f>
        <v>0</v>
      </c>
      <c r="D159" s="558">
        <f>'[18]Sch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'[18]Sch C'!D161</f>
        <v>6807.44</v>
      </c>
      <c r="D160" s="558">
        <f>'[18]Sch C'!F161</f>
        <v>0</v>
      </c>
      <c r="E160" s="171">
        <f t="shared" si="41"/>
        <v>6807.44</v>
      </c>
      <c r="F160" s="171"/>
      <c r="G160" s="171">
        <f t="shared" si="42"/>
        <v>6807.44</v>
      </c>
      <c r="H160" s="172">
        <f t="shared" si="43"/>
        <v>1.4915911947371496E-3</v>
      </c>
      <c r="I160" s="336"/>
      <c r="J160" s="168"/>
      <c r="K160" s="168"/>
      <c r="M160" s="364">
        <f t="shared" si="34"/>
        <v>0.30150766232615817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1541579.6399999997</v>
      </c>
      <c r="D161" s="558">
        <f>SUM(D123:D160)</f>
        <v>30062</v>
      </c>
      <c r="E161" s="171">
        <f t="shared" ref="E161:F161" si="44">SUM(E123:E160)</f>
        <v>1571641.6399999997</v>
      </c>
      <c r="F161" s="171">
        <f t="shared" si="44"/>
        <v>0</v>
      </c>
      <c r="G161" s="171">
        <f>SUM(G123:G160)</f>
        <v>1571641.6399999997</v>
      </c>
      <c r="H161" s="172">
        <f t="shared" si="43"/>
        <v>0.34436540483739153</v>
      </c>
      <c r="I161" s="336"/>
      <c r="J161" s="168"/>
      <c r="K161" s="168"/>
      <c r="M161" s="364">
        <f>G161/G$228</f>
        <v>69.609426875719706</v>
      </c>
      <c r="N161" s="359">
        <f>SUMMARY!J164</f>
        <v>105.56901037202306</v>
      </c>
      <c r="O161" s="354">
        <f>M161/N161-1</f>
        <v>-0.34062631987912462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'[18]Sch C'!D175</f>
        <v>0</v>
      </c>
      <c r="D164" s="558">
        <f>'[18]Sch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'[18]Sch C'!D176</f>
        <v>0</v>
      </c>
      <c r="D165" s="558">
        <f>'[18]Sch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'[18]Sch C'!D177</f>
        <v>0</v>
      </c>
      <c r="D166" s="558">
        <f>'[18]Sch C'!F177</f>
        <v>9772</v>
      </c>
      <c r="E166" s="171">
        <f t="shared" si="45"/>
        <v>9772</v>
      </c>
      <c r="F166" s="216"/>
      <c r="G166" s="171">
        <f t="shared" si="46"/>
        <v>9772</v>
      </c>
      <c r="H166" s="172">
        <f t="shared" si="47"/>
        <v>2.1411616047987826E-3</v>
      </c>
      <c r="I166" s="342"/>
      <c r="J166" s="217">
        <v>0</v>
      </c>
      <c r="K166" s="217">
        <v>0</v>
      </c>
      <c r="L166" s="218"/>
      <c r="M166" s="364">
        <f t="shared" si="48"/>
        <v>0.43281070068207989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'[18]Sch C'!D178</f>
        <v>0</v>
      </c>
      <c r="D167" s="558">
        <f>'[18]Sch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'[18]Sch C'!D179</f>
        <v>0</v>
      </c>
      <c r="D168" s="558">
        <f>'[18]Sch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'[18]Sch C'!D180</f>
        <v>0</v>
      </c>
      <c r="D169" s="558">
        <f>'[18]Sch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'[18]Sch C'!D181</f>
        <v>0</v>
      </c>
      <c r="D170" s="558">
        <f>'[18]Sch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'[18]Sch C'!D182</f>
        <v>0</v>
      </c>
      <c r="D171" s="558">
        <f>'[18]Sch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'[18]Sch C'!D183</f>
        <v>1751.81</v>
      </c>
      <c r="D172" s="558">
        <f>'[18]Sch C'!F183</f>
        <v>0</v>
      </c>
      <c r="E172" s="171">
        <f t="shared" si="45"/>
        <v>1751.81</v>
      </c>
      <c r="F172" s="216"/>
      <c r="G172" s="171">
        <f t="shared" si="46"/>
        <v>1751.81</v>
      </c>
      <c r="H172" s="172">
        <f t="shared" si="47"/>
        <v>3.8384243869244328E-4</v>
      </c>
      <c r="I172" s="342"/>
      <c r="J172" s="217">
        <v>54.92</v>
      </c>
      <c r="K172" s="217">
        <v>54.92</v>
      </c>
      <c r="L172" s="218"/>
      <c r="M172" s="364">
        <f t="shared" si="48"/>
        <v>7.7589246168836917E-2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'[18]Sch C'!D184</f>
        <v>281.83</v>
      </c>
      <c r="D173" s="558">
        <f>'[18]Sch C'!F184</f>
        <v>0</v>
      </c>
      <c r="E173" s="171">
        <f t="shared" si="45"/>
        <v>281.83</v>
      </c>
      <c r="F173" s="216"/>
      <c r="G173" s="171">
        <f t="shared" si="46"/>
        <v>281.83</v>
      </c>
      <c r="H173" s="172">
        <f t="shared" si="47"/>
        <v>6.1752310180151544E-5</v>
      </c>
      <c r="I173" s="343"/>
      <c r="J173" s="222"/>
      <c r="K173" s="222"/>
      <c r="L173" s="218"/>
      <c r="M173" s="364">
        <f t="shared" si="48"/>
        <v>1.2482505093453803E-2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'[18]Sch C'!D185</f>
        <v>0</v>
      </c>
      <c r="D174" s="558">
        <f>'[18]Sch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'[18]Sch C'!D186</f>
        <v>0</v>
      </c>
      <c r="D175" s="558">
        <f>'[18]Sch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'[18]Sch C'!D187</f>
        <v>0</v>
      </c>
      <c r="D176" s="558">
        <f>'[18]Sch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'[18]Sch C'!D188</f>
        <v>0</v>
      </c>
      <c r="D177" s="558">
        <f>'[18]Sch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'[18]Sch C'!D189</f>
        <v>0</v>
      </c>
      <c r="D178" s="558">
        <f>'[18]Sch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'[18]Sch C'!D190</f>
        <v>0</v>
      </c>
      <c r="D179" s="558">
        <f>'[18]Sch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'[18]Sch C'!D191</f>
        <v>395.24</v>
      </c>
      <c r="D180" s="558">
        <f>'[18]Sch C'!F191</f>
        <v>0</v>
      </c>
      <c r="E180" s="171">
        <f t="shared" si="45"/>
        <v>395.24</v>
      </c>
      <c r="F180" s="216"/>
      <c r="G180" s="171">
        <f t="shared" si="46"/>
        <v>395.24</v>
      </c>
      <c r="H180" s="172">
        <f t="shared" si="47"/>
        <v>8.6601792128599157E-5</v>
      </c>
      <c r="I180" s="336"/>
      <c r="J180" s="223"/>
      <c r="K180" s="218"/>
      <c r="L180" s="220"/>
      <c r="M180" s="364">
        <f t="shared" si="48"/>
        <v>1.7505536362831076E-2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'[18]Sch C'!D192</f>
        <v>7648.7599999999993</v>
      </c>
      <c r="D181" s="558">
        <f>'[18]Sch C'!F192</f>
        <v>0</v>
      </c>
      <c r="E181" s="171">
        <f t="shared" si="45"/>
        <v>7648.7599999999993</v>
      </c>
      <c r="F181" s="216"/>
      <c r="G181" s="171">
        <f t="shared" si="46"/>
        <v>7648.7599999999993</v>
      </c>
      <c r="H181" s="172">
        <f t="shared" si="47"/>
        <v>1.6759344286042506E-3</v>
      </c>
      <c r="I181" s="336"/>
      <c r="J181" s="223"/>
      <c r="K181" s="218"/>
      <c r="L181" s="220"/>
      <c r="M181" s="364">
        <f t="shared" si="48"/>
        <v>0.33877048454247494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'[18]Sch C'!D193</f>
        <v>0</v>
      </c>
      <c r="D182" s="558">
        <f>'[18]Sch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'[18]Sch C'!D194</f>
        <v>108410.53391387184</v>
      </c>
      <c r="D183" s="558">
        <f>'[18]Sch C'!F194</f>
        <v>0</v>
      </c>
      <c r="E183" s="171">
        <f t="shared" si="45"/>
        <v>108410.53391387184</v>
      </c>
      <c r="F183" s="216"/>
      <c r="G183" s="171">
        <f t="shared" si="46"/>
        <v>108410.53391387184</v>
      </c>
      <c r="H183" s="172">
        <f t="shared" si="47"/>
        <v>2.375403937496098E-2</v>
      </c>
      <c r="I183" s="336"/>
      <c r="J183" s="223"/>
      <c r="K183" s="218"/>
      <c r="M183" s="364">
        <f t="shared" si="48"/>
        <v>4.8016004036616105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'[18]Sch C'!D195</f>
        <v>44052.750216170192</v>
      </c>
      <c r="D184" s="558">
        <f>'[18]Sch C'!F195</f>
        <v>0</v>
      </c>
      <c r="E184" s="171">
        <f t="shared" si="45"/>
        <v>44052.750216170192</v>
      </c>
      <c r="F184" s="216"/>
      <c r="G184" s="171">
        <f t="shared" si="46"/>
        <v>44052.750216170192</v>
      </c>
      <c r="H184" s="172">
        <f t="shared" si="47"/>
        <v>9.6524823320359079E-3</v>
      </c>
      <c r="I184" s="336"/>
      <c r="J184" s="223"/>
      <c r="K184" s="218"/>
      <c r="M184" s="364">
        <f t="shared" si="48"/>
        <v>1.9511360712273094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'[18]Sch C'!D196</f>
        <v>0</v>
      </c>
      <c r="D185" s="558">
        <f>'[18]Sch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'[18]Sch C'!D197</f>
        <v>110670.32586995796</v>
      </c>
      <c r="D186" s="558">
        <f>'[18]Sch C'!F197</f>
        <v>0</v>
      </c>
      <c r="E186" s="171">
        <f t="shared" si="45"/>
        <v>110670.32586995796</v>
      </c>
      <c r="F186" s="216"/>
      <c r="G186" s="171">
        <f t="shared" si="46"/>
        <v>110670.32586995796</v>
      </c>
      <c r="H186" s="172">
        <f t="shared" si="47"/>
        <v>2.4249186711351151E-2</v>
      </c>
      <c r="I186" s="336"/>
      <c r="J186" s="223"/>
      <c r="K186" s="218"/>
      <c r="M186" s="364">
        <f t="shared" si="48"/>
        <v>4.9016886291947008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'[18]Sch C'!D198</f>
        <v>0</v>
      </c>
      <c r="D187" s="558">
        <f>'[18]Sch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'[18]Sch C'!D199</f>
        <v>0</v>
      </c>
      <c r="D188" s="558">
        <f>'[18]Sch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'[18]Sch C'!D200</f>
        <v>0</v>
      </c>
      <c r="D189" s="558">
        <f>'[18]Sch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'[18]Sch C'!D201</f>
        <v>0</v>
      </c>
      <c r="D190" s="558">
        <f>'[18]Sch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'[18]Sch C'!D202</f>
        <v>0</v>
      </c>
      <c r="D191" s="558">
        <f>'[18]Sch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'[18]Sch C'!D203</f>
        <v>0</v>
      </c>
      <c r="D192" s="558">
        <f>'[18]Sch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'[18]Sch C'!D204</f>
        <v>0</v>
      </c>
      <c r="D193" s="558">
        <f>'[18]Sch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'[18]Sch C'!D205</f>
        <v>32681.93</v>
      </c>
      <c r="D194" s="558">
        <f>'[18]Sch C'!F205</f>
        <v>0</v>
      </c>
      <c r="E194" s="171">
        <f t="shared" si="45"/>
        <v>32681.93</v>
      </c>
      <c r="F194" s="216"/>
      <c r="G194" s="171">
        <f t="shared" si="46"/>
        <v>32681.93</v>
      </c>
      <c r="H194" s="172">
        <f t="shared" si="47"/>
        <v>7.1610001726076017E-3</v>
      </c>
      <c r="I194" s="336"/>
      <c r="J194" s="223"/>
      <c r="K194" s="218"/>
      <c r="M194" s="364">
        <f t="shared" si="48"/>
        <v>1.4475121799982285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'[18]Sch C'!D206</f>
        <v>2974.83</v>
      </c>
      <c r="D195" s="558">
        <f>'[18]Sch C'!F206</f>
        <v>0</v>
      </c>
      <c r="E195" s="171">
        <f t="shared" si="45"/>
        <v>2974.83</v>
      </c>
      <c r="F195" s="216"/>
      <c r="G195" s="171">
        <f t="shared" si="46"/>
        <v>2974.83</v>
      </c>
      <c r="H195" s="172">
        <f t="shared" si="47"/>
        <v>6.5182068939864538E-4</v>
      </c>
      <c r="I195" s="336"/>
      <c r="J195" s="223"/>
      <c r="K195" s="218"/>
      <c r="M195" s="364">
        <f t="shared" si="48"/>
        <v>0.13175790592612277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'[18]Sch C'!D207</f>
        <v>11118.31</v>
      </c>
      <c r="D196" s="558">
        <f>'[18]Sch C'!F207</f>
        <v>0</v>
      </c>
      <c r="E196" s="171">
        <f t="shared" si="45"/>
        <v>11118.31</v>
      </c>
      <c r="F196" s="216"/>
      <c r="G196" s="171">
        <f t="shared" si="46"/>
        <v>11118.31</v>
      </c>
      <c r="H196" s="172">
        <f t="shared" si="47"/>
        <v>2.4361541631447354E-3</v>
      </c>
      <c r="I196" s="336"/>
      <c r="J196" s="223"/>
      <c r="K196" s="218"/>
      <c r="M196" s="364">
        <f t="shared" si="48"/>
        <v>0.49243998582691112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319986.32</v>
      </c>
      <c r="D197" s="558">
        <f>SUM(D164:D196)</f>
        <v>9772</v>
      </c>
      <c r="E197" s="171">
        <f t="shared" ref="E197:F197" si="49">SUM(E164:E196)</f>
        <v>329758.32</v>
      </c>
      <c r="F197" s="171">
        <f t="shared" si="49"/>
        <v>0</v>
      </c>
      <c r="G197" s="171">
        <f>SUM(G164:G196)</f>
        <v>329758.32</v>
      </c>
      <c r="H197" s="172">
        <f>IF($G$208=0,0,G197/$G$208)</f>
        <v>7.2253976017903246E-2</v>
      </c>
      <c r="I197" s="336"/>
      <c r="J197" s="168"/>
      <c r="K197" s="168"/>
      <c r="M197" s="364">
        <f>G197/G$228</f>
        <v>14.60529364868456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'[18]Sch C'!D211</f>
        <v>55658.06</v>
      </c>
      <c r="D200" s="558">
        <f>'[18]Sch C'!F211</f>
        <v>0</v>
      </c>
      <c r="E200" s="171">
        <f t="shared" ref="E200:E205" si="50">C200+D200</f>
        <v>55658.06</v>
      </c>
      <c r="F200" s="171"/>
      <c r="G200" s="171">
        <f t="shared" ref="G200:G205" si="51">E200+F200</f>
        <v>55658.06</v>
      </c>
      <c r="H200" s="172">
        <f t="shared" ref="H200:H206" si="52">IF($G$208=0,0,G200/$G$208)</f>
        <v>1.2195343948995798E-2</v>
      </c>
      <c r="I200" s="336"/>
      <c r="J200" s="183">
        <v>4181.3599999999997</v>
      </c>
      <c r="K200" s="183">
        <v>4428.1100000000006</v>
      </c>
      <c r="M200" s="364">
        <f t="shared" ref="M200:M205" si="53">G200/G$228</f>
        <v>2.465145717069714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'[18]Sch C'!D212</f>
        <v>12225.019999999999</v>
      </c>
      <c r="D201" s="558">
        <f>'[18]Sch C'!F212</f>
        <v>0</v>
      </c>
      <c r="E201" s="171">
        <f t="shared" si="50"/>
        <v>12225.019999999999</v>
      </c>
      <c r="F201" s="171"/>
      <c r="G201" s="171">
        <f t="shared" si="51"/>
        <v>12225.019999999999</v>
      </c>
      <c r="H201" s="172">
        <f t="shared" si="52"/>
        <v>2.6786475073574717E-3</v>
      </c>
      <c r="I201" s="336"/>
      <c r="J201" s="168"/>
      <c r="K201" s="168"/>
      <c r="M201" s="364">
        <f t="shared" si="53"/>
        <v>0.54145717069713872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'[18]Sch C'!D213</f>
        <v>15292.79</v>
      </c>
      <c r="D202" s="558">
        <f>'[18]Sch C'!F213</f>
        <v>0</v>
      </c>
      <c r="E202" s="171">
        <f t="shared" si="50"/>
        <v>15292.79</v>
      </c>
      <c r="F202" s="171"/>
      <c r="G202" s="171">
        <f t="shared" si="51"/>
        <v>15292.79</v>
      </c>
      <c r="H202" s="172">
        <f t="shared" si="52"/>
        <v>3.3508324578643859E-3</v>
      </c>
      <c r="I202" s="336"/>
      <c r="J202" s="168"/>
      <c r="K202" s="168"/>
      <c r="M202" s="364">
        <f t="shared" si="53"/>
        <v>0.67733147311542208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'[18]Sch C'!D214</f>
        <v>0</v>
      </c>
      <c r="D203" s="558">
        <f>'[18]Sch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'[18]Sch C'!D215</f>
        <v>0</v>
      </c>
      <c r="D204" s="558">
        <f>'[18]Sch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'[18]Sch C'!D216</f>
        <v>10416.779999999999</v>
      </c>
      <c r="D205" s="558">
        <f>'[18]Sch C'!F216</f>
        <v>0</v>
      </c>
      <c r="E205" s="171">
        <f t="shared" si="50"/>
        <v>10416.779999999999</v>
      </c>
      <c r="F205" s="171"/>
      <c r="G205" s="171">
        <f t="shared" si="51"/>
        <v>10416.779999999999</v>
      </c>
      <c r="H205" s="172">
        <f t="shared" si="52"/>
        <v>2.2824405834666254E-3</v>
      </c>
      <c r="I205" s="336"/>
      <c r="J205" s="168"/>
      <c r="K205" s="168"/>
      <c r="M205" s="364">
        <f t="shared" si="53"/>
        <v>0.46136858889184157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93592.65</v>
      </c>
      <c r="D206" s="558">
        <f>SUM(D200:D205)</f>
        <v>0</v>
      </c>
      <c r="E206" s="171">
        <f t="shared" ref="E206:F206" si="54">SUM(E200:E205)</f>
        <v>93592.65</v>
      </c>
      <c r="F206" s="171">
        <f t="shared" si="54"/>
        <v>0</v>
      </c>
      <c r="G206" s="171">
        <f>SUM(G200:G205)</f>
        <v>93592.65</v>
      </c>
      <c r="H206" s="172">
        <f t="shared" si="52"/>
        <v>2.050726449768428E-2</v>
      </c>
      <c r="I206" s="336"/>
      <c r="J206" s="168"/>
      <c r="K206" s="168"/>
      <c r="M206" s="364">
        <f>G206/G$228</f>
        <v>4.1453029497741163</v>
      </c>
      <c r="N206" s="359">
        <f>SUMMARY!J209</f>
        <v>7.1515095990067339</v>
      </c>
      <c r="O206" s="354">
        <f>M206/N206-1</f>
        <v>-0.42035973071337929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5323417.32</v>
      </c>
      <c r="D208" s="558">
        <f>SUM(D25:D206)/2</f>
        <v>-759539.48</v>
      </c>
      <c r="E208" s="171">
        <f t="shared" ref="E208:F208" si="55">SUM(E25:E206)/2</f>
        <v>4563877.8399999989</v>
      </c>
      <c r="F208" s="171">
        <f t="shared" si="55"/>
        <v>0</v>
      </c>
      <c r="G208" s="171">
        <f>SUM(G25:G206)/2</f>
        <v>4563877.8399999989</v>
      </c>
      <c r="H208" s="172">
        <f>IF($G$208=0,0,G208/$G$208)</f>
        <v>1</v>
      </c>
      <c r="I208" s="336"/>
      <c r="J208" s="183">
        <f>SUM(J25:J200)</f>
        <v>131909.53</v>
      </c>
      <c r="K208" s="183">
        <f>SUM(K25:K200)</f>
        <v>137237.29999999999</v>
      </c>
      <c r="M208" s="364">
        <f>G208/G$228</f>
        <v>202.13826911152444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-0.73493598736107413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'[18]Sch C'!D221</f>
        <v>5323417.3200000022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560103.75</v>
      </c>
      <c r="D215" s="558">
        <f>D21-D208</f>
        <v>759387.09</v>
      </c>
      <c r="E215" s="171">
        <f t="shared" ref="E215:F215" si="56">E21-E208</f>
        <v>1319490.8400000017</v>
      </c>
      <c r="F215" s="171">
        <f t="shared" si="56"/>
        <v>0</v>
      </c>
      <c r="G215" s="171">
        <f>G21-G208</f>
        <v>1319490.8400000017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504"/>
      <c r="G218" s="165"/>
      <c r="H218" s="166"/>
      <c r="I218" s="335"/>
      <c r="J218" s="168"/>
      <c r="K218" s="168"/>
    </row>
    <row r="219" spans="1:17">
      <c r="A219" s="163"/>
      <c r="B219" s="170" t="s">
        <v>497</v>
      </c>
      <c r="C219" s="592">
        <f>'[18]Sch D'!C9</f>
        <v>17597</v>
      </c>
      <c r="D219" s="592"/>
      <c r="E219" s="235">
        <f t="shared" ref="E219:G227" si="57">C219+D219</f>
        <v>17597</v>
      </c>
      <c r="F219" s="457"/>
      <c r="G219" s="235">
        <f t="shared" si="57"/>
        <v>17597</v>
      </c>
      <c r="H219" s="172">
        <f t="shared" ref="H219:H228" si="58">IF($G$228=0,0,G219/$G$228)</f>
        <v>0.77938701390734344</v>
      </c>
      <c r="I219" s="336"/>
      <c r="J219" s="168"/>
      <c r="K219" s="168"/>
    </row>
    <row r="220" spans="1:17">
      <c r="A220" s="163"/>
      <c r="B220" s="170" t="s">
        <v>217</v>
      </c>
      <c r="C220" s="592">
        <f>'[18]Sch D'!D9</f>
        <v>3161</v>
      </c>
      <c r="D220" s="592"/>
      <c r="E220" s="235">
        <f t="shared" ref="E220:E227" si="59">C220+D220</f>
        <v>3161</v>
      </c>
      <c r="F220" s="457"/>
      <c r="G220" s="235">
        <f t="shared" si="57"/>
        <v>3161</v>
      </c>
      <c r="H220" s="172">
        <f t="shared" si="58"/>
        <v>0.1400035432722119</v>
      </c>
      <c r="I220" s="336"/>
      <c r="J220" s="168"/>
      <c r="K220" s="168"/>
    </row>
    <row r="221" spans="1:17">
      <c r="A221" s="163"/>
      <c r="B221" s="170" t="s">
        <v>72</v>
      </c>
      <c r="C221" s="592">
        <f>'[18]Sch D'!E9</f>
        <v>1407</v>
      </c>
      <c r="D221" s="592"/>
      <c r="E221" s="235">
        <f t="shared" si="59"/>
        <v>1407</v>
      </c>
      <c r="F221" s="457"/>
      <c r="G221" s="235">
        <f t="shared" si="57"/>
        <v>1407</v>
      </c>
      <c r="H221" s="172">
        <f t="shared" si="58"/>
        <v>6.231730002657454E-2</v>
      </c>
      <c r="I221" s="336"/>
      <c r="J221" s="168"/>
      <c r="K221" s="168"/>
    </row>
    <row r="222" spans="1:17">
      <c r="A222" s="163"/>
      <c r="B222" s="202" t="s">
        <v>498</v>
      </c>
      <c r="C222" s="592">
        <f>'[18]Sch D'!F9</f>
        <v>0</v>
      </c>
      <c r="D222" s="592"/>
      <c r="E222" s="235">
        <f>C222+D222</f>
        <v>0</v>
      </c>
      <c r="F222" s="457"/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f>'[18]Sch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'[18]Sch D'!H9</f>
        <v>413</v>
      </c>
      <c r="D224" s="592"/>
      <c r="E224" s="235">
        <f t="shared" si="59"/>
        <v>413</v>
      </c>
      <c r="F224" s="234"/>
      <c r="G224" s="235">
        <f t="shared" si="57"/>
        <v>413</v>
      </c>
      <c r="H224" s="172">
        <f t="shared" si="58"/>
        <v>1.8292142793870141E-2</v>
      </c>
      <c r="I224" s="336"/>
      <c r="J224" s="168"/>
      <c r="K224" s="168"/>
    </row>
    <row r="225" spans="1:11">
      <c r="A225" s="163"/>
      <c r="B225" s="170" t="s">
        <v>236</v>
      </c>
      <c r="C225" s="592">
        <f>'[18]Sch D'!I9</f>
        <v>0</v>
      </c>
      <c r="D225" s="592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'[18]Sch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'[18]Sch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22578</v>
      </c>
      <c r="D228" s="592">
        <f>SUM(D219:D227)</f>
        <v>0</v>
      </c>
      <c r="E228" s="237">
        <f>SUM(E219:E227)</f>
        <v>22578</v>
      </c>
      <c r="F228" s="237">
        <f>SUM(F219:F227)</f>
        <v>0</v>
      </c>
      <c r="G228" s="237">
        <f>SUM(G219:G227)</f>
        <v>22578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'[18]Sch D'!N22</f>
        <v>104</v>
      </c>
      <c r="D231" s="559"/>
      <c r="E231" s="235">
        <f>C231+D231</f>
        <v>104</v>
      </c>
      <c r="F231" s="235"/>
      <c r="G231" s="235">
        <f>E231</f>
        <v>104</v>
      </c>
      <c r="H231" s="167"/>
      <c r="J231" s="168"/>
      <c r="K231" s="168"/>
    </row>
    <row r="232" spans="1:11">
      <c r="A232" s="163"/>
      <c r="B232" s="202" t="s">
        <v>290</v>
      </c>
      <c r="C232" s="593">
        <f>'[18]Sch D'!N24</f>
        <v>104</v>
      </c>
      <c r="D232" s="559"/>
      <c r="E232" s="235">
        <f>C232+D232</f>
        <v>104</v>
      </c>
      <c r="F232" s="235"/>
      <c r="G232" s="235">
        <f>E232</f>
        <v>104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'[18]Sch D'!N28</f>
        <v>38064</v>
      </c>
      <c r="D235" s="483"/>
      <c r="E235" s="234">
        <f>E231*E233</f>
        <v>38064</v>
      </c>
      <c r="F235" s="239"/>
      <c r="G235" s="234">
        <f>G231*G233</f>
        <v>38064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'[18]Sch D'!N30</f>
        <v>0.59315889029003788</v>
      </c>
      <c r="D236" s="239"/>
      <c r="E236" s="244">
        <f>E228/E235</f>
        <v>0.59315889029003788</v>
      </c>
      <c r="F236" s="245"/>
      <c r="G236" s="244">
        <f>G228/G235</f>
        <v>0.59315889029003788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'[18]Sch D'!N32</f>
        <v>0.54534468263976466</v>
      </c>
      <c r="D237" s="239"/>
      <c r="E237" s="244">
        <f>(E219+E220)/E235</f>
        <v>0.54534468263976466</v>
      </c>
      <c r="F237" s="245"/>
      <c r="G237" s="244">
        <f>(G219+G220)/G235</f>
        <v>0.54534468263976466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'[18]Sch D'!N34</f>
        <v>0.91939055717955531</v>
      </c>
      <c r="D238" s="239"/>
      <c r="E238" s="244">
        <f>(E237/E236)</f>
        <v>0.91939055717955531</v>
      </c>
      <c r="F238" s="245"/>
      <c r="G238" s="244">
        <f>(G237/G236)</f>
        <v>0.91939055717955531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'[18]Sch B'!C85</f>
        <v>189.66018867924527</v>
      </c>
    </row>
    <row r="242" spans="2:7">
      <c r="F242" s="142" t="s">
        <v>341</v>
      </c>
      <c r="G242" s="558">
        <f>'[18]Sch B'!E85</f>
        <v>150.55387755102041</v>
      </c>
    </row>
    <row r="243" spans="2:7">
      <c r="F243" s="142" t="s">
        <v>342</v>
      </c>
      <c r="G243" s="558">
        <f>'[18]Sch B'!G85</f>
        <v>150.24247787610622</v>
      </c>
    </row>
    <row r="244" spans="2:7">
      <c r="F244" s="142" t="s">
        <v>343</v>
      </c>
      <c r="G244" s="558">
        <f>'[18]Sch B'!I85</f>
        <v>151.23541666666668</v>
      </c>
    </row>
    <row r="245" spans="2:7">
      <c r="F245" s="142"/>
    </row>
    <row r="246" spans="2:7">
      <c r="B246" s="458"/>
    </row>
    <row r="247" spans="2:7">
      <c r="B247" s="458"/>
    </row>
    <row r="248" spans="2:7">
      <c r="B248" s="458"/>
    </row>
  </sheetData>
  <customSheetViews>
    <customSheetView guid="{00D6F160-3E2B-11D5-8BE5-C1A1C12816BD}" showPageBreaks="1" showGridLines="0" showRuler="0">
      <selection activeCell="A12" sqref="A12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E28CAB"/>
  </sheetPr>
  <dimension ref="A1:T245"/>
  <sheetViews>
    <sheetView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580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'[19]Sch B'!E10</f>
        <v>1446278</v>
      </c>
      <c r="D11" s="558">
        <f>'[19]Sch B'!G10</f>
        <v>0</v>
      </c>
      <c r="E11" s="171">
        <f>C11+D11</f>
        <v>1446278</v>
      </c>
      <c r="F11" s="171">
        <v>-37101.980000000003</v>
      </c>
      <c r="G11" s="171">
        <f t="shared" ref="G11:G20" si="0">E11+F11</f>
        <v>1409176.02</v>
      </c>
      <c r="H11" s="172">
        <f t="shared" ref="H11:H21" si="1">IF($G$21=0,0,G11/$G$21)</f>
        <v>0.3965661548159603</v>
      </c>
      <c r="I11" s="555" t="s">
        <v>420</v>
      </c>
      <c r="J11" s="368" t="s">
        <v>344</v>
      </c>
      <c r="K11" s="369">
        <f>G21</f>
        <v>3553445</v>
      </c>
      <c r="M11" s="359">
        <f>IFERROR(G11/G219,0)</f>
        <v>177.50044338077845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'[19]Sch B'!E15</f>
        <v>0</v>
      </c>
      <c r="D12" s="558">
        <f>'[19]Sch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3682071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'[19]Sch B'!E21</f>
        <v>562298</v>
      </c>
      <c r="D13" s="558">
        <f>'[19]Sch B'!G21</f>
        <v>0</v>
      </c>
      <c r="E13" s="171">
        <f t="shared" si="2"/>
        <v>562298</v>
      </c>
      <c r="F13" s="171"/>
      <c r="G13" s="171">
        <f t="shared" si="0"/>
        <v>562298</v>
      </c>
      <c r="H13" s="172">
        <f t="shared" si="1"/>
        <v>0.15824024291919531</v>
      </c>
      <c r="I13" s="336"/>
      <c r="J13" s="370" t="s">
        <v>346</v>
      </c>
      <c r="K13" s="371">
        <f>G228</f>
        <v>14670</v>
      </c>
      <c r="M13" s="359">
        <f t="shared" si="3"/>
        <v>533.99620132953464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'[19]Sch B'!E27</f>
        <v>719699</v>
      </c>
      <c r="D14" s="558">
        <f>'[19]Sch B'!G27</f>
        <v>0</v>
      </c>
      <c r="E14" s="171">
        <f t="shared" si="2"/>
        <v>719699</v>
      </c>
      <c r="F14" s="175"/>
      <c r="G14" s="175">
        <f>E14+F14</f>
        <v>719699</v>
      </c>
      <c r="H14" s="176">
        <f t="shared" si="1"/>
        <v>0.20253556759707833</v>
      </c>
      <c r="I14" s="337"/>
      <c r="J14" s="370" t="s">
        <v>347</v>
      </c>
      <c r="K14" s="371">
        <f>G231</f>
        <v>63</v>
      </c>
      <c r="M14" s="359">
        <f t="shared" si="3"/>
        <v>393.70842450765866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'[19]Sch B'!E32</f>
        <v>347144</v>
      </c>
      <c r="D15" s="558">
        <f>'[19]Sch B'!G32</f>
        <v>0</v>
      </c>
      <c r="E15" s="171">
        <f t="shared" si="2"/>
        <v>347144</v>
      </c>
      <c r="F15" s="171"/>
      <c r="G15" s="171">
        <f t="shared" si="0"/>
        <v>347144</v>
      </c>
      <c r="H15" s="172">
        <f t="shared" si="1"/>
        <v>9.7692239502792363E-2</v>
      </c>
      <c r="I15" s="336"/>
      <c r="J15" s="370" t="s">
        <v>348</v>
      </c>
      <c r="K15" s="371">
        <f>G235</f>
        <v>23058</v>
      </c>
      <c r="M15" s="359">
        <f t="shared" si="3"/>
        <v>236.63531015678254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'[19]Sch B'!E37</f>
        <v>147610</v>
      </c>
      <c r="D16" s="558">
        <f>'[19]Sch B'!G37</f>
        <v>0</v>
      </c>
      <c r="E16" s="171">
        <f t="shared" si="2"/>
        <v>147610</v>
      </c>
      <c r="F16" s="171"/>
      <c r="G16" s="171">
        <f t="shared" si="0"/>
        <v>147610</v>
      </c>
      <c r="H16" s="172">
        <f t="shared" si="1"/>
        <v>4.153997036678491E-2</v>
      </c>
      <c r="I16" s="336"/>
      <c r="J16" s="372"/>
      <c r="K16" s="371"/>
      <c r="M16" s="359">
        <f t="shared" si="3"/>
        <v>274.36802973977694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'[19]Sch B'!E42</f>
        <v>0</v>
      </c>
      <c r="D17" s="558">
        <f>'[19]Sch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99882.147058823524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'[19]Sch B'!E47</f>
        <v>329211</v>
      </c>
      <c r="D18" s="558">
        <f>'[19]Sch B'!G47</f>
        <v>0</v>
      </c>
      <c r="E18" s="171">
        <f t="shared" si="2"/>
        <v>329211</v>
      </c>
      <c r="F18" s="171"/>
      <c r="G18" s="171">
        <f>E18+F18</f>
        <v>329211</v>
      </c>
      <c r="H18" s="172">
        <f t="shared" si="1"/>
        <v>9.2645587591759546E-2</v>
      </c>
      <c r="I18" s="336"/>
      <c r="J18" s="373" t="s">
        <v>252</v>
      </c>
      <c r="K18" s="374">
        <f>K208</f>
        <v>104765.2</v>
      </c>
      <c r="M18" s="359">
        <f t="shared" si="3"/>
        <v>178.43414634146342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'[19]Sch B'!E52</f>
        <v>0</v>
      </c>
      <c r="D19" s="558">
        <f>'[19]Sch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'[19]Sch B'!E67</f>
        <v>1205</v>
      </c>
      <c r="D20" s="558">
        <f>'[19]Sch B'!G67</f>
        <v>0</v>
      </c>
      <c r="E20" s="171">
        <f t="shared" si="2"/>
        <v>1205</v>
      </c>
      <c r="F20" s="171">
        <v>37101.980000000003</v>
      </c>
      <c r="G20" s="171">
        <f t="shared" si="0"/>
        <v>38306.980000000003</v>
      </c>
      <c r="H20" s="172">
        <f t="shared" si="1"/>
        <v>1.0780237206429255E-2</v>
      </c>
      <c r="I20" s="555" t="s">
        <v>700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3553445</v>
      </c>
      <c r="D21" s="558">
        <f>SUM(D11:D20)</f>
        <v>0</v>
      </c>
      <c r="E21" s="171">
        <f>SUM(E11:E20)</f>
        <v>3553445</v>
      </c>
      <c r="F21" s="171">
        <f>SUM(F11:F20)</f>
        <v>0</v>
      </c>
      <c r="G21" s="171">
        <f>SUM(G11:G20)</f>
        <v>3553445</v>
      </c>
      <c r="H21" s="172">
        <f t="shared" si="1"/>
        <v>1</v>
      </c>
      <c r="I21" s="336"/>
      <c r="J21" s="168"/>
      <c r="K21" s="168"/>
      <c r="M21" s="359">
        <f>IFERROR(G21/G228,0)</f>
        <v>242.22528970688481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'[19]Sch C'!D10</f>
        <v>120818</v>
      </c>
      <c r="D25" s="558">
        <f>'[19]Sch C'!F10</f>
        <v>6192</v>
      </c>
      <c r="E25" s="171">
        <f t="shared" ref="E25:E60" si="4">C25+D25</f>
        <v>127010</v>
      </c>
      <c r="F25" s="171"/>
      <c r="G25" s="182">
        <f>E25+F25</f>
        <v>127010</v>
      </c>
      <c r="H25" s="172">
        <f>IF($G$208=0,0,G25/$G$208)</f>
        <v>3.4494174609886664E-2</v>
      </c>
      <c r="I25" s="336"/>
      <c r="J25" s="183">
        <v>2751</v>
      </c>
      <c r="K25" s="183">
        <v>2892</v>
      </c>
      <c r="M25" s="359">
        <f>G25/G$228</f>
        <v>8.6578050443081125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'[19]Sch C'!D11</f>
        <v>0</v>
      </c>
      <c r="D26" s="558">
        <f>'[19]Sch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'[19]Sch C'!D12</f>
        <v>156628</v>
      </c>
      <c r="D27" s="558">
        <f>'[19]Sch C'!F12</f>
        <v>8024</v>
      </c>
      <c r="E27" s="171">
        <f t="shared" si="4"/>
        <v>164652</v>
      </c>
      <c r="F27" s="171"/>
      <c r="G27" s="171">
        <f t="shared" si="5"/>
        <v>164652</v>
      </c>
      <c r="H27" s="172">
        <f t="shared" si="6"/>
        <v>4.4717225713463975E-2</v>
      </c>
      <c r="I27" s="336"/>
      <c r="J27" s="185">
        <v>6949</v>
      </c>
      <c r="K27" s="185">
        <v>7305</v>
      </c>
      <c r="M27" s="359">
        <f t="shared" si="7"/>
        <v>11.223721881390594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'[19]Sch C'!D13</f>
        <v>444003</v>
      </c>
      <c r="D28" s="558">
        <f>'[19]Sch C'!F13</f>
        <v>-396431</v>
      </c>
      <c r="E28" s="171">
        <f t="shared" si="4"/>
        <v>47572</v>
      </c>
      <c r="F28" s="171"/>
      <c r="G28" s="171">
        <f t="shared" si="5"/>
        <v>47572</v>
      </c>
      <c r="H28" s="172">
        <f t="shared" si="6"/>
        <v>1.2919902956787091E-2</v>
      </c>
      <c r="I28" s="336"/>
      <c r="J28" s="168"/>
      <c r="K28" s="168"/>
      <c r="M28" s="359">
        <f t="shared" si="7"/>
        <v>3.2428084526244034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'[19]Sch C'!D14</f>
        <v>0</v>
      </c>
      <c r="D29" s="558">
        <f>'[19]Sch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'[19]Sch C'!D15</f>
        <v>0</v>
      </c>
      <c r="D30" s="558">
        <f>'[19]Sch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'[19]Sch C'!D16</f>
        <v>176299</v>
      </c>
      <c r="D31" s="558">
        <f>'[19]Sch C'!F16</f>
        <v>88820</v>
      </c>
      <c r="E31" s="171">
        <f t="shared" si="4"/>
        <v>265119</v>
      </c>
      <c r="F31" s="171"/>
      <c r="G31" s="171">
        <f t="shared" si="5"/>
        <v>265119</v>
      </c>
      <c r="H31" s="172">
        <f t="shared" si="6"/>
        <v>7.2002685445229059E-2</v>
      </c>
      <c r="I31" s="336"/>
      <c r="J31" s="168"/>
      <c r="K31" s="168"/>
      <c r="M31" s="359">
        <f t="shared" si="7"/>
        <v>18.072188139059303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'[19]Sch C'!D17</f>
        <v>0</v>
      </c>
      <c r="D32" s="558">
        <f>'[19]Sch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'[19]Sch C'!D18</f>
        <v>20474</v>
      </c>
      <c r="D33" s="558">
        <f>'[19]Sch C'!F18</f>
        <v>0</v>
      </c>
      <c r="E33" s="171">
        <f t="shared" si="4"/>
        <v>20474</v>
      </c>
      <c r="F33" s="171"/>
      <c r="G33" s="171">
        <f t="shared" si="5"/>
        <v>20474</v>
      </c>
      <c r="H33" s="172">
        <f t="shared" si="6"/>
        <v>5.560457688078258E-3</v>
      </c>
      <c r="I33" s="336"/>
      <c r="J33" s="168"/>
      <c r="K33" s="168"/>
      <c r="M33" s="359">
        <f t="shared" si="7"/>
        <v>1.3956373551465575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'[19]Sch C'!D19</f>
        <v>8529</v>
      </c>
      <c r="D34" s="558">
        <f>'[19]Sch C'!F19</f>
        <v>-626</v>
      </c>
      <c r="E34" s="171">
        <f t="shared" si="4"/>
        <v>7903</v>
      </c>
      <c r="F34" s="171"/>
      <c r="G34" s="171">
        <f t="shared" si="5"/>
        <v>7903</v>
      </c>
      <c r="H34" s="172">
        <f t="shared" si="6"/>
        <v>2.1463464447046242E-3</v>
      </c>
      <c r="I34" s="336"/>
      <c r="J34" s="168"/>
      <c r="K34" s="168"/>
      <c r="M34" s="359">
        <f t="shared" si="7"/>
        <v>0.53871847307430132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'[19]Sch C'!D20</f>
        <v>21136</v>
      </c>
      <c r="D35" s="558">
        <f>'[19]Sch C'!F20</f>
        <v>0</v>
      </c>
      <c r="E35" s="171">
        <f t="shared" si="4"/>
        <v>21136</v>
      </c>
      <c r="F35" s="171"/>
      <c r="G35" s="171">
        <f t="shared" si="5"/>
        <v>21136</v>
      </c>
      <c r="H35" s="172">
        <f t="shared" si="6"/>
        <v>5.740247811625577E-3</v>
      </c>
      <c r="I35" s="336"/>
      <c r="J35" s="168"/>
      <c r="K35" s="168"/>
      <c r="M35" s="359">
        <f t="shared" si="7"/>
        <v>1.4407634628493524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'[19]Sch C'!D21</f>
        <v>1465</v>
      </c>
      <c r="D36" s="558">
        <f>'[19]Sch C'!F21</f>
        <v>0</v>
      </c>
      <c r="E36" s="171">
        <f t="shared" si="4"/>
        <v>1465</v>
      </c>
      <c r="F36" s="171"/>
      <c r="G36" s="171">
        <f t="shared" si="5"/>
        <v>1465</v>
      </c>
      <c r="H36" s="172">
        <f t="shared" si="6"/>
        <v>3.978739138924806E-4</v>
      </c>
      <c r="I36" s="336"/>
      <c r="J36" s="168"/>
      <c r="K36" s="168"/>
      <c r="M36" s="359">
        <f t="shared" si="7"/>
        <v>9.9863667348329924E-2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'[19]Sch C'!D22</f>
        <v>0</v>
      </c>
      <c r="D37" s="558">
        <f>'[19]Sch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'[19]Sch C'!D23</f>
        <v>5222</v>
      </c>
      <c r="D38" s="558">
        <f>'[19]Sch C'!F23</f>
        <v>0</v>
      </c>
      <c r="E38" s="171">
        <f t="shared" si="4"/>
        <v>5222</v>
      </c>
      <c r="F38" s="171"/>
      <c r="G38" s="171">
        <f t="shared" si="5"/>
        <v>5222</v>
      </c>
      <c r="H38" s="172">
        <f t="shared" si="6"/>
        <v>1.4182236029669172E-3</v>
      </c>
      <c r="I38" s="336"/>
      <c r="J38" s="168"/>
      <c r="K38" s="168"/>
      <c r="M38" s="359">
        <f t="shared" si="7"/>
        <v>0.35596455351056577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'[19]Sch C'!D24</f>
        <v>40527</v>
      </c>
      <c r="D39" s="558">
        <f>'[19]Sch C'!F24</f>
        <v>-5040</v>
      </c>
      <c r="E39" s="171">
        <f t="shared" si="4"/>
        <v>35487</v>
      </c>
      <c r="F39" s="171"/>
      <c r="G39" s="171">
        <f t="shared" si="5"/>
        <v>35487</v>
      </c>
      <c r="H39" s="172">
        <f t="shared" si="6"/>
        <v>9.6377826500358092E-3</v>
      </c>
      <c r="I39" s="336"/>
      <c r="J39" s="168"/>
      <c r="K39" s="168"/>
      <c r="M39" s="359">
        <f t="shared" si="7"/>
        <v>2.4190184049079755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'[19]Sch C'!D25</f>
        <v>4599</v>
      </c>
      <c r="D40" s="558">
        <f>'[19]Sch C'!F25</f>
        <v>0</v>
      </c>
      <c r="E40" s="171">
        <f t="shared" si="4"/>
        <v>4599</v>
      </c>
      <c r="F40" s="171"/>
      <c r="G40" s="171">
        <f t="shared" si="5"/>
        <v>4599</v>
      </c>
      <c r="H40" s="172">
        <f t="shared" si="6"/>
        <v>1.2490253447041081E-3</v>
      </c>
      <c r="I40" s="336"/>
      <c r="J40" s="168"/>
      <c r="K40" s="168"/>
      <c r="M40" s="359">
        <f t="shared" si="7"/>
        <v>0.31349693251533745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'[19]Sch C'!D26</f>
        <v>216623</v>
      </c>
      <c r="D41" s="558">
        <f>'[19]Sch C'!F26</f>
        <v>0</v>
      </c>
      <c r="E41" s="171">
        <f t="shared" si="4"/>
        <v>216623</v>
      </c>
      <c r="F41" s="171"/>
      <c r="G41" s="171">
        <f t="shared" si="5"/>
        <v>216623</v>
      </c>
      <c r="H41" s="172">
        <f t="shared" si="6"/>
        <v>5.8831836757085892E-2</v>
      </c>
      <c r="I41" s="336"/>
      <c r="J41" s="168"/>
      <c r="K41" s="168"/>
      <c r="M41" s="359">
        <f t="shared" si="7"/>
        <v>14.766394001363327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'[19]Sch C'!D27</f>
        <v>0</v>
      </c>
      <c r="D42" s="558">
        <f>'[19]Sch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'[19]Sch C'!D28</f>
        <v>0</v>
      </c>
      <c r="D43" s="558">
        <f>'[19]Sch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'[19]Sch C'!D29</f>
        <v>65131</v>
      </c>
      <c r="D44" s="558">
        <f>'[19]Sch C'!F29</f>
        <v>-65131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'[19]Sch C'!D30</f>
        <v>0</v>
      </c>
      <c r="D45" s="558">
        <f>'[19]Sch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'[19]Sch C'!D31</f>
        <v>49444</v>
      </c>
      <c r="D46" s="558">
        <f>'[19]Sch C'!F31</f>
        <v>0</v>
      </c>
      <c r="E46" s="171">
        <f t="shared" si="4"/>
        <v>49444</v>
      </c>
      <c r="F46" s="171"/>
      <c r="G46" s="171">
        <f t="shared" si="5"/>
        <v>49444</v>
      </c>
      <c r="H46" s="172">
        <f t="shared" si="6"/>
        <v>1.3428312490443557E-2</v>
      </c>
      <c r="I46" s="336"/>
      <c r="J46" s="168"/>
      <c r="K46" s="168"/>
      <c r="M46" s="359">
        <f t="shared" si="7"/>
        <v>3.3704158145875938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'[19]Sch C'!D32</f>
        <v>40002</v>
      </c>
      <c r="D47" s="558">
        <f>'[19]Sch C'!F32</f>
        <v>-9042</v>
      </c>
      <c r="E47" s="171">
        <f t="shared" si="4"/>
        <v>30960</v>
      </c>
      <c r="F47" s="171"/>
      <c r="G47" s="171">
        <f t="shared" si="5"/>
        <v>30960</v>
      </c>
      <c r="H47" s="172">
        <f t="shared" si="6"/>
        <v>8.4083115181646413E-3</v>
      </c>
      <c r="I47" s="336"/>
      <c r="J47" s="168"/>
      <c r="K47" s="168"/>
      <c r="M47" s="359">
        <f t="shared" si="7"/>
        <v>2.1104294478527605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'[19]Sch C'!D33</f>
        <v>0</v>
      </c>
      <c r="D48" s="558">
        <f>'[19]Sch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'[19]Sch C'!D34</f>
        <v>0</v>
      </c>
      <c r="D49" s="558">
        <f>'[19]Sch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'[19]Sch C'!D35</f>
        <v>7300</v>
      </c>
      <c r="D50" s="558">
        <f>'[19]Sch C'!F35</f>
        <v>-7300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'[19]Sch C'!D36</f>
        <v>0</v>
      </c>
      <c r="D51" s="558">
        <f>'[19]Sch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'[19]Sch C'!D37</f>
        <v>0</v>
      </c>
      <c r="D52" s="558">
        <f>'[19]Sch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'[19]Sch C'!D38</f>
        <v>0</v>
      </c>
      <c r="D53" s="558">
        <f>'[19]Sch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'[19]Sch C'!D39</f>
        <v>3707</v>
      </c>
      <c r="D54" s="558">
        <f>'[19]Sch C'!F39</f>
        <v>0</v>
      </c>
      <c r="E54" s="171">
        <f t="shared" si="4"/>
        <v>3707</v>
      </c>
      <c r="F54" s="171"/>
      <c r="G54" s="171">
        <f t="shared" si="5"/>
        <v>3707</v>
      </c>
      <c r="H54" s="172">
        <f t="shared" si="6"/>
        <v>1.0067703746071165E-3</v>
      </c>
      <c r="I54" s="336"/>
      <c r="J54" s="168"/>
      <c r="K54" s="168"/>
      <c r="M54" s="359">
        <f t="shared" si="7"/>
        <v>0.252692569870484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'[19]Sch C'!D40</f>
        <v>3348</v>
      </c>
      <c r="D55" s="558">
        <f>'[19]Sch C'!F40</f>
        <v>0</v>
      </c>
      <c r="E55" s="171">
        <f t="shared" si="4"/>
        <v>3348</v>
      </c>
      <c r="F55" s="171"/>
      <c r="G55" s="171">
        <f t="shared" si="5"/>
        <v>3348</v>
      </c>
      <c r="H55" s="172">
        <f t="shared" si="6"/>
        <v>9.0927089673175775E-4</v>
      </c>
      <c r="I55" s="336"/>
      <c r="J55" s="168"/>
      <c r="K55" s="168"/>
      <c r="M55" s="359">
        <f t="shared" si="7"/>
        <v>0.22822085889570551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'[19]Sch C'!D41</f>
        <v>7055</v>
      </c>
      <c r="D56" s="558">
        <f>'[19]Sch C'!F41</f>
        <v>0</v>
      </c>
      <c r="E56" s="171">
        <f t="shared" si="4"/>
        <v>7055</v>
      </c>
      <c r="F56" s="171"/>
      <c r="G56" s="171">
        <f t="shared" si="5"/>
        <v>7055</v>
      </c>
      <c r="H56" s="172">
        <f t="shared" si="6"/>
        <v>1.9160412713388742E-3</v>
      </c>
      <c r="I56" s="336"/>
      <c r="J56" s="168"/>
      <c r="K56" s="168"/>
      <c r="M56" s="359">
        <f t="shared" si="7"/>
        <v>0.48091342876618948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'[19]Sch C'!D42</f>
        <v>6830</v>
      </c>
      <c r="D57" s="558">
        <f>'[19]Sch C'!F42</f>
        <v>0</v>
      </c>
      <c r="E57" s="171">
        <f t="shared" si="4"/>
        <v>6830</v>
      </c>
      <c r="F57" s="171"/>
      <c r="G57" s="171">
        <f t="shared" si="5"/>
        <v>6830</v>
      </c>
      <c r="H57" s="172">
        <f t="shared" si="6"/>
        <v>1.8549343562359335E-3</v>
      </c>
      <c r="I57" s="336"/>
      <c r="J57" s="168"/>
      <c r="K57" s="168"/>
      <c r="M57" s="359">
        <f t="shared" si="7"/>
        <v>0.46557600545330607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'[19]Sch C'!D43</f>
        <v>8948</v>
      </c>
      <c r="D58" s="558">
        <f>'[19]Sch C'!F43</f>
        <v>0</v>
      </c>
      <c r="E58" s="171">
        <f t="shared" si="4"/>
        <v>8948</v>
      </c>
      <c r="F58" s="171"/>
      <c r="G58" s="171">
        <f t="shared" si="5"/>
        <v>8948</v>
      </c>
      <c r="H58" s="172">
        <f t="shared" si="6"/>
        <v>2.4301541170716153E-3</v>
      </c>
      <c r="I58" s="336"/>
      <c r="J58" s="168"/>
      <c r="K58" s="168"/>
      <c r="M58" s="359">
        <f t="shared" si="7"/>
        <v>0.60995228357191544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'[19]Sch C'!D44</f>
        <v>0</v>
      </c>
      <c r="D59" s="558">
        <f>'[19]Sch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'[19]Sch C'!D45</f>
        <v>13477</v>
      </c>
      <c r="D60" s="558">
        <f>'[19]Sch C'!F45</f>
        <v>-611</v>
      </c>
      <c r="E60" s="171">
        <f t="shared" si="4"/>
        <v>12866</v>
      </c>
      <c r="F60" s="171"/>
      <c r="G60" s="171">
        <f t="shared" si="5"/>
        <v>12866</v>
      </c>
      <c r="H60" s="172">
        <f t="shared" si="6"/>
        <v>3.4942291987308228E-3</v>
      </c>
      <c r="I60" s="336"/>
      <c r="J60" s="168"/>
      <c r="K60" s="168"/>
      <c r="M60" s="359">
        <f t="shared" si="7"/>
        <v>0.87702794819359231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1421565</v>
      </c>
      <c r="D61" s="558">
        <f>SUM(D25:D60)</f>
        <v>-381145</v>
      </c>
      <c r="E61" s="171">
        <f t="shared" ref="E61:F61" si="8">SUM(E25:E60)</f>
        <v>1040420</v>
      </c>
      <c r="F61" s="171">
        <f t="shared" si="8"/>
        <v>0</v>
      </c>
      <c r="G61" s="171">
        <f>SUM(G25:G60)</f>
        <v>1040420</v>
      </c>
      <c r="H61" s="186">
        <f t="shared" si="6"/>
        <v>0.28256380716178475</v>
      </c>
      <c r="I61" s="338"/>
      <c r="J61" s="168"/>
      <c r="K61" s="168"/>
      <c r="M61" s="364">
        <f>G61/G$228</f>
        <v>70.921608725289701</v>
      </c>
      <c r="N61" s="359">
        <f>SUMMARY!J64</f>
        <v>53.728790309602623</v>
      </c>
      <c r="O61" s="354">
        <f>M61/N61-1</f>
        <v>0.31999265787702491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'[19]Sch C'!D57</f>
        <v>211634</v>
      </c>
      <c r="D64" s="558">
        <f>'[19]Sch C'!F57</f>
        <v>-211634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'[19]Sch C'!D58</f>
        <v>0</v>
      </c>
      <c r="D65" s="558">
        <f>'[19]Sch C'!F58</f>
        <v>27470</v>
      </c>
      <c r="E65" s="171">
        <f t="shared" si="9"/>
        <v>27470</v>
      </c>
      <c r="F65" s="171"/>
      <c r="G65" s="171">
        <f t="shared" si="10"/>
        <v>27470</v>
      </c>
      <c r="H65" s="172">
        <f t="shared" si="11"/>
        <v>7.4604753683456945E-3</v>
      </c>
      <c r="I65" s="336"/>
      <c r="J65" s="190"/>
      <c r="K65" s="168"/>
      <c r="M65" s="359">
        <f t="shared" si="12"/>
        <v>1.8725289706884798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'[19]Sch C'!D59</f>
        <v>0</v>
      </c>
      <c r="D66" s="558">
        <f>'[19]Sch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'[19]Sch C'!D60</f>
        <v>13044</v>
      </c>
      <c r="D67" s="558">
        <f>'[19]Sch C'!F60</f>
        <v>0</v>
      </c>
      <c r="E67" s="171">
        <f t="shared" si="9"/>
        <v>13044</v>
      </c>
      <c r="F67" s="171"/>
      <c r="G67" s="171">
        <f t="shared" si="10"/>
        <v>13044</v>
      </c>
      <c r="H67" s="172">
        <f t="shared" si="11"/>
        <v>3.5425715582344825E-3</v>
      </c>
      <c r="I67" s="336"/>
      <c r="J67" s="193"/>
      <c r="K67" s="168"/>
      <c r="M67" s="359">
        <f t="shared" si="12"/>
        <v>0.88916155419222909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'[19]Sch C'!D61</f>
        <v>3710</v>
      </c>
      <c r="D68" s="558">
        <f>'[19]Sch C'!F61</f>
        <v>0</v>
      </c>
      <c r="E68" s="171">
        <f t="shared" si="9"/>
        <v>3710</v>
      </c>
      <c r="F68" s="171"/>
      <c r="G68" s="171">
        <f t="shared" si="10"/>
        <v>3710</v>
      </c>
      <c r="H68" s="172">
        <f t="shared" si="11"/>
        <v>1.0075851334751557E-3</v>
      </c>
      <c r="I68" s="336"/>
      <c r="J68" s="193"/>
      <c r="K68" s="168"/>
      <c r="M68" s="359">
        <f t="shared" si="12"/>
        <v>0.25289706884798907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'[19]Sch C'!D62</f>
        <v>0</v>
      </c>
      <c r="D69" s="558">
        <f>'[19]Sch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'[19]Sch C'!D63</f>
        <v>0</v>
      </c>
      <c r="D70" s="558">
        <f>'[19]Sch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'[19]Sch C'!D64</f>
        <v>0</v>
      </c>
      <c r="D71" s="558">
        <f>'[19]Sch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'[19]Sch C'!D65</f>
        <v>960</v>
      </c>
      <c r="D72" s="558">
        <f>'[19]Sch C'!F65</f>
        <v>0</v>
      </c>
      <c r="E72" s="171">
        <f t="shared" si="9"/>
        <v>960</v>
      </c>
      <c r="F72" s="171"/>
      <c r="G72" s="171">
        <f t="shared" si="10"/>
        <v>960</v>
      </c>
      <c r="H72" s="172">
        <f t="shared" si="11"/>
        <v>2.6072283777254704E-4</v>
      </c>
      <c r="I72" s="336"/>
      <c r="J72" s="195"/>
      <c r="K72" s="168"/>
      <c r="M72" s="359">
        <f t="shared" si="12"/>
        <v>6.5439672801635998E-2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'[19]Sch C'!D66</f>
        <v>4810</v>
      </c>
      <c r="D73" s="558">
        <f>'[19]Sch C'!F66</f>
        <v>0</v>
      </c>
      <c r="E73" s="171">
        <f t="shared" si="9"/>
        <v>4810</v>
      </c>
      <c r="F73" s="171"/>
      <c r="G73" s="171">
        <f t="shared" si="10"/>
        <v>4810</v>
      </c>
      <c r="H73" s="172">
        <f t="shared" si="11"/>
        <v>1.3063300517561992E-3</v>
      </c>
      <c r="I73" s="336"/>
      <c r="J73" s="195"/>
      <c r="K73" s="168"/>
      <c r="M73" s="359">
        <f t="shared" si="12"/>
        <v>0.32788002726653032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'[19]Sch C'!D67</f>
        <v>0</v>
      </c>
      <c r="D74" s="558">
        <f>'[19]Sch C'!F67</f>
        <v>56317</v>
      </c>
      <c r="E74" s="171">
        <f t="shared" si="9"/>
        <v>56317</v>
      </c>
      <c r="F74" s="171"/>
      <c r="G74" s="171">
        <f t="shared" si="10"/>
        <v>56317</v>
      </c>
      <c r="H74" s="172">
        <f t="shared" si="11"/>
        <v>1.5294925057121387E-2</v>
      </c>
      <c r="I74" s="336"/>
      <c r="J74" s="195"/>
      <c r="K74" s="168"/>
      <c r="M74" s="359">
        <f t="shared" si="12"/>
        <v>3.8389229720518063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'[19]Sch C'!D68</f>
        <v>0</v>
      </c>
      <c r="D75" s="558">
        <f>'[19]Sch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'[19]Sch C'!D69</f>
        <v>4946</v>
      </c>
      <c r="D76" s="558">
        <f>'[19]Sch C'!F69</f>
        <v>0</v>
      </c>
      <c r="E76" s="171">
        <f t="shared" si="9"/>
        <v>4946</v>
      </c>
      <c r="F76" s="171"/>
      <c r="G76" s="171">
        <f t="shared" si="10"/>
        <v>4946</v>
      </c>
      <c r="H76" s="172">
        <f t="shared" si="11"/>
        <v>1.3432657871073101E-3</v>
      </c>
      <c r="I76" s="336"/>
      <c r="J76" s="195"/>
      <c r="K76" s="168"/>
      <c r="M76" s="359">
        <f t="shared" si="12"/>
        <v>0.33715064758009544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'[19]Sch C'!D70</f>
        <v>0</v>
      </c>
      <c r="D77" s="558">
        <f>'[19]Sch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'[19]Sch C'!D71</f>
        <v>0</v>
      </c>
      <c r="D78" s="558">
        <f>'[19]Sch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239104</v>
      </c>
      <c r="D79" s="558">
        <f>SUM(D64:D78)</f>
        <v>-127847</v>
      </c>
      <c r="E79" s="171">
        <f t="shared" ref="E79:F79" si="13">SUM(E64:E78)</f>
        <v>111257</v>
      </c>
      <c r="F79" s="171">
        <f t="shared" si="13"/>
        <v>0</v>
      </c>
      <c r="G79" s="171">
        <f>SUM(G64:G78)</f>
        <v>111257</v>
      </c>
      <c r="H79" s="172">
        <f t="shared" si="11"/>
        <v>3.0215875793812776E-2</v>
      </c>
      <c r="I79" s="336"/>
      <c r="J79" s="195"/>
      <c r="K79" s="168"/>
      <c r="M79" s="359">
        <f t="shared" si="12"/>
        <v>7.5839809134287659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'[19]Sch C'!D75</f>
        <v>43903</v>
      </c>
      <c r="D82" s="558">
        <f>'[19]Sch C'!F75</f>
        <v>2250</v>
      </c>
      <c r="E82" s="171">
        <f t="shared" ref="E82:E92" si="14">C82+D82</f>
        <v>46153</v>
      </c>
      <c r="F82" s="171"/>
      <c r="G82" s="171">
        <f t="shared" ref="G82:G92" si="15">E82+F82</f>
        <v>46153</v>
      </c>
      <c r="H82" s="172">
        <f t="shared" ref="H82:H93" si="16">IF($G$208=0,0,G82/$G$208)</f>
        <v>1.2534522012204544E-2</v>
      </c>
      <c r="I82" s="336"/>
      <c r="J82" s="183">
        <v>2091</v>
      </c>
      <c r="K82" s="183">
        <v>2198</v>
      </c>
      <c r="M82" s="359">
        <f t="shared" ref="M82:M92" si="17">G82/G$228</f>
        <v>3.1460804362644854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'[19]Sch C'!D76</f>
        <v>0</v>
      </c>
      <c r="D83" s="558">
        <f>'[19]Sch C'!F76</f>
        <v>7607</v>
      </c>
      <c r="E83" s="171">
        <f t="shared" si="14"/>
        <v>7607</v>
      </c>
      <c r="F83" s="171"/>
      <c r="G83" s="171">
        <f t="shared" si="15"/>
        <v>7607</v>
      </c>
      <c r="H83" s="172">
        <f t="shared" si="16"/>
        <v>2.0659569030580887E-3</v>
      </c>
      <c r="I83" s="336"/>
      <c r="J83" s="168"/>
      <c r="K83" s="168"/>
      <c r="M83" s="359">
        <f t="shared" si="17"/>
        <v>0.51854124062713025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'[19]Sch C'!D77</f>
        <v>7006</v>
      </c>
      <c r="D84" s="558">
        <f>'[19]Sch C'!F77</f>
        <v>0</v>
      </c>
      <c r="E84" s="171">
        <f t="shared" si="14"/>
        <v>7006</v>
      </c>
      <c r="F84" s="171"/>
      <c r="G84" s="171">
        <f t="shared" si="15"/>
        <v>7006</v>
      </c>
      <c r="H84" s="172">
        <f t="shared" si="16"/>
        <v>1.9027335431609006E-3</v>
      </c>
      <c r="I84" s="336"/>
      <c r="J84" s="168"/>
      <c r="K84" s="168"/>
      <c r="M84" s="359">
        <f t="shared" si="17"/>
        <v>0.47757327880027267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'[19]Sch C'!D78</f>
        <v>0</v>
      </c>
      <c r="D85" s="558">
        <f>'[19]Sch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'[19]Sch C'!D79</f>
        <v>1391</v>
      </c>
      <c r="D86" s="558">
        <f>'[19]Sch C'!F79</f>
        <v>0</v>
      </c>
      <c r="E86" s="171">
        <f t="shared" si="14"/>
        <v>1391</v>
      </c>
      <c r="F86" s="171"/>
      <c r="G86" s="171">
        <f>E86+F86</f>
        <v>1391</v>
      </c>
      <c r="H86" s="172">
        <f t="shared" si="16"/>
        <v>3.7777652848084678E-4</v>
      </c>
      <c r="I86" s="336"/>
      <c r="J86" s="168"/>
      <c r="K86" s="168"/>
      <c r="M86" s="359">
        <f t="shared" si="17"/>
        <v>9.4819359236537157E-2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'[19]Sch C'!D80</f>
        <v>14722</v>
      </c>
      <c r="D87" s="558">
        <f>'[19]Sch C'!F80</f>
        <v>0</v>
      </c>
      <c r="E87" s="171">
        <f t="shared" si="14"/>
        <v>14722</v>
      </c>
      <c r="F87" s="171"/>
      <c r="G87" s="171">
        <f t="shared" si="15"/>
        <v>14722</v>
      </c>
      <c r="H87" s="172">
        <f t="shared" si="16"/>
        <v>3.998293351757747E-3</v>
      </c>
      <c r="I87" s="336"/>
      <c r="J87" s="168"/>
      <c r="K87" s="168"/>
      <c r="M87" s="359">
        <f t="shared" si="17"/>
        <v>1.0035446489434219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'[19]Sch C'!D81</f>
        <v>11077</v>
      </c>
      <c r="D88" s="558">
        <f>'[19]Sch C'!F81</f>
        <v>0</v>
      </c>
      <c r="E88" s="171">
        <f t="shared" si="14"/>
        <v>11077</v>
      </c>
      <c r="F88" s="171"/>
      <c r="G88" s="171">
        <f t="shared" si="15"/>
        <v>11077</v>
      </c>
      <c r="H88" s="172">
        <f t="shared" si="16"/>
        <v>3.0083613270901078E-3</v>
      </c>
      <c r="I88" s="336"/>
      <c r="J88" s="168"/>
      <c r="K88" s="168"/>
      <c r="M88" s="359">
        <f t="shared" si="17"/>
        <v>0.75507839127471033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'[19]Sch C'!D82</f>
        <v>615</v>
      </c>
      <c r="D89" s="558">
        <f>'[19]Sch C'!F82</f>
        <v>0</v>
      </c>
      <c r="E89" s="171">
        <f t="shared" si="14"/>
        <v>615</v>
      </c>
      <c r="F89" s="171"/>
      <c r="G89" s="171">
        <f t="shared" si="15"/>
        <v>615</v>
      </c>
      <c r="H89" s="172">
        <f t="shared" si="16"/>
        <v>1.6702556794803795E-4</v>
      </c>
      <c r="I89" s="336"/>
      <c r="J89" s="168"/>
      <c r="K89" s="168"/>
      <c r="M89" s="359">
        <f t="shared" si="17"/>
        <v>4.1922290388548056E-2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'[19]Sch C'!D83</f>
        <v>0</v>
      </c>
      <c r="D90" s="558">
        <f>'[19]Sch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'[19]Sch C'!D84</f>
        <v>79550</v>
      </c>
      <c r="D91" s="558">
        <f>'[19]Sch C'!F84</f>
        <v>0</v>
      </c>
      <c r="E91" s="171">
        <f t="shared" si="14"/>
        <v>79550</v>
      </c>
      <c r="F91" s="171"/>
      <c r="G91" s="171">
        <f t="shared" si="15"/>
        <v>79550</v>
      </c>
      <c r="H91" s="172">
        <f t="shared" si="16"/>
        <v>2.1604689317506372E-2</v>
      </c>
      <c r="I91" s="336"/>
      <c r="J91" s="168"/>
      <c r="K91" s="168"/>
      <c r="M91" s="359">
        <f t="shared" si="17"/>
        <v>5.4226312201772329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'[19]Sch C'!D85</f>
        <v>0</v>
      </c>
      <c r="D92" s="558">
        <f>'[19]Sch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158264</v>
      </c>
      <c r="D93" s="558">
        <f>SUM(D82:D92)</f>
        <v>9857</v>
      </c>
      <c r="E93" s="171">
        <f t="shared" ref="E93:F93" si="18">SUM(E82:E92)</f>
        <v>168121</v>
      </c>
      <c r="F93" s="171">
        <f t="shared" si="18"/>
        <v>0</v>
      </c>
      <c r="G93" s="171">
        <f>SUM(G82:G92)</f>
        <v>168121</v>
      </c>
      <c r="H93" s="172">
        <f t="shared" si="16"/>
        <v>4.5659358551206647E-2</v>
      </c>
      <c r="I93" s="336"/>
      <c r="J93" s="168"/>
      <c r="K93" s="168"/>
      <c r="M93" s="364">
        <f>G93/G$228</f>
        <v>11.460190865712338</v>
      </c>
      <c r="N93" s="359">
        <f>SUMMARY!J96</f>
        <v>11.458724454710746</v>
      </c>
      <c r="O93" s="354">
        <f>M93/N93-1</f>
        <v>1.2797331914105037E-4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'[19]Sch C'!D89</f>
        <v>134335</v>
      </c>
      <c r="D96" s="558">
        <f>'[19]Sch C'!F89</f>
        <v>6885</v>
      </c>
      <c r="E96" s="171">
        <f t="shared" ref="E96:E101" si="19">C96+D96</f>
        <v>141220</v>
      </c>
      <c r="F96" s="171"/>
      <c r="G96" s="171">
        <f t="shared" ref="G96:G101" si="20">E96+F96</f>
        <v>141220</v>
      </c>
      <c r="H96" s="172">
        <f t="shared" ref="H96:H102" si="21">IF($G$208=0,0,G96/$G$208)</f>
        <v>3.8353415781499055E-2</v>
      </c>
      <c r="I96" s="336"/>
      <c r="J96" s="183">
        <v>10177</v>
      </c>
      <c r="K96" s="183">
        <v>10699</v>
      </c>
      <c r="M96" s="364">
        <f t="shared" ref="M96:M101" si="22">G96/G$228</f>
        <v>9.6264485344239947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'[19]Sch C'!D90</f>
        <v>0</v>
      </c>
      <c r="D97" s="558">
        <f>'[19]Sch C'!F90</f>
        <v>23277</v>
      </c>
      <c r="E97" s="171">
        <f t="shared" si="19"/>
        <v>23277</v>
      </c>
      <c r="F97" s="171"/>
      <c r="G97" s="171">
        <f t="shared" si="20"/>
        <v>23277</v>
      </c>
      <c r="H97" s="172">
        <f t="shared" si="21"/>
        <v>6.3217140571162258E-3</v>
      </c>
      <c r="I97" s="336"/>
      <c r="J97" s="168"/>
      <c r="K97" s="168"/>
      <c r="M97" s="364">
        <f t="shared" si="22"/>
        <v>1.5867075664621677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'[19]Sch C'!D91</f>
        <v>19602</v>
      </c>
      <c r="D98" s="558">
        <f>'[19]Sch C'!F91</f>
        <v>0</v>
      </c>
      <c r="E98" s="171">
        <f t="shared" si="19"/>
        <v>19602</v>
      </c>
      <c r="F98" s="171"/>
      <c r="G98" s="171">
        <f t="shared" si="20"/>
        <v>19602</v>
      </c>
      <c r="H98" s="172">
        <f t="shared" si="21"/>
        <v>5.3236344437681948E-3</v>
      </c>
      <c r="I98" s="336"/>
      <c r="J98" s="168"/>
      <c r="K98" s="168"/>
      <c r="M98" s="364">
        <f t="shared" si="22"/>
        <v>1.336196319018405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'[19]Sch C'!D92</f>
        <v>112893</v>
      </c>
      <c r="D99" s="558">
        <f>'[19]Sch C'!F92</f>
        <v>0</v>
      </c>
      <c r="E99" s="171">
        <f t="shared" si="19"/>
        <v>112893</v>
      </c>
      <c r="F99" s="171"/>
      <c r="G99" s="171">
        <f t="shared" si="20"/>
        <v>112893</v>
      </c>
      <c r="H99" s="172">
        <f t="shared" si="21"/>
        <v>3.0660190963183492E-2</v>
      </c>
      <c r="I99" s="336"/>
      <c r="J99" s="168"/>
      <c r="K99" s="168"/>
      <c r="M99" s="364">
        <f t="shared" si="22"/>
        <v>7.6955010224948879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'[19]Sch C'!D93</f>
        <v>9699</v>
      </c>
      <c r="D100" s="558">
        <f>'[19]Sch C'!F93</f>
        <v>0</v>
      </c>
      <c r="E100" s="171">
        <f t="shared" si="19"/>
        <v>9699</v>
      </c>
      <c r="F100" s="171"/>
      <c r="G100" s="171">
        <f t="shared" si="20"/>
        <v>9699</v>
      </c>
      <c r="H100" s="172">
        <f t="shared" si="21"/>
        <v>2.634115420370764E-3</v>
      </c>
      <c r="I100" s="336"/>
      <c r="J100" s="168"/>
      <c r="K100" s="168"/>
      <c r="M100" s="364">
        <f t="shared" si="22"/>
        <v>0.66114519427402862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'[19]Sch C'!D94</f>
        <v>0</v>
      </c>
      <c r="D101" s="558">
        <f>'[19]Sch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276529</v>
      </c>
      <c r="D102" s="558">
        <f>SUM(D96:D101)</f>
        <v>30162</v>
      </c>
      <c r="E102" s="171">
        <f t="shared" ref="E102:F102" si="23">SUM(E96:E101)</f>
        <v>306691</v>
      </c>
      <c r="F102" s="171">
        <f t="shared" si="23"/>
        <v>0</v>
      </c>
      <c r="G102" s="171">
        <f>SUM(G96:G101)</f>
        <v>306691</v>
      </c>
      <c r="H102" s="172">
        <f t="shared" si="21"/>
        <v>8.3293070665937732E-2</v>
      </c>
      <c r="I102" s="336"/>
      <c r="J102" s="168"/>
      <c r="K102" s="168"/>
      <c r="M102" s="364">
        <f>G102/G$228</f>
        <v>20.905998636673484</v>
      </c>
      <c r="N102" s="359">
        <f>SUMMARY!J105</f>
        <v>19.901077037785338</v>
      </c>
      <c r="O102" s="354">
        <f>M102/N102-1</f>
        <v>5.0495839847267687E-2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'[19]Sch C'!D98</f>
        <v>1098</v>
      </c>
      <c r="D105" s="558">
        <f>'[19]Sch C'!F98</f>
        <v>56</v>
      </c>
      <c r="E105" s="171">
        <f t="shared" ref="E105:E110" si="24">C105+D105</f>
        <v>1154</v>
      </c>
      <c r="F105" s="171"/>
      <c r="G105" s="171">
        <f t="shared" ref="G105:G110" si="25">E105+F105</f>
        <v>1154</v>
      </c>
      <c r="H105" s="172">
        <f t="shared" ref="H105:H111" si="26">IF($G$208=0,0,G105/$G$208)</f>
        <v>3.1341057790574921E-4</v>
      </c>
      <c r="I105" s="336"/>
      <c r="J105" s="183">
        <v>0</v>
      </c>
      <c r="K105" s="183">
        <v>0</v>
      </c>
      <c r="M105" s="364">
        <f t="shared" ref="M105:M110" si="27">G105/G$228</f>
        <v>7.8663940013633263E-2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'[19]Sch C'!D99</f>
        <v>0</v>
      </c>
      <c r="D106" s="558">
        <f>'[19]Sch C'!F99</f>
        <v>190</v>
      </c>
      <c r="E106" s="171">
        <f t="shared" si="24"/>
        <v>190</v>
      </c>
      <c r="F106" s="171"/>
      <c r="G106" s="171">
        <f t="shared" si="25"/>
        <v>190</v>
      </c>
      <c r="H106" s="172">
        <f t="shared" si="26"/>
        <v>5.1601394975816596E-5</v>
      </c>
      <c r="I106" s="336"/>
      <c r="J106" s="168"/>
      <c r="K106" s="168"/>
      <c r="M106" s="364">
        <f t="shared" si="27"/>
        <v>1.2951601908657124E-2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'[19]Sch C'!D100</f>
        <v>476</v>
      </c>
      <c r="D107" s="558">
        <f>'[19]Sch C'!F100</f>
        <v>0</v>
      </c>
      <c r="E107" s="171">
        <f t="shared" si="24"/>
        <v>476</v>
      </c>
      <c r="F107" s="171"/>
      <c r="G107" s="171">
        <f t="shared" si="25"/>
        <v>476</v>
      </c>
      <c r="H107" s="172">
        <f t="shared" si="26"/>
        <v>1.2927507372888789E-4</v>
      </c>
      <c r="I107" s="336"/>
      <c r="J107" s="168"/>
      <c r="K107" s="168"/>
      <c r="M107" s="364">
        <f t="shared" si="27"/>
        <v>3.2447171097477849E-2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'[19]Sch C'!D101</f>
        <v>0</v>
      </c>
      <c r="D108" s="558">
        <f>'[19]Sch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'[19]Sch C'!D102</f>
        <v>8747</v>
      </c>
      <c r="D109" s="558">
        <f>'[19]Sch C'!F102</f>
        <v>0</v>
      </c>
      <c r="E109" s="171">
        <f t="shared" si="24"/>
        <v>8747</v>
      </c>
      <c r="F109" s="171"/>
      <c r="G109" s="171">
        <f t="shared" si="25"/>
        <v>8747</v>
      </c>
      <c r="H109" s="172">
        <f t="shared" si="26"/>
        <v>2.3755652729129883E-3</v>
      </c>
      <c r="I109" s="336"/>
      <c r="J109" s="168"/>
      <c r="K109" s="168"/>
      <c r="M109" s="364">
        <f t="shared" si="27"/>
        <v>0.59625085207907291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'[19]Sch C'!D103</f>
        <v>42</v>
      </c>
      <c r="D110" s="558">
        <f>'[19]Sch C'!F103</f>
        <v>0</v>
      </c>
      <c r="E110" s="171">
        <f t="shared" si="24"/>
        <v>42</v>
      </c>
      <c r="F110" s="171"/>
      <c r="G110" s="171">
        <f t="shared" si="25"/>
        <v>42</v>
      </c>
      <c r="H110" s="172">
        <f t="shared" si="26"/>
        <v>1.1406624152548932E-5</v>
      </c>
      <c r="I110" s="336"/>
      <c r="J110" s="168"/>
      <c r="K110" s="168"/>
      <c r="M110" s="364">
        <f t="shared" si="27"/>
        <v>2.8629856850715747E-3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10363</v>
      </c>
      <c r="D111" s="558">
        <f>SUM(D105:D110)</f>
        <v>246</v>
      </c>
      <c r="E111" s="171">
        <f t="shared" ref="E111:F111" si="28">SUM(E105:E110)</f>
        <v>10609</v>
      </c>
      <c r="F111" s="171">
        <f t="shared" si="28"/>
        <v>0</v>
      </c>
      <c r="G111" s="171">
        <f>SUM(G105:G110)</f>
        <v>10609</v>
      </c>
      <c r="H111" s="172">
        <f t="shared" si="26"/>
        <v>2.8812589436759909E-3</v>
      </c>
      <c r="I111" s="336"/>
      <c r="J111" s="168"/>
      <c r="K111" s="168"/>
      <c r="M111" s="364">
        <f>G111/G$228</f>
        <v>0.72317655078391274</v>
      </c>
      <c r="N111" s="359">
        <f>SUMMARY!J114</f>
        <v>2.4242384372309496</v>
      </c>
      <c r="O111" s="354">
        <f>M111/N111-1</f>
        <v>-0.70168918218706633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'[19]Sch C'!D115</f>
        <v>45965</v>
      </c>
      <c r="D114" s="558">
        <f>'[19]Sch C'!F115</f>
        <v>2356</v>
      </c>
      <c r="E114" s="171">
        <f t="shared" ref="E114:E118" si="29">C114+D114</f>
        <v>48321</v>
      </c>
      <c r="F114" s="171"/>
      <c r="G114" s="171">
        <f>E114+F114</f>
        <v>48321</v>
      </c>
      <c r="H114" s="172">
        <f t="shared" ref="H114:H119" si="30">IF($G$208=0,0,G114/$G$208)</f>
        <v>1.3123321087507547E-2</v>
      </c>
      <c r="I114" s="336"/>
      <c r="J114" s="183">
        <v>5453</v>
      </c>
      <c r="K114" s="183">
        <v>5732</v>
      </c>
      <c r="M114" s="364">
        <f t="shared" ref="M114:M119" si="31">G114/G$228</f>
        <v>3.2938650306748465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'[19]Sch C'!D116</f>
        <v>0</v>
      </c>
      <c r="D115" s="558">
        <f>'[19]Sch C'!F116</f>
        <v>7965</v>
      </c>
      <c r="E115" s="171">
        <f t="shared" si="29"/>
        <v>7965</v>
      </c>
      <c r="F115" s="171"/>
      <c r="G115" s="171">
        <f>E115+F115</f>
        <v>7965</v>
      </c>
      <c r="H115" s="172">
        <f t="shared" si="30"/>
        <v>2.1631847946441012E-3</v>
      </c>
      <c r="I115" s="336"/>
      <c r="J115" s="168"/>
      <c r="K115" s="168"/>
      <c r="M115" s="364">
        <f t="shared" si="31"/>
        <v>0.54294478527607359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'[19]Sch C'!D117</f>
        <v>13434</v>
      </c>
      <c r="D116" s="558">
        <f>'[19]Sch C'!F117</f>
        <v>0</v>
      </c>
      <c r="E116" s="171">
        <f t="shared" si="29"/>
        <v>13434</v>
      </c>
      <c r="F116" s="171"/>
      <c r="G116" s="171">
        <f>E116+F116</f>
        <v>13434</v>
      </c>
      <c r="H116" s="172">
        <f t="shared" si="30"/>
        <v>3.6484902110795799E-3</v>
      </c>
      <c r="I116" s="336"/>
      <c r="J116" s="168"/>
      <c r="K116" s="168"/>
      <c r="M116" s="364">
        <f t="shared" si="31"/>
        <v>0.91574642126789363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'[19]Sch C'!D118</f>
        <v>-2100</v>
      </c>
      <c r="D117" s="558">
        <f>'[19]Sch C'!F118</f>
        <v>0</v>
      </c>
      <c r="E117" s="171">
        <f t="shared" si="29"/>
        <v>-2100</v>
      </c>
      <c r="F117" s="171"/>
      <c r="G117" s="171">
        <f>E117+F117</f>
        <v>-2100</v>
      </c>
      <c r="H117" s="172">
        <f t="shared" si="30"/>
        <v>-5.7033120762744658E-4</v>
      </c>
      <c r="I117" s="336"/>
      <c r="J117" s="168"/>
      <c r="K117" s="168"/>
      <c r="M117" s="364">
        <f t="shared" si="31"/>
        <v>-0.14314928425357873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'[19]Sch C'!D119</f>
        <v>0</v>
      </c>
      <c r="D118" s="558">
        <f>'[19]Sch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57299</v>
      </c>
      <c r="D119" s="558">
        <f>SUM(D114:D118)</f>
        <v>10321</v>
      </c>
      <c r="E119" s="171">
        <f t="shared" ref="E119:F119" si="32">SUM(E114:E118)</f>
        <v>67620</v>
      </c>
      <c r="F119" s="171">
        <f t="shared" si="32"/>
        <v>0</v>
      </c>
      <c r="G119" s="171">
        <f>SUM(G114:G118)</f>
        <v>67620</v>
      </c>
      <c r="H119" s="172">
        <f t="shared" si="30"/>
        <v>1.8364664885603781E-2</v>
      </c>
      <c r="I119" s="336"/>
      <c r="J119" s="168"/>
      <c r="K119" s="168"/>
      <c r="M119" s="364">
        <f t="shared" si="31"/>
        <v>4.6094069529652355</v>
      </c>
      <c r="N119" s="359">
        <f>SUMMARY!J122</f>
        <v>6.0247597205909562</v>
      </c>
      <c r="O119" s="354">
        <f>M119/N119-1</f>
        <v>-0.23492269123836385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'[19]Sch C'!D124</f>
        <v>0</v>
      </c>
      <c r="D123" s="558">
        <f>'[19]Sch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'[19]Sch C'!D125</f>
        <v>101880</v>
      </c>
      <c r="D124" s="558">
        <f>'[19]Sch C'!F125</f>
        <v>5221</v>
      </c>
      <c r="E124" s="171">
        <f t="shared" si="33"/>
        <v>107101</v>
      </c>
      <c r="F124" s="171"/>
      <c r="G124" s="171">
        <f>E124+F124</f>
        <v>107101</v>
      </c>
      <c r="H124" s="172">
        <f>IF($G$208=0,0,G124/$G$208)</f>
        <v>2.9087163175289123E-2</v>
      </c>
      <c r="I124" s="336"/>
      <c r="J124" s="183">
        <v>2724</v>
      </c>
      <c r="K124" s="183">
        <v>2864</v>
      </c>
      <c r="M124" s="364">
        <f t="shared" si="34"/>
        <v>7.3006816632583504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'[19]Sch C'!D126</f>
        <v>49490</v>
      </c>
      <c r="D125" s="558">
        <f>'[19]Sch C'!F126</f>
        <v>2536</v>
      </c>
      <c r="E125" s="171">
        <f t="shared" si="33"/>
        <v>52026</v>
      </c>
      <c r="F125" s="171"/>
      <c r="G125" s="171">
        <f>E125+F125</f>
        <v>52026</v>
      </c>
      <c r="H125" s="172">
        <f>IF($G$208=0,0,G125/$G$208)</f>
        <v>1.412954828953597E-2</v>
      </c>
      <c r="I125" s="336"/>
      <c r="J125" s="183">
        <v>1719</v>
      </c>
      <c r="K125" s="183">
        <v>1807</v>
      </c>
      <c r="M125" s="364">
        <f t="shared" si="34"/>
        <v>3.5464212678936606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'[19]Sch C'!D127</f>
        <v>0</v>
      </c>
      <c r="D126" s="558">
        <f>'[19]Sch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'[19]Sch C'!D128</f>
        <v>25159</v>
      </c>
      <c r="D127" s="558">
        <f>'[19]Sch C'!F128</f>
        <v>1289</v>
      </c>
      <c r="E127" s="171">
        <f t="shared" si="33"/>
        <v>26448</v>
      </c>
      <c r="F127" s="171"/>
      <c r="G127" s="171">
        <f>E127+F127</f>
        <v>26448</v>
      </c>
      <c r="H127" s="172">
        <f>IF($G$208=0,0,G127/$G$208)</f>
        <v>7.1829141806336707E-3</v>
      </c>
      <c r="I127" s="336"/>
      <c r="J127" s="183">
        <v>1677.2666666666667</v>
      </c>
      <c r="K127" s="183">
        <v>1763.2</v>
      </c>
      <c r="M127" s="364">
        <f t="shared" si="34"/>
        <v>1.8028629856850715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'[19]Sch C'!D130</f>
        <v>0</v>
      </c>
      <c r="D129" s="558">
        <f>'[19]Sch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'[19]Sch C'!D131</f>
        <v>0</v>
      </c>
      <c r="D130" s="558">
        <f>'[19]Sch C'!F131</f>
        <v>17653</v>
      </c>
      <c r="E130" s="171">
        <f t="shared" si="35"/>
        <v>17653</v>
      </c>
      <c r="F130" s="171"/>
      <c r="G130" s="171">
        <f>E130+F130</f>
        <v>17653</v>
      </c>
      <c r="H130" s="172">
        <f>IF($G$208=0,0,G130/$G$208)</f>
        <v>4.7943127658320551E-3</v>
      </c>
      <c r="I130" s="336"/>
      <c r="J130" s="204"/>
      <c r="K130" s="204"/>
      <c r="M130" s="364">
        <f t="shared" si="34"/>
        <v>1.2033401499659169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'[19]Sch C'!D132</f>
        <v>0</v>
      </c>
      <c r="D131" s="558">
        <f>'[19]Sch C'!F132</f>
        <v>8575</v>
      </c>
      <c r="E131" s="171">
        <f t="shared" si="35"/>
        <v>8575</v>
      </c>
      <c r="F131" s="171"/>
      <c r="G131" s="171">
        <f>E131+F131</f>
        <v>8575</v>
      </c>
      <c r="H131" s="172">
        <f>IF($G$208=0,0,G131/$G$208)</f>
        <v>2.3288524311454069E-3</v>
      </c>
      <c r="I131" s="336"/>
      <c r="J131" s="168"/>
      <c r="K131" s="168"/>
      <c r="M131" s="364">
        <f t="shared" si="34"/>
        <v>0.58452624403544651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'[19]Sch C'!D133</f>
        <v>0</v>
      </c>
      <c r="D132" s="558">
        <f>'[19]Sch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'[19]Sch C'!D134</f>
        <v>0</v>
      </c>
      <c r="D133" s="558">
        <f>'[19]Sch C'!F134</f>
        <v>4360</v>
      </c>
      <c r="E133" s="171">
        <f t="shared" si="35"/>
        <v>4360</v>
      </c>
      <c r="F133" s="171"/>
      <c r="G133" s="171">
        <f>E133+F133</f>
        <v>4360</v>
      </c>
      <c r="H133" s="172">
        <f>IF($G$208=0,0,G133/$G$208)</f>
        <v>1.1841162215503178E-3</v>
      </c>
      <c r="I133" s="336"/>
      <c r="J133" s="168"/>
      <c r="K133" s="168"/>
      <c r="M133" s="364">
        <f t="shared" si="34"/>
        <v>0.29720518064076346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'[19]Sch C'!D136</f>
        <v>220645</v>
      </c>
      <c r="D135" s="558">
        <f>'[19]Sch C'!F136</f>
        <v>11308</v>
      </c>
      <c r="E135" s="171">
        <f t="shared" ref="E135:E138" si="36">C135+D135</f>
        <v>231953</v>
      </c>
      <c r="F135" s="171"/>
      <c r="G135" s="171">
        <f>E135+F135</f>
        <v>231953</v>
      </c>
      <c r="H135" s="172">
        <f>IF($G$208=0,0,G135/$G$208)</f>
        <v>6.2995254572766252E-2</v>
      </c>
      <c r="I135" s="336"/>
      <c r="J135" s="183">
        <v>8003</v>
      </c>
      <c r="K135" s="183">
        <v>8413</v>
      </c>
      <c r="M135" s="364">
        <f t="shared" si="34"/>
        <v>15.811383776414452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'[19]Sch C'!D137</f>
        <v>223021</v>
      </c>
      <c r="D136" s="558">
        <f>'[19]Sch C'!F137</f>
        <v>11430</v>
      </c>
      <c r="E136" s="171">
        <f t="shared" si="36"/>
        <v>234451</v>
      </c>
      <c r="F136" s="171"/>
      <c r="G136" s="171">
        <f>E136+F136</f>
        <v>234451</v>
      </c>
      <c r="H136" s="172">
        <f>IF($G$208=0,0,G136/$G$208)</f>
        <v>6.3673677123553568E-2</v>
      </c>
      <c r="I136" s="336"/>
      <c r="J136" s="183">
        <v>10151</v>
      </c>
      <c r="K136" s="183">
        <v>10671</v>
      </c>
      <c r="M136" s="364">
        <f t="shared" si="34"/>
        <v>15.981663258350375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'[19]Sch C'!D138</f>
        <v>408971</v>
      </c>
      <c r="D137" s="558">
        <f>'[19]Sch C'!F138</f>
        <v>20959</v>
      </c>
      <c r="E137" s="171">
        <f t="shared" si="36"/>
        <v>429930</v>
      </c>
      <c r="F137" s="171"/>
      <c r="G137" s="171">
        <f>E137+F137</f>
        <v>429930</v>
      </c>
      <c r="H137" s="172">
        <f>IF($G$208=0,0,G137/$G$208)</f>
        <v>0.11676309337869911</v>
      </c>
      <c r="I137" s="336"/>
      <c r="J137" s="183">
        <v>33522</v>
      </c>
      <c r="K137" s="183">
        <v>35240</v>
      </c>
      <c r="M137" s="364">
        <f t="shared" si="34"/>
        <v>29.30674846625767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'[19]Sch C'!D139</f>
        <v>13423</v>
      </c>
      <c r="D138" s="558">
        <f>'[19]Sch C'!F139</f>
        <v>688</v>
      </c>
      <c r="E138" s="171">
        <f t="shared" si="36"/>
        <v>14111</v>
      </c>
      <c r="F138" s="171"/>
      <c r="G138" s="171">
        <f>E138+F138</f>
        <v>14111</v>
      </c>
      <c r="H138" s="172">
        <f>IF($G$208=0,0,G138/$G$208)</f>
        <v>3.8323541289670949E-3</v>
      </c>
      <c r="I138" s="336"/>
      <c r="J138" s="183">
        <v>1222</v>
      </c>
      <c r="K138" s="183">
        <v>1285</v>
      </c>
      <c r="M138" s="364">
        <f t="shared" si="34"/>
        <v>0.96189502385821402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'[19]Sch C'!D141</f>
        <v>0</v>
      </c>
      <c r="D140" s="558">
        <f>'[19]Sch C'!F141</f>
        <v>38232</v>
      </c>
      <c r="E140" s="171">
        <f t="shared" ref="E140:E143" si="37">C140+D140</f>
        <v>38232</v>
      </c>
      <c r="F140" s="171"/>
      <c r="G140" s="171">
        <f>E140+F140</f>
        <v>38232</v>
      </c>
      <c r="H140" s="172">
        <f>IF($G$208=0,0,G140/$G$208)</f>
        <v>1.0383287014291686E-2</v>
      </c>
      <c r="I140" s="336"/>
      <c r="J140" s="168"/>
      <c r="K140" s="168"/>
      <c r="M140" s="364">
        <f t="shared" si="34"/>
        <v>2.6061349693251534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'[19]Sch C'!D142</f>
        <v>0</v>
      </c>
      <c r="D141" s="558">
        <f>'[19]Sch C'!F142</f>
        <v>38645</v>
      </c>
      <c r="E141" s="171">
        <f t="shared" si="37"/>
        <v>38645</v>
      </c>
      <c r="F141" s="171"/>
      <c r="G141" s="171">
        <f>E141+F141</f>
        <v>38645</v>
      </c>
      <c r="H141" s="172">
        <f>IF($G$208=0,0,G141/$G$208)</f>
        <v>1.049545215179175E-2</v>
      </c>
      <c r="I141" s="336"/>
      <c r="J141" s="168"/>
      <c r="K141" s="168"/>
      <c r="M141" s="364">
        <f t="shared" si="34"/>
        <v>2.6342876618950237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'[19]Sch C'!D143</f>
        <v>0</v>
      </c>
      <c r="D142" s="558">
        <f>'[19]Sch C'!F143</f>
        <v>70865</v>
      </c>
      <c r="E142" s="171">
        <f t="shared" si="37"/>
        <v>70865</v>
      </c>
      <c r="F142" s="171"/>
      <c r="G142" s="171">
        <f>E142+F142</f>
        <v>70865</v>
      </c>
      <c r="H142" s="172">
        <f>IF($G$208=0,0,G142/$G$208)</f>
        <v>1.924596239453286E-2</v>
      </c>
      <c r="I142" s="336"/>
      <c r="J142" s="168"/>
      <c r="K142" s="168"/>
      <c r="M142" s="364">
        <f t="shared" si="34"/>
        <v>4.8306066802999315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'[19]Sch C'!D144</f>
        <v>0</v>
      </c>
      <c r="D143" s="558">
        <f>'[19]Sch C'!F144</f>
        <v>2326</v>
      </c>
      <c r="E143" s="171">
        <f t="shared" si="37"/>
        <v>2326</v>
      </c>
      <c r="F143" s="171"/>
      <c r="G143" s="171">
        <f>E143+F143</f>
        <v>2326</v>
      </c>
      <c r="H143" s="172">
        <f>IF($G$208=0,0,G143/$G$208)</f>
        <v>6.317097090197337E-4</v>
      </c>
      <c r="I143" s="336"/>
      <c r="J143" s="168"/>
      <c r="K143" s="168"/>
      <c r="M143" s="364">
        <f t="shared" si="34"/>
        <v>0.15855487389229719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'[19]Sch C'!D146</f>
        <v>33600</v>
      </c>
      <c r="D145" s="558">
        <f>'[19]Sch C'!F146</f>
        <v>0</v>
      </c>
      <c r="E145" s="171">
        <f t="shared" ref="E145:E153" si="38">C145+D145</f>
        <v>33600</v>
      </c>
      <c r="F145" s="171"/>
      <c r="G145" s="171">
        <f t="shared" ref="G145:G153" si="39">E145+F145</f>
        <v>33600</v>
      </c>
      <c r="H145" s="172">
        <f t="shared" ref="H145:H153" si="40">IF($G$208=0,0,G145/$G$208)</f>
        <v>9.1252993220391453E-3</v>
      </c>
      <c r="I145" s="336"/>
      <c r="J145" s="183">
        <v>0</v>
      </c>
      <c r="K145" s="183">
        <v>0</v>
      </c>
      <c r="M145" s="364">
        <f t="shared" si="34"/>
        <v>2.2903885480572597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'[19]Sch C'!D147</f>
        <v>0</v>
      </c>
      <c r="D146" s="558">
        <f>'[19]Sch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'[19]Sch C'!D148</f>
        <v>213</v>
      </c>
      <c r="D147" s="558">
        <f>'[19]Sch C'!F148</f>
        <v>0</v>
      </c>
      <c r="E147" s="171">
        <f t="shared" si="38"/>
        <v>213</v>
      </c>
      <c r="F147" s="171"/>
      <c r="G147" s="171">
        <f t="shared" si="39"/>
        <v>213</v>
      </c>
      <c r="H147" s="172">
        <f t="shared" si="40"/>
        <v>5.7847879630783872E-5</v>
      </c>
      <c r="I147" s="336"/>
      <c r="J147" s="183">
        <v>7.1</v>
      </c>
      <c r="K147" s="183">
        <v>0</v>
      </c>
      <c r="M147" s="364">
        <f t="shared" si="34"/>
        <v>1.4519427402862986E-2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'[19]Sch C'!D149</f>
        <v>1252</v>
      </c>
      <c r="D148" s="558">
        <f>'[19]Sch C'!F149</f>
        <v>0</v>
      </c>
      <c r="E148" s="171">
        <f t="shared" si="38"/>
        <v>1252</v>
      </c>
      <c r="F148" s="171"/>
      <c r="G148" s="171">
        <f t="shared" si="39"/>
        <v>1252</v>
      </c>
      <c r="H148" s="172">
        <f t="shared" si="40"/>
        <v>3.4002603426169672E-4</v>
      </c>
      <c r="I148" s="336"/>
      <c r="J148" s="183">
        <v>73.647058823529406</v>
      </c>
      <c r="K148" s="183">
        <v>0</v>
      </c>
      <c r="M148" s="364">
        <f t="shared" si="34"/>
        <v>8.5344239945466943E-2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'[19]Sch C'!D150</f>
        <v>2147</v>
      </c>
      <c r="D149" s="558">
        <f>'[19]Sch C'!F150</f>
        <v>0</v>
      </c>
      <c r="E149" s="171">
        <f t="shared" si="38"/>
        <v>2147</v>
      </c>
      <c r="F149" s="171"/>
      <c r="G149" s="171">
        <f t="shared" si="39"/>
        <v>2147</v>
      </c>
      <c r="H149" s="172">
        <f t="shared" si="40"/>
        <v>5.8309576322672753E-4</v>
      </c>
      <c r="I149" s="336"/>
      <c r="J149" s="183">
        <v>143.13333333333333</v>
      </c>
      <c r="K149" s="183">
        <v>0</v>
      </c>
      <c r="M149" s="364">
        <f t="shared" si="34"/>
        <v>0.14635310156782549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'[19]Sch C'!D151</f>
        <v>60615</v>
      </c>
      <c r="D150" s="558">
        <f>'[19]Sch C'!F151</f>
        <v>0</v>
      </c>
      <c r="E150" s="171">
        <f t="shared" si="38"/>
        <v>60615</v>
      </c>
      <c r="F150" s="171"/>
      <c r="G150" s="171">
        <f t="shared" si="39"/>
        <v>60615</v>
      </c>
      <c r="H150" s="172">
        <f t="shared" si="40"/>
        <v>1.6462202928732229E-2</v>
      </c>
      <c r="I150" s="336"/>
      <c r="J150" s="168"/>
      <c r="K150" s="168"/>
      <c r="M150" s="364">
        <f t="shared" si="34"/>
        <v>4.1319018404907979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'[19]Sch C'!D152</f>
        <v>774</v>
      </c>
      <c r="D151" s="558">
        <f>'[19]Sch C'!F152</f>
        <v>0</v>
      </c>
      <c r="E151" s="171">
        <f t="shared" si="38"/>
        <v>774</v>
      </c>
      <c r="F151" s="171"/>
      <c r="G151" s="171">
        <f t="shared" si="39"/>
        <v>774</v>
      </c>
      <c r="H151" s="172">
        <f t="shared" si="40"/>
        <v>2.1020778795411603E-4</v>
      </c>
      <c r="I151" s="336"/>
      <c r="J151" s="168"/>
      <c r="K151" s="168"/>
      <c r="M151" s="364">
        <f t="shared" si="34"/>
        <v>5.2760736196319019E-2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'[19]Sch C'!D153</f>
        <v>0</v>
      </c>
      <c r="D152" s="558">
        <f>'[19]Sch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'[19]Sch C'!D154</f>
        <v>0</v>
      </c>
      <c r="D153" s="558">
        <f>'[19]Sch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'[19]Sch C'!D156</f>
        <v>0</v>
      </c>
      <c r="D155" s="558">
        <f>'[19]Sch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'[19]Sch C'!D157</f>
        <v>0</v>
      </c>
      <c r="D156" s="558">
        <f>'[19]Sch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'[19]Sch C'!D158</f>
        <v>0</v>
      </c>
      <c r="D157" s="558">
        <f>'[19]Sch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'[19]Sch C'!D159</f>
        <v>0</v>
      </c>
      <c r="D158" s="558">
        <f>'[19]Sch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'[19]Sch C'!D160</f>
        <v>0</v>
      </c>
      <c r="D159" s="558">
        <f>'[19]Sch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'[19]Sch C'!D161</f>
        <v>1511</v>
      </c>
      <c r="D160" s="558">
        <f>'[19]Sch C'!F161</f>
        <v>0</v>
      </c>
      <c r="E160" s="171">
        <f t="shared" si="41"/>
        <v>1511</v>
      </c>
      <c r="F160" s="171"/>
      <c r="G160" s="171">
        <f t="shared" si="42"/>
        <v>1511</v>
      </c>
      <c r="H160" s="172">
        <f t="shared" si="43"/>
        <v>4.1036688320241518E-4</v>
      </c>
      <c r="I160" s="336"/>
      <c r="J160" s="168"/>
      <c r="K160" s="168"/>
      <c r="M160" s="364">
        <f t="shared" si="34"/>
        <v>0.10299931833674165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1142701</v>
      </c>
      <c r="D161" s="558">
        <f>SUM(D123:D160)</f>
        <v>234087</v>
      </c>
      <c r="E161" s="171">
        <f t="shared" ref="E161:F161" si="44">SUM(E123:E160)</f>
        <v>1376788</v>
      </c>
      <c r="F161" s="171">
        <f t="shared" si="44"/>
        <v>0</v>
      </c>
      <c r="G161" s="171">
        <f>SUM(G123:G160)</f>
        <v>1376788</v>
      </c>
      <c r="H161" s="172">
        <f t="shared" si="43"/>
        <v>0.37391674413665571</v>
      </c>
      <c r="I161" s="336"/>
      <c r="J161" s="168"/>
      <c r="K161" s="168"/>
      <c r="M161" s="364">
        <f>G161/G$228</f>
        <v>93.850579413769594</v>
      </c>
      <c r="N161" s="359">
        <f>SUMMARY!J164</f>
        <v>105.56901037202306</v>
      </c>
      <c r="O161" s="354">
        <f>M161/N161-1</f>
        <v>-0.11100256521263152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'[19]Sch C'!D175</f>
        <v>0</v>
      </c>
      <c r="D164" s="558">
        <f>'[19]Sch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'[19]Sch C'!D176</f>
        <v>0</v>
      </c>
      <c r="D165" s="558">
        <f>'[19]Sch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'[19]Sch C'!D177</f>
        <v>154095</v>
      </c>
      <c r="D166" s="558">
        <f>'[19]Sch C'!F177</f>
        <v>7897</v>
      </c>
      <c r="E166" s="171">
        <f t="shared" si="45"/>
        <v>161992</v>
      </c>
      <c r="F166" s="216"/>
      <c r="G166" s="171">
        <f t="shared" si="46"/>
        <v>161992</v>
      </c>
      <c r="H166" s="172">
        <f t="shared" si="47"/>
        <v>4.399480618380254E-2</v>
      </c>
      <c r="I166" s="342"/>
      <c r="J166" s="217">
        <v>6499</v>
      </c>
      <c r="K166" s="217">
        <v>6832</v>
      </c>
      <c r="L166" s="218"/>
      <c r="M166" s="364">
        <f t="shared" si="48"/>
        <v>11.042399454669393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'[19]Sch C'!D178</f>
        <v>0</v>
      </c>
      <c r="D167" s="558">
        <f>'[19]Sch C'!F178</f>
        <v>26701</v>
      </c>
      <c r="E167" s="171">
        <f t="shared" si="45"/>
        <v>26701</v>
      </c>
      <c r="F167" s="216"/>
      <c r="G167" s="171">
        <f t="shared" si="46"/>
        <v>26701</v>
      </c>
      <c r="H167" s="172">
        <f t="shared" si="47"/>
        <v>7.2516255118383107E-3</v>
      </c>
      <c r="I167" s="343"/>
      <c r="J167" s="222"/>
      <c r="K167" s="222"/>
      <c r="L167" s="218"/>
      <c r="M167" s="364">
        <f t="shared" si="48"/>
        <v>1.8201090661213362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'[19]Sch C'!D179</f>
        <v>16973</v>
      </c>
      <c r="D168" s="558">
        <f>'[19]Sch C'!F179</f>
        <v>870</v>
      </c>
      <c r="E168" s="171">
        <f t="shared" si="45"/>
        <v>17843</v>
      </c>
      <c r="F168" s="216"/>
      <c r="G168" s="171">
        <f t="shared" si="46"/>
        <v>17843</v>
      </c>
      <c r="H168" s="172">
        <f t="shared" si="47"/>
        <v>4.8459141608078711E-3</v>
      </c>
      <c r="I168" s="342"/>
      <c r="J168" s="217">
        <v>395</v>
      </c>
      <c r="K168" s="217">
        <v>415</v>
      </c>
      <c r="L168" s="218"/>
      <c r="M168" s="364">
        <f t="shared" si="48"/>
        <v>1.2162917518745739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'[19]Sch C'!D180</f>
        <v>0</v>
      </c>
      <c r="D169" s="558">
        <f>'[19]Sch C'!F180</f>
        <v>2941</v>
      </c>
      <c r="E169" s="171">
        <f t="shared" si="45"/>
        <v>2941</v>
      </c>
      <c r="F169" s="216"/>
      <c r="G169" s="171">
        <f t="shared" si="46"/>
        <v>2941</v>
      </c>
      <c r="H169" s="172">
        <f t="shared" si="47"/>
        <v>7.987352769677717E-4</v>
      </c>
      <c r="I169" s="343"/>
      <c r="J169" s="222"/>
      <c r="K169" s="222"/>
      <c r="L169" s="218"/>
      <c r="M169" s="364">
        <f t="shared" si="48"/>
        <v>0.20047716428084525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'[19]Sch C'!D181</f>
        <v>0</v>
      </c>
      <c r="D170" s="558">
        <f>'[19]Sch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'[19]Sch C'!D182</f>
        <v>0</v>
      </c>
      <c r="D171" s="558">
        <f>'[19]Sch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'[19]Sch C'!D183</f>
        <v>90465</v>
      </c>
      <c r="D172" s="558">
        <f>'[19]Sch C'!F183</f>
        <v>4636</v>
      </c>
      <c r="E172" s="171">
        <f t="shared" si="45"/>
        <v>95101</v>
      </c>
      <c r="F172" s="216"/>
      <c r="G172" s="171">
        <f t="shared" si="46"/>
        <v>95101</v>
      </c>
      <c r="H172" s="172">
        <f t="shared" si="47"/>
        <v>2.5828127703132288E-2</v>
      </c>
      <c r="I172" s="342"/>
      <c r="J172" s="217">
        <v>2730</v>
      </c>
      <c r="K172" s="217">
        <v>2870</v>
      </c>
      <c r="L172" s="218"/>
      <c r="M172" s="364">
        <f t="shared" si="48"/>
        <v>6.4826857532379005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'[19]Sch C'!D184</f>
        <v>0</v>
      </c>
      <c r="D173" s="558">
        <f>'[19]Sch C'!F184</f>
        <v>15675</v>
      </c>
      <c r="E173" s="171">
        <f t="shared" si="45"/>
        <v>15675</v>
      </c>
      <c r="F173" s="216"/>
      <c r="G173" s="171">
        <f t="shared" si="46"/>
        <v>15675</v>
      </c>
      <c r="H173" s="172">
        <f t="shared" si="47"/>
        <v>4.2571150855048694E-3</v>
      </c>
      <c r="I173" s="343"/>
      <c r="J173" s="222"/>
      <c r="K173" s="222"/>
      <c r="L173" s="218"/>
      <c r="M173" s="364">
        <f t="shared" si="48"/>
        <v>1.0685071574642127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'[19]Sch C'!D185</f>
        <v>0</v>
      </c>
      <c r="D174" s="558">
        <f>'[19]Sch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'[19]Sch C'!D186</f>
        <v>0</v>
      </c>
      <c r="D175" s="558">
        <f>'[19]Sch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'[19]Sch C'!D187</f>
        <v>0</v>
      </c>
      <c r="D176" s="558">
        <f>'[19]Sch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'[19]Sch C'!D188</f>
        <v>1877</v>
      </c>
      <c r="D177" s="558">
        <f>'[19]Sch C'!F188</f>
        <v>0</v>
      </c>
      <c r="E177" s="171">
        <f t="shared" si="45"/>
        <v>1877</v>
      </c>
      <c r="F177" s="216"/>
      <c r="G177" s="171">
        <f t="shared" si="46"/>
        <v>1877</v>
      </c>
      <c r="H177" s="172">
        <f t="shared" si="47"/>
        <v>5.0976746510319874E-4</v>
      </c>
      <c r="I177" s="336"/>
      <c r="J177" s="223"/>
      <c r="K177" s="218"/>
      <c r="L177" s="220"/>
      <c r="M177" s="364">
        <f t="shared" si="48"/>
        <v>0.12794819359236537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'[19]Sch C'!D189</f>
        <v>0</v>
      </c>
      <c r="D178" s="558">
        <f>'[19]Sch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'[19]Sch C'!D190</f>
        <v>0</v>
      </c>
      <c r="D179" s="558">
        <f>'[19]Sch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'[19]Sch C'!D191</f>
        <v>0</v>
      </c>
      <c r="D180" s="558">
        <f>'[19]Sch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'[19]Sch C'!D192</f>
        <v>0</v>
      </c>
      <c r="D181" s="558">
        <f>'[19]Sch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'[19]Sch C'!D193</f>
        <v>0</v>
      </c>
      <c r="D182" s="558">
        <f>'[19]Sch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'[19]Sch C'!D194</f>
        <v>0</v>
      </c>
      <c r="D183" s="558">
        <f>'[19]Sch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'[19]Sch C'!D195</f>
        <v>0</v>
      </c>
      <c r="D184" s="558">
        <f>'[19]Sch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'[19]Sch C'!D196</f>
        <v>0</v>
      </c>
      <c r="D185" s="558">
        <f>'[19]Sch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'[19]Sch C'!D197</f>
        <v>0</v>
      </c>
      <c r="D186" s="558">
        <f>'[19]Sch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'[19]Sch C'!D198</f>
        <v>34886</v>
      </c>
      <c r="D187" s="558">
        <f>'[19]Sch C'!F198</f>
        <v>0</v>
      </c>
      <c r="E187" s="171">
        <f t="shared" si="45"/>
        <v>34886</v>
      </c>
      <c r="F187" s="216"/>
      <c r="G187" s="171">
        <f t="shared" si="46"/>
        <v>34886</v>
      </c>
      <c r="H187" s="172">
        <f t="shared" si="47"/>
        <v>9.4745592901386202E-3</v>
      </c>
      <c r="I187" s="336"/>
      <c r="J187" s="223"/>
      <c r="K187" s="218"/>
      <c r="M187" s="364">
        <f t="shared" si="48"/>
        <v>2.378050443081118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'[19]Sch C'!D199</f>
        <v>0</v>
      </c>
      <c r="D188" s="558">
        <f>'[19]Sch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'[19]Sch C'!D200</f>
        <v>0</v>
      </c>
      <c r="D189" s="558">
        <f>'[19]Sch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'[19]Sch C'!D201</f>
        <v>0</v>
      </c>
      <c r="D190" s="558">
        <f>'[19]Sch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'[19]Sch C'!D202</f>
        <v>0</v>
      </c>
      <c r="D191" s="558">
        <f>'[19]Sch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'[19]Sch C'!D203</f>
        <v>0</v>
      </c>
      <c r="D192" s="558">
        <f>'[19]Sch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'[19]Sch C'!D204</f>
        <v>0</v>
      </c>
      <c r="D193" s="558">
        <f>'[19]Sch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'[19]Sch C'!D205</f>
        <v>133031</v>
      </c>
      <c r="D194" s="558">
        <f>'[19]Sch C'!F205</f>
        <v>0</v>
      </c>
      <c r="E194" s="171">
        <f t="shared" si="45"/>
        <v>133031</v>
      </c>
      <c r="F194" s="216"/>
      <c r="G194" s="171">
        <f t="shared" si="46"/>
        <v>133031</v>
      </c>
      <c r="H194" s="172">
        <f t="shared" si="47"/>
        <v>3.6129395658041359E-2</v>
      </c>
      <c r="I194" s="336"/>
      <c r="J194" s="223"/>
      <c r="K194" s="218"/>
      <c r="M194" s="364">
        <f t="shared" si="48"/>
        <v>9.0682344921608724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'[19]Sch C'!D206</f>
        <v>5379</v>
      </c>
      <c r="D195" s="558">
        <f>'[19]Sch C'!F206</f>
        <v>0</v>
      </c>
      <c r="E195" s="171">
        <f t="shared" si="45"/>
        <v>5379</v>
      </c>
      <c r="F195" s="216"/>
      <c r="G195" s="171">
        <f t="shared" si="46"/>
        <v>5379</v>
      </c>
      <c r="H195" s="172">
        <f t="shared" si="47"/>
        <v>1.4608626503943025E-3</v>
      </c>
      <c r="I195" s="336"/>
      <c r="J195" s="223"/>
      <c r="K195" s="218"/>
      <c r="M195" s="364">
        <f t="shared" si="48"/>
        <v>0.36666666666666664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'[19]Sch C'!D207</f>
        <v>27812</v>
      </c>
      <c r="D196" s="558">
        <f>'[19]Sch C'!F207</f>
        <v>0</v>
      </c>
      <c r="E196" s="171">
        <f t="shared" si="45"/>
        <v>27812</v>
      </c>
      <c r="F196" s="216"/>
      <c r="G196" s="171">
        <f t="shared" si="46"/>
        <v>27812</v>
      </c>
      <c r="H196" s="172">
        <f t="shared" si="47"/>
        <v>7.5533578793021642E-3</v>
      </c>
      <c r="I196" s="336"/>
      <c r="J196" s="223"/>
      <c r="K196" s="218"/>
      <c r="M196" s="364">
        <f t="shared" si="48"/>
        <v>1.8958418541240627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464518</v>
      </c>
      <c r="D197" s="558">
        <f>SUM(D164:D196)</f>
        <v>58720</v>
      </c>
      <c r="E197" s="171">
        <f t="shared" ref="E197:F197" si="49">SUM(E164:E196)</f>
        <v>523238</v>
      </c>
      <c r="F197" s="171">
        <f t="shared" si="49"/>
        <v>0</v>
      </c>
      <c r="G197" s="171">
        <f>SUM(G164:G196)</f>
        <v>523238</v>
      </c>
      <c r="H197" s="172">
        <f>IF($G$208=0,0,G197/$G$208)</f>
        <v>0.1421042668650333</v>
      </c>
      <c r="I197" s="336"/>
      <c r="J197" s="168"/>
      <c r="K197" s="168"/>
      <c r="M197" s="364">
        <f>G197/G$228</f>
        <v>35.667211997273348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'[19]Sch C'!D211</f>
        <v>58592</v>
      </c>
      <c r="D200" s="558">
        <f>'[19]Sch C'!F211</f>
        <v>3003</v>
      </c>
      <c r="E200" s="171">
        <f t="shared" ref="E200:E205" si="50">C200+D200</f>
        <v>61595</v>
      </c>
      <c r="F200" s="171"/>
      <c r="G200" s="171">
        <f t="shared" ref="G200:G205" si="51">E200+F200</f>
        <v>61595</v>
      </c>
      <c r="H200" s="172">
        <f t="shared" ref="H200:H206" si="52">IF($G$208=0,0,G200/$G$208)</f>
        <v>1.6728357492291703E-2</v>
      </c>
      <c r="I200" s="336"/>
      <c r="J200" s="183">
        <v>3595</v>
      </c>
      <c r="K200" s="183">
        <v>3779</v>
      </c>
      <c r="M200" s="364">
        <f t="shared" ref="M200:M205" si="53">G200/G$228</f>
        <v>4.1987048398091344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'[19]Sch C'!D212</f>
        <v>0</v>
      </c>
      <c r="D201" s="558">
        <f>'[19]Sch C'!F212</f>
        <v>10153</v>
      </c>
      <c r="E201" s="171">
        <f t="shared" si="50"/>
        <v>10153</v>
      </c>
      <c r="F201" s="171"/>
      <c r="G201" s="171">
        <f t="shared" si="51"/>
        <v>10153</v>
      </c>
      <c r="H201" s="172">
        <f t="shared" si="52"/>
        <v>2.7574155957340312E-3</v>
      </c>
      <c r="I201" s="336"/>
      <c r="J201" s="168"/>
      <c r="K201" s="168"/>
      <c r="M201" s="364">
        <f t="shared" si="53"/>
        <v>0.69209270620313568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'[19]Sch C'!D213</f>
        <v>4517</v>
      </c>
      <c r="D202" s="558">
        <f>'[19]Sch C'!F213</f>
        <v>0</v>
      </c>
      <c r="E202" s="171">
        <f t="shared" si="50"/>
        <v>4517</v>
      </c>
      <c r="F202" s="171"/>
      <c r="G202" s="171">
        <f t="shared" si="51"/>
        <v>4517</v>
      </c>
      <c r="H202" s="172">
        <f t="shared" si="52"/>
        <v>1.2267552689777031E-3</v>
      </c>
      <c r="I202" s="336"/>
      <c r="J202" s="168"/>
      <c r="K202" s="168"/>
      <c r="M202" s="364">
        <f t="shared" si="53"/>
        <v>0.30790729379686432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'[19]Sch C'!D214</f>
        <v>0</v>
      </c>
      <c r="D203" s="558">
        <f>'[19]Sch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'[19]Sch C'!D215</f>
        <v>0</v>
      </c>
      <c r="D204" s="558">
        <f>'[19]Sch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'[19]Sch C'!D216</f>
        <v>1062</v>
      </c>
      <c r="D205" s="558">
        <f>'[19]Sch C'!F216</f>
        <v>0</v>
      </c>
      <c r="E205" s="171">
        <f t="shared" si="50"/>
        <v>1062</v>
      </c>
      <c r="F205" s="171"/>
      <c r="G205" s="171">
        <f t="shared" si="51"/>
        <v>1062</v>
      </c>
      <c r="H205" s="172">
        <f t="shared" si="52"/>
        <v>2.8842463928588016E-4</v>
      </c>
      <c r="I205" s="336"/>
      <c r="J205" s="168"/>
      <c r="K205" s="168"/>
      <c r="M205" s="364">
        <f t="shared" si="53"/>
        <v>7.2392638036809814E-2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64171</v>
      </c>
      <c r="D206" s="558">
        <f>SUM(D200:D205)</f>
        <v>13156</v>
      </c>
      <c r="E206" s="171">
        <f t="shared" ref="E206:F206" si="54">SUM(E200:E205)</f>
        <v>77327</v>
      </c>
      <c r="F206" s="171">
        <f t="shared" si="54"/>
        <v>0</v>
      </c>
      <c r="G206" s="171">
        <f>SUM(G200:G205)</f>
        <v>77327</v>
      </c>
      <c r="H206" s="172">
        <f t="shared" si="52"/>
        <v>2.1000952996289318E-2</v>
      </c>
      <c r="I206" s="336"/>
      <c r="J206" s="168"/>
      <c r="K206" s="168"/>
      <c r="M206" s="364">
        <f>G206/G$228</f>
        <v>5.2710974778459443</v>
      </c>
      <c r="N206" s="359">
        <f>SUMMARY!J209</f>
        <v>7.1515095990067339</v>
      </c>
      <c r="O206" s="354">
        <f>M206/N206-1</f>
        <v>-0.26293918719230391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3834514</v>
      </c>
      <c r="D208" s="558">
        <f>SUM(D25:D206)/2</f>
        <v>-152443</v>
      </c>
      <c r="E208" s="171">
        <f t="shared" ref="E208:F208" si="55">SUM(E25:E206)/2</f>
        <v>3682071</v>
      </c>
      <c r="F208" s="171">
        <f t="shared" si="55"/>
        <v>0</v>
      </c>
      <c r="G208" s="171">
        <f>SUM(G25:G206)/2</f>
        <v>3682071</v>
      </c>
      <c r="H208" s="172">
        <f>IF($G$208=0,0,G208/$G$208)</f>
        <v>1</v>
      </c>
      <c r="I208" s="336"/>
      <c r="J208" s="183">
        <f>SUM(J25:J200)</f>
        <v>99882.147058823524</v>
      </c>
      <c r="K208" s="183">
        <f>SUM(K25:K200)</f>
        <v>104765.2</v>
      </c>
      <c r="M208" s="364">
        <f>G208/G$228</f>
        <v>250.99325153374232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-0.93993715478693196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'[19]Sch C'!D221</f>
        <v>3834513.76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0.24000000022351742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-281069</v>
      </c>
      <c r="D215" s="558">
        <f>D21-D208</f>
        <v>152443</v>
      </c>
      <c r="E215" s="171">
        <f t="shared" ref="E215:F215" si="56">E21-E208</f>
        <v>-128626</v>
      </c>
      <c r="F215" s="171">
        <f t="shared" si="56"/>
        <v>0</v>
      </c>
      <c r="G215" s="171">
        <f>G21-G208</f>
        <v>-128626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'[19]Sch D'!C9</f>
        <v>7939</v>
      </c>
      <c r="D219" s="592"/>
      <c r="E219" s="235">
        <f t="shared" ref="E219:G227" si="57">C219+D219</f>
        <v>7939</v>
      </c>
      <c r="F219" s="234"/>
      <c r="G219" s="235">
        <f t="shared" si="57"/>
        <v>7939</v>
      </c>
      <c r="H219" s="172">
        <f t="shared" ref="H219:H228" si="58">IF($G$228=0,0,G219/$G$228)</f>
        <v>0.54117246080436265</v>
      </c>
      <c r="I219" s="336"/>
      <c r="J219" s="168"/>
      <c r="K219" s="168"/>
    </row>
    <row r="220" spans="1:17">
      <c r="A220" s="163"/>
      <c r="B220" s="170" t="s">
        <v>217</v>
      </c>
      <c r="C220" s="592">
        <f>'[19]Sch D'!D9</f>
        <v>0</v>
      </c>
      <c r="D220" s="592"/>
      <c r="E220" s="235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'[19]Sch D'!E9</f>
        <v>1053</v>
      </c>
      <c r="D221" s="592"/>
      <c r="E221" s="235">
        <f t="shared" si="57"/>
        <v>1053</v>
      </c>
      <c r="F221" s="234"/>
      <c r="G221" s="235">
        <f t="shared" si="57"/>
        <v>1053</v>
      </c>
      <c r="H221" s="172">
        <f t="shared" si="58"/>
        <v>7.177914110429448E-2</v>
      </c>
      <c r="I221" s="336"/>
      <c r="J221" s="168"/>
      <c r="K221" s="168"/>
    </row>
    <row r="222" spans="1:17">
      <c r="A222" s="163"/>
      <c r="B222" s="202" t="s">
        <v>334</v>
      </c>
      <c r="C222" s="592">
        <f>'[19]Sch D'!F9</f>
        <v>1828</v>
      </c>
      <c r="D222" s="592"/>
      <c r="E222" s="235">
        <f>C222+D222</f>
        <v>1828</v>
      </c>
      <c r="F222" s="234"/>
      <c r="G222" s="235">
        <f>E222+F222</f>
        <v>1828</v>
      </c>
      <c r="H222" s="172">
        <f t="shared" si="58"/>
        <v>0.12460804362644853</v>
      </c>
      <c r="I222" s="336"/>
      <c r="J222" s="168"/>
      <c r="K222" s="168"/>
    </row>
    <row r="223" spans="1:17">
      <c r="A223" s="163"/>
      <c r="B223" s="170" t="s">
        <v>73</v>
      </c>
      <c r="C223" s="592">
        <f>'[19]Sch D'!G9</f>
        <v>1467</v>
      </c>
      <c r="D223" s="592"/>
      <c r="E223" s="235">
        <f t="shared" si="57"/>
        <v>1467</v>
      </c>
      <c r="F223" s="234"/>
      <c r="G223" s="235">
        <f t="shared" si="57"/>
        <v>1467</v>
      </c>
      <c r="H223" s="172">
        <f t="shared" si="58"/>
        <v>0.1</v>
      </c>
      <c r="I223" s="336"/>
      <c r="J223" s="168"/>
      <c r="K223" s="168"/>
    </row>
    <row r="224" spans="1:17">
      <c r="A224" s="163"/>
      <c r="B224" s="170" t="s">
        <v>74</v>
      </c>
      <c r="C224" s="592">
        <f>'[19]Sch D'!H9</f>
        <v>538</v>
      </c>
      <c r="D224" s="592"/>
      <c r="E224" s="235">
        <f t="shared" si="57"/>
        <v>538</v>
      </c>
      <c r="F224" s="234"/>
      <c r="G224" s="235">
        <f t="shared" si="57"/>
        <v>538</v>
      </c>
      <c r="H224" s="172">
        <f t="shared" si="58"/>
        <v>3.6673483299250173E-2</v>
      </c>
      <c r="I224" s="336"/>
      <c r="J224" s="168"/>
      <c r="K224" s="168"/>
    </row>
    <row r="225" spans="1:11">
      <c r="A225" s="163"/>
      <c r="B225" s="170" t="s">
        <v>236</v>
      </c>
      <c r="C225" s="592">
        <f>'[19]Sch D'!I9</f>
        <v>0</v>
      </c>
      <c r="D225" s="592"/>
      <c r="E225" s="235">
        <f t="shared" si="57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'[19]Sch D'!J9</f>
        <v>1845</v>
      </c>
      <c r="D226" s="592"/>
      <c r="E226" s="235">
        <f>C226+D226</f>
        <v>1845</v>
      </c>
      <c r="F226" s="234"/>
      <c r="G226" s="235">
        <f>E226+F226</f>
        <v>1845</v>
      </c>
      <c r="H226" s="172">
        <f t="shared" si="58"/>
        <v>0.12576687116564417</v>
      </c>
      <c r="I226" s="336"/>
      <c r="J226" s="168"/>
      <c r="K226" s="168"/>
    </row>
    <row r="227" spans="1:11">
      <c r="A227" s="163"/>
      <c r="B227" s="170" t="s">
        <v>179</v>
      </c>
      <c r="C227" s="592">
        <f>'[19]Sch D'!K9</f>
        <v>0</v>
      </c>
      <c r="D227" s="592"/>
      <c r="E227" s="235">
        <f t="shared" si="57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14670</v>
      </c>
      <c r="D228" s="592">
        <f>SUM(D219:D227)</f>
        <v>0</v>
      </c>
      <c r="E228" s="237">
        <f>SUM(E219:E227)</f>
        <v>14670</v>
      </c>
      <c r="F228" s="237">
        <f>SUM(F219:F227)</f>
        <v>0</v>
      </c>
      <c r="G228" s="237">
        <f>SUM(G219:G227)</f>
        <v>14670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'[19]Sch D'!N22</f>
        <v>63</v>
      </c>
      <c r="D231" s="559"/>
      <c r="E231" s="235">
        <f>C231+D231</f>
        <v>63</v>
      </c>
      <c r="F231" s="235"/>
      <c r="G231" s="235">
        <f>E231+F231</f>
        <v>63</v>
      </c>
      <c r="H231" s="167"/>
      <c r="J231" s="168"/>
      <c r="K231" s="168"/>
    </row>
    <row r="232" spans="1:11">
      <c r="A232" s="358" t="s">
        <v>366</v>
      </c>
      <c r="B232" s="202" t="s">
        <v>290</v>
      </c>
      <c r="C232" s="593">
        <f>'[19]Sch D'!N24</f>
        <v>63</v>
      </c>
      <c r="D232" s="559"/>
      <c r="E232" s="235">
        <f>C232+D232</f>
        <v>63</v>
      </c>
      <c r="F232" s="235"/>
      <c r="G232" s="235">
        <f>E232+F232</f>
        <v>63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'[19]Sch D'!N28</f>
        <v>23058</v>
      </c>
      <c r="D235" s="483"/>
      <c r="E235" s="234">
        <f>E231*E233</f>
        <v>23058</v>
      </c>
      <c r="F235" s="239"/>
      <c r="G235" s="234">
        <f>G231*G233</f>
        <v>23058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'[19]Sch D'!N30</f>
        <v>0.63622170179547233</v>
      </c>
      <c r="D236" s="239"/>
      <c r="E236" s="244">
        <f>E228/E235</f>
        <v>0.63622170179547233</v>
      </c>
      <c r="F236" s="245"/>
      <c r="G236" s="244">
        <f>G228/G235</f>
        <v>0.63622170179547233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'[19]Sch D'!N32</f>
        <v>0.34430566397779511</v>
      </c>
      <c r="D237" s="239"/>
      <c r="E237" s="244">
        <f>(E219+E220)/E235</f>
        <v>0.34430566397779511</v>
      </c>
      <c r="F237" s="245"/>
      <c r="G237" s="244">
        <f>(G219+G220)/G235</f>
        <v>0.34430566397779511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'[19]Sch D'!N34</f>
        <v>0.54117246080436254</v>
      </c>
      <c r="D238" s="239"/>
      <c r="E238" s="244">
        <f>(E237/E236)</f>
        <v>0.54117246080436254</v>
      </c>
      <c r="F238" s="245"/>
      <c r="G238" s="244">
        <f>(G237/G236)</f>
        <v>0.54117246080436254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'[19]Sch B'!C85</f>
        <v>271.44660194174759</v>
      </c>
    </row>
    <row r="242" spans="2:7">
      <c r="F242" s="142" t="s">
        <v>341</v>
      </c>
      <c r="G242" s="558">
        <f>'[19]Sch B'!E85</f>
        <v>438.46875</v>
      </c>
    </row>
    <row r="243" spans="2:7">
      <c r="F243" s="142" t="s">
        <v>342</v>
      </c>
      <c r="G243" s="558">
        <f>'[19]Sch B'!G85</f>
        <v>494.44680851063828</v>
      </c>
    </row>
    <row r="244" spans="2:7">
      <c r="F244" s="142" t="s">
        <v>343</v>
      </c>
      <c r="G244" s="558">
        <f>'[19]Sch B'!I85</f>
        <v>231.40730337078651</v>
      </c>
    </row>
    <row r="245" spans="2:7">
      <c r="F245" s="14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>
    <tabColor rgb="FFE28CAB"/>
  </sheetPr>
  <dimension ref="A1:T245"/>
  <sheetViews>
    <sheetView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373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/>
      <c r="D11" s="558"/>
      <c r="E11" s="171">
        <f>C11+D11</f>
        <v>0</v>
      </c>
      <c r="F11" s="171"/>
      <c r="G11" s="171">
        <f t="shared" ref="G11:G20" si="0">E11+F11</f>
        <v>0</v>
      </c>
      <c r="H11" s="172">
        <f t="shared" ref="H11:H21" si="1">IF($G$21=0,0,G11/$G$21)</f>
        <v>0</v>
      </c>
      <c r="I11" s="336"/>
      <c r="J11" s="368" t="s">
        <v>344</v>
      </c>
      <c r="K11" s="369">
        <f>G21</f>
        <v>0</v>
      </c>
      <c r="M11" s="359">
        <f>IFERROR(G11/G219,0)</f>
        <v>0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/>
      <c r="D12" s="558"/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0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/>
      <c r="D13" s="558"/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336"/>
      <c r="J13" s="370" t="s">
        <v>346</v>
      </c>
      <c r="K13" s="371">
        <f>G228</f>
        <v>0</v>
      </c>
      <c r="M13" s="359">
        <f t="shared" si="3"/>
        <v>0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/>
      <c r="D14" s="558"/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0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/>
      <c r="D15" s="558"/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/>
      <c r="D16" s="558"/>
      <c r="E16" s="171">
        <f t="shared" si="2"/>
        <v>0</v>
      </c>
      <c r="F16" s="171"/>
      <c r="G16" s="171">
        <f t="shared" si="0"/>
        <v>0</v>
      </c>
      <c r="H16" s="172">
        <f t="shared" si="1"/>
        <v>0</v>
      </c>
      <c r="I16" s="336"/>
      <c r="J16" s="372"/>
      <c r="K16" s="371"/>
      <c r="M16" s="359">
        <f t="shared" si="3"/>
        <v>0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/>
      <c r="D17" s="558"/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0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/>
      <c r="D18" s="558"/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/>
      <c r="D19" s="558"/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/>
      <c r="D20" s="558"/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/>
      <c r="D21" s="558"/>
      <c r="E21" s="171">
        <f>SUM(E11:E20)</f>
        <v>0</v>
      </c>
      <c r="F21" s="171">
        <f>SUM(F11:F20)</f>
        <v>0</v>
      </c>
      <c r="G21" s="171">
        <f>SUM(G11:G20)</f>
        <v>0</v>
      </c>
      <c r="H21" s="172">
        <f t="shared" si="1"/>
        <v>0</v>
      </c>
      <c r="I21" s="336"/>
      <c r="J21" s="168"/>
      <c r="K21" s="168"/>
      <c r="M21" s="359">
        <f>IFERROR(G21/G228,0)</f>
        <v>0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/>
      <c r="D25" s="558"/>
      <c r="E25" s="171">
        <f t="shared" ref="E25:E60" si="4">C25+D25</f>
        <v>0</v>
      </c>
      <c r="F25" s="171"/>
      <c r="G25" s="182">
        <f>E25+F25</f>
        <v>0</v>
      </c>
      <c r="H25" s="172">
        <f>IF($G$208=0,0,G25/$G$208)</f>
        <v>0</v>
      </c>
      <c r="I25" s="336"/>
      <c r="J25" s="183"/>
      <c r="K25" s="183"/>
      <c r="M25" s="359" t="e">
        <f>G25/G$228</f>
        <v>#DIV/0!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/>
      <c r="D26" s="558"/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/>
      <c r="K26" s="183"/>
      <c r="M26" s="359" t="e">
        <f t="shared" ref="M26:M60" si="7">G26/G$228</f>
        <v>#DIV/0!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/>
      <c r="D27" s="558"/>
      <c r="E27" s="171">
        <f t="shared" si="4"/>
        <v>0</v>
      </c>
      <c r="F27" s="171"/>
      <c r="G27" s="171">
        <f t="shared" si="5"/>
        <v>0</v>
      </c>
      <c r="H27" s="172">
        <f t="shared" si="6"/>
        <v>0</v>
      </c>
      <c r="I27" s="336"/>
      <c r="J27" s="185"/>
      <c r="K27" s="185"/>
      <c r="M27" s="359" t="e">
        <f t="shared" si="7"/>
        <v>#DIV/0!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/>
      <c r="D28" s="558"/>
      <c r="E28" s="171">
        <f t="shared" si="4"/>
        <v>0</v>
      </c>
      <c r="F28" s="171"/>
      <c r="G28" s="171">
        <f t="shared" si="5"/>
        <v>0</v>
      </c>
      <c r="H28" s="172">
        <f t="shared" si="6"/>
        <v>0</v>
      </c>
      <c r="I28" s="336"/>
      <c r="J28" s="168"/>
      <c r="K28" s="168"/>
      <c r="M28" s="359" t="e">
        <f t="shared" si="7"/>
        <v>#DIV/0!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/>
      <c r="D29" s="558"/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 t="e">
        <f t="shared" si="7"/>
        <v>#DIV/0!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/>
      <c r="D30" s="558"/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 t="e">
        <f t="shared" si="7"/>
        <v>#DIV/0!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/>
      <c r="D31" s="558"/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 t="e">
        <f t="shared" si="7"/>
        <v>#DIV/0!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/>
      <c r="D32" s="558"/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 t="e">
        <f t="shared" si="7"/>
        <v>#DIV/0!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/>
      <c r="D33" s="558"/>
      <c r="E33" s="171">
        <f t="shared" si="4"/>
        <v>0</v>
      </c>
      <c r="F33" s="171"/>
      <c r="G33" s="171">
        <f t="shared" si="5"/>
        <v>0</v>
      </c>
      <c r="H33" s="172">
        <f t="shared" si="6"/>
        <v>0</v>
      </c>
      <c r="I33" s="336"/>
      <c r="J33" s="168"/>
      <c r="K33" s="168"/>
      <c r="M33" s="359" t="e">
        <f t="shared" si="7"/>
        <v>#DIV/0!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/>
      <c r="D34" s="558"/>
      <c r="E34" s="171">
        <f t="shared" si="4"/>
        <v>0</v>
      </c>
      <c r="F34" s="171"/>
      <c r="G34" s="171">
        <f t="shared" si="5"/>
        <v>0</v>
      </c>
      <c r="H34" s="172">
        <f t="shared" si="6"/>
        <v>0</v>
      </c>
      <c r="I34" s="336"/>
      <c r="J34" s="168"/>
      <c r="K34" s="168"/>
      <c r="M34" s="359" t="e">
        <f t="shared" si="7"/>
        <v>#DIV/0!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/>
      <c r="D35" s="558"/>
      <c r="E35" s="171">
        <f t="shared" si="4"/>
        <v>0</v>
      </c>
      <c r="F35" s="171"/>
      <c r="G35" s="171">
        <f t="shared" si="5"/>
        <v>0</v>
      </c>
      <c r="H35" s="172">
        <f t="shared" si="6"/>
        <v>0</v>
      </c>
      <c r="I35" s="336"/>
      <c r="J35" s="168"/>
      <c r="K35" s="168"/>
      <c r="M35" s="359" t="e">
        <f t="shared" si="7"/>
        <v>#DIV/0!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/>
      <c r="D36" s="558"/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336"/>
      <c r="J36" s="168"/>
      <c r="K36" s="168"/>
      <c r="M36" s="359" t="e">
        <f t="shared" si="7"/>
        <v>#DIV/0!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/>
      <c r="D37" s="558"/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 t="e">
        <f t="shared" si="7"/>
        <v>#DIV/0!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/>
      <c r="D38" s="558"/>
      <c r="E38" s="171">
        <f t="shared" si="4"/>
        <v>0</v>
      </c>
      <c r="F38" s="171"/>
      <c r="G38" s="171">
        <f t="shared" si="5"/>
        <v>0</v>
      </c>
      <c r="H38" s="172">
        <f t="shared" si="6"/>
        <v>0</v>
      </c>
      <c r="I38" s="336"/>
      <c r="J38" s="168"/>
      <c r="K38" s="168"/>
      <c r="M38" s="359" t="e">
        <f t="shared" si="7"/>
        <v>#DIV/0!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/>
      <c r="D39" s="558"/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 t="e">
        <f t="shared" si="7"/>
        <v>#DIV/0!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/>
      <c r="D40" s="558"/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 t="e">
        <f t="shared" si="7"/>
        <v>#DIV/0!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/>
      <c r="D41" s="558"/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6"/>
      <c r="J41" s="168"/>
      <c r="K41" s="168"/>
      <c r="M41" s="359" t="e">
        <f t="shared" si="7"/>
        <v>#DIV/0!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/>
      <c r="D42" s="558"/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 t="e">
        <f t="shared" si="7"/>
        <v>#DIV/0!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/>
      <c r="D43" s="558"/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 t="e">
        <f t="shared" si="7"/>
        <v>#DIV/0!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/>
      <c r="D44" s="558"/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 t="e">
        <f t="shared" si="7"/>
        <v>#DIV/0!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/>
      <c r="D45" s="558"/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 t="e">
        <f t="shared" si="7"/>
        <v>#DIV/0!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/>
      <c r="D46" s="558"/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 t="e">
        <f t="shared" si="7"/>
        <v>#DIV/0!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/>
      <c r="D47" s="558"/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336"/>
      <c r="J47" s="168"/>
      <c r="K47" s="168"/>
      <c r="M47" s="359" t="e">
        <f t="shared" si="7"/>
        <v>#DIV/0!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/>
      <c r="D48" s="558"/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 t="e">
        <f t="shared" si="7"/>
        <v>#DIV/0!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/>
      <c r="D49" s="558"/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 t="e">
        <f t="shared" si="7"/>
        <v>#DIV/0!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/>
      <c r="D50" s="558"/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 t="e">
        <f t="shared" si="7"/>
        <v>#DIV/0!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/>
      <c r="D51" s="558"/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/>
      <c r="K51" s="183"/>
      <c r="M51" s="359" t="e">
        <f t="shared" si="7"/>
        <v>#DIV/0!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/>
      <c r="D52" s="558"/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 t="e">
        <f t="shared" si="7"/>
        <v>#DIV/0!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/>
      <c r="D53" s="558"/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 t="e">
        <f t="shared" si="7"/>
        <v>#DIV/0!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/>
      <c r="D54" s="558"/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6"/>
      <c r="J54" s="168"/>
      <c r="K54" s="168"/>
      <c r="M54" s="359" t="e">
        <f t="shared" si="7"/>
        <v>#DIV/0!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/>
      <c r="D55" s="558"/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 t="e">
        <f t="shared" si="7"/>
        <v>#DIV/0!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/>
      <c r="D56" s="558"/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 t="e">
        <f t="shared" si="7"/>
        <v>#DIV/0!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/>
      <c r="D57" s="558"/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6"/>
      <c r="J57" s="168"/>
      <c r="K57" s="168"/>
      <c r="M57" s="359" t="e">
        <f t="shared" si="7"/>
        <v>#DIV/0!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/>
      <c r="D58" s="558"/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 t="e">
        <f t="shared" si="7"/>
        <v>#DIV/0!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/>
      <c r="D59" s="558"/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 t="e">
        <f t="shared" si="7"/>
        <v>#DIV/0!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/>
      <c r="D60" s="558"/>
      <c r="E60" s="171">
        <f t="shared" si="4"/>
        <v>0</v>
      </c>
      <c r="F60" s="171"/>
      <c r="G60" s="171">
        <f t="shared" si="5"/>
        <v>0</v>
      </c>
      <c r="H60" s="172">
        <f t="shared" si="6"/>
        <v>0</v>
      </c>
      <c r="I60" s="336"/>
      <c r="J60" s="168"/>
      <c r="K60" s="168"/>
      <c r="M60" s="359" t="e">
        <f t="shared" si="7"/>
        <v>#DIV/0!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/>
      <c r="D61" s="558"/>
      <c r="E61" s="171">
        <f t="shared" ref="E61:F61" si="8">SUM(E25:E60)</f>
        <v>0</v>
      </c>
      <c r="F61" s="171">
        <f t="shared" si="8"/>
        <v>0</v>
      </c>
      <c r="G61" s="171">
        <f>SUM(G25:G60)</f>
        <v>0</v>
      </c>
      <c r="H61" s="186">
        <f t="shared" si="6"/>
        <v>0</v>
      </c>
      <c r="I61" s="338"/>
      <c r="J61" s="168"/>
      <c r="K61" s="168"/>
      <c r="M61" s="364" t="e">
        <f>G61/G$228</f>
        <v>#DIV/0!</v>
      </c>
      <c r="N61" s="359">
        <f>SUMMARY!J64</f>
        <v>53.728790309602623</v>
      </c>
      <c r="O61" s="354" t="e">
        <f>M61/N61-1</f>
        <v>#DIV/0!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/>
      <c r="D64" s="558"/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 t="e">
        <f t="shared" ref="M64:M79" si="12">G64/G$228</f>
        <v>#DIV/0!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/>
      <c r="D65" s="558"/>
      <c r="E65" s="171">
        <f t="shared" si="9"/>
        <v>0</v>
      </c>
      <c r="F65" s="171"/>
      <c r="G65" s="171">
        <f t="shared" si="10"/>
        <v>0</v>
      </c>
      <c r="H65" s="172">
        <f t="shared" si="11"/>
        <v>0</v>
      </c>
      <c r="I65" s="336"/>
      <c r="J65" s="190"/>
      <c r="K65" s="168"/>
      <c r="M65" s="359" t="e">
        <f t="shared" si="12"/>
        <v>#DIV/0!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/>
      <c r="D66" s="558"/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 t="e">
        <f t="shared" si="12"/>
        <v>#DIV/0!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/>
      <c r="D67" s="558"/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 t="e">
        <f t="shared" si="12"/>
        <v>#DIV/0!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/>
      <c r="D68" s="558"/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 t="e">
        <f t="shared" si="12"/>
        <v>#DIV/0!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/>
      <c r="D69" s="558"/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 t="e">
        <f t="shared" si="12"/>
        <v>#DIV/0!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/>
      <c r="D70" s="558"/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 t="e">
        <f t="shared" si="12"/>
        <v>#DIV/0!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/>
      <c r="D71" s="558"/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 t="e">
        <f t="shared" si="12"/>
        <v>#DIV/0!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/>
      <c r="D72" s="558"/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 t="e">
        <f t="shared" si="12"/>
        <v>#DIV/0!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/>
      <c r="D73" s="558"/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 t="e">
        <f t="shared" si="12"/>
        <v>#DIV/0!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/>
      <c r="D74" s="558"/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6"/>
      <c r="J74" s="195"/>
      <c r="K74" s="168"/>
      <c r="M74" s="359" t="e">
        <f t="shared" si="12"/>
        <v>#DIV/0!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/>
      <c r="D75" s="558"/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 t="e">
        <f t="shared" si="12"/>
        <v>#DIV/0!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/>
      <c r="D76" s="558"/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 t="e">
        <f t="shared" si="12"/>
        <v>#DIV/0!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/>
      <c r="D77" s="558"/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 t="e">
        <f t="shared" si="12"/>
        <v>#DIV/0!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/>
      <c r="D78" s="558"/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 t="e">
        <f t="shared" si="12"/>
        <v>#DIV/0!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/>
      <c r="D79" s="558"/>
      <c r="E79" s="171">
        <f t="shared" ref="E79:F79" si="13">SUM(E64:E78)</f>
        <v>0</v>
      </c>
      <c r="F79" s="171">
        <f t="shared" si="13"/>
        <v>0</v>
      </c>
      <c r="G79" s="171">
        <f>SUM(G64:G78)</f>
        <v>0</v>
      </c>
      <c r="H79" s="172">
        <f t="shared" si="11"/>
        <v>0</v>
      </c>
      <c r="I79" s="336"/>
      <c r="J79" s="195"/>
      <c r="K79" s="168"/>
      <c r="M79" s="359" t="e">
        <f t="shared" si="12"/>
        <v>#DIV/0!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/>
      <c r="D82" s="558"/>
      <c r="E82" s="171">
        <f t="shared" ref="E82:E92" si="14">C82+D82</f>
        <v>0</v>
      </c>
      <c r="F82" s="171"/>
      <c r="G82" s="171">
        <f t="shared" ref="G82:G92" si="15">E82+F82</f>
        <v>0</v>
      </c>
      <c r="H82" s="172">
        <f t="shared" ref="H82:H93" si="16">IF($G$208=0,0,G82/$G$208)</f>
        <v>0</v>
      </c>
      <c r="I82" s="336"/>
      <c r="J82" s="183"/>
      <c r="K82" s="183"/>
      <c r="M82" s="359" t="e">
        <f t="shared" ref="M82:M92" si="17">G82/G$228</f>
        <v>#DIV/0!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/>
      <c r="D83" s="558"/>
      <c r="E83" s="171">
        <f t="shared" si="14"/>
        <v>0</v>
      </c>
      <c r="F83" s="171"/>
      <c r="G83" s="171">
        <f t="shared" si="15"/>
        <v>0</v>
      </c>
      <c r="H83" s="172">
        <f t="shared" si="16"/>
        <v>0</v>
      </c>
      <c r="I83" s="336"/>
      <c r="J83" s="168"/>
      <c r="K83" s="168"/>
      <c r="M83" s="359" t="e">
        <f t="shared" si="17"/>
        <v>#DIV/0!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/>
      <c r="D84" s="558"/>
      <c r="E84" s="171">
        <f t="shared" si="14"/>
        <v>0</v>
      </c>
      <c r="F84" s="171"/>
      <c r="G84" s="171">
        <f t="shared" si="15"/>
        <v>0</v>
      </c>
      <c r="H84" s="172">
        <f t="shared" si="16"/>
        <v>0</v>
      </c>
      <c r="I84" s="336"/>
      <c r="J84" s="168"/>
      <c r="K84" s="168"/>
      <c r="M84" s="359" t="e">
        <f t="shared" si="17"/>
        <v>#DIV/0!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/>
      <c r="D85" s="558"/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 t="e">
        <f t="shared" si="17"/>
        <v>#DIV/0!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/>
      <c r="D86" s="558"/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6"/>
      <c r="J86" s="168"/>
      <c r="K86" s="168"/>
      <c r="M86" s="359" t="e">
        <f t="shared" si="17"/>
        <v>#DIV/0!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/>
      <c r="D87" s="558"/>
      <c r="E87" s="171">
        <f t="shared" si="14"/>
        <v>0</v>
      </c>
      <c r="F87" s="171"/>
      <c r="G87" s="171">
        <f t="shared" si="15"/>
        <v>0</v>
      </c>
      <c r="H87" s="172">
        <f t="shared" si="16"/>
        <v>0</v>
      </c>
      <c r="I87" s="336"/>
      <c r="J87" s="168"/>
      <c r="K87" s="168"/>
      <c r="M87" s="359" t="e">
        <f t="shared" si="17"/>
        <v>#DIV/0!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/>
      <c r="D88" s="558"/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 t="e">
        <f t="shared" si="17"/>
        <v>#DIV/0!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/>
      <c r="D89" s="558"/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 t="e">
        <f t="shared" si="17"/>
        <v>#DIV/0!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/>
      <c r="D90" s="558"/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 t="e">
        <f t="shared" si="17"/>
        <v>#DIV/0!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/>
      <c r="D91" s="558"/>
      <c r="E91" s="171">
        <f t="shared" si="14"/>
        <v>0</v>
      </c>
      <c r="F91" s="171"/>
      <c r="G91" s="171">
        <f t="shared" si="15"/>
        <v>0</v>
      </c>
      <c r="H91" s="172">
        <f t="shared" si="16"/>
        <v>0</v>
      </c>
      <c r="I91" s="336"/>
      <c r="J91" s="168"/>
      <c r="K91" s="168"/>
      <c r="M91" s="359" t="e">
        <f t="shared" si="17"/>
        <v>#DIV/0!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/>
      <c r="D92" s="558"/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 t="e">
        <f t="shared" si="17"/>
        <v>#DIV/0!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/>
      <c r="D93" s="558"/>
      <c r="E93" s="171">
        <f t="shared" ref="E93:F93" si="18">SUM(E82:E92)</f>
        <v>0</v>
      </c>
      <c r="F93" s="171">
        <f t="shared" si="18"/>
        <v>0</v>
      </c>
      <c r="G93" s="171">
        <f>SUM(G82:G92)</f>
        <v>0</v>
      </c>
      <c r="H93" s="172">
        <f t="shared" si="16"/>
        <v>0</v>
      </c>
      <c r="I93" s="336"/>
      <c r="J93" s="168"/>
      <c r="K93" s="168"/>
      <c r="M93" s="364" t="e">
        <f>G93/G$228</f>
        <v>#DIV/0!</v>
      </c>
      <c r="N93" s="359">
        <f>SUMMARY!J96</f>
        <v>11.458724454710746</v>
      </c>
      <c r="O93" s="354" t="e">
        <f>M93/N93-1</f>
        <v>#DIV/0!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/>
      <c r="D96" s="558"/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6"/>
      <c r="J96" s="183"/>
      <c r="K96" s="183"/>
      <c r="M96" s="364" t="e">
        <f t="shared" ref="M96:M101" si="22">G96/G$228</f>
        <v>#DIV/0!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/>
      <c r="D97" s="558"/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6"/>
      <c r="J97" s="168"/>
      <c r="K97" s="168"/>
      <c r="M97" s="364" t="e">
        <f t="shared" si="22"/>
        <v>#DIV/0!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/>
      <c r="D98" s="558"/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I98" s="336"/>
      <c r="J98" s="168"/>
      <c r="K98" s="168"/>
      <c r="M98" s="364" t="e">
        <f t="shared" si="22"/>
        <v>#DIV/0!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/>
      <c r="D99" s="558"/>
      <c r="E99" s="171">
        <f t="shared" si="19"/>
        <v>0</v>
      </c>
      <c r="F99" s="171"/>
      <c r="G99" s="171">
        <f t="shared" si="20"/>
        <v>0</v>
      </c>
      <c r="H99" s="172">
        <f t="shared" si="21"/>
        <v>0</v>
      </c>
      <c r="I99" s="336"/>
      <c r="J99" s="168"/>
      <c r="K99" s="168"/>
      <c r="M99" s="364" t="e">
        <f t="shared" si="22"/>
        <v>#DIV/0!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/>
      <c r="D100" s="558"/>
      <c r="E100" s="171">
        <f t="shared" si="19"/>
        <v>0</v>
      </c>
      <c r="F100" s="171"/>
      <c r="G100" s="171">
        <f t="shared" si="20"/>
        <v>0</v>
      </c>
      <c r="H100" s="172">
        <f t="shared" si="21"/>
        <v>0</v>
      </c>
      <c r="I100" s="336"/>
      <c r="J100" s="168"/>
      <c r="K100" s="168"/>
      <c r="M100" s="364" t="e">
        <f t="shared" si="22"/>
        <v>#DIV/0!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/>
      <c r="D101" s="558"/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 t="e">
        <f t="shared" si="22"/>
        <v>#DIV/0!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/>
      <c r="D102" s="558"/>
      <c r="E102" s="171">
        <f t="shared" ref="E102:F102" si="23">SUM(E96:E101)</f>
        <v>0</v>
      </c>
      <c r="F102" s="171">
        <f t="shared" si="23"/>
        <v>0</v>
      </c>
      <c r="G102" s="171">
        <f>SUM(G96:G101)</f>
        <v>0</v>
      </c>
      <c r="H102" s="172">
        <f t="shared" si="21"/>
        <v>0</v>
      </c>
      <c r="I102" s="336"/>
      <c r="J102" s="168"/>
      <c r="K102" s="168"/>
      <c r="M102" s="364" t="e">
        <f>G102/G$228</f>
        <v>#DIV/0!</v>
      </c>
      <c r="N102" s="359">
        <f>SUMMARY!J105</f>
        <v>19.901077037785338</v>
      </c>
      <c r="O102" s="354" t="e">
        <f>M102/N102-1</f>
        <v>#DIV/0!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/>
      <c r="D105" s="558"/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/>
      <c r="K105" s="183"/>
      <c r="M105" s="364" t="e">
        <f t="shared" ref="M105:M110" si="27">G105/G$228</f>
        <v>#DIV/0!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/>
      <c r="D106" s="558"/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 t="e">
        <f t="shared" si="27"/>
        <v>#DIV/0!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/>
      <c r="D107" s="558"/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 t="e">
        <f t="shared" si="27"/>
        <v>#DIV/0!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/>
      <c r="D108" s="558"/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 t="e">
        <f t="shared" si="27"/>
        <v>#DIV/0!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/>
      <c r="D109" s="558"/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 t="e">
        <f t="shared" si="27"/>
        <v>#DIV/0!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/>
      <c r="D110" s="558"/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 t="e">
        <f t="shared" si="27"/>
        <v>#DIV/0!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/>
      <c r="D111" s="558"/>
      <c r="E111" s="171">
        <f t="shared" ref="E111:F111" si="28">SUM(E105:E110)</f>
        <v>0</v>
      </c>
      <c r="F111" s="171">
        <f t="shared" si="28"/>
        <v>0</v>
      </c>
      <c r="G111" s="171">
        <f>SUM(G105:G110)</f>
        <v>0</v>
      </c>
      <c r="H111" s="172">
        <f t="shared" si="26"/>
        <v>0</v>
      </c>
      <c r="I111" s="336"/>
      <c r="J111" s="168"/>
      <c r="K111" s="168"/>
      <c r="M111" s="364" t="e">
        <f>G111/G$228</f>
        <v>#DIV/0!</v>
      </c>
      <c r="N111" s="359">
        <f>SUMMARY!J114</f>
        <v>2.4242384372309496</v>
      </c>
      <c r="O111" s="354" t="e">
        <f>M111/N111-1</f>
        <v>#DIV/0!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/>
      <c r="D114" s="558"/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/>
      <c r="K114" s="183"/>
      <c r="M114" s="364" t="e">
        <f t="shared" ref="M114:M119" si="31">G114/G$228</f>
        <v>#DIV/0!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/>
      <c r="D115" s="558"/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 t="e">
        <f t="shared" si="31"/>
        <v>#DIV/0!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/>
      <c r="D116" s="558"/>
      <c r="E116" s="171">
        <f t="shared" si="29"/>
        <v>0</v>
      </c>
      <c r="F116" s="171"/>
      <c r="G116" s="171">
        <f>E116+F116</f>
        <v>0</v>
      </c>
      <c r="H116" s="172">
        <f t="shared" si="30"/>
        <v>0</v>
      </c>
      <c r="I116" s="336"/>
      <c r="J116" s="168"/>
      <c r="K116" s="168"/>
      <c r="M116" s="364" t="e">
        <f t="shared" si="31"/>
        <v>#DIV/0!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/>
      <c r="D117" s="558"/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 t="e">
        <f t="shared" si="31"/>
        <v>#DIV/0!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/>
      <c r="D118" s="558"/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 t="e">
        <f t="shared" si="31"/>
        <v>#DIV/0!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/>
      <c r="D119" s="558"/>
      <c r="E119" s="171">
        <f t="shared" ref="E119:F119" si="32">SUM(E114:E118)</f>
        <v>0</v>
      </c>
      <c r="F119" s="171">
        <f t="shared" si="32"/>
        <v>0</v>
      </c>
      <c r="G119" s="171">
        <f>SUM(G114:G118)</f>
        <v>0</v>
      </c>
      <c r="H119" s="172">
        <f t="shared" si="30"/>
        <v>0</v>
      </c>
      <c r="I119" s="336"/>
      <c r="J119" s="168"/>
      <c r="K119" s="168"/>
      <c r="M119" s="364" t="e">
        <f t="shared" si="31"/>
        <v>#DIV/0!</v>
      </c>
      <c r="N119" s="359">
        <f>SUMMARY!J122</f>
        <v>6.0247597205909562</v>
      </c>
      <c r="O119" s="354" t="e">
        <f>M119/N119-1</f>
        <v>#DIV/0!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/>
      <c r="D123" s="558"/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/>
      <c r="K123" s="183"/>
      <c r="M123" s="364" t="e">
        <f t="shared" ref="M123:M160" si="34">G123/G$228</f>
        <v>#DIV/0!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/>
      <c r="D124" s="558"/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6"/>
      <c r="J124" s="183"/>
      <c r="K124" s="183"/>
      <c r="M124" s="364" t="e">
        <f t="shared" si="34"/>
        <v>#DIV/0!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/>
      <c r="D125" s="558"/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/>
      <c r="K125" s="183"/>
      <c r="M125" s="364" t="e">
        <f t="shared" si="34"/>
        <v>#DIV/0!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/>
      <c r="D126" s="558"/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/>
      <c r="K126" s="183"/>
      <c r="M126" s="364" t="e">
        <f t="shared" si="34"/>
        <v>#DIV/0!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/>
      <c r="D127" s="558"/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6"/>
      <c r="J127" s="183"/>
      <c r="K127" s="183"/>
      <c r="M127" s="364" t="e">
        <f t="shared" si="34"/>
        <v>#DIV/0!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/>
      <c r="D129" s="558"/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 t="e">
        <f t="shared" si="34"/>
        <v>#DIV/0!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/>
      <c r="D130" s="558"/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 t="e">
        <f t="shared" si="34"/>
        <v>#DIV/0!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/>
      <c r="D131" s="558"/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 t="e">
        <f t="shared" si="34"/>
        <v>#DIV/0!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/>
      <c r="D132" s="558"/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 t="e">
        <f t="shared" si="34"/>
        <v>#DIV/0!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/>
      <c r="D133" s="558"/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 t="e">
        <f t="shared" si="34"/>
        <v>#DIV/0!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/>
      <c r="D135" s="558"/>
      <c r="E135" s="171">
        <f t="shared" ref="E135:E138" si="36">C135+D135</f>
        <v>0</v>
      </c>
      <c r="F135" s="171"/>
      <c r="G135" s="171">
        <f>E135+F135</f>
        <v>0</v>
      </c>
      <c r="H135" s="172">
        <f>IF($G$208=0,0,G135/$G$208)</f>
        <v>0</v>
      </c>
      <c r="I135" s="336"/>
      <c r="J135" s="183"/>
      <c r="K135" s="183"/>
      <c r="M135" s="364" t="e">
        <f t="shared" si="34"/>
        <v>#DIV/0!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/>
      <c r="D136" s="558"/>
      <c r="E136" s="171">
        <f t="shared" si="36"/>
        <v>0</v>
      </c>
      <c r="F136" s="171"/>
      <c r="G136" s="171">
        <f>E136+F136</f>
        <v>0</v>
      </c>
      <c r="H136" s="172">
        <f>IF($G$208=0,0,G136/$G$208)</f>
        <v>0</v>
      </c>
      <c r="I136" s="336"/>
      <c r="J136" s="183"/>
      <c r="K136" s="183"/>
      <c r="M136" s="364" t="e">
        <f t="shared" si="34"/>
        <v>#DIV/0!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/>
      <c r="D137" s="558"/>
      <c r="E137" s="171">
        <f t="shared" si="36"/>
        <v>0</v>
      </c>
      <c r="F137" s="171"/>
      <c r="G137" s="171">
        <f>E137+F137</f>
        <v>0</v>
      </c>
      <c r="H137" s="172">
        <f>IF($G$208=0,0,G137/$G$208)</f>
        <v>0</v>
      </c>
      <c r="I137" s="336"/>
      <c r="J137" s="183"/>
      <c r="K137" s="183"/>
      <c r="M137" s="364" t="e">
        <f t="shared" si="34"/>
        <v>#DIV/0!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/>
      <c r="D138" s="558"/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/>
      <c r="K138" s="183"/>
      <c r="M138" s="364" t="e">
        <f t="shared" si="34"/>
        <v>#DIV/0!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/>
      <c r="D140" s="558"/>
      <c r="E140" s="171">
        <f t="shared" ref="E140:E143" si="37">C140+D140</f>
        <v>0</v>
      </c>
      <c r="F140" s="171"/>
      <c r="G140" s="171">
        <f>E140+F140</f>
        <v>0</v>
      </c>
      <c r="H140" s="172">
        <f>IF($G$208=0,0,G140/$G$208)</f>
        <v>0</v>
      </c>
      <c r="I140" s="336"/>
      <c r="J140" s="168"/>
      <c r="K140" s="168"/>
      <c r="M140" s="364" t="e">
        <f t="shared" si="34"/>
        <v>#DIV/0!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/>
      <c r="D141" s="558"/>
      <c r="E141" s="171">
        <f t="shared" si="37"/>
        <v>0</v>
      </c>
      <c r="F141" s="171"/>
      <c r="G141" s="171">
        <f>E141+F141</f>
        <v>0</v>
      </c>
      <c r="H141" s="172">
        <f>IF($G$208=0,0,G141/$G$208)</f>
        <v>0</v>
      </c>
      <c r="I141" s="336"/>
      <c r="J141" s="168"/>
      <c r="K141" s="168"/>
      <c r="M141" s="364" t="e">
        <f t="shared" si="34"/>
        <v>#DIV/0!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/>
      <c r="D142" s="558"/>
      <c r="E142" s="171">
        <f t="shared" si="37"/>
        <v>0</v>
      </c>
      <c r="F142" s="171"/>
      <c r="G142" s="171">
        <f>E142+F142</f>
        <v>0</v>
      </c>
      <c r="H142" s="172">
        <f>IF($G$208=0,0,G142/$G$208)</f>
        <v>0</v>
      </c>
      <c r="I142" s="336"/>
      <c r="J142" s="168"/>
      <c r="K142" s="168"/>
      <c r="M142" s="364" t="e">
        <f t="shared" si="34"/>
        <v>#DIV/0!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/>
      <c r="D143" s="558"/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 t="e">
        <f t="shared" si="34"/>
        <v>#DIV/0!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/>
      <c r="D145" s="558"/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336"/>
      <c r="J145" s="183"/>
      <c r="K145" s="183"/>
      <c r="M145" s="364" t="e">
        <f t="shared" si="34"/>
        <v>#DIV/0!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/>
      <c r="D146" s="558"/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/>
      <c r="K146" s="183"/>
      <c r="M146" s="364" t="e">
        <f t="shared" si="34"/>
        <v>#DIV/0!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/>
      <c r="D147" s="558"/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/>
      <c r="K147" s="183"/>
      <c r="M147" s="364" t="e">
        <f t="shared" si="34"/>
        <v>#DIV/0!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/>
      <c r="D148" s="558"/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/>
      <c r="K148" s="183"/>
      <c r="M148" s="364" t="e">
        <f t="shared" si="34"/>
        <v>#DIV/0!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/>
      <c r="D149" s="558"/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6"/>
      <c r="J149" s="183"/>
      <c r="K149" s="183"/>
      <c r="M149" s="364" t="e">
        <f t="shared" si="34"/>
        <v>#DIV/0!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/>
      <c r="D150" s="558"/>
      <c r="E150" s="171">
        <f t="shared" si="38"/>
        <v>0</v>
      </c>
      <c r="F150" s="171"/>
      <c r="G150" s="171">
        <f t="shared" si="39"/>
        <v>0</v>
      </c>
      <c r="H150" s="172">
        <f t="shared" si="40"/>
        <v>0</v>
      </c>
      <c r="I150" s="336"/>
      <c r="J150" s="168"/>
      <c r="K150" s="168"/>
      <c r="M150" s="364" t="e">
        <f t="shared" si="34"/>
        <v>#DIV/0!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/>
      <c r="D151" s="558"/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6"/>
      <c r="J151" s="168"/>
      <c r="K151" s="168"/>
      <c r="M151" s="364" t="e">
        <f t="shared" si="34"/>
        <v>#DIV/0!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/>
      <c r="D152" s="558"/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 t="e">
        <f t="shared" si="34"/>
        <v>#DIV/0!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/>
      <c r="D153" s="558"/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 t="e">
        <f t="shared" si="34"/>
        <v>#DIV/0!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/>
      <c r="D155" s="558"/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 t="e">
        <f t="shared" si="34"/>
        <v>#DIV/0!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/>
      <c r="D156" s="558"/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 t="e">
        <f t="shared" si="34"/>
        <v>#DIV/0!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/>
      <c r="D157" s="558"/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 t="e">
        <f t="shared" si="34"/>
        <v>#DIV/0!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/>
      <c r="D158" s="558"/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 t="e">
        <f t="shared" si="34"/>
        <v>#DIV/0!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/>
      <c r="D159" s="558"/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 t="e">
        <f t="shared" si="34"/>
        <v>#DIV/0!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/>
      <c r="D160" s="558"/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6"/>
      <c r="J160" s="168"/>
      <c r="K160" s="168"/>
      <c r="M160" s="364" t="e">
        <f t="shared" si="34"/>
        <v>#DIV/0!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/>
      <c r="D161" s="558"/>
      <c r="E161" s="171">
        <f t="shared" ref="E161:F161" si="44">SUM(E123:E160)</f>
        <v>0</v>
      </c>
      <c r="F161" s="171">
        <f t="shared" si="44"/>
        <v>0</v>
      </c>
      <c r="G161" s="171">
        <f>SUM(G123:G160)</f>
        <v>0</v>
      </c>
      <c r="H161" s="172">
        <f t="shared" si="43"/>
        <v>0</v>
      </c>
      <c r="I161" s="336"/>
      <c r="J161" s="168"/>
      <c r="K161" s="168"/>
      <c r="M161" s="364" t="e">
        <f>G161/G$228</f>
        <v>#DIV/0!</v>
      </c>
      <c r="N161" s="359">
        <f>SUMMARY!J164</f>
        <v>105.56901037202306</v>
      </c>
      <c r="O161" s="354" t="e">
        <f>M161/N161-1</f>
        <v>#DIV/0!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/>
      <c r="D164" s="558"/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/>
      <c r="K164" s="217"/>
      <c r="L164" s="218"/>
      <c r="M164" s="364" t="e">
        <f>G164/G$228</f>
        <v>#DIV/0!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/>
      <c r="D165" s="558"/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 t="e">
        <f t="shared" ref="M165:M196" si="48">G165/G$228</f>
        <v>#DIV/0!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/>
      <c r="D166" s="558"/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/>
      <c r="K166" s="217"/>
      <c r="L166" s="218"/>
      <c r="M166" s="364" t="e">
        <f t="shared" si="48"/>
        <v>#DIV/0!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/>
      <c r="D167" s="558"/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 t="e">
        <f t="shared" si="48"/>
        <v>#DIV/0!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/>
      <c r="D168" s="558"/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/>
      <c r="K168" s="217"/>
      <c r="L168" s="218"/>
      <c r="M168" s="364" t="e">
        <f t="shared" si="48"/>
        <v>#DIV/0!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/>
      <c r="D169" s="558"/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 t="e">
        <f t="shared" si="48"/>
        <v>#DIV/0!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/>
      <c r="D170" s="558"/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/>
      <c r="K170" s="217"/>
      <c r="L170" s="218"/>
      <c r="M170" s="364" t="e">
        <f t="shared" si="48"/>
        <v>#DIV/0!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/>
      <c r="D171" s="558"/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 t="e">
        <f t="shared" si="48"/>
        <v>#DIV/0!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/>
      <c r="D172" s="558"/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/>
      <c r="K172" s="217"/>
      <c r="L172" s="218"/>
      <c r="M172" s="364" t="e">
        <f t="shared" si="48"/>
        <v>#DIV/0!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/>
      <c r="D173" s="558"/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 t="e">
        <f t="shared" si="48"/>
        <v>#DIV/0!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/>
      <c r="D174" s="558"/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/>
      <c r="K174" s="217"/>
      <c r="L174" s="218"/>
      <c r="M174" s="364" t="e">
        <f t="shared" si="48"/>
        <v>#DIV/0!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/>
      <c r="D175" s="558"/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 t="e">
        <f t="shared" si="48"/>
        <v>#DIV/0!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/>
      <c r="D176" s="558"/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 t="e">
        <f t="shared" si="48"/>
        <v>#DIV/0!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/>
      <c r="D177" s="558"/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 t="e">
        <f t="shared" si="48"/>
        <v>#DIV/0!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/>
      <c r="D178" s="558"/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 t="e">
        <f t="shared" si="48"/>
        <v>#DIV/0!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/>
      <c r="D179" s="558"/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 t="e">
        <f t="shared" si="48"/>
        <v>#DIV/0!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/>
      <c r="D180" s="558"/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 t="e">
        <f t="shared" si="48"/>
        <v>#DIV/0!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/>
      <c r="D181" s="558"/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 t="e">
        <f t="shared" si="48"/>
        <v>#DIV/0!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/>
      <c r="D182" s="558"/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 t="e">
        <f t="shared" si="48"/>
        <v>#DIV/0!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/>
      <c r="D183" s="558"/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 t="e">
        <f t="shared" si="48"/>
        <v>#DIV/0!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/>
      <c r="D184" s="558"/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 t="e">
        <f t="shared" si="48"/>
        <v>#DIV/0!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/>
      <c r="D185" s="558"/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 t="e">
        <f t="shared" si="48"/>
        <v>#DIV/0!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/>
      <c r="D186" s="558"/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 t="e">
        <f t="shared" si="48"/>
        <v>#DIV/0!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/>
      <c r="D187" s="558"/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 t="e">
        <f t="shared" si="48"/>
        <v>#DIV/0!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/>
      <c r="D188" s="558"/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 t="e">
        <f t="shared" si="48"/>
        <v>#DIV/0!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/>
      <c r="D189" s="558"/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 t="e">
        <f t="shared" si="48"/>
        <v>#DIV/0!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/>
      <c r="D190" s="558"/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 t="e">
        <f t="shared" si="48"/>
        <v>#DIV/0!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/>
      <c r="D191" s="558"/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 t="e">
        <f t="shared" si="48"/>
        <v>#DIV/0!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/>
      <c r="D192" s="558"/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 t="e">
        <f t="shared" si="48"/>
        <v>#DIV/0!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/>
      <c r="D193" s="558"/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 t="e">
        <f t="shared" si="48"/>
        <v>#DIV/0!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/>
      <c r="D194" s="558"/>
      <c r="E194" s="171">
        <f t="shared" si="45"/>
        <v>0</v>
      </c>
      <c r="F194" s="216"/>
      <c r="G194" s="171">
        <f t="shared" si="46"/>
        <v>0</v>
      </c>
      <c r="H194" s="172">
        <f t="shared" si="47"/>
        <v>0</v>
      </c>
      <c r="I194" s="336"/>
      <c r="J194" s="223"/>
      <c r="K194" s="218"/>
      <c r="M194" s="364" t="e">
        <f t="shared" si="48"/>
        <v>#DIV/0!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/>
      <c r="D195" s="558"/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 t="e">
        <f t="shared" si="48"/>
        <v>#DIV/0!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/>
      <c r="D196" s="558"/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 t="e">
        <f t="shared" si="48"/>
        <v>#DIV/0!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/>
      <c r="D197" s="558"/>
      <c r="E197" s="171">
        <f t="shared" ref="E197:F197" si="49">SUM(E164:E196)</f>
        <v>0</v>
      </c>
      <c r="F197" s="171">
        <f t="shared" si="49"/>
        <v>0</v>
      </c>
      <c r="G197" s="171">
        <f>SUM(G164:G196)</f>
        <v>0</v>
      </c>
      <c r="H197" s="172">
        <f>IF($G$208=0,0,G197/$G$208)</f>
        <v>0</v>
      </c>
      <c r="I197" s="336"/>
      <c r="J197" s="168"/>
      <c r="K197" s="168"/>
      <c r="M197" s="364" t="e">
        <f>G197/G$228</f>
        <v>#DIV/0!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/>
      <c r="D200" s="558"/>
      <c r="E200" s="171">
        <f t="shared" ref="E200:E205" si="50">C200+D200</f>
        <v>0</v>
      </c>
      <c r="F200" s="171"/>
      <c r="G200" s="171">
        <f t="shared" ref="G200:G205" si="51">E200+F200</f>
        <v>0</v>
      </c>
      <c r="H200" s="172">
        <f t="shared" ref="H200:H206" si="52">IF($G$208=0,0,G200/$G$208)</f>
        <v>0</v>
      </c>
      <c r="I200" s="336"/>
      <c r="J200" s="183"/>
      <c r="K200" s="183"/>
      <c r="M200" s="364" t="e">
        <f t="shared" ref="M200:M205" si="53">G200/G$228</f>
        <v>#DIV/0!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/>
      <c r="D201" s="558"/>
      <c r="E201" s="171">
        <f t="shared" si="50"/>
        <v>0</v>
      </c>
      <c r="F201" s="171"/>
      <c r="G201" s="171">
        <f t="shared" si="51"/>
        <v>0</v>
      </c>
      <c r="H201" s="172">
        <f t="shared" si="52"/>
        <v>0</v>
      </c>
      <c r="I201" s="336"/>
      <c r="J201" s="168"/>
      <c r="K201" s="168"/>
      <c r="M201" s="364" t="e">
        <f t="shared" si="53"/>
        <v>#DIV/0!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/>
      <c r="D202" s="558"/>
      <c r="E202" s="171">
        <f t="shared" si="50"/>
        <v>0</v>
      </c>
      <c r="F202" s="171"/>
      <c r="G202" s="171">
        <f t="shared" si="51"/>
        <v>0</v>
      </c>
      <c r="H202" s="172">
        <f t="shared" si="52"/>
        <v>0</v>
      </c>
      <c r="I202" s="336"/>
      <c r="J202" s="168"/>
      <c r="K202" s="168"/>
      <c r="M202" s="364" t="e">
        <f t="shared" si="53"/>
        <v>#DIV/0!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/>
      <c r="D203" s="558"/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 t="e">
        <f t="shared" si="53"/>
        <v>#DIV/0!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/>
      <c r="D204" s="558"/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 t="e">
        <f t="shared" si="53"/>
        <v>#DIV/0!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/>
      <c r="D205" s="558"/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6"/>
      <c r="J205" s="168"/>
      <c r="K205" s="168"/>
      <c r="M205" s="364" t="e">
        <f t="shared" si="53"/>
        <v>#DIV/0!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/>
      <c r="D206" s="558"/>
      <c r="E206" s="171">
        <f t="shared" ref="E206:F206" si="54">SUM(E200:E205)</f>
        <v>0</v>
      </c>
      <c r="F206" s="171">
        <f t="shared" si="54"/>
        <v>0</v>
      </c>
      <c r="G206" s="171">
        <f>SUM(G200:G205)</f>
        <v>0</v>
      </c>
      <c r="H206" s="172">
        <f t="shared" si="52"/>
        <v>0</v>
      </c>
      <c r="I206" s="336"/>
      <c r="J206" s="168"/>
      <c r="K206" s="168"/>
      <c r="M206" s="364" t="e">
        <f>G206/G$228</f>
        <v>#DIV/0!</v>
      </c>
      <c r="N206" s="359">
        <f>SUMMARY!J209</f>
        <v>7.1515095990067339</v>
      </c>
      <c r="O206" s="354" t="e">
        <f>M206/N206-1</f>
        <v>#DIV/0!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/>
      <c r="D208" s="558"/>
      <c r="E208" s="171">
        <f t="shared" ref="E208:F208" si="55">SUM(E25:E206)/2</f>
        <v>0</v>
      </c>
      <c r="F208" s="171">
        <f t="shared" si="55"/>
        <v>0</v>
      </c>
      <c r="G208" s="171">
        <f>SUM(G25:G206)/2</f>
        <v>0</v>
      </c>
      <c r="H208" s="172">
        <f>IF($G$208=0,0,G208/$G$208)</f>
        <v>0</v>
      </c>
      <c r="I208" s="336"/>
      <c r="J208" s="183">
        <f>SUM(J25:J200)</f>
        <v>0</v>
      </c>
      <c r="K208" s="183">
        <f>SUM(K25:K200)</f>
        <v>0</v>
      </c>
      <c r="M208" s="364" t="e">
        <f>G208/G$228</f>
        <v>#DIV/0!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 t="e">
        <f>SUM(O61:O206)</f>
        <v>#DIV/0!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/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/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/>
      <c r="D215" s="558"/>
      <c r="E215" s="171">
        <f t="shared" ref="E215:F215" si="56">E21-E208</f>
        <v>0</v>
      </c>
      <c r="F215" s="171">
        <f t="shared" si="56"/>
        <v>0</v>
      </c>
      <c r="G215" s="171">
        <f>G21-G208</f>
        <v>0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/>
      <c r="D219" s="592"/>
      <c r="E219" s="235">
        <f t="shared" ref="E219:G227" si="57">C219+D219</f>
        <v>0</v>
      </c>
      <c r="F219" s="234"/>
      <c r="G219" s="235">
        <f t="shared" si="57"/>
        <v>0</v>
      </c>
      <c r="H219" s="172">
        <f t="shared" ref="H219:H228" si="58">IF($G$228=0,0,G219/$G$228)</f>
        <v>0</v>
      </c>
      <c r="I219" s="336"/>
      <c r="J219" s="168"/>
      <c r="K219" s="168"/>
    </row>
    <row r="220" spans="1:17">
      <c r="A220" s="163"/>
      <c r="B220" s="170" t="s">
        <v>217</v>
      </c>
      <c r="C220" s="592"/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/>
      <c r="D221" s="592"/>
      <c r="E221" s="235">
        <f t="shared" si="59"/>
        <v>0</v>
      </c>
      <c r="F221" s="234"/>
      <c r="G221" s="235">
        <f t="shared" si="57"/>
        <v>0</v>
      </c>
      <c r="H221" s="172">
        <f t="shared" si="58"/>
        <v>0</v>
      </c>
      <c r="I221" s="336"/>
      <c r="J221" s="168"/>
      <c r="K221" s="168"/>
    </row>
    <row r="222" spans="1:17">
      <c r="A222" s="163"/>
      <c r="B222" s="202" t="s">
        <v>334</v>
      </c>
      <c r="C222" s="592"/>
      <c r="D222" s="592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/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/>
      <c r="D224" s="592"/>
      <c r="E224" s="235">
        <f t="shared" si="59"/>
        <v>0</v>
      </c>
      <c r="F224" s="234"/>
      <c r="G224" s="235">
        <f t="shared" si="57"/>
        <v>0</v>
      </c>
      <c r="H224" s="172">
        <f t="shared" si="58"/>
        <v>0</v>
      </c>
      <c r="I224" s="336"/>
      <c r="J224" s="168"/>
      <c r="K224" s="168"/>
    </row>
    <row r="225" spans="1:11">
      <c r="A225" s="163"/>
      <c r="B225" s="170" t="s">
        <v>236</v>
      </c>
      <c r="C225" s="592"/>
      <c r="D225" s="592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/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/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/>
      <c r="D228" s="592"/>
      <c r="E228" s="237">
        <f>SUM(E219:E227)</f>
        <v>0</v>
      </c>
      <c r="F228" s="237">
        <f>SUM(F219:F227)</f>
        <v>0</v>
      </c>
      <c r="G228" s="237">
        <f>SUM(G219:G227)</f>
        <v>0</v>
      </c>
      <c r="H228" s="172">
        <f t="shared" si="58"/>
        <v>0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/>
      <c r="D231" s="559"/>
      <c r="E231" s="235">
        <f>C231+D231</f>
        <v>0</v>
      </c>
      <c r="F231" s="235"/>
      <c r="G231" s="235">
        <f>E231+F231</f>
        <v>0</v>
      </c>
      <c r="H231" s="167"/>
      <c r="J231" s="168"/>
      <c r="K231" s="168"/>
    </row>
    <row r="232" spans="1:11">
      <c r="A232" s="358" t="s">
        <v>366</v>
      </c>
      <c r="B232" s="202" t="s">
        <v>290</v>
      </c>
      <c r="C232" s="593"/>
      <c r="D232" s="559"/>
      <c r="E232" s="235">
        <f>C232+D232</f>
        <v>0</v>
      </c>
      <c r="F232" s="235"/>
      <c r="G232" s="235">
        <f>E232+F232</f>
        <v>0</v>
      </c>
      <c r="H232" s="167" t="s">
        <v>367</v>
      </c>
      <c r="J232" s="168"/>
      <c r="K232" s="168"/>
    </row>
    <row r="233" spans="1:11">
      <c r="A233" s="163"/>
      <c r="B233" s="202" t="s">
        <v>76</v>
      </c>
      <c r="C233" s="593"/>
      <c r="D233" s="483"/>
      <c r="E233" s="235">
        <f>C233+D233</f>
        <v>0</v>
      </c>
      <c r="F233" s="239"/>
      <c r="G233" s="235">
        <f>E233+F233</f>
        <v>0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/>
      <c r="D235" s="483"/>
      <c r="E235" s="234">
        <f>E231*E233</f>
        <v>0</v>
      </c>
      <c r="F235" s="239"/>
      <c r="G235" s="234">
        <f>G231*G233</f>
        <v>0</v>
      </c>
      <c r="H235" s="167"/>
      <c r="J235" s="168"/>
      <c r="K235" s="168"/>
    </row>
    <row r="236" spans="1:11" ht="26.5">
      <c r="A236" s="163"/>
      <c r="B236" s="243" t="s">
        <v>336</v>
      </c>
      <c r="C236" s="594"/>
      <c r="D236" s="239"/>
      <c r="E236" s="244" t="e">
        <f>E228/E235</f>
        <v>#DIV/0!</v>
      </c>
      <c r="F236" s="245"/>
      <c r="G236" s="244" t="e">
        <f>G228/G235</f>
        <v>#DIV/0!</v>
      </c>
      <c r="H236" s="167"/>
      <c r="J236" s="168"/>
      <c r="K236" s="168"/>
    </row>
    <row r="237" spans="1:11" ht="26.5">
      <c r="A237" s="163"/>
      <c r="B237" s="243" t="s">
        <v>337</v>
      </c>
      <c r="C237" s="594"/>
      <c r="D237" s="239"/>
      <c r="E237" s="244" t="e">
        <f>(E219+E220)/E235</f>
        <v>#DIV/0!</v>
      </c>
      <c r="F237" s="245"/>
      <c r="G237" s="244" t="e">
        <f>(G219+G220)/G235</f>
        <v>#DIV/0!</v>
      </c>
      <c r="H237" s="167"/>
      <c r="J237" s="168"/>
      <c r="K237" s="168"/>
    </row>
    <row r="238" spans="1:11" ht="26.5">
      <c r="A238" s="163"/>
      <c r="B238" s="243" t="s">
        <v>338</v>
      </c>
      <c r="C238" s="594"/>
      <c r="D238" s="239"/>
      <c r="E238" s="244" t="e">
        <f>(E237/E236)</f>
        <v>#DIV/0!</v>
      </c>
      <c r="F238" s="245"/>
      <c r="G238" s="244" t="e">
        <f>(G237/G236)</f>
        <v>#DIV/0!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/>
    </row>
    <row r="242" spans="2:7">
      <c r="F242" s="142" t="s">
        <v>341</v>
      </c>
      <c r="G242" s="558"/>
    </row>
    <row r="243" spans="2:7">
      <c r="F243" s="142" t="s">
        <v>342</v>
      </c>
      <c r="G243" s="558"/>
    </row>
    <row r="244" spans="2:7">
      <c r="F244" s="142" t="s">
        <v>343</v>
      </c>
      <c r="G244" s="558"/>
    </row>
    <row r="245" spans="2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E28CAB"/>
  </sheetPr>
  <dimension ref="A1:T249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13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479" t="s">
        <v>409</v>
      </c>
      <c r="D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'[2]Sch B'!E10</f>
        <v>2332885</v>
      </c>
      <c r="D11" s="558">
        <f>'[2]Sch B'!G10</f>
        <v>0</v>
      </c>
      <c r="E11" s="171">
        <f>C11+D11</f>
        <v>2332885</v>
      </c>
      <c r="F11" s="171"/>
      <c r="G11" s="171">
        <f t="shared" ref="G11:G20" si="0">E11+F11</f>
        <v>2332885</v>
      </c>
      <c r="H11" s="172">
        <f t="shared" ref="H11:H21" si="1">IF($G$21=0,0,G11/$G$21)</f>
        <v>0.39226901059935204</v>
      </c>
      <c r="I11" s="336"/>
      <c r="J11" s="368" t="s">
        <v>344</v>
      </c>
      <c r="K11" s="369">
        <f>G21</f>
        <v>5947156</v>
      </c>
      <c r="M11" s="359">
        <f>IFERROR(G11/G219,0)</f>
        <v>189.31145013389596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'[2]Sch B'!E15</f>
        <v>0</v>
      </c>
      <c r="D12" s="558">
        <f>'[2]Sch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5899448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'[2]Sch B'!E21</f>
        <v>1552324</v>
      </c>
      <c r="D13" s="558">
        <f>'[2]Sch B'!G21</f>
        <v>0</v>
      </c>
      <c r="E13" s="171">
        <f t="shared" si="2"/>
        <v>1552324</v>
      </c>
      <c r="F13" s="171"/>
      <c r="G13" s="171">
        <f t="shared" si="0"/>
        <v>1552324</v>
      </c>
      <c r="H13" s="172">
        <f t="shared" si="1"/>
        <v>0.26101955287535755</v>
      </c>
      <c r="I13" s="336"/>
      <c r="J13" s="370" t="s">
        <v>346</v>
      </c>
      <c r="K13" s="371">
        <f>G228</f>
        <v>23162</v>
      </c>
      <c r="M13" s="359">
        <f t="shared" si="3"/>
        <v>540.6910484151864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'[2]Sch B'!E27</f>
        <v>798352</v>
      </c>
      <c r="D14" s="558">
        <f>'[2]Sch B'!G27</f>
        <v>0</v>
      </c>
      <c r="E14" s="171">
        <f t="shared" si="2"/>
        <v>798352</v>
      </c>
      <c r="F14" s="175"/>
      <c r="G14" s="175">
        <f>E14+F14</f>
        <v>798352</v>
      </c>
      <c r="H14" s="176">
        <f t="shared" si="1"/>
        <v>0.13424097165098747</v>
      </c>
      <c r="I14" s="337"/>
      <c r="J14" s="370" t="s">
        <v>347</v>
      </c>
      <c r="K14" s="371">
        <f>G231</f>
        <v>122</v>
      </c>
      <c r="M14" s="359">
        <f t="shared" si="3"/>
        <v>439.62114537444933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'[2]Sch B'!E32</f>
        <v>0</v>
      </c>
      <c r="D15" s="558">
        <f>'[2]Sch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44652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'[2]Sch B'!E37</f>
        <v>778775</v>
      </c>
      <c r="D16" s="558">
        <f>'[2]Sch B'!G37</f>
        <v>0</v>
      </c>
      <c r="E16" s="171">
        <f t="shared" si="2"/>
        <v>778775</v>
      </c>
      <c r="F16" s="171"/>
      <c r="G16" s="171">
        <f t="shared" si="0"/>
        <v>778775</v>
      </c>
      <c r="H16" s="172">
        <f t="shared" si="1"/>
        <v>0.13094914611286471</v>
      </c>
      <c r="I16" s="336"/>
      <c r="J16" s="372"/>
      <c r="K16" s="371"/>
      <c r="M16" s="359">
        <f t="shared" si="3"/>
        <v>206.79102496016995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'[2]Sch B'!E42</f>
        <v>365941</v>
      </c>
      <c r="D17" s="558">
        <f>'[2]Sch B'!G42</f>
        <v>0</v>
      </c>
      <c r="E17" s="171">
        <f t="shared" si="2"/>
        <v>365941</v>
      </c>
      <c r="F17" s="171"/>
      <c r="G17" s="171">
        <f>E17+F17</f>
        <v>365941</v>
      </c>
      <c r="H17" s="172">
        <f t="shared" si="1"/>
        <v>6.1532100385461558E-2</v>
      </c>
      <c r="I17" s="336"/>
      <c r="J17" s="370" t="s">
        <v>156</v>
      </c>
      <c r="K17" s="371">
        <f>J208</f>
        <v>119967</v>
      </c>
      <c r="M17" s="359">
        <f t="shared" si="3"/>
        <v>186.79989790709547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'[2]Sch B'!E47</f>
        <v>0</v>
      </c>
      <c r="D18" s="558">
        <f>'[2]Sch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129160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'[2]Sch B'!E52</f>
        <v>65958</v>
      </c>
      <c r="D19" s="558">
        <f>'[2]Sch B'!G52</f>
        <v>0</v>
      </c>
      <c r="E19" s="171">
        <f t="shared" si="2"/>
        <v>65958</v>
      </c>
      <c r="F19" s="171"/>
      <c r="G19" s="171">
        <f t="shared" si="0"/>
        <v>65958</v>
      </c>
      <c r="H19" s="172">
        <f t="shared" si="1"/>
        <v>1.1090679309572509E-2</v>
      </c>
      <c r="I19" s="336"/>
      <c r="J19" s="168"/>
      <c r="K19" s="168"/>
      <c r="M19" s="359">
        <f t="shared" si="3"/>
        <v>154.46838407494144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'[2]Sch B'!E67</f>
        <v>62359</v>
      </c>
      <c r="D20" s="558">
        <f>'[2]Sch B'!G67</f>
        <v>-9438</v>
      </c>
      <c r="E20" s="171">
        <f t="shared" si="2"/>
        <v>52921</v>
      </c>
      <c r="F20" s="171"/>
      <c r="G20" s="171">
        <f t="shared" si="0"/>
        <v>52921</v>
      </c>
      <c r="H20" s="172">
        <f t="shared" si="1"/>
        <v>8.8985390664041777E-3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5956594</v>
      </c>
      <c r="D21" s="558">
        <f>SUM(D11:D20)</f>
        <v>-9438</v>
      </c>
      <c r="E21" s="171">
        <f>SUM(E11:E20)</f>
        <v>5947156</v>
      </c>
      <c r="F21" s="171">
        <f>SUM(F11:F20)</f>
        <v>0</v>
      </c>
      <c r="G21" s="171">
        <f>SUM(G11:G20)</f>
        <v>5947156</v>
      </c>
      <c r="H21" s="172">
        <f t="shared" si="1"/>
        <v>1</v>
      </c>
      <c r="I21" s="336"/>
      <c r="J21" s="168"/>
      <c r="K21" s="168"/>
      <c r="M21" s="359">
        <f>IFERROR(G21/G228,0)</f>
        <v>256.76349192643124</v>
      </c>
      <c r="N21" s="359">
        <f>SUMMARY!J24</f>
        <v>278.37842406091033</v>
      </c>
      <c r="P21"/>
      <c r="Q21"/>
    </row>
    <row r="22" spans="1:17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'[2]Sch C'!D10</f>
        <v>0</v>
      </c>
      <c r="D25" s="558">
        <f>'[2]Sch C'!F10</f>
        <v>164173</v>
      </c>
      <c r="E25" s="171">
        <f t="shared" ref="E25:E60" si="4">C25+D25</f>
        <v>164173</v>
      </c>
      <c r="F25" s="171"/>
      <c r="G25" s="182">
        <f>E25+F25</f>
        <v>164173</v>
      </c>
      <c r="H25" s="172">
        <f>IF($G$208=0,0,G25/$G$208)</f>
        <v>2.7828535822334563E-2</v>
      </c>
      <c r="J25" s="183">
        <v>1948</v>
      </c>
      <c r="K25" s="183">
        <v>2204</v>
      </c>
      <c r="M25" s="359">
        <f>G25/G$228</f>
        <v>7.0880321215784479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'[2]Sch C'!D11</f>
        <v>0</v>
      </c>
      <c r="D26" s="558">
        <f>'[2]Sch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'[2]Sch C'!D12</f>
        <v>242726</v>
      </c>
      <c r="D27" s="558">
        <f>'[2]Sch C'!F12</f>
        <v>-164173</v>
      </c>
      <c r="E27" s="171">
        <f t="shared" si="4"/>
        <v>78553</v>
      </c>
      <c r="F27" s="171"/>
      <c r="G27" s="171">
        <f t="shared" si="5"/>
        <v>78553</v>
      </c>
      <c r="H27" s="172">
        <f t="shared" si="6"/>
        <v>1.3315313568320291E-2</v>
      </c>
      <c r="J27" s="185">
        <v>6643</v>
      </c>
      <c r="K27" s="185">
        <v>7228</v>
      </c>
      <c r="M27" s="359">
        <f t="shared" si="7"/>
        <v>3.3914601502460928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'[2]Sch C'!D13</f>
        <v>22320</v>
      </c>
      <c r="D28" s="558">
        <f>'[2]Sch C'!F13</f>
        <v>0</v>
      </c>
      <c r="E28" s="171">
        <f t="shared" si="4"/>
        <v>22320</v>
      </c>
      <c r="F28" s="171"/>
      <c r="G28" s="171">
        <f t="shared" si="5"/>
        <v>22320</v>
      </c>
      <c r="H28" s="172">
        <f t="shared" si="6"/>
        <v>3.7834048202475892E-3</v>
      </c>
      <c r="J28" s="168"/>
      <c r="K28" s="168"/>
      <c r="M28" s="359">
        <f t="shared" si="7"/>
        <v>0.96364735342371122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'[2]Sch C'!D14</f>
        <v>0</v>
      </c>
      <c r="D29" s="558">
        <f>'[2]Sch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'[2]Sch C'!D15</f>
        <v>0</v>
      </c>
      <c r="D30" s="558">
        <f>'[2]Sch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'[2]Sch C'!D16</f>
        <v>297619</v>
      </c>
      <c r="D31" s="558">
        <f>'[2]Sch C'!F16</f>
        <v>-38470</v>
      </c>
      <c r="E31" s="171">
        <f t="shared" si="4"/>
        <v>259149</v>
      </c>
      <c r="F31" s="171"/>
      <c r="G31" s="171">
        <f t="shared" si="5"/>
        <v>259149</v>
      </c>
      <c r="H31" s="172">
        <f t="shared" si="6"/>
        <v>4.3927669164979505E-2</v>
      </c>
      <c r="J31" s="168"/>
      <c r="K31" s="168"/>
      <c r="M31" s="359">
        <f t="shared" si="7"/>
        <v>11.188541576720491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'[2]Sch C'!D17</f>
        <v>957</v>
      </c>
      <c r="D32" s="558">
        <f>'[2]Sch C'!F17</f>
        <v>-957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'[2]Sch C'!D18</f>
        <v>19583</v>
      </c>
      <c r="D33" s="558">
        <f>'[2]Sch C'!F18</f>
        <v>0</v>
      </c>
      <c r="E33" s="171">
        <f t="shared" si="4"/>
        <v>19583</v>
      </c>
      <c r="F33" s="171"/>
      <c r="G33" s="171">
        <f t="shared" si="5"/>
        <v>19583</v>
      </c>
      <c r="H33" s="172">
        <f t="shared" si="6"/>
        <v>3.3194631090908843E-3</v>
      </c>
      <c r="J33" s="168"/>
      <c r="K33" s="168"/>
      <c r="M33" s="359">
        <f t="shared" si="7"/>
        <v>0.84547966496848281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'[2]Sch C'!D19</f>
        <v>14378</v>
      </c>
      <c r="D34" s="558">
        <f>'[2]Sch C'!F19</f>
        <v>0</v>
      </c>
      <c r="E34" s="171">
        <f t="shared" si="4"/>
        <v>14378</v>
      </c>
      <c r="F34" s="171"/>
      <c r="G34" s="171">
        <f t="shared" si="5"/>
        <v>14378</v>
      </c>
      <c r="H34" s="172">
        <f t="shared" si="6"/>
        <v>2.4371771731863728E-3</v>
      </c>
      <c r="J34" s="168"/>
      <c r="K34" s="168"/>
      <c r="M34" s="359">
        <f t="shared" si="7"/>
        <v>0.62075813833002336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'[2]Sch C'!D20</f>
        <v>11855</v>
      </c>
      <c r="D35" s="558">
        <f>'[2]Sch C'!F20</f>
        <v>0</v>
      </c>
      <c r="E35" s="171">
        <f t="shared" si="4"/>
        <v>11855</v>
      </c>
      <c r="F35" s="171"/>
      <c r="G35" s="171">
        <f t="shared" si="5"/>
        <v>11855</v>
      </c>
      <c r="H35" s="172">
        <f t="shared" si="6"/>
        <v>2.0095100422954826E-3</v>
      </c>
      <c r="J35" s="168"/>
      <c r="K35" s="168"/>
      <c r="M35" s="359">
        <f t="shared" si="7"/>
        <v>0.51182972109489677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'[2]Sch C'!D21</f>
        <v>18397</v>
      </c>
      <c r="D36" s="558">
        <f>'[2]Sch C'!F21</f>
        <v>0</v>
      </c>
      <c r="E36" s="171">
        <f t="shared" si="4"/>
        <v>18397</v>
      </c>
      <c r="F36" s="171"/>
      <c r="G36" s="171">
        <f t="shared" si="5"/>
        <v>18397</v>
      </c>
      <c r="H36" s="172">
        <f t="shared" si="6"/>
        <v>3.1184273511691263E-3</v>
      </c>
      <c r="J36" s="168"/>
      <c r="K36" s="168"/>
      <c r="M36" s="359">
        <f t="shared" si="7"/>
        <v>0.79427510577670324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'[2]Sch C'!D22</f>
        <v>0</v>
      </c>
      <c r="D37" s="558">
        <f>'[2]Sch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'[2]Sch C'!D23</f>
        <v>2543</v>
      </c>
      <c r="D38" s="558">
        <f>'[2]Sch C'!F23</f>
        <v>0</v>
      </c>
      <c r="E38" s="171">
        <f t="shared" si="4"/>
        <v>2543</v>
      </c>
      <c r="F38" s="171"/>
      <c r="G38" s="171">
        <f t="shared" si="5"/>
        <v>2543</v>
      </c>
      <c r="H38" s="172">
        <f t="shared" si="6"/>
        <v>4.3105727857928403E-4</v>
      </c>
      <c r="J38" s="168"/>
      <c r="K38" s="168"/>
      <c r="M38" s="359">
        <f t="shared" si="7"/>
        <v>0.10979190052672481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'[2]Sch C'!D24</f>
        <v>298</v>
      </c>
      <c r="D39" s="558">
        <f>'[2]Sch C'!F24</f>
        <v>0</v>
      </c>
      <c r="E39" s="171">
        <f t="shared" si="4"/>
        <v>298</v>
      </c>
      <c r="F39" s="171"/>
      <c r="G39" s="171">
        <f t="shared" si="5"/>
        <v>298</v>
      </c>
      <c r="H39" s="172">
        <f t="shared" si="6"/>
        <v>5.0513200557069069E-5</v>
      </c>
      <c r="J39" s="168"/>
      <c r="K39" s="168"/>
      <c r="M39" s="359">
        <f t="shared" si="7"/>
        <v>1.2865901044814783E-2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'[2]Sch C'!D25</f>
        <v>3416</v>
      </c>
      <c r="D40" s="558">
        <f>'[2]Sch C'!F25</f>
        <v>0</v>
      </c>
      <c r="E40" s="171">
        <f t="shared" si="4"/>
        <v>3416</v>
      </c>
      <c r="F40" s="171"/>
      <c r="G40" s="171">
        <f t="shared" si="5"/>
        <v>3416</v>
      </c>
      <c r="H40" s="172">
        <f t="shared" si="6"/>
        <v>5.7903722517767763E-4</v>
      </c>
      <c r="J40" s="168"/>
      <c r="K40" s="168"/>
      <c r="M40" s="359">
        <f t="shared" si="7"/>
        <v>0.14748294620499094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'[2]Sch C'!D26</f>
        <v>339341</v>
      </c>
      <c r="D41" s="558">
        <f>'[2]Sch C'!F26</f>
        <v>0</v>
      </c>
      <c r="E41" s="171">
        <f t="shared" si="4"/>
        <v>339341</v>
      </c>
      <c r="F41" s="171"/>
      <c r="G41" s="171">
        <f t="shared" si="5"/>
        <v>339341</v>
      </c>
      <c r="H41" s="172">
        <f t="shared" si="6"/>
        <v>5.7520805336363674E-2</v>
      </c>
      <c r="J41" s="168"/>
      <c r="K41" s="168"/>
      <c r="M41" s="359">
        <f t="shared" si="7"/>
        <v>14.650764182713065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'[2]Sch C'!D27</f>
        <v>24031</v>
      </c>
      <c r="D42" s="558">
        <f>'[2]Sch C'!F27</f>
        <v>-295</v>
      </c>
      <c r="E42" s="171">
        <f t="shared" si="4"/>
        <v>23736</v>
      </c>
      <c r="F42" s="171"/>
      <c r="G42" s="171">
        <f t="shared" si="5"/>
        <v>23736</v>
      </c>
      <c r="H42" s="172">
        <f t="shared" si="6"/>
        <v>4.023427276585877E-3</v>
      </c>
      <c r="J42" s="168"/>
      <c r="K42" s="168"/>
      <c r="M42" s="359">
        <f t="shared" si="7"/>
        <v>1.0247819704688714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'[2]Sch C'!D28</f>
        <v>0</v>
      </c>
      <c r="D43" s="558">
        <f>'[2]Sch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'[2]Sch C'!D29</f>
        <v>132441</v>
      </c>
      <c r="D44" s="558">
        <f>'[2]Sch C'!F29</f>
        <v>-132441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'[2]Sch C'!D30</f>
        <v>0</v>
      </c>
      <c r="D45" s="558">
        <f>'[2]Sch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'[2]Sch C'!D31</f>
        <v>0</v>
      </c>
      <c r="D46" s="558">
        <f>'[2]Sch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'[2]Sch C'!D32</f>
        <v>72640</v>
      </c>
      <c r="D47" s="558">
        <f>'[2]Sch C'!F32</f>
        <v>0</v>
      </c>
      <c r="E47" s="171">
        <f t="shared" si="4"/>
        <v>72640</v>
      </c>
      <c r="F47" s="171"/>
      <c r="G47" s="171">
        <f t="shared" si="5"/>
        <v>72640</v>
      </c>
      <c r="H47" s="172">
        <f t="shared" si="6"/>
        <v>1.2313016404246634E-2</v>
      </c>
      <c r="J47" s="168"/>
      <c r="K47" s="168"/>
      <c r="M47" s="359">
        <f t="shared" si="7"/>
        <v>3.1361713150850532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'[2]Sch C'!D33</f>
        <v>0</v>
      </c>
      <c r="D48" s="558">
        <f>'[2]Sch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'[2]Sch C'!D34</f>
        <v>282</v>
      </c>
      <c r="D49" s="558">
        <f>'[2]Sch C'!F34</f>
        <v>0</v>
      </c>
      <c r="E49" s="171">
        <f t="shared" si="4"/>
        <v>282</v>
      </c>
      <c r="F49" s="171"/>
      <c r="G49" s="171">
        <f t="shared" si="5"/>
        <v>282</v>
      </c>
      <c r="H49" s="172">
        <f t="shared" si="6"/>
        <v>4.7801082406353949E-5</v>
      </c>
      <c r="J49" s="168"/>
      <c r="K49" s="168"/>
      <c r="M49" s="359">
        <f t="shared" si="7"/>
        <v>1.2175114411536138E-2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'[2]Sch C'!D35</f>
        <v>0</v>
      </c>
      <c r="D50" s="558">
        <f>'[2]Sch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'[2]Sch C'!D36</f>
        <v>0</v>
      </c>
      <c r="D51" s="558">
        <f>'[2]Sch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'[2]Sch C'!D37</f>
        <v>0</v>
      </c>
      <c r="D52" s="558">
        <f>'[2]Sch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'[2]Sch C'!D38</f>
        <v>371</v>
      </c>
      <c r="D53" s="558">
        <f>'[2]Sch C'!F38</f>
        <v>-371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'[2]Sch C'!D39</f>
        <v>5116</v>
      </c>
      <c r="D54" s="558">
        <f>'[2]Sch C'!F39</f>
        <v>0</v>
      </c>
      <c r="E54" s="171">
        <f t="shared" si="4"/>
        <v>5116</v>
      </c>
      <c r="F54" s="171"/>
      <c r="G54" s="171">
        <f t="shared" si="5"/>
        <v>5116</v>
      </c>
      <c r="H54" s="172">
        <f t="shared" si="6"/>
        <v>8.6719977869115889E-4</v>
      </c>
      <c r="J54" s="168"/>
      <c r="K54" s="168"/>
      <c r="M54" s="359">
        <f t="shared" si="7"/>
        <v>0.22087902599084708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'[2]Sch C'!D40</f>
        <v>3771</v>
      </c>
      <c r="D55" s="558">
        <f>'[2]Sch C'!F40</f>
        <v>-3771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'[2]Sch C'!D41</f>
        <v>122996</v>
      </c>
      <c r="D56" s="558">
        <f>'[2]Sch C'!F41</f>
        <v>-1562</v>
      </c>
      <c r="E56" s="171">
        <f t="shared" si="4"/>
        <v>121434</v>
      </c>
      <c r="F56" s="171"/>
      <c r="G56" s="171">
        <f t="shared" si="5"/>
        <v>121434</v>
      </c>
      <c r="H56" s="172">
        <f t="shared" si="6"/>
        <v>2.0583959719621226E-2</v>
      </c>
      <c r="J56" s="168"/>
      <c r="K56" s="168"/>
      <c r="M56" s="359">
        <f t="shared" si="7"/>
        <v>5.2428115015974441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'[2]Sch C'!D42</f>
        <v>188</v>
      </c>
      <c r="D57" s="558">
        <f>'[2]Sch C'!F42</f>
        <v>0</v>
      </c>
      <c r="E57" s="171">
        <f t="shared" si="4"/>
        <v>188</v>
      </c>
      <c r="F57" s="171"/>
      <c r="G57" s="171">
        <f t="shared" si="5"/>
        <v>188</v>
      </c>
      <c r="H57" s="172">
        <f t="shared" si="6"/>
        <v>3.1867388270902631E-5</v>
      </c>
      <c r="J57" s="168"/>
      <c r="K57" s="168"/>
      <c r="M57" s="359">
        <f t="shared" si="7"/>
        <v>8.1167429410240917E-3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'[2]Sch C'!D43</f>
        <v>6844</v>
      </c>
      <c r="D58" s="558">
        <f>'[2]Sch C'!F43</f>
        <v>-6844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'[2]Sch C'!D44</f>
        <v>0</v>
      </c>
      <c r="D59" s="558">
        <f>'[2]Sch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'[2]Sch C'!D45</f>
        <v>1576</v>
      </c>
      <c r="D60" s="558">
        <f>'[2]Sch C'!F45</f>
        <v>-7610</v>
      </c>
      <c r="E60" s="171">
        <f t="shared" si="4"/>
        <v>-6034</v>
      </c>
      <c r="F60" s="171"/>
      <c r="G60" s="171">
        <f t="shared" si="5"/>
        <v>-6034</v>
      </c>
      <c r="H60" s="172">
        <f t="shared" si="6"/>
        <v>-1.0228075575884389E-3</v>
      </c>
      <c r="J60" s="168"/>
      <c r="K60" s="168"/>
      <c r="M60" s="359">
        <f t="shared" si="7"/>
        <v>-0.26051290907520941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1343689</v>
      </c>
      <c r="D61" s="558">
        <f>SUM(D25:D60)</f>
        <v>-192321</v>
      </c>
      <c r="E61" s="171">
        <f t="shared" ref="E61:F61" si="8">SUM(E25:E60)</f>
        <v>1151368</v>
      </c>
      <c r="F61" s="171">
        <f t="shared" si="8"/>
        <v>0</v>
      </c>
      <c r="G61" s="171">
        <f>SUM(G25:G60)</f>
        <v>1151368</v>
      </c>
      <c r="H61" s="186">
        <f t="shared" si="6"/>
        <v>0.19516537818453522</v>
      </c>
      <c r="J61" s="168"/>
      <c r="K61" s="168"/>
      <c r="M61" s="364">
        <f>G61/G$228</f>
        <v>49.70935152404801</v>
      </c>
      <c r="N61" s="359">
        <f>SUMMARY!J64</f>
        <v>53.728790309602623</v>
      </c>
      <c r="O61" s="354">
        <f>M61/N61-1</f>
        <v>-7.4809776330219013E-2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'[2]Sch C'!D57</f>
        <v>0</v>
      </c>
      <c r="D64" s="558">
        <f>'[2]Sch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'[2]Sch C'!D58</f>
        <v>166560</v>
      </c>
      <c r="D65" s="558">
        <f>'[2]Sch C'!F58</f>
        <v>0</v>
      </c>
      <c r="E65" s="171">
        <f t="shared" si="9"/>
        <v>166560</v>
      </c>
      <c r="F65" s="171"/>
      <c r="G65" s="171">
        <f t="shared" si="10"/>
        <v>166560</v>
      </c>
      <c r="H65" s="172">
        <f t="shared" si="11"/>
        <v>2.8233149948944377E-2</v>
      </c>
      <c r="J65" s="190"/>
      <c r="K65" s="168"/>
      <c r="M65" s="359">
        <f t="shared" si="12"/>
        <v>7.1910888524307053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'[2]Sch C'!D59</f>
        <v>248902</v>
      </c>
      <c r="D66" s="558">
        <f>'[2]Sch C'!F59</f>
        <v>0</v>
      </c>
      <c r="E66" s="171">
        <f t="shared" si="9"/>
        <v>248902</v>
      </c>
      <c r="F66" s="171"/>
      <c r="G66" s="171">
        <f t="shared" si="10"/>
        <v>248902</v>
      </c>
      <c r="H66" s="172">
        <f t="shared" si="11"/>
        <v>4.2190726996830887E-2</v>
      </c>
      <c r="J66" s="190"/>
      <c r="K66" s="168"/>
      <c r="M66" s="359">
        <f t="shared" si="12"/>
        <v>10.746135912270098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'[2]Sch C'!D60</f>
        <v>36337</v>
      </c>
      <c r="D67" s="558">
        <f>'[2]Sch C'!F60</f>
        <v>0</v>
      </c>
      <c r="E67" s="171">
        <f t="shared" si="9"/>
        <v>36337</v>
      </c>
      <c r="F67" s="171"/>
      <c r="G67" s="171">
        <f t="shared" si="10"/>
        <v>36337</v>
      </c>
      <c r="H67" s="172">
        <f t="shared" si="11"/>
        <v>6.1593898276584517E-3</v>
      </c>
      <c r="J67" s="193"/>
      <c r="K67" s="168"/>
      <c r="M67" s="359">
        <f t="shared" si="12"/>
        <v>1.5688196183403851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'[2]Sch C'!D61</f>
        <v>43185</v>
      </c>
      <c r="D68" s="558">
        <f>'[2]Sch C'!F61</f>
        <v>0</v>
      </c>
      <c r="E68" s="171">
        <f t="shared" si="9"/>
        <v>43185</v>
      </c>
      <c r="F68" s="171"/>
      <c r="G68" s="171">
        <f t="shared" si="10"/>
        <v>43185</v>
      </c>
      <c r="H68" s="172">
        <f t="shared" si="11"/>
        <v>7.3201763961645225E-3</v>
      </c>
      <c r="J68" s="193"/>
      <c r="K68" s="168"/>
      <c r="M68" s="359">
        <f t="shared" si="12"/>
        <v>1.8644762973836457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'[2]Sch C'!D62</f>
        <v>985</v>
      </c>
      <c r="D69" s="558">
        <f>'[2]Sch C'!F62</f>
        <v>0</v>
      </c>
      <c r="E69" s="171">
        <f t="shared" si="9"/>
        <v>985</v>
      </c>
      <c r="F69" s="171"/>
      <c r="G69" s="171">
        <f t="shared" si="10"/>
        <v>985</v>
      </c>
      <c r="H69" s="172">
        <f t="shared" si="11"/>
        <v>1.6696477365339942E-4</v>
      </c>
      <c r="J69" s="195"/>
      <c r="K69" s="168"/>
      <c r="M69" s="359">
        <f t="shared" si="12"/>
        <v>4.2526552111216649E-2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'[2]Sch C'!D63</f>
        <v>0</v>
      </c>
      <c r="D70" s="558">
        <f>'[2]Sch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'[2]Sch C'!D64</f>
        <v>0</v>
      </c>
      <c r="D71" s="558">
        <f>'[2]Sch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'[2]Sch C'!D65</f>
        <v>0</v>
      </c>
      <c r="D72" s="558">
        <f>'[2]Sch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'[2]Sch C'!D66</f>
        <v>51933</v>
      </c>
      <c r="D73" s="558">
        <f>'[2]Sch C'!F66</f>
        <v>130</v>
      </c>
      <c r="E73" s="171">
        <f t="shared" si="9"/>
        <v>52063</v>
      </c>
      <c r="F73" s="171"/>
      <c r="G73" s="171">
        <f t="shared" si="10"/>
        <v>52063</v>
      </c>
      <c r="H73" s="172">
        <f t="shared" si="11"/>
        <v>8.8250629550425726E-3</v>
      </c>
      <c r="J73" s="195"/>
      <c r="K73" s="168"/>
      <c r="M73" s="359">
        <f t="shared" si="12"/>
        <v>2.2477765305241344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'[2]Sch C'!D67</f>
        <v>64699</v>
      </c>
      <c r="D74" s="558">
        <f>'[2]Sch C'!F67</f>
        <v>0</v>
      </c>
      <c r="E74" s="171">
        <f t="shared" si="9"/>
        <v>64699</v>
      </c>
      <c r="F74" s="171"/>
      <c r="G74" s="171">
        <f t="shared" si="10"/>
        <v>64699</v>
      </c>
      <c r="H74" s="172">
        <f t="shared" si="11"/>
        <v>1.0966958264569837E-2</v>
      </c>
      <c r="J74" s="195"/>
      <c r="K74" s="168"/>
      <c r="M74" s="359">
        <f t="shared" si="12"/>
        <v>2.7933252741559449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'[2]Sch C'!D68</f>
        <v>0</v>
      </c>
      <c r="D75" s="558">
        <f>'[2]Sch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'[2]Sch C'!D69</f>
        <v>6278</v>
      </c>
      <c r="D76" s="558">
        <f>'[2]Sch C'!F69</f>
        <v>0</v>
      </c>
      <c r="E76" s="171">
        <f t="shared" si="9"/>
        <v>6278</v>
      </c>
      <c r="F76" s="171"/>
      <c r="G76" s="171">
        <f t="shared" si="10"/>
        <v>6278</v>
      </c>
      <c r="H76" s="172">
        <f t="shared" si="11"/>
        <v>1.0641673593868443E-3</v>
      </c>
      <c r="J76" s="195"/>
      <c r="K76" s="168"/>
      <c r="M76" s="359">
        <f t="shared" si="12"/>
        <v>0.27104740523270876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'[2]Sch C'!D70</f>
        <v>0</v>
      </c>
      <c r="D77" s="558">
        <f>'[2]Sch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'[2]Sch C'!D71</f>
        <v>0</v>
      </c>
      <c r="D78" s="558">
        <f>'[2]Sch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618879</v>
      </c>
      <c r="D79" s="558">
        <f>SUM(D64:D78)</f>
        <v>130</v>
      </c>
      <c r="E79" s="171">
        <f t="shared" ref="E79:F79" si="13">SUM(E64:E78)</f>
        <v>619009</v>
      </c>
      <c r="F79" s="171">
        <f t="shared" si="13"/>
        <v>0</v>
      </c>
      <c r="G79" s="171">
        <f>SUM(G64:G78)</f>
        <v>619009</v>
      </c>
      <c r="H79" s="172">
        <f t="shared" si="11"/>
        <v>0.10492659652225089</v>
      </c>
      <c r="J79" s="195"/>
      <c r="K79" s="168"/>
      <c r="M79" s="359">
        <f t="shared" si="12"/>
        <v>26.725196442448837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'[2]Sch C'!D75</f>
        <v>35067</v>
      </c>
      <c r="D82" s="558">
        <f>'[2]Sch C'!F75</f>
        <v>0</v>
      </c>
      <c r="E82" s="171">
        <f t="shared" ref="E82:E92" si="14">C82+D82</f>
        <v>35067</v>
      </c>
      <c r="F82" s="171"/>
      <c r="G82" s="171">
        <f t="shared" ref="G82:G92" si="15">E82+F82</f>
        <v>35067</v>
      </c>
      <c r="H82" s="172">
        <f t="shared" ref="H82:H93" si="16">IF($G$208=0,0,G82/$G$208)</f>
        <v>5.9441154494454399E-3</v>
      </c>
      <c r="J82" s="183">
        <v>2074</v>
      </c>
      <c r="K82" s="183">
        <v>2122</v>
      </c>
      <c r="M82" s="359">
        <f t="shared" ref="M82:M92" si="17">G82/G$228</f>
        <v>1.5139884293238925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'[2]Sch C'!D76</f>
        <v>5545</v>
      </c>
      <c r="D83" s="558">
        <f>'[2]Sch C'!F76</f>
        <v>0</v>
      </c>
      <c r="E83" s="171">
        <f t="shared" si="14"/>
        <v>5545</v>
      </c>
      <c r="F83" s="171"/>
      <c r="G83" s="171">
        <f t="shared" si="15"/>
        <v>5545</v>
      </c>
      <c r="H83" s="172">
        <f t="shared" si="16"/>
        <v>9.3991844660720801E-4</v>
      </c>
      <c r="J83" s="168"/>
      <c r="K83" s="168"/>
      <c r="M83" s="359">
        <f t="shared" si="17"/>
        <v>0.23940074259563077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'[2]Sch C'!D77</f>
        <v>10404</v>
      </c>
      <c r="D84" s="558">
        <f>'[2]Sch C'!F77</f>
        <v>0</v>
      </c>
      <c r="E84" s="171">
        <f t="shared" si="14"/>
        <v>10404</v>
      </c>
      <c r="F84" s="171"/>
      <c r="G84" s="171">
        <f t="shared" si="15"/>
        <v>10404</v>
      </c>
      <c r="H84" s="172">
        <f t="shared" si="16"/>
        <v>1.7635548275025054E-3</v>
      </c>
      <c r="J84" s="168"/>
      <c r="K84" s="168"/>
      <c r="M84" s="359">
        <f t="shared" si="17"/>
        <v>0.44918400828943961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'[2]Sch C'!D78</f>
        <v>0</v>
      </c>
      <c r="D85" s="558">
        <f>'[2]Sch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'[2]Sch C'!D79</f>
        <v>9132</v>
      </c>
      <c r="D86" s="558">
        <f>'[2]Sch C'!F79</f>
        <v>0</v>
      </c>
      <c r="E86" s="171">
        <f t="shared" si="14"/>
        <v>9132</v>
      </c>
      <c r="F86" s="171"/>
      <c r="G86" s="171">
        <f>E86+F86</f>
        <v>9132</v>
      </c>
      <c r="H86" s="172">
        <f t="shared" si="16"/>
        <v>1.5479414345206536E-3</v>
      </c>
      <c r="J86" s="168"/>
      <c r="K86" s="168"/>
      <c r="M86" s="359">
        <f t="shared" si="17"/>
        <v>0.39426647094378725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'[2]Sch C'!D80</f>
        <v>31425</v>
      </c>
      <c r="D87" s="558">
        <f>'[2]Sch C'!F80</f>
        <v>0</v>
      </c>
      <c r="E87" s="171">
        <f t="shared" si="14"/>
        <v>31425</v>
      </c>
      <c r="F87" s="171"/>
      <c r="G87" s="171">
        <f t="shared" si="15"/>
        <v>31425</v>
      </c>
      <c r="H87" s="172">
        <f t="shared" si="16"/>
        <v>5.3267695553889114E-3</v>
      </c>
      <c r="J87" s="168"/>
      <c r="K87" s="168"/>
      <c r="M87" s="359">
        <f t="shared" si="17"/>
        <v>1.3567481219238409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'[2]Sch C'!D81</f>
        <v>29668</v>
      </c>
      <c r="D88" s="558">
        <f>'[2]Sch C'!F81</f>
        <v>0</v>
      </c>
      <c r="E88" s="171">
        <f t="shared" si="14"/>
        <v>29668</v>
      </c>
      <c r="F88" s="171"/>
      <c r="G88" s="171">
        <f t="shared" si="15"/>
        <v>29668</v>
      </c>
      <c r="H88" s="172">
        <f t="shared" si="16"/>
        <v>5.0289450809635067E-3</v>
      </c>
      <c r="J88" s="168"/>
      <c r="K88" s="168"/>
      <c r="M88" s="359">
        <f t="shared" si="17"/>
        <v>1.2808911147569295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'[2]Sch C'!D82</f>
        <v>10903</v>
      </c>
      <c r="D89" s="558">
        <f>'[2]Sch C'!F82</f>
        <v>0</v>
      </c>
      <c r="E89" s="171">
        <f t="shared" si="14"/>
        <v>10903</v>
      </c>
      <c r="F89" s="171"/>
      <c r="G89" s="171">
        <f t="shared" si="15"/>
        <v>10903</v>
      </c>
      <c r="H89" s="172">
        <f t="shared" si="16"/>
        <v>1.8481390123279331E-3</v>
      </c>
      <c r="J89" s="168"/>
      <c r="K89" s="168"/>
      <c r="M89" s="359">
        <f t="shared" si="17"/>
        <v>0.47072791641481737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'[2]Sch C'!D83</f>
        <v>223</v>
      </c>
      <c r="D90" s="558">
        <f>'[2]Sch C'!F83</f>
        <v>0</v>
      </c>
      <c r="E90" s="171">
        <f t="shared" si="14"/>
        <v>223</v>
      </c>
      <c r="F90" s="171"/>
      <c r="G90" s="171">
        <f t="shared" si="15"/>
        <v>223</v>
      </c>
      <c r="H90" s="172">
        <f t="shared" si="16"/>
        <v>3.7800146725591953E-5</v>
      </c>
      <c r="J90" s="168"/>
      <c r="K90" s="168"/>
      <c r="M90" s="359">
        <f t="shared" si="17"/>
        <v>9.6278387013211293E-3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'[2]Sch C'!D84</f>
        <v>80658</v>
      </c>
      <c r="D91" s="558">
        <f>'[2]Sch C'!F84</f>
        <v>0</v>
      </c>
      <c r="E91" s="171">
        <f t="shared" si="14"/>
        <v>80658</v>
      </c>
      <c r="F91" s="171"/>
      <c r="G91" s="171">
        <f t="shared" si="15"/>
        <v>80658</v>
      </c>
      <c r="H91" s="172">
        <f t="shared" si="16"/>
        <v>1.3672126612523748E-2</v>
      </c>
      <c r="J91" s="168"/>
      <c r="K91" s="168"/>
      <c r="M91" s="359">
        <f t="shared" si="17"/>
        <v>3.4823417666868144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'[2]Sch C'!D85</f>
        <v>0</v>
      </c>
      <c r="D92" s="558">
        <f>'[2]Sch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213025</v>
      </c>
      <c r="D93" s="558">
        <f>SUM(D82:D92)</f>
        <v>0</v>
      </c>
      <c r="E93" s="171">
        <f t="shared" ref="E93:F93" si="18">SUM(E82:E92)</f>
        <v>213025</v>
      </c>
      <c r="F93" s="171">
        <f t="shared" si="18"/>
        <v>0</v>
      </c>
      <c r="G93" s="171">
        <f>SUM(G82:G92)</f>
        <v>213025</v>
      </c>
      <c r="H93" s="172">
        <f t="shared" si="16"/>
        <v>3.6109310566005498E-2</v>
      </c>
      <c r="J93" s="168"/>
      <c r="K93" s="168"/>
      <c r="M93" s="364">
        <f>G93/G$228</f>
        <v>9.197176409636473</v>
      </c>
      <c r="N93" s="359">
        <f>SUMMARY!J96</f>
        <v>11.458724454710746</v>
      </c>
      <c r="O93" s="354">
        <f>M93/N93-1</f>
        <v>-0.19736472885902567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'[2]Sch C'!D89</f>
        <v>106459</v>
      </c>
      <c r="D96" s="558">
        <f>'[2]Sch C'!F89</f>
        <v>0</v>
      </c>
      <c r="E96" s="171">
        <f t="shared" ref="E96:E101" si="19">C96+D96</f>
        <v>106459</v>
      </c>
      <c r="F96" s="171"/>
      <c r="G96" s="171">
        <f t="shared" ref="G96:G101" si="20">E96+F96</f>
        <v>106459</v>
      </c>
      <c r="H96" s="172">
        <f t="shared" ref="H96:H102" si="21">IF($G$208=0,0,G96/$G$208)</f>
        <v>1.8045586637936296E-2</v>
      </c>
      <c r="J96" s="183">
        <v>8572</v>
      </c>
      <c r="K96" s="183">
        <v>9352</v>
      </c>
      <c r="M96" s="364">
        <f t="shared" ref="M96:M101" si="22">G96/G$228</f>
        <v>4.5962783870132116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'[2]Sch C'!D90</f>
        <v>12589</v>
      </c>
      <c r="D97" s="558">
        <f>'[2]Sch C'!F90</f>
        <v>0</v>
      </c>
      <c r="E97" s="171">
        <f t="shared" si="19"/>
        <v>12589</v>
      </c>
      <c r="F97" s="171"/>
      <c r="G97" s="171">
        <f t="shared" si="20"/>
        <v>12589</v>
      </c>
      <c r="H97" s="172">
        <f t="shared" si="21"/>
        <v>2.1339284624595388E-3</v>
      </c>
      <c r="J97" s="168"/>
      <c r="K97" s="168"/>
      <c r="M97" s="364">
        <f t="shared" si="22"/>
        <v>0.54351955789655471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'[2]Sch C'!D91</f>
        <v>211425</v>
      </c>
      <c r="D98" s="558">
        <f>'[2]Sch C'!F91</f>
        <v>0</v>
      </c>
      <c r="E98" s="171">
        <f t="shared" si="19"/>
        <v>211425</v>
      </c>
      <c r="F98" s="171"/>
      <c r="G98" s="171">
        <f t="shared" si="20"/>
        <v>211425</v>
      </c>
      <c r="H98" s="172">
        <f t="shared" si="21"/>
        <v>3.5838098750933987E-2</v>
      </c>
      <c r="J98" s="168"/>
      <c r="K98" s="168"/>
      <c r="M98" s="364">
        <f t="shared" si="22"/>
        <v>9.1280977463086082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'[2]Sch C'!D92</f>
        <v>82301</v>
      </c>
      <c r="D99" s="558">
        <f>'[2]Sch C'!F92</f>
        <v>-1833</v>
      </c>
      <c r="E99" s="171">
        <f t="shared" si="19"/>
        <v>80468</v>
      </c>
      <c r="F99" s="171"/>
      <c r="G99" s="171">
        <f t="shared" si="20"/>
        <v>80468</v>
      </c>
      <c r="H99" s="172">
        <f t="shared" si="21"/>
        <v>1.3639920209484006E-2</v>
      </c>
      <c r="J99" s="168"/>
      <c r="K99" s="168"/>
      <c r="M99" s="364">
        <f t="shared" si="22"/>
        <v>3.4741386754166306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'[2]Sch C'!D93</f>
        <v>7570</v>
      </c>
      <c r="D100" s="558">
        <f>'[2]Sch C'!F93</f>
        <v>0</v>
      </c>
      <c r="E100" s="171">
        <f t="shared" si="19"/>
        <v>7570</v>
      </c>
      <c r="F100" s="171"/>
      <c r="G100" s="171">
        <f t="shared" si="20"/>
        <v>7570</v>
      </c>
      <c r="H100" s="172">
        <f t="shared" si="21"/>
        <v>1.28317090005709E-3</v>
      </c>
      <c r="J100" s="168"/>
      <c r="K100" s="168"/>
      <c r="M100" s="364">
        <f t="shared" si="22"/>
        <v>0.32682842586995942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'[2]Sch C'!D94</f>
        <v>335</v>
      </c>
      <c r="D101" s="558">
        <f>'[2]Sch C'!F94</f>
        <v>0</v>
      </c>
      <c r="E101" s="171">
        <f t="shared" si="19"/>
        <v>335</v>
      </c>
      <c r="F101" s="171"/>
      <c r="G101" s="171">
        <f t="shared" si="20"/>
        <v>335</v>
      </c>
      <c r="H101" s="172">
        <f t="shared" si="21"/>
        <v>5.678497378059778E-5</v>
      </c>
      <c r="J101" s="168"/>
      <c r="K101" s="168"/>
      <c r="M101" s="364">
        <f t="shared" si="22"/>
        <v>1.4463345134271652E-2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420679</v>
      </c>
      <c r="D102" s="558">
        <f>SUM(D96:D101)</f>
        <v>-1833</v>
      </c>
      <c r="E102" s="171">
        <f t="shared" ref="E102:F102" si="23">SUM(E96:E101)</f>
        <v>418846</v>
      </c>
      <c r="F102" s="171">
        <f t="shared" si="23"/>
        <v>0</v>
      </c>
      <c r="G102" s="171">
        <f>SUM(G96:G101)</f>
        <v>418846</v>
      </c>
      <c r="H102" s="172">
        <f t="shared" si="21"/>
        <v>7.099748993465152E-2</v>
      </c>
      <c r="J102" s="168"/>
      <c r="K102" s="168"/>
      <c r="M102" s="364">
        <f>G102/G$228</f>
        <v>18.083326137639236</v>
      </c>
      <c r="N102" s="359">
        <f>SUMMARY!J105</f>
        <v>19.901077037785338</v>
      </c>
      <c r="O102" s="354">
        <f>M102/N102-1</f>
        <v>-9.1339322826338276E-2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'[2]Sch C'!D98</f>
        <v>0</v>
      </c>
      <c r="D105" s="558">
        <f>'[2]Sch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'[2]Sch C'!D99</f>
        <v>0</v>
      </c>
      <c r="D106" s="558">
        <f>'[2]Sch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'[2]Sch C'!D100</f>
        <v>260</v>
      </c>
      <c r="D107" s="558">
        <f>'[2]Sch C'!F100</f>
        <v>0</v>
      </c>
      <c r="E107" s="171">
        <f t="shared" si="24"/>
        <v>260</v>
      </c>
      <c r="F107" s="171"/>
      <c r="G107" s="171">
        <f t="shared" si="25"/>
        <v>260</v>
      </c>
      <c r="H107" s="172">
        <f t="shared" si="26"/>
        <v>4.4071919949120664E-5</v>
      </c>
      <c r="J107" s="168"/>
      <c r="K107" s="168"/>
      <c r="M107" s="364">
        <f t="shared" si="27"/>
        <v>1.1225282790777998E-2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'[2]Sch C'!D101</f>
        <v>58763</v>
      </c>
      <c r="D108" s="558">
        <f>'[2]Sch C'!F101</f>
        <v>0</v>
      </c>
      <c r="E108" s="171">
        <f t="shared" si="24"/>
        <v>58763</v>
      </c>
      <c r="F108" s="171"/>
      <c r="G108" s="171">
        <f t="shared" si="25"/>
        <v>58763</v>
      </c>
      <c r="H108" s="172">
        <f t="shared" si="26"/>
        <v>9.9607624306545291E-3</v>
      </c>
      <c r="J108" s="168"/>
      <c r="K108" s="168"/>
      <c r="M108" s="364">
        <f t="shared" si="27"/>
        <v>2.5370434332095675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'[2]Sch C'!D102</f>
        <v>6044</v>
      </c>
      <c r="D109" s="558">
        <f>'[2]Sch C'!F102</f>
        <v>0</v>
      </c>
      <c r="E109" s="171">
        <f t="shared" si="24"/>
        <v>6044</v>
      </c>
      <c r="F109" s="171"/>
      <c r="G109" s="171">
        <f t="shared" si="25"/>
        <v>6044</v>
      </c>
      <c r="H109" s="172">
        <f t="shared" si="26"/>
        <v>1.0245026314326358E-3</v>
      </c>
      <c r="J109" s="168"/>
      <c r="K109" s="168"/>
      <c r="M109" s="364">
        <f t="shared" si="27"/>
        <v>0.26094465072100853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'[2]Sch C'!D103</f>
        <v>0</v>
      </c>
      <c r="D110" s="558">
        <f>'[2]Sch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65067</v>
      </c>
      <c r="D111" s="558">
        <f>SUM(D105:D110)</f>
        <v>0</v>
      </c>
      <c r="E111" s="171">
        <f t="shared" ref="E111:F111" si="28">SUM(E105:E110)</f>
        <v>65067</v>
      </c>
      <c r="F111" s="171">
        <f t="shared" si="28"/>
        <v>0</v>
      </c>
      <c r="G111" s="171">
        <f>SUM(G105:G110)</f>
        <v>65067</v>
      </c>
      <c r="H111" s="172">
        <f t="shared" si="26"/>
        <v>1.1029336982036285E-2</v>
      </c>
      <c r="J111" s="168"/>
      <c r="K111" s="168"/>
      <c r="M111" s="364">
        <f>G111/G$228</f>
        <v>2.8092133667213539</v>
      </c>
      <c r="N111" s="359">
        <f>SUMMARY!J114</f>
        <v>2.4242384372309496</v>
      </c>
      <c r="O111" s="354">
        <f>M111/N111-1</f>
        <v>0.15880241958795782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'[2]Sch C'!D115</f>
        <v>0</v>
      </c>
      <c r="D114" s="558">
        <f>'[2]Sch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'[2]Sch C'!D116</f>
        <v>0</v>
      </c>
      <c r="D115" s="558">
        <f>'[2]Sch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'[2]Sch C'!D117</f>
        <v>12955</v>
      </c>
      <c r="D116" s="558">
        <f>'[2]Sch C'!F117</f>
        <v>0</v>
      </c>
      <c r="E116" s="171">
        <f t="shared" si="29"/>
        <v>12955</v>
      </c>
      <c r="F116" s="171"/>
      <c r="G116" s="171">
        <f>E116+F116</f>
        <v>12955</v>
      </c>
      <c r="H116" s="172">
        <f t="shared" si="30"/>
        <v>2.195968165157147E-3</v>
      </c>
      <c r="J116" s="168"/>
      <c r="K116" s="168"/>
      <c r="M116" s="364">
        <f t="shared" si="31"/>
        <v>0.55932130213280373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'[2]Sch C'!D118</f>
        <v>87160</v>
      </c>
      <c r="D117" s="558">
        <f>'[2]Sch C'!F118</f>
        <v>0</v>
      </c>
      <c r="E117" s="171">
        <f t="shared" si="29"/>
        <v>87160</v>
      </c>
      <c r="F117" s="171"/>
      <c r="G117" s="171">
        <f>E117+F117</f>
        <v>87160</v>
      </c>
      <c r="H117" s="172">
        <f t="shared" si="30"/>
        <v>1.4774263626020604E-2</v>
      </c>
      <c r="J117" s="168"/>
      <c r="K117" s="168"/>
      <c r="M117" s="364">
        <f t="shared" si="31"/>
        <v>3.7630601847854246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'[2]Sch C'!D119</f>
        <v>0</v>
      </c>
      <c r="D118" s="558">
        <f>'[2]Sch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100115</v>
      </c>
      <c r="D119" s="558">
        <f>SUM(D114:D118)</f>
        <v>0</v>
      </c>
      <c r="E119" s="171">
        <f t="shared" ref="E119:F119" si="32">SUM(E114:E118)</f>
        <v>100115</v>
      </c>
      <c r="F119" s="171">
        <f t="shared" si="32"/>
        <v>0</v>
      </c>
      <c r="G119" s="171">
        <f>SUM(G114:G118)</f>
        <v>100115</v>
      </c>
      <c r="H119" s="172">
        <f t="shared" si="30"/>
        <v>1.6970231791177751E-2</v>
      </c>
      <c r="J119" s="168"/>
      <c r="K119" s="168"/>
      <c r="M119" s="364">
        <f t="shared" si="31"/>
        <v>4.3223814869182284</v>
      </c>
      <c r="N119" s="359">
        <f>SUMMARY!J122</f>
        <v>6.0247597205909562</v>
      </c>
      <c r="O119" s="354">
        <f>M119/N119-1</f>
        <v>-0.28256367268133065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'[2]Sch C'!D124</f>
        <v>0</v>
      </c>
      <c r="D123" s="558">
        <f>'[2]Sch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'[2]Sch C'!D125</f>
        <v>236873</v>
      </c>
      <c r="D124" s="558">
        <f>'[2]Sch C'!F125</f>
        <v>0</v>
      </c>
      <c r="E124" s="171">
        <f t="shared" si="33"/>
        <v>236873</v>
      </c>
      <c r="F124" s="171"/>
      <c r="G124" s="171">
        <f>E124+F124</f>
        <v>236873</v>
      </c>
      <c r="H124" s="172">
        <f>IF($G$208=0,0,G124/$G$208)</f>
        <v>4.0151722669646381E-2</v>
      </c>
      <c r="J124" s="183">
        <v>6101</v>
      </c>
      <c r="K124" s="183">
        <v>6659</v>
      </c>
      <c r="M124" s="364">
        <f t="shared" si="34"/>
        <v>10.226793886538296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'[2]Sch C'!D126</f>
        <v>0</v>
      </c>
      <c r="D125" s="558">
        <f>'[2]Sch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'[2]Sch C'!D127</f>
        <v>0</v>
      </c>
      <c r="D126" s="558">
        <f>'[2]Sch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'[2]Sch C'!D128</f>
        <v>51325</v>
      </c>
      <c r="D127" s="558">
        <f>'[2]Sch C'!F128</f>
        <v>0</v>
      </c>
      <c r="E127" s="171">
        <f t="shared" si="33"/>
        <v>51325</v>
      </c>
      <c r="F127" s="171"/>
      <c r="G127" s="171">
        <f>E127+F127</f>
        <v>51325</v>
      </c>
      <c r="H127" s="172">
        <f>IF($G$208=0,0,G127/$G$208)</f>
        <v>8.6999665053408386E-3</v>
      </c>
      <c r="J127" s="183">
        <v>3162</v>
      </c>
      <c r="K127" s="183">
        <v>3527</v>
      </c>
      <c r="M127" s="364">
        <f t="shared" si="34"/>
        <v>2.2159139970641566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40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'[2]Sch C'!D130</f>
        <v>0</v>
      </c>
      <c r="D129" s="558">
        <f>'[2]Sch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'[2]Sch C'!D131</f>
        <v>16652</v>
      </c>
      <c r="D130" s="558">
        <f>'[2]Sch C'!F131</f>
        <v>0</v>
      </c>
      <c r="E130" s="171">
        <f t="shared" si="35"/>
        <v>16652</v>
      </c>
      <c r="F130" s="171"/>
      <c r="G130" s="171">
        <f>E130+F130</f>
        <v>16652</v>
      </c>
      <c r="H130" s="172">
        <f>IF($G$208=0,0,G130/$G$208)</f>
        <v>2.8226369653567588E-3</v>
      </c>
      <c r="J130" s="204"/>
      <c r="K130" s="204"/>
      <c r="M130" s="364">
        <f t="shared" si="34"/>
        <v>0.71893618858475083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'[2]Sch C'!D132</f>
        <v>0</v>
      </c>
      <c r="D131" s="558">
        <f>'[2]Sch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'[2]Sch C'!D133</f>
        <v>0</v>
      </c>
      <c r="D132" s="558">
        <f>'[2]Sch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'[2]Sch C'!D134</f>
        <v>18225</v>
      </c>
      <c r="D133" s="558">
        <f>'[2]Sch C'!F134</f>
        <v>0</v>
      </c>
      <c r="E133" s="171">
        <f t="shared" si="35"/>
        <v>18225</v>
      </c>
      <c r="F133" s="171"/>
      <c r="G133" s="171">
        <f>E133+F133</f>
        <v>18225</v>
      </c>
      <c r="H133" s="172">
        <f>IF($G$208=0,0,G133/$G$208)</f>
        <v>3.0892720810489389E-3</v>
      </c>
      <c r="J133" s="168"/>
      <c r="K133" s="168"/>
      <c r="M133" s="364">
        <f t="shared" si="34"/>
        <v>0.78684914946895779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'[2]Sch C'!D136</f>
        <v>722149</v>
      </c>
      <c r="D135" s="558">
        <f>'[2]Sch C'!F136</f>
        <v>0</v>
      </c>
      <c r="E135" s="171">
        <f t="shared" ref="E135:E138" si="36">C135+D135</f>
        <v>722149</v>
      </c>
      <c r="F135" s="171"/>
      <c r="G135" s="171">
        <f>E135+F135</f>
        <v>722149</v>
      </c>
      <c r="H135" s="172">
        <f>IF($G$208=0,0,G135/$G$208)</f>
        <v>0.12240958815129822</v>
      </c>
      <c r="J135" s="183">
        <v>23464</v>
      </c>
      <c r="K135" s="183">
        <v>25049</v>
      </c>
      <c r="M135" s="364">
        <f t="shared" si="34"/>
        <v>31.17817977722131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'[2]Sch C'!D137</f>
        <v>98049</v>
      </c>
      <c r="D136" s="558">
        <f>'[2]Sch C'!F137</f>
        <v>0</v>
      </c>
      <c r="E136" s="171">
        <f t="shared" si="36"/>
        <v>98049</v>
      </c>
      <c r="F136" s="171"/>
      <c r="G136" s="171">
        <f>E136+F136</f>
        <v>98049</v>
      </c>
      <c r="H136" s="172">
        <f>IF($G$208=0,0,G136/$G$208)</f>
        <v>1.6620029534966663E-2</v>
      </c>
      <c r="J136" s="183">
        <v>4788</v>
      </c>
      <c r="K136" s="183">
        <v>5037</v>
      </c>
      <c r="M136" s="364">
        <f t="shared" si="34"/>
        <v>4.2331836628961232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'[2]Sch C'!D138</f>
        <v>614338</v>
      </c>
      <c r="D137" s="558">
        <f>'[2]Sch C'!F138</f>
        <v>100355</v>
      </c>
      <c r="E137" s="171">
        <f t="shared" si="36"/>
        <v>714693</v>
      </c>
      <c r="F137" s="171"/>
      <c r="G137" s="171">
        <f>E137+F137</f>
        <v>714693</v>
      </c>
      <c r="H137" s="172">
        <f>IF($G$208=0,0,G137/$G$208)</f>
        <v>0.12114574109306497</v>
      </c>
      <c r="J137" s="183">
        <v>55555</v>
      </c>
      <c r="K137" s="183">
        <v>59776</v>
      </c>
      <c r="M137" s="364">
        <f t="shared" si="34"/>
        <v>30.85627320611346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'[2]Sch C'!D139</f>
        <v>100355</v>
      </c>
      <c r="D138" s="558">
        <f>'[2]Sch C'!F139</f>
        <v>-100355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'[2]Sch C'!D141</f>
        <v>318849</v>
      </c>
      <c r="D140" s="558">
        <f>'[2]Sch C'!F141</f>
        <v>-168834</v>
      </c>
      <c r="E140" s="171">
        <f t="shared" ref="E140:E143" si="37">C140+D140</f>
        <v>150015</v>
      </c>
      <c r="F140" s="171"/>
      <c r="G140" s="171">
        <f>E140+F140</f>
        <v>150015</v>
      </c>
      <c r="H140" s="172">
        <f>IF($G$208=0,0,G140/$G$208)</f>
        <v>2.5428650273720526E-2</v>
      </c>
      <c r="J140" s="168"/>
      <c r="K140" s="168"/>
      <c r="M140" s="364">
        <f t="shared" si="34"/>
        <v>6.4767722994560053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'[2]Sch C'!D142</f>
        <v>0</v>
      </c>
      <c r="D141" s="558">
        <f>'[2]Sch C'!F142</f>
        <v>20368</v>
      </c>
      <c r="E141" s="171">
        <f t="shared" si="37"/>
        <v>20368</v>
      </c>
      <c r="F141" s="171"/>
      <c r="G141" s="171">
        <f>E141+F141</f>
        <v>20368</v>
      </c>
      <c r="H141" s="172">
        <f>IF($G$208=0,0,G141/$G$208)</f>
        <v>3.4525264058603449E-3</v>
      </c>
      <c r="J141" s="168"/>
      <c r="K141" s="168"/>
      <c r="M141" s="364">
        <f t="shared" si="34"/>
        <v>0.87937138416371641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'[2]Sch C'!D143</f>
        <v>0</v>
      </c>
      <c r="D142" s="558">
        <f>'[2]Sch C'!F143</f>
        <v>148466</v>
      </c>
      <c r="E142" s="171">
        <f t="shared" si="37"/>
        <v>148466</v>
      </c>
      <c r="F142" s="171"/>
      <c r="G142" s="171">
        <f>E142+F142</f>
        <v>148466</v>
      </c>
      <c r="H142" s="172">
        <f>IF($G$208=0,0,G142/$G$208)</f>
        <v>2.5166083335254417E-2</v>
      </c>
      <c r="J142" s="168"/>
      <c r="K142" s="168"/>
      <c r="M142" s="364">
        <f t="shared" si="34"/>
        <v>6.4098955185217168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'[2]Sch C'!D144</f>
        <v>0</v>
      </c>
      <c r="D143" s="558">
        <f>'[2]Sch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'[2]Sch C'!D146</f>
        <v>61707</v>
      </c>
      <c r="D145" s="558">
        <f>'[2]Sch C'!F146</f>
        <v>0</v>
      </c>
      <c r="E145" s="171">
        <f t="shared" ref="E145:E153" si="38">C145+D145</f>
        <v>61707</v>
      </c>
      <c r="F145" s="171"/>
      <c r="G145" s="171">
        <f t="shared" ref="G145:G153" si="39">E145+F145</f>
        <v>61707</v>
      </c>
      <c r="H145" s="172">
        <f t="shared" ref="H145:H153" si="40">IF($G$208=0,0,G145/$G$208)</f>
        <v>1.045979217038611E-2</v>
      </c>
      <c r="J145" s="183">
        <v>304</v>
      </c>
      <c r="K145" s="183">
        <v>304</v>
      </c>
      <c r="M145" s="364">
        <f t="shared" si="34"/>
        <v>2.6641481737328383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'[2]Sch C'!D147</f>
        <v>7305</v>
      </c>
      <c r="D146" s="558">
        <f>'[2]Sch C'!F147</f>
        <v>0</v>
      </c>
      <c r="E146" s="171">
        <f t="shared" si="38"/>
        <v>7305</v>
      </c>
      <c r="F146" s="171"/>
      <c r="G146" s="171">
        <f t="shared" si="39"/>
        <v>7305</v>
      </c>
      <c r="H146" s="172">
        <f t="shared" si="40"/>
        <v>1.2382514431858709E-3</v>
      </c>
      <c r="J146" s="183">
        <v>137</v>
      </c>
      <c r="K146" s="183">
        <v>137</v>
      </c>
      <c r="M146" s="364">
        <f t="shared" si="34"/>
        <v>0.31538727225628183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'[2]Sch C'!D148</f>
        <v>0</v>
      </c>
      <c r="D147" s="558">
        <f>'[2]Sch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'[2]Sch C'!D149</f>
        <v>15465</v>
      </c>
      <c r="D148" s="558">
        <f>'[2]Sch C'!F149</f>
        <v>0</v>
      </c>
      <c r="E148" s="171">
        <f t="shared" si="38"/>
        <v>15465</v>
      </c>
      <c r="F148" s="171"/>
      <c r="G148" s="171">
        <f t="shared" si="39"/>
        <v>15465</v>
      </c>
      <c r="H148" s="172">
        <f t="shared" si="40"/>
        <v>2.6214317000505809E-3</v>
      </c>
      <c r="J148" s="183">
        <v>713</v>
      </c>
      <c r="K148" s="183">
        <v>713</v>
      </c>
      <c r="M148" s="364">
        <f t="shared" si="34"/>
        <v>0.66768845522839138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'[2]Sch C'!D150</f>
        <v>864</v>
      </c>
      <c r="D149" s="558">
        <f>'[2]Sch C'!F150</f>
        <v>0</v>
      </c>
      <c r="E149" s="171">
        <f t="shared" si="38"/>
        <v>864</v>
      </c>
      <c r="F149" s="171"/>
      <c r="G149" s="171">
        <f t="shared" si="39"/>
        <v>864</v>
      </c>
      <c r="H149" s="172">
        <f t="shared" si="40"/>
        <v>1.4645438013861635E-4</v>
      </c>
      <c r="J149" s="183">
        <v>0</v>
      </c>
      <c r="K149" s="183">
        <v>0</v>
      </c>
      <c r="M149" s="364">
        <f t="shared" si="34"/>
        <v>3.7302478197046886E-2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'[2]Sch C'!D151</f>
        <v>100637</v>
      </c>
      <c r="D150" s="558">
        <f>'[2]Sch C'!F151</f>
        <v>-371</v>
      </c>
      <c r="E150" s="171">
        <f t="shared" si="38"/>
        <v>100266</v>
      </c>
      <c r="F150" s="171"/>
      <c r="G150" s="171">
        <f t="shared" si="39"/>
        <v>100266</v>
      </c>
      <c r="H150" s="172">
        <f t="shared" si="40"/>
        <v>1.6995827406225125E-2</v>
      </c>
      <c r="J150" s="168"/>
      <c r="K150" s="168"/>
      <c r="M150" s="364">
        <f t="shared" si="34"/>
        <v>4.328900785769795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'[2]Sch C'!D152</f>
        <v>6095</v>
      </c>
      <c r="D151" s="558">
        <f>'[2]Sch C'!F152</f>
        <v>0</v>
      </c>
      <c r="E151" s="171">
        <f t="shared" si="38"/>
        <v>6095</v>
      </c>
      <c r="F151" s="171"/>
      <c r="G151" s="171">
        <f t="shared" si="39"/>
        <v>6095</v>
      </c>
      <c r="H151" s="172">
        <f t="shared" si="40"/>
        <v>1.0331475080380401E-3</v>
      </c>
      <c r="J151" s="168"/>
      <c r="K151" s="168"/>
      <c r="M151" s="364">
        <f t="shared" si="34"/>
        <v>0.26314653311458425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'[2]Sch C'!D153</f>
        <v>0</v>
      </c>
      <c r="D152" s="558">
        <f>'[2]Sch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'[2]Sch C'!D154</f>
        <v>6375</v>
      </c>
      <c r="D153" s="558">
        <f>'[2]Sch C'!F154</f>
        <v>0</v>
      </c>
      <c r="E153" s="171">
        <f t="shared" si="38"/>
        <v>6375</v>
      </c>
      <c r="F153" s="171"/>
      <c r="G153" s="171">
        <f t="shared" si="39"/>
        <v>6375</v>
      </c>
      <c r="H153" s="172">
        <f t="shared" si="40"/>
        <v>1.0806095756755547E-3</v>
      </c>
      <c r="J153" s="168"/>
      <c r="K153" s="168"/>
      <c r="M153" s="364">
        <f t="shared" si="34"/>
        <v>0.27523529919696055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'[2]Sch C'!D156</f>
        <v>0</v>
      </c>
      <c r="D155" s="558">
        <f>'[2]Sch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'[2]Sch C'!D157</f>
        <v>0</v>
      </c>
      <c r="D156" s="558">
        <f>'[2]Sch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'[2]Sch C'!D158</f>
        <v>0</v>
      </c>
      <c r="D157" s="558">
        <f>'[2]Sch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'[2]Sch C'!D159</f>
        <v>0</v>
      </c>
      <c r="D158" s="558">
        <f>'[2]Sch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'[2]Sch C'!D160</f>
        <v>0</v>
      </c>
      <c r="D159" s="558">
        <f>'[2]Sch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'[2]Sch C'!D161</f>
        <v>12180</v>
      </c>
      <c r="D160" s="558">
        <f>'[2]Sch C'!F161</f>
        <v>-114</v>
      </c>
      <c r="E160" s="171">
        <f t="shared" si="41"/>
        <v>12066</v>
      </c>
      <c r="F160" s="171"/>
      <c r="G160" s="171">
        <f t="shared" si="42"/>
        <v>12066</v>
      </c>
      <c r="H160" s="172">
        <f t="shared" si="43"/>
        <v>2.0452761004080382E-3</v>
      </c>
      <c r="J160" s="168"/>
      <c r="K160" s="168"/>
      <c r="M160" s="364">
        <f t="shared" si="34"/>
        <v>0.52093946982125894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2387443</v>
      </c>
      <c r="D161" s="558">
        <f>SUM(D123:D160)</f>
        <v>-485</v>
      </c>
      <c r="E161" s="171">
        <f t="shared" ref="E161:F161" si="44">SUM(E123:E160)</f>
        <v>2386958</v>
      </c>
      <c r="F161" s="171">
        <f t="shared" si="44"/>
        <v>0</v>
      </c>
      <c r="G161" s="171">
        <f>SUM(G123:G160)</f>
        <v>2386958</v>
      </c>
      <c r="H161" s="172">
        <f t="shared" si="43"/>
        <v>0.40460700729966598</v>
      </c>
      <c r="J161" s="168"/>
      <c r="K161" s="168"/>
      <c r="M161" s="364">
        <f>G161/G$228</f>
        <v>103.05491753734566</v>
      </c>
      <c r="N161" s="359">
        <f>SUMMARY!J164</f>
        <v>105.56901037202306</v>
      </c>
      <c r="O161" s="354">
        <f>M161/N161-1</f>
        <v>-2.381468601266401E-2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'[2]Sch C'!D175</f>
        <v>0</v>
      </c>
      <c r="D164" s="558">
        <f>'[2]Sch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407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'[2]Sch C'!D176</f>
        <v>0</v>
      </c>
      <c r="D165" s="558">
        <f>'[2]Sch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408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'[2]Sch C'!D177</f>
        <v>0</v>
      </c>
      <c r="D166" s="558">
        <f>'[2]Sch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407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'[2]Sch C'!D178</f>
        <v>0</v>
      </c>
      <c r="D167" s="558">
        <f>'[2]Sch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408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'[2]Sch C'!D179</f>
        <v>0</v>
      </c>
      <c r="D168" s="558">
        <f>'[2]Sch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407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'[2]Sch C'!D180</f>
        <v>0</v>
      </c>
      <c r="D169" s="558">
        <f>'[2]Sch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408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'[2]Sch C'!D181</f>
        <v>0</v>
      </c>
      <c r="D170" s="558">
        <f>'[2]Sch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407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'[2]Sch C'!D182</f>
        <v>0</v>
      </c>
      <c r="D171" s="558">
        <f>'[2]Sch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408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'[2]Sch C'!D183</f>
        <v>0</v>
      </c>
      <c r="D172" s="558">
        <f>'[2]Sch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407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'[2]Sch C'!D184</f>
        <v>0</v>
      </c>
      <c r="D173" s="558">
        <f>'[2]Sch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408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'[2]Sch C'!D185</f>
        <v>0</v>
      </c>
      <c r="D174" s="558">
        <f>'[2]Sch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407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'[2]Sch C'!D186</f>
        <v>0</v>
      </c>
      <c r="D175" s="558">
        <f>'[2]Sch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'[2]Sch C'!D187</f>
        <v>0</v>
      </c>
      <c r="D176" s="558">
        <f>'[2]Sch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'[2]Sch C'!D188</f>
        <v>0</v>
      </c>
      <c r="D177" s="558">
        <f>'[2]Sch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223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'[2]Sch C'!D189</f>
        <v>0</v>
      </c>
      <c r="D178" s="558">
        <f>'[2]Sch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223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'[2]Sch C'!D190</f>
        <v>0</v>
      </c>
      <c r="D179" s="558">
        <f>'[2]Sch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'[2]Sch C'!D191</f>
        <v>582</v>
      </c>
      <c r="D180" s="558">
        <f>'[2]Sch C'!F191</f>
        <v>0</v>
      </c>
      <c r="E180" s="171">
        <f t="shared" si="45"/>
        <v>582</v>
      </c>
      <c r="F180" s="216"/>
      <c r="G180" s="171">
        <f t="shared" si="46"/>
        <v>582</v>
      </c>
      <c r="H180" s="172">
        <f t="shared" si="47"/>
        <v>9.8653297732262407E-5</v>
      </c>
      <c r="I180" s="223"/>
      <c r="J180" s="223"/>
      <c r="K180" s="218"/>
      <c r="L180" s="220"/>
      <c r="M180" s="364">
        <f t="shared" si="48"/>
        <v>2.512736378551075E-2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'[2]Sch C'!D192</f>
        <v>284</v>
      </c>
      <c r="D181" s="558">
        <f>'[2]Sch C'!F192</f>
        <v>0</v>
      </c>
      <c r="E181" s="171">
        <f t="shared" si="45"/>
        <v>284</v>
      </c>
      <c r="F181" s="216"/>
      <c r="G181" s="171">
        <f t="shared" si="46"/>
        <v>284</v>
      </c>
      <c r="H181" s="172">
        <f t="shared" si="47"/>
        <v>4.8140097175193338E-5</v>
      </c>
      <c r="I181" s="223"/>
      <c r="J181" s="223"/>
      <c r="K181" s="218"/>
      <c r="L181" s="220"/>
      <c r="M181" s="364">
        <f t="shared" si="48"/>
        <v>1.2261462740695967E-2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'[2]Sch C'!D193</f>
        <v>10678</v>
      </c>
      <c r="D182" s="558">
        <f>'[2]Sch C'!F193</f>
        <v>0</v>
      </c>
      <c r="E182" s="171">
        <f t="shared" si="45"/>
        <v>10678</v>
      </c>
      <c r="F182" s="216"/>
      <c r="G182" s="171">
        <f t="shared" si="46"/>
        <v>10678</v>
      </c>
      <c r="H182" s="172">
        <f t="shared" si="47"/>
        <v>1.8099998508335018E-3</v>
      </c>
      <c r="I182" s="223"/>
      <c r="J182" s="223"/>
      <c r="K182" s="218"/>
      <c r="L182" s="220"/>
      <c r="M182" s="364">
        <f t="shared" si="48"/>
        <v>0.46101372938433643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'[2]Sch C'!D194</f>
        <v>236643</v>
      </c>
      <c r="D183" s="558">
        <f>'[2]Sch C'!F194</f>
        <v>-3195</v>
      </c>
      <c r="E183" s="171">
        <f t="shared" si="45"/>
        <v>233448</v>
      </c>
      <c r="F183" s="216"/>
      <c r="G183" s="171">
        <f t="shared" si="46"/>
        <v>233448</v>
      </c>
      <c r="H183" s="172">
        <f t="shared" si="47"/>
        <v>3.9571159878008924E-2</v>
      </c>
      <c r="I183" s="223"/>
      <c r="J183" s="223"/>
      <c r="K183" s="218"/>
      <c r="M183" s="364">
        <f t="shared" si="48"/>
        <v>10.078922372852086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'[2]Sch C'!D195</f>
        <v>107060</v>
      </c>
      <c r="D184" s="558">
        <f>'[2]Sch C'!F195</f>
        <v>-1445</v>
      </c>
      <c r="E184" s="171">
        <f t="shared" si="45"/>
        <v>105615</v>
      </c>
      <c r="F184" s="216"/>
      <c r="G184" s="171">
        <f t="shared" si="46"/>
        <v>105615</v>
      </c>
      <c r="H184" s="172">
        <f t="shared" si="47"/>
        <v>1.7902522405486072E-2</v>
      </c>
      <c r="I184" s="223"/>
      <c r="J184" s="223"/>
      <c r="K184" s="218"/>
      <c r="M184" s="364">
        <f t="shared" si="48"/>
        <v>4.5598393921077625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'[2]Sch C'!D196</f>
        <v>0</v>
      </c>
      <c r="D185" s="558">
        <f>'[2]Sch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'[2]Sch C'!D197</f>
        <v>231194</v>
      </c>
      <c r="D186" s="558">
        <f>'[2]Sch C'!F197</f>
        <v>-3121</v>
      </c>
      <c r="E186" s="171">
        <f t="shared" si="45"/>
        <v>228073</v>
      </c>
      <c r="F186" s="216"/>
      <c r="G186" s="171">
        <f t="shared" si="46"/>
        <v>228073</v>
      </c>
      <c r="H186" s="172">
        <f t="shared" si="47"/>
        <v>3.8660057686753069E-2</v>
      </c>
      <c r="I186" s="223"/>
      <c r="J186" s="223"/>
      <c r="K186" s="218"/>
      <c r="M186" s="364">
        <f t="shared" si="48"/>
        <v>9.8468612382350393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'[2]Sch C'!D198</f>
        <v>29634</v>
      </c>
      <c r="D187" s="558">
        <f>'[2]Sch C'!F198</f>
        <v>0</v>
      </c>
      <c r="E187" s="171">
        <f t="shared" si="45"/>
        <v>29634</v>
      </c>
      <c r="F187" s="216"/>
      <c r="G187" s="171">
        <f t="shared" si="46"/>
        <v>29634</v>
      </c>
      <c r="H187" s="172">
        <f t="shared" si="47"/>
        <v>5.0231818298932373E-3</v>
      </c>
      <c r="I187" s="223"/>
      <c r="J187" s="223"/>
      <c r="K187" s="218"/>
      <c r="M187" s="364">
        <f t="shared" si="48"/>
        <v>1.2794231931612123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'[2]Sch C'!D199</f>
        <v>0</v>
      </c>
      <c r="D188" s="558">
        <f>'[2]Sch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'[2]Sch C'!D200</f>
        <v>0</v>
      </c>
      <c r="D189" s="558">
        <f>'[2]Sch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'[2]Sch C'!D201</f>
        <v>0</v>
      </c>
      <c r="D190" s="558">
        <f>'[2]Sch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'[2]Sch C'!D202</f>
        <v>0</v>
      </c>
      <c r="D191" s="558">
        <f>'[2]Sch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'[2]Sch C'!D203</f>
        <v>0</v>
      </c>
      <c r="D192" s="558">
        <f>'[2]Sch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'[2]Sch C'!D204</f>
        <v>0</v>
      </c>
      <c r="D193" s="558">
        <f>'[2]Sch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'[2]Sch C'!D205</f>
        <v>162956</v>
      </c>
      <c r="D194" s="558">
        <f>'[2]Sch C'!F205</f>
        <v>-2463</v>
      </c>
      <c r="E194" s="171">
        <f t="shared" si="45"/>
        <v>160493</v>
      </c>
      <c r="F194" s="216"/>
      <c r="G194" s="171">
        <f t="shared" si="46"/>
        <v>160493</v>
      </c>
      <c r="H194" s="172">
        <f t="shared" si="47"/>
        <v>2.7204748647670089E-2</v>
      </c>
      <c r="I194" s="223"/>
      <c r="J194" s="223"/>
      <c r="K194" s="218"/>
      <c r="M194" s="364">
        <f t="shared" si="48"/>
        <v>6.9291511959243586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'[2]Sch C'!D206</f>
        <v>2586</v>
      </c>
      <c r="D195" s="558">
        <f>'[2]Sch C'!F206</f>
        <v>0</v>
      </c>
      <c r="E195" s="171">
        <f t="shared" si="45"/>
        <v>2586</v>
      </c>
      <c r="F195" s="216"/>
      <c r="G195" s="171">
        <f t="shared" si="46"/>
        <v>2586</v>
      </c>
      <c r="H195" s="172">
        <f t="shared" si="47"/>
        <v>4.3834609610933088E-4</v>
      </c>
      <c r="I195" s="223"/>
      <c r="J195" s="223"/>
      <c r="K195" s="218"/>
      <c r="M195" s="364">
        <f t="shared" si="48"/>
        <v>0.11164838960366116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'[2]Sch C'!D207</f>
        <v>4515</v>
      </c>
      <c r="D196" s="558">
        <f>'[2]Sch C'!F207</f>
        <v>0</v>
      </c>
      <c r="E196" s="171">
        <f t="shared" si="45"/>
        <v>4515</v>
      </c>
      <c r="F196" s="216"/>
      <c r="G196" s="171">
        <f t="shared" si="46"/>
        <v>4515</v>
      </c>
      <c r="H196" s="172">
        <f t="shared" si="47"/>
        <v>7.6532584065492227E-4</v>
      </c>
      <c r="I196" s="223"/>
      <c r="J196" s="223"/>
      <c r="K196" s="218"/>
      <c r="M196" s="364">
        <f t="shared" si="48"/>
        <v>0.19493135307831794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786132</v>
      </c>
      <c r="D197" s="558">
        <f>SUM(D164:D196)</f>
        <v>-10224</v>
      </c>
      <c r="E197" s="171">
        <f t="shared" ref="E197:F197" si="49">SUM(E164:E196)</f>
        <v>775908</v>
      </c>
      <c r="F197" s="171">
        <f t="shared" si="49"/>
        <v>0</v>
      </c>
      <c r="G197" s="171">
        <f>SUM(G164:G196)</f>
        <v>775908</v>
      </c>
      <c r="H197" s="172">
        <f>IF($G$208=0,0,G197/$G$208)</f>
        <v>0.13152213563031659</v>
      </c>
      <c r="J197" s="168"/>
      <c r="K197" s="168"/>
      <c r="M197" s="364">
        <f>G197/G$228</f>
        <v>33.499179690872978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'[2]Sch C'!D211</f>
        <v>115998</v>
      </c>
      <c r="D200" s="558">
        <f>'[2]Sch C'!F211</f>
        <v>0</v>
      </c>
      <c r="E200" s="171">
        <f t="shared" ref="E200:E205" si="50">C200+D200</f>
        <v>115998</v>
      </c>
      <c r="F200" s="171"/>
      <c r="G200" s="171">
        <f t="shared" ref="G200:G205" si="51">E200+F200</f>
        <v>115998</v>
      </c>
      <c r="H200" s="172">
        <f t="shared" ref="H200:H206" si="52">IF($G$208=0,0,G200/$G$208)</f>
        <v>1.9662517577915765E-2</v>
      </c>
      <c r="J200" s="183">
        <v>6506</v>
      </c>
      <c r="K200" s="183">
        <v>7052</v>
      </c>
      <c r="M200" s="364">
        <f t="shared" ref="M200:M205" si="53">G200/G$228</f>
        <v>5.0081167429410245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'[2]Sch C'!D212</f>
        <v>44426</v>
      </c>
      <c r="D201" s="558">
        <f>'[2]Sch C'!F212</f>
        <v>0</v>
      </c>
      <c r="E201" s="171">
        <f t="shared" si="50"/>
        <v>44426</v>
      </c>
      <c r="F201" s="171"/>
      <c r="G201" s="171">
        <f t="shared" si="51"/>
        <v>44426</v>
      </c>
      <c r="H201" s="172">
        <f t="shared" si="52"/>
        <v>7.5305350602293637E-3</v>
      </c>
      <c r="J201" s="168"/>
      <c r="K201" s="168"/>
      <c r="M201" s="364">
        <f t="shared" si="53"/>
        <v>1.9180554356273205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'[2]Sch C'!D213</f>
        <v>5904</v>
      </c>
      <c r="D202" s="558">
        <f>'[2]Sch C'!F213</f>
        <v>0</v>
      </c>
      <c r="E202" s="171">
        <f t="shared" si="50"/>
        <v>5904</v>
      </c>
      <c r="F202" s="171"/>
      <c r="G202" s="171">
        <f t="shared" si="51"/>
        <v>5904</v>
      </c>
      <c r="H202" s="172">
        <f t="shared" si="52"/>
        <v>1.0007715976138784E-3</v>
      </c>
      <c r="J202" s="168"/>
      <c r="K202" s="168"/>
      <c r="M202" s="364">
        <f t="shared" si="53"/>
        <v>0.25490026767982038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'[2]Sch C'!D214</f>
        <v>0</v>
      </c>
      <c r="D203" s="558">
        <f>'[2]Sch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'[2]Sch C'!D215</f>
        <v>0</v>
      </c>
      <c r="D204" s="558">
        <f>'[2]Sch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'[2]Sch C'!D216</f>
        <v>2824</v>
      </c>
      <c r="D205" s="558">
        <f>'[2]Sch C'!F216</f>
        <v>0</v>
      </c>
      <c r="E205" s="171">
        <f t="shared" si="50"/>
        <v>2824</v>
      </c>
      <c r="F205" s="171"/>
      <c r="G205" s="171">
        <f t="shared" si="51"/>
        <v>2824</v>
      </c>
      <c r="H205" s="172">
        <f t="shared" si="52"/>
        <v>4.7868885360121831E-4</v>
      </c>
      <c r="J205" s="168"/>
      <c r="K205" s="168"/>
      <c r="M205" s="364">
        <f t="shared" si="53"/>
        <v>0.12192384077368103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169152</v>
      </c>
      <c r="D206" s="558">
        <f>SUM(D200:D205)</f>
        <v>0</v>
      </c>
      <c r="E206" s="171">
        <f t="shared" ref="E206:F206" si="54">SUM(E200:E205)</f>
        <v>169152</v>
      </c>
      <c r="F206" s="171">
        <f t="shared" si="54"/>
        <v>0</v>
      </c>
      <c r="G206" s="171">
        <f>SUM(G200:G205)</f>
        <v>169152</v>
      </c>
      <c r="H206" s="172">
        <f t="shared" si="52"/>
        <v>2.8672513089360224E-2</v>
      </c>
      <c r="J206" s="168"/>
      <c r="K206" s="168"/>
      <c r="M206" s="364">
        <f>G206/G$228</f>
        <v>7.3029962870218466</v>
      </c>
      <c r="N206" s="359">
        <f>SUMMARY!J209</f>
        <v>7.1515095990067339</v>
      </c>
      <c r="O206" s="354">
        <f>M206/N206-1</f>
        <v>2.1182477058571347E-2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6104181</v>
      </c>
      <c r="D208" s="558">
        <f>SUM(D25:D206)/2</f>
        <v>-204733</v>
      </c>
      <c r="E208" s="171">
        <f t="shared" ref="E208:F208" si="55">SUM(E25:E206)/2</f>
        <v>5899448</v>
      </c>
      <c r="F208" s="171">
        <f t="shared" si="55"/>
        <v>0</v>
      </c>
      <c r="G208" s="171">
        <f>SUM(G25:G206)/2</f>
        <v>5899448</v>
      </c>
      <c r="H208" s="172">
        <f>IF($G$208=0,0,G208/$G$208)</f>
        <v>1</v>
      </c>
      <c r="J208" s="183">
        <f>SUM(J25:J200)</f>
        <v>119967</v>
      </c>
      <c r="K208" s="183">
        <f>SUM(K25:K200)</f>
        <v>129160</v>
      </c>
      <c r="M208" s="364">
        <f>G208/G$228</f>
        <v>254.70373888265263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J209" s="168"/>
      <c r="K209" s="168"/>
      <c r="O209" s="553">
        <f>SUM(O61:O206)</f>
        <v>-0.48990729006304845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'[2]Sch C'!D221</f>
        <v>6104181</v>
      </c>
      <c r="D211" s="196"/>
      <c r="E211" s="165"/>
      <c r="F211"/>
      <c r="G211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-147587</v>
      </c>
      <c r="D215" s="558">
        <f>D21-D208</f>
        <v>195295</v>
      </c>
      <c r="E215" s="171">
        <f t="shared" ref="E215:F215" si="56">E21-E208</f>
        <v>47708</v>
      </c>
      <c r="F215" s="171">
        <f t="shared" si="56"/>
        <v>0</v>
      </c>
      <c r="G215" s="171">
        <f>G21-G208</f>
        <v>47708</v>
      </c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167"/>
      <c r="J218" s="168"/>
      <c r="K218" s="168"/>
    </row>
    <row r="219" spans="1:17">
      <c r="A219" s="163"/>
      <c r="B219" s="170" t="s">
        <v>218</v>
      </c>
      <c r="C219" s="592">
        <f>'[2]Sch D'!C9</f>
        <v>12323</v>
      </c>
      <c r="D219" s="592"/>
      <c r="E219" s="235">
        <f t="shared" ref="E219:G227" si="57">C219+D219</f>
        <v>12323</v>
      </c>
      <c r="F219" s="234"/>
      <c r="G219" s="235">
        <f t="shared" si="57"/>
        <v>12323</v>
      </c>
      <c r="H219" s="172">
        <f t="shared" ref="H219:H228" si="58">IF($G$228=0,0,G219/$G$228)</f>
        <v>0.53203523011829723</v>
      </c>
      <c r="I219" s="167"/>
      <c r="J219" s="168"/>
      <c r="K219" s="168"/>
    </row>
    <row r="220" spans="1:17">
      <c r="A220" s="163"/>
      <c r="B220" s="170" t="s">
        <v>217</v>
      </c>
      <c r="C220" s="592">
        <f>'[2]Sch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167"/>
      <c r="J220" s="168"/>
      <c r="K220" s="168"/>
    </row>
    <row r="221" spans="1:17">
      <c r="A221" s="163"/>
      <c r="B221" s="170" t="s">
        <v>72</v>
      </c>
      <c r="C221" s="592">
        <f>'[2]Sch D'!E9</f>
        <v>2871</v>
      </c>
      <c r="D221" s="592"/>
      <c r="E221" s="235">
        <f t="shared" si="59"/>
        <v>2871</v>
      </c>
      <c r="F221" s="234"/>
      <c r="G221" s="235">
        <f t="shared" si="57"/>
        <v>2871</v>
      </c>
      <c r="H221" s="172">
        <f t="shared" si="58"/>
        <v>0.12395302650893705</v>
      </c>
      <c r="I221" s="167"/>
      <c r="J221" s="168"/>
      <c r="K221" s="168"/>
    </row>
    <row r="222" spans="1:17">
      <c r="A222" s="163"/>
      <c r="B222" s="202" t="s">
        <v>334</v>
      </c>
      <c r="C222" s="592">
        <f>'[2]Sch D'!F9</f>
        <v>1816</v>
      </c>
      <c r="D222" s="592"/>
      <c r="E222" s="235">
        <f>C222+D222</f>
        <v>1816</v>
      </c>
      <c r="F222" s="234"/>
      <c r="G222" s="235">
        <f>E222+F222</f>
        <v>1816</v>
      </c>
      <c r="H222" s="172">
        <f t="shared" si="58"/>
        <v>7.8404282877126322E-2</v>
      </c>
      <c r="I222" s="167"/>
      <c r="J222" s="168"/>
      <c r="K222" s="168"/>
    </row>
    <row r="223" spans="1:17">
      <c r="A223" s="163"/>
      <c r="B223" s="170" t="s">
        <v>73</v>
      </c>
      <c r="C223" s="592">
        <f>'[2]Sch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167"/>
      <c r="J223" s="168"/>
      <c r="K223" s="168"/>
    </row>
    <row r="224" spans="1:17">
      <c r="A224" s="163"/>
      <c r="B224" s="170" t="s">
        <v>74</v>
      </c>
      <c r="C224" s="592">
        <f>'[2]Sch D'!H9</f>
        <v>3766</v>
      </c>
      <c r="D224" s="592"/>
      <c r="E224" s="235">
        <f t="shared" si="59"/>
        <v>3766</v>
      </c>
      <c r="F224" s="234"/>
      <c r="G224" s="235">
        <f t="shared" si="57"/>
        <v>3766</v>
      </c>
      <c r="H224" s="172">
        <f t="shared" si="58"/>
        <v>0.16259390380796132</v>
      </c>
      <c r="I224" s="167"/>
      <c r="J224" s="168"/>
      <c r="K224" s="168"/>
    </row>
    <row r="225" spans="1:11">
      <c r="A225" s="163"/>
      <c r="B225" s="170" t="s">
        <v>236</v>
      </c>
      <c r="C225" s="592">
        <f>'[2]Sch D'!I9</f>
        <v>1959</v>
      </c>
      <c r="D225" s="592"/>
      <c r="E225" s="235">
        <f t="shared" si="59"/>
        <v>1959</v>
      </c>
      <c r="F225" s="234"/>
      <c r="G225" s="235">
        <f t="shared" si="57"/>
        <v>1959</v>
      </c>
      <c r="H225" s="172">
        <f t="shared" si="58"/>
        <v>8.4578188412054223E-2</v>
      </c>
      <c r="I225" s="167"/>
      <c r="J225" s="168"/>
      <c r="K225" s="168"/>
    </row>
    <row r="226" spans="1:11">
      <c r="A226" s="163"/>
      <c r="B226" s="170" t="s">
        <v>235</v>
      </c>
      <c r="C226" s="592">
        <f>'[2]Sch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167"/>
      <c r="J226" s="168"/>
      <c r="K226" s="168"/>
    </row>
    <row r="227" spans="1:11">
      <c r="A227" s="163"/>
      <c r="B227" s="170" t="s">
        <v>179</v>
      </c>
      <c r="C227" s="592">
        <f>'[2]Sch D'!K9</f>
        <v>427</v>
      </c>
      <c r="D227" s="592"/>
      <c r="E227" s="235">
        <f t="shared" si="59"/>
        <v>427</v>
      </c>
      <c r="F227" s="234"/>
      <c r="G227" s="235">
        <f t="shared" si="57"/>
        <v>427</v>
      </c>
      <c r="H227" s="172">
        <f t="shared" si="58"/>
        <v>1.8435368275623868E-2</v>
      </c>
      <c r="I227" s="167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23162</v>
      </c>
      <c r="D228" s="592">
        <f>SUM(D219:D227)</f>
        <v>0</v>
      </c>
      <c r="E228" s="237">
        <f>SUM(E219:E227)</f>
        <v>23162</v>
      </c>
      <c r="F228" s="237">
        <f>SUM(F219:F227)</f>
        <v>0</v>
      </c>
      <c r="G228" s="237">
        <f>SUM(G219:G227)</f>
        <v>23162</v>
      </c>
      <c r="H228" s="172">
        <f t="shared" si="58"/>
        <v>1</v>
      </c>
      <c r="I228" s="167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I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I230" s="167"/>
      <c r="J230" s="168"/>
      <c r="K230" s="168"/>
    </row>
    <row r="231" spans="1:11">
      <c r="A231" s="163"/>
      <c r="B231" s="202" t="s">
        <v>219</v>
      </c>
      <c r="C231" s="593">
        <f>'[2]Sch D'!N22</f>
        <v>122</v>
      </c>
      <c r="D231" s="559"/>
      <c r="E231" s="235">
        <f>C231+D231</f>
        <v>122</v>
      </c>
      <c r="F231" s="235"/>
      <c r="G231" s="235">
        <f>E231+F231</f>
        <v>122</v>
      </c>
      <c r="H231" s="167"/>
      <c r="I231" s="167"/>
      <c r="J231" s="168"/>
      <c r="K231" s="168"/>
    </row>
    <row r="232" spans="1:11">
      <c r="A232" s="163"/>
      <c r="B232" s="202" t="s">
        <v>290</v>
      </c>
      <c r="C232" s="593">
        <f>'[2]Sch D'!N24</f>
        <v>122</v>
      </c>
      <c r="D232" s="559"/>
      <c r="E232" s="235">
        <f>C232+D232</f>
        <v>122</v>
      </c>
      <c r="F232" s="235"/>
      <c r="G232" s="235">
        <f>E232+F232</f>
        <v>122</v>
      </c>
      <c r="H232" s="167"/>
      <c r="I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I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I234" s="167"/>
      <c r="J234" s="168"/>
      <c r="K234" s="168"/>
    </row>
    <row r="235" spans="1:11" ht="26.5">
      <c r="A235" s="163"/>
      <c r="B235" s="243" t="s">
        <v>335</v>
      </c>
      <c r="C235" s="593">
        <f>'[2]Sch D'!N28</f>
        <v>44652</v>
      </c>
      <c r="D235" s="483"/>
      <c r="E235" s="234">
        <f>E231*E233</f>
        <v>44652</v>
      </c>
      <c r="F235" s="239"/>
      <c r="G235" s="234">
        <f>G231*G233</f>
        <v>44652</v>
      </c>
      <c r="H235" s="167"/>
      <c r="I235" s="167"/>
      <c r="J235" s="168"/>
      <c r="K235" s="168"/>
    </row>
    <row r="236" spans="1:11" ht="26.5">
      <c r="A236" s="163"/>
      <c r="B236" s="243" t="s">
        <v>336</v>
      </c>
      <c r="C236" s="594">
        <f>'[2]Sch D'!N30</f>
        <v>0.51872256561856134</v>
      </c>
      <c r="D236" s="239"/>
      <c r="E236" s="244">
        <f>IFERROR(E228/E235,"0")</f>
        <v>0.51872256561856134</v>
      </c>
      <c r="F236" s="245"/>
      <c r="G236" s="244">
        <f>IFERROR(G228/G235,"0")</f>
        <v>0.51872256561856134</v>
      </c>
      <c r="H236" s="167"/>
      <c r="I236" s="167"/>
      <c r="J236" s="168"/>
      <c r="K236" s="168"/>
    </row>
    <row r="237" spans="1:11" ht="26.5">
      <c r="A237" s="163"/>
      <c r="B237" s="243" t="s">
        <v>337</v>
      </c>
      <c r="C237" s="594">
        <f>'[2]Sch D'!N32</f>
        <v>0.2759786795664248</v>
      </c>
      <c r="D237" s="239"/>
      <c r="E237" s="244">
        <f>IFERROR((E219+E220)/E235,"0")</f>
        <v>0.2759786795664248</v>
      </c>
      <c r="F237" s="245"/>
      <c r="G237" s="244">
        <f>IFERROR((G219+G220)/G235,"0")</f>
        <v>0.2759786795664248</v>
      </c>
      <c r="H237" s="167"/>
      <c r="I237" s="167"/>
      <c r="J237" s="168"/>
      <c r="K237" s="168"/>
    </row>
    <row r="238" spans="1:11" ht="26.5">
      <c r="A238" s="163"/>
      <c r="B238" s="243" t="s">
        <v>338</v>
      </c>
      <c r="C238" s="594">
        <f>'[2]Sch D'!N34</f>
        <v>0.53203523011829723</v>
      </c>
      <c r="D238" s="239"/>
      <c r="E238" s="244">
        <f>IFERROR((E237/E236),"0")</f>
        <v>0.53203523011829723</v>
      </c>
      <c r="F238" s="245"/>
      <c r="G238" s="244">
        <f>IFERROR((G237/G236),"0")</f>
        <v>0.53203523011829723</v>
      </c>
      <c r="H238" s="167"/>
      <c r="I238" s="167"/>
      <c r="J238" s="168"/>
      <c r="K238" s="168"/>
    </row>
    <row r="239" spans="1:11">
      <c r="I239" s="140"/>
    </row>
    <row r="240" spans="1:11">
      <c r="I240" s="140"/>
    </row>
    <row r="241" spans="2:9">
      <c r="B241" s="148" t="s">
        <v>339</v>
      </c>
      <c r="F241" s="142" t="s">
        <v>340</v>
      </c>
      <c r="G241" s="558">
        <f>'[2]Sch B'!C85</f>
        <v>206.79166666666666</v>
      </c>
      <c r="I241" s="140"/>
    </row>
    <row r="242" spans="2:9">
      <c r="F242" s="142" t="s">
        <v>341</v>
      </c>
      <c r="G242" s="558">
        <f>'[2]Sch B'!E85</f>
        <v>206.79029462738302</v>
      </c>
      <c r="I242" s="140"/>
    </row>
    <row r="243" spans="2:9">
      <c r="F243" s="142" t="s">
        <v>342</v>
      </c>
      <c r="G243" s="558">
        <f>'[2]Sch B'!G85</f>
        <v>206.79143179255919</v>
      </c>
      <c r="I243" s="140"/>
    </row>
    <row r="244" spans="2:9">
      <c r="F244" s="142" t="s">
        <v>343</v>
      </c>
      <c r="G244" s="558">
        <f>'[2]Sch B'!I85</f>
        <v>206.7909790979098</v>
      </c>
      <c r="I244" s="140"/>
    </row>
    <row r="245" spans="2:9">
      <c r="F245" s="142"/>
      <c r="I245" s="140"/>
    </row>
    <row r="246" spans="2:9">
      <c r="I246" s="140"/>
    </row>
    <row r="247" spans="2:9">
      <c r="I247" s="140"/>
    </row>
    <row r="248" spans="2:9">
      <c r="I248" s="140"/>
    </row>
    <row r="249" spans="2:9">
      <c r="I249" s="14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374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'[20]Sch B'!E10</f>
        <v>2073039</v>
      </c>
      <c r="D11" s="558">
        <f>'[20]Sch B'!G10</f>
        <v>0</v>
      </c>
      <c r="E11" s="171">
        <f>C11+D11</f>
        <v>2073039</v>
      </c>
      <c r="F11" s="171"/>
      <c r="G11" s="171">
        <f t="shared" ref="G11:G20" si="0">E11+F11</f>
        <v>2073039</v>
      </c>
      <c r="H11" s="172">
        <f t="shared" ref="H11:H21" si="1">IF($G$21=0,0,G11/$G$21)</f>
        <v>0.3897842350755214</v>
      </c>
      <c r="I11" s="336"/>
      <c r="J11" s="368" t="s">
        <v>344</v>
      </c>
      <c r="K11" s="369">
        <f>G21</f>
        <v>5318427</v>
      </c>
      <c r="M11" s="359">
        <f>IFERROR(G11/G219,0)</f>
        <v>188.21854003994915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'[20]Sch B'!E15</f>
        <v>0</v>
      </c>
      <c r="D12" s="558">
        <f>'[20]Sch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5276246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'[20]Sch B'!E21</f>
        <v>1023153</v>
      </c>
      <c r="D13" s="558">
        <f>'[20]Sch B'!G21</f>
        <v>0</v>
      </c>
      <c r="E13" s="171">
        <f t="shared" si="2"/>
        <v>1023153</v>
      </c>
      <c r="F13" s="171"/>
      <c r="G13" s="171">
        <f t="shared" si="0"/>
        <v>1023153</v>
      </c>
      <c r="H13" s="172">
        <f t="shared" si="1"/>
        <v>0.19237887443035318</v>
      </c>
      <c r="I13" s="336"/>
      <c r="J13" s="370" t="s">
        <v>346</v>
      </c>
      <c r="K13" s="371">
        <f>G228</f>
        <v>22133</v>
      </c>
      <c r="M13" s="359">
        <f t="shared" si="3"/>
        <v>573.51625560538116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'[20]Sch B'!E27</f>
        <v>424125</v>
      </c>
      <c r="D14" s="558">
        <f>'[20]Sch B'!G27</f>
        <v>0</v>
      </c>
      <c r="E14" s="171">
        <f t="shared" si="2"/>
        <v>424125</v>
      </c>
      <c r="F14" s="175"/>
      <c r="G14" s="175">
        <f>E14+F14</f>
        <v>424125</v>
      </c>
      <c r="H14" s="176">
        <f t="shared" si="1"/>
        <v>7.974632349000936E-2</v>
      </c>
      <c r="I14" s="337"/>
      <c r="J14" s="370" t="s">
        <v>347</v>
      </c>
      <c r="K14" s="371">
        <f>G231</f>
        <v>106</v>
      </c>
      <c r="M14" s="359">
        <f t="shared" si="3"/>
        <v>424.54954954954957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'[20]Sch B'!E32</f>
        <v>436793</v>
      </c>
      <c r="D15" s="558">
        <f>'[20]Sch B'!G32</f>
        <v>0</v>
      </c>
      <c r="E15" s="171">
        <f t="shared" si="2"/>
        <v>436793</v>
      </c>
      <c r="F15" s="171"/>
      <c r="G15" s="171">
        <f t="shared" si="0"/>
        <v>436793</v>
      </c>
      <c r="H15" s="172">
        <f t="shared" si="1"/>
        <v>8.2128230771993299E-2</v>
      </c>
      <c r="I15" s="336"/>
      <c r="J15" s="370" t="s">
        <v>348</v>
      </c>
      <c r="K15" s="371">
        <f>G235</f>
        <v>38796</v>
      </c>
      <c r="M15" s="359">
        <f t="shared" si="3"/>
        <v>228.20950888192269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'[20]Sch B'!E37</f>
        <v>369676</v>
      </c>
      <c r="D16" s="558">
        <f>'[20]Sch B'!G37</f>
        <v>0</v>
      </c>
      <c r="E16" s="171">
        <f t="shared" si="2"/>
        <v>369676</v>
      </c>
      <c r="F16" s="171"/>
      <c r="G16" s="171">
        <f t="shared" si="0"/>
        <v>369676</v>
      </c>
      <c r="H16" s="172">
        <f t="shared" si="1"/>
        <v>6.9508521974636486E-2</v>
      </c>
      <c r="I16" s="336"/>
      <c r="J16" s="372"/>
      <c r="K16" s="371"/>
      <c r="M16" s="359">
        <f t="shared" si="3"/>
        <v>202.45125958378969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'[20]Sch B'!E42</f>
        <v>773015</v>
      </c>
      <c r="D17" s="558">
        <f>'[20]Sch B'!G42</f>
        <v>0</v>
      </c>
      <c r="E17" s="171">
        <f t="shared" si="2"/>
        <v>773015</v>
      </c>
      <c r="F17" s="171"/>
      <c r="G17" s="171">
        <f>E17+F17</f>
        <v>773015</v>
      </c>
      <c r="H17" s="172">
        <f t="shared" si="1"/>
        <v>0.14534654701474703</v>
      </c>
      <c r="I17" s="336"/>
      <c r="J17" s="370" t="s">
        <v>156</v>
      </c>
      <c r="K17" s="371">
        <f>J208</f>
        <v>156292</v>
      </c>
      <c r="M17" s="359">
        <f t="shared" si="3"/>
        <v>187.4884792626728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'[20]Sch B'!E47</f>
        <v>0</v>
      </c>
      <c r="D18" s="558">
        <f>'[20]Sch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178952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'[20]Sch B'!E52</f>
        <v>371278</v>
      </c>
      <c r="D19" s="558">
        <f>'[20]Sch B'!G52</f>
        <v>-203174</v>
      </c>
      <c r="E19" s="171">
        <f t="shared" si="2"/>
        <v>168104</v>
      </c>
      <c r="F19" s="171"/>
      <c r="G19" s="171">
        <f t="shared" si="0"/>
        <v>168104</v>
      </c>
      <c r="H19" s="172">
        <f t="shared" si="1"/>
        <v>3.1607841942739835E-2</v>
      </c>
      <c r="I19" s="336"/>
      <c r="J19" s="168"/>
      <c r="K19" s="168"/>
      <c r="M19" s="359">
        <f t="shared" si="3"/>
        <v>355.399577167019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'[20]Sch B'!E67</f>
        <v>66637</v>
      </c>
      <c r="D20" s="558">
        <f>'[20]Sch B'!G67</f>
        <v>-16115</v>
      </c>
      <c r="E20" s="171">
        <f t="shared" si="2"/>
        <v>50522</v>
      </c>
      <c r="F20" s="171"/>
      <c r="G20" s="171">
        <f t="shared" si="0"/>
        <v>50522</v>
      </c>
      <c r="H20" s="172">
        <f t="shared" si="1"/>
        <v>9.4994252999994165E-3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5537716</v>
      </c>
      <c r="D21" s="558">
        <f>SUM(D11:D20)</f>
        <v>-219289</v>
      </c>
      <c r="E21" s="171">
        <f>SUM(E11:E20)</f>
        <v>5318427</v>
      </c>
      <c r="F21" s="171">
        <f>SUM(F11:F20)</f>
        <v>0</v>
      </c>
      <c r="G21" s="171">
        <f>SUM(G11:G20)</f>
        <v>5318427</v>
      </c>
      <c r="H21" s="172">
        <f t="shared" si="1"/>
        <v>1</v>
      </c>
      <c r="I21" s="336"/>
      <c r="J21" s="168"/>
      <c r="K21" s="168"/>
      <c r="M21" s="359">
        <f>IFERROR(G21/G228,0)</f>
        <v>240.29399539149685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'[20]Sch C'!D10</f>
        <v>0</v>
      </c>
      <c r="D25" s="558">
        <f>'[20]Sch C'!F10</f>
        <v>162562</v>
      </c>
      <c r="E25" s="171">
        <f t="shared" ref="E25:E60" si="4">C25+D25</f>
        <v>162562</v>
      </c>
      <c r="F25" s="171"/>
      <c r="G25" s="182">
        <f>E25+F25</f>
        <v>162562</v>
      </c>
      <c r="H25" s="172">
        <f>IF($G$208=0,0,G25/$G$208)</f>
        <v>3.0810163134925853E-2</v>
      </c>
      <c r="I25" s="336"/>
      <c r="J25" s="183">
        <v>2648</v>
      </c>
      <c r="K25" s="183">
        <v>2800</v>
      </c>
      <c r="M25" s="359">
        <f>G25/G$228</f>
        <v>7.3447792888447117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'[20]Sch C'!D11</f>
        <v>0</v>
      </c>
      <c r="D26" s="558">
        <f>'[20]Sch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'[20]Sch C'!D12</f>
        <v>224052</v>
      </c>
      <c r="D27" s="558">
        <f>'[20]Sch C'!F12</f>
        <v>-162562</v>
      </c>
      <c r="E27" s="171">
        <f t="shared" si="4"/>
        <v>61490</v>
      </c>
      <c r="F27" s="171"/>
      <c r="G27" s="171">
        <f t="shared" si="5"/>
        <v>61490</v>
      </c>
      <c r="H27" s="172">
        <f t="shared" si="6"/>
        <v>1.1654119235532232E-2</v>
      </c>
      <c r="I27" s="336"/>
      <c r="J27" s="185">
        <v>8122</v>
      </c>
      <c r="K27" s="185">
        <v>9176</v>
      </c>
      <c r="M27" s="359">
        <f t="shared" si="7"/>
        <v>2.7782044910314916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'[20]Sch C'!D13</f>
        <v>45053</v>
      </c>
      <c r="D28" s="558">
        <f>'[20]Sch C'!F13</f>
        <v>-2</v>
      </c>
      <c r="E28" s="171">
        <f t="shared" si="4"/>
        <v>45051</v>
      </c>
      <c r="F28" s="171"/>
      <c r="G28" s="171">
        <f t="shared" si="5"/>
        <v>45051</v>
      </c>
      <c r="H28" s="172">
        <f t="shared" si="6"/>
        <v>8.5384570772477249E-3</v>
      </c>
      <c r="I28" s="336"/>
      <c r="J28" s="168"/>
      <c r="K28" s="168"/>
      <c r="M28" s="359">
        <f t="shared" si="7"/>
        <v>2.0354674016174941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'[20]Sch C'!D14</f>
        <v>0</v>
      </c>
      <c r="D29" s="558">
        <f>'[20]Sch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'[20]Sch C'!D15</f>
        <v>0</v>
      </c>
      <c r="D30" s="558">
        <f>'[20]Sch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'[20]Sch C'!D16</f>
        <v>276301</v>
      </c>
      <c r="D31" s="558">
        <f>'[20]Sch C'!F16</f>
        <v>-38047</v>
      </c>
      <c r="E31" s="171">
        <f t="shared" si="4"/>
        <v>238254</v>
      </c>
      <c r="F31" s="171"/>
      <c r="G31" s="171">
        <f t="shared" si="5"/>
        <v>238254</v>
      </c>
      <c r="H31" s="172">
        <f t="shared" si="6"/>
        <v>4.5155968846031819E-2</v>
      </c>
      <c r="I31" s="336"/>
      <c r="J31" s="168"/>
      <c r="K31" s="168"/>
      <c r="M31" s="359">
        <f t="shared" si="7"/>
        <v>10.764650070031175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'[20]Sch C'!D17</f>
        <v>1167</v>
      </c>
      <c r="D32" s="558">
        <f>'[20]Sch C'!F17</f>
        <v>-1167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'[20]Sch C'!D18</f>
        <v>14100</v>
      </c>
      <c r="D33" s="558">
        <f>'[20]Sch C'!F18</f>
        <v>0</v>
      </c>
      <c r="E33" s="171">
        <f t="shared" si="4"/>
        <v>14100</v>
      </c>
      <c r="F33" s="171"/>
      <c r="G33" s="171">
        <f t="shared" si="5"/>
        <v>14100</v>
      </c>
      <c r="H33" s="172">
        <f t="shared" si="6"/>
        <v>2.6723545490486985E-3</v>
      </c>
      <c r="I33" s="336"/>
      <c r="J33" s="168"/>
      <c r="K33" s="168"/>
      <c r="M33" s="359">
        <f t="shared" si="7"/>
        <v>0.63705778701486471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'[20]Sch C'!D19</f>
        <v>10817</v>
      </c>
      <c r="D34" s="558">
        <f>'[20]Sch C'!F19</f>
        <v>0</v>
      </c>
      <c r="E34" s="171">
        <f t="shared" si="4"/>
        <v>10817</v>
      </c>
      <c r="F34" s="171"/>
      <c r="G34" s="171">
        <f t="shared" si="5"/>
        <v>10817</v>
      </c>
      <c r="H34" s="172">
        <f t="shared" si="6"/>
        <v>2.0501318551106222E-3</v>
      </c>
      <c r="I34" s="336"/>
      <c r="J34" s="168"/>
      <c r="K34" s="168"/>
      <c r="M34" s="359">
        <f t="shared" si="7"/>
        <v>0.48872723986807032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'[20]Sch C'!D20</f>
        <v>11570</v>
      </c>
      <c r="D35" s="558">
        <f>'[20]Sch C'!F20</f>
        <v>0</v>
      </c>
      <c r="E35" s="171">
        <f t="shared" si="4"/>
        <v>11570</v>
      </c>
      <c r="F35" s="171"/>
      <c r="G35" s="171">
        <f t="shared" si="5"/>
        <v>11570</v>
      </c>
      <c r="H35" s="172">
        <f t="shared" si="6"/>
        <v>2.192846959751308E-3</v>
      </c>
      <c r="I35" s="336"/>
      <c r="J35" s="168"/>
      <c r="K35" s="168"/>
      <c r="M35" s="359">
        <f t="shared" si="7"/>
        <v>0.52274883657886417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'[20]Sch C'!D21</f>
        <v>18156</v>
      </c>
      <c r="D36" s="558">
        <f>'[20]Sch C'!F21</f>
        <v>0</v>
      </c>
      <c r="E36" s="171">
        <f t="shared" si="4"/>
        <v>18156</v>
      </c>
      <c r="F36" s="171"/>
      <c r="G36" s="171">
        <f t="shared" si="5"/>
        <v>18156</v>
      </c>
      <c r="H36" s="172">
        <f t="shared" si="6"/>
        <v>3.4410829214558988E-3</v>
      </c>
      <c r="I36" s="336"/>
      <c r="J36" s="168"/>
      <c r="K36" s="168"/>
      <c r="M36" s="359">
        <f t="shared" si="7"/>
        <v>0.8203135589391406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'[20]Sch C'!D22</f>
        <v>0</v>
      </c>
      <c r="D37" s="558">
        <f>'[20]Sch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'[20]Sch C'!D23</f>
        <v>5128</v>
      </c>
      <c r="D38" s="558">
        <f>'[20]Sch C'!F23</f>
        <v>0</v>
      </c>
      <c r="E38" s="171">
        <f t="shared" si="4"/>
        <v>5128</v>
      </c>
      <c r="F38" s="171"/>
      <c r="G38" s="171">
        <f t="shared" si="5"/>
        <v>5128</v>
      </c>
      <c r="H38" s="172">
        <f t="shared" si="6"/>
        <v>9.7190312961146998E-4</v>
      </c>
      <c r="I38" s="336"/>
      <c r="J38" s="168"/>
      <c r="K38" s="168"/>
      <c r="M38" s="359">
        <f t="shared" si="7"/>
        <v>0.23169023629873944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'[20]Sch C'!D24</f>
        <v>0</v>
      </c>
      <c r="D39" s="558">
        <f>'[20]Sch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'[20]Sch C'!D25</f>
        <v>3798</v>
      </c>
      <c r="D40" s="558">
        <f>'[20]Sch C'!F25</f>
        <v>0</v>
      </c>
      <c r="E40" s="171">
        <f t="shared" si="4"/>
        <v>3798</v>
      </c>
      <c r="F40" s="171"/>
      <c r="G40" s="171">
        <f t="shared" si="5"/>
        <v>3798</v>
      </c>
      <c r="H40" s="172">
        <f t="shared" si="6"/>
        <v>7.1982997002035154E-4</v>
      </c>
      <c r="I40" s="336"/>
      <c r="J40" s="168"/>
      <c r="K40" s="168"/>
      <c r="M40" s="359">
        <f t="shared" si="7"/>
        <v>0.17159896986400397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'[20]Sch C'!D26</f>
        <v>353631</v>
      </c>
      <c r="D41" s="558">
        <f>'[20]Sch C'!F26</f>
        <v>0</v>
      </c>
      <c r="E41" s="171">
        <f t="shared" si="4"/>
        <v>353631</v>
      </c>
      <c r="F41" s="171"/>
      <c r="G41" s="171">
        <f t="shared" si="5"/>
        <v>353631</v>
      </c>
      <c r="H41" s="172">
        <f t="shared" si="6"/>
        <v>6.7023220676215634E-2</v>
      </c>
      <c r="I41" s="336"/>
      <c r="J41" s="168"/>
      <c r="K41" s="168"/>
      <c r="M41" s="359">
        <f t="shared" si="7"/>
        <v>15.977544842542809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'[20]Sch C'!D27</f>
        <v>56698</v>
      </c>
      <c r="D42" s="558">
        <f>'[20]Sch C'!F27</f>
        <v>-199</v>
      </c>
      <c r="E42" s="171">
        <f t="shared" si="4"/>
        <v>56499</v>
      </c>
      <c r="F42" s="171"/>
      <c r="G42" s="171">
        <f t="shared" si="5"/>
        <v>56499</v>
      </c>
      <c r="H42" s="172">
        <f t="shared" si="6"/>
        <v>1.0708181536645562E-2</v>
      </c>
      <c r="I42" s="336"/>
      <c r="J42" s="168"/>
      <c r="K42" s="168"/>
      <c r="M42" s="359">
        <f t="shared" si="7"/>
        <v>2.5527041069895633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'[20]Sch C'!D28</f>
        <v>0</v>
      </c>
      <c r="D43" s="558">
        <f>'[20]Sch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'[20]Sch C'!D29</f>
        <v>58118</v>
      </c>
      <c r="D44" s="558">
        <f>'[20]Sch C'!F29</f>
        <v>-58118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'[20]Sch C'!D30</f>
        <v>0</v>
      </c>
      <c r="D45" s="558">
        <f>'[20]Sch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'[20]Sch C'!D31</f>
        <v>0</v>
      </c>
      <c r="D46" s="558">
        <f>'[20]Sch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'[20]Sch C'!D32</f>
        <v>72407</v>
      </c>
      <c r="D47" s="558">
        <f>'[20]Sch C'!F32</f>
        <v>0</v>
      </c>
      <c r="E47" s="171">
        <f t="shared" si="4"/>
        <v>72407</v>
      </c>
      <c r="F47" s="171"/>
      <c r="G47" s="171">
        <f t="shared" si="5"/>
        <v>72407</v>
      </c>
      <c r="H47" s="172">
        <f t="shared" si="6"/>
        <v>1.3723203959785045E-2</v>
      </c>
      <c r="I47" s="336"/>
      <c r="J47" s="168"/>
      <c r="K47" s="168"/>
      <c r="M47" s="359">
        <f t="shared" si="7"/>
        <v>3.2714498712330005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'[20]Sch C'!D33</f>
        <v>0</v>
      </c>
      <c r="D48" s="558">
        <f>'[20]Sch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'[20]Sch C'!D34</f>
        <v>616</v>
      </c>
      <c r="D49" s="558">
        <f>'[20]Sch C'!F34</f>
        <v>0</v>
      </c>
      <c r="E49" s="171">
        <f t="shared" si="4"/>
        <v>616</v>
      </c>
      <c r="F49" s="171"/>
      <c r="G49" s="171">
        <f t="shared" si="5"/>
        <v>616</v>
      </c>
      <c r="H49" s="172">
        <f t="shared" si="6"/>
        <v>1.1674967391588641E-4</v>
      </c>
      <c r="I49" s="336"/>
      <c r="J49" s="168"/>
      <c r="K49" s="168"/>
      <c r="M49" s="359">
        <f t="shared" si="7"/>
        <v>2.7831744453982742E-2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'[20]Sch C'!D35</f>
        <v>0</v>
      </c>
      <c r="D50" s="558">
        <f>'[20]Sch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'[20]Sch C'!D36</f>
        <v>20688</v>
      </c>
      <c r="D51" s="558">
        <f>'[20]Sch C'!F36</f>
        <v>0</v>
      </c>
      <c r="E51" s="171">
        <f t="shared" si="4"/>
        <v>20688</v>
      </c>
      <c r="F51" s="171"/>
      <c r="G51" s="171">
        <f t="shared" si="5"/>
        <v>20688</v>
      </c>
      <c r="H51" s="172">
        <f t="shared" si="6"/>
        <v>3.9209695681361335E-3</v>
      </c>
      <c r="I51" s="336"/>
      <c r="J51" s="183">
        <v>1381</v>
      </c>
      <c r="K51" s="183">
        <v>1510</v>
      </c>
      <c r="M51" s="359">
        <f t="shared" si="7"/>
        <v>0.93471287218180998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'[20]Sch C'!D37</f>
        <v>13383</v>
      </c>
      <c r="D52" s="558">
        <f>'[20]Sch C'!F37</f>
        <v>0</v>
      </c>
      <c r="E52" s="171">
        <f t="shared" si="4"/>
        <v>13383</v>
      </c>
      <c r="F52" s="171"/>
      <c r="G52" s="171">
        <f t="shared" si="5"/>
        <v>13383</v>
      </c>
      <c r="H52" s="172">
        <f t="shared" si="6"/>
        <v>2.5364624772992008E-3</v>
      </c>
      <c r="I52" s="336"/>
      <c r="J52" s="168"/>
      <c r="K52" s="168"/>
      <c r="M52" s="359">
        <f t="shared" si="7"/>
        <v>0.60466272082410877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'[20]Sch C'!D38</f>
        <v>174</v>
      </c>
      <c r="D53" s="558">
        <f>'[20]Sch C'!F38</f>
        <v>-174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'[20]Sch C'!D39</f>
        <v>3117</v>
      </c>
      <c r="D54" s="558">
        <f>'[20]Sch C'!F39</f>
        <v>0</v>
      </c>
      <c r="E54" s="171">
        <f t="shared" si="4"/>
        <v>3117</v>
      </c>
      <c r="F54" s="171"/>
      <c r="G54" s="171">
        <f t="shared" si="5"/>
        <v>3117</v>
      </c>
      <c r="H54" s="172">
        <f t="shared" si="6"/>
        <v>5.9076093116204207E-4</v>
      </c>
      <c r="I54" s="336"/>
      <c r="J54" s="168"/>
      <c r="K54" s="168"/>
      <c r="M54" s="359">
        <f t="shared" si="7"/>
        <v>0.14083043419328603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'[20]Sch C'!D40</f>
        <v>4568</v>
      </c>
      <c r="D55" s="558">
        <f>'[20]Sch C'!F40</f>
        <v>-4568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'[20]Sch C'!D41</f>
        <v>66251</v>
      </c>
      <c r="D56" s="558">
        <f>'[20]Sch C'!F41</f>
        <v>0</v>
      </c>
      <c r="E56" s="171">
        <f t="shared" si="4"/>
        <v>66251</v>
      </c>
      <c r="F56" s="171"/>
      <c r="G56" s="171">
        <f t="shared" si="5"/>
        <v>66251</v>
      </c>
      <c r="H56" s="172">
        <f t="shared" si="6"/>
        <v>1.2556465335391868E-2</v>
      </c>
      <c r="I56" s="336"/>
      <c r="J56" s="168"/>
      <c r="K56" s="168"/>
      <c r="M56" s="359">
        <f t="shared" si="7"/>
        <v>2.9933131523065106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'[20]Sch C'!D42</f>
        <v>235</v>
      </c>
      <c r="D57" s="558">
        <f>'[20]Sch C'!F42</f>
        <v>0</v>
      </c>
      <c r="E57" s="171">
        <f t="shared" si="4"/>
        <v>235</v>
      </c>
      <c r="F57" s="171"/>
      <c r="G57" s="171">
        <f t="shared" si="5"/>
        <v>235</v>
      </c>
      <c r="H57" s="172">
        <f t="shared" si="6"/>
        <v>4.4539242484144975E-5</v>
      </c>
      <c r="I57" s="336"/>
      <c r="J57" s="168"/>
      <c r="K57" s="168"/>
      <c r="M57" s="359">
        <f t="shared" si="7"/>
        <v>1.0617629783581078E-2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'[20]Sch C'!D43</f>
        <v>15701</v>
      </c>
      <c r="D58" s="558">
        <f>'[20]Sch C'!F43</f>
        <v>-15701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'[20]Sch C'!D44</f>
        <v>0</v>
      </c>
      <c r="D59" s="558">
        <f>'[20]Sch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'[20]Sch C'!D45</f>
        <v>1310</v>
      </c>
      <c r="D60" s="558">
        <f>'[20]Sch C'!F45</f>
        <v>-8113</v>
      </c>
      <c r="E60" s="171">
        <f t="shared" si="4"/>
        <v>-6803</v>
      </c>
      <c r="F60" s="171"/>
      <c r="G60" s="171">
        <f t="shared" si="5"/>
        <v>-6803</v>
      </c>
      <c r="H60" s="172">
        <f t="shared" si="6"/>
        <v>-1.2893636877431417E-3</v>
      </c>
      <c r="I60" s="336"/>
      <c r="J60" s="168"/>
      <c r="K60" s="168"/>
      <c r="M60" s="359">
        <f t="shared" si="7"/>
        <v>-0.30736908688383863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1277039</v>
      </c>
      <c r="D61" s="558">
        <f>SUM(D25:D60)</f>
        <v>-126089</v>
      </c>
      <c r="E61" s="171">
        <f t="shared" ref="E61:F61" si="8">SUM(E25:E60)</f>
        <v>1150950</v>
      </c>
      <c r="F61" s="171">
        <f t="shared" si="8"/>
        <v>0</v>
      </c>
      <c r="G61" s="171">
        <f>SUM(G25:G60)</f>
        <v>1150950</v>
      </c>
      <c r="H61" s="186">
        <f t="shared" si="6"/>
        <v>0.21813804739202836</v>
      </c>
      <c r="I61" s="338"/>
      <c r="J61" s="168"/>
      <c r="K61" s="168"/>
      <c r="M61" s="364">
        <f>G61/G$228</f>
        <v>52.001536167713368</v>
      </c>
      <c r="N61" s="359">
        <f>SUMMARY!J64</f>
        <v>53.728790309602623</v>
      </c>
      <c r="O61" s="354">
        <f>M61/N61-1</f>
        <v>-3.214764620487931E-2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'[20]Sch C'!D57</f>
        <v>0</v>
      </c>
      <c r="D64" s="558">
        <f>'[20]Sch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'[20]Sch C'!D58</f>
        <v>126544</v>
      </c>
      <c r="D65" s="558">
        <f>'[20]Sch C'!F58</f>
        <v>-3850</v>
      </c>
      <c r="E65" s="171">
        <f t="shared" si="9"/>
        <v>122694</v>
      </c>
      <c r="F65" s="171"/>
      <c r="G65" s="171">
        <f t="shared" si="10"/>
        <v>122694</v>
      </c>
      <c r="H65" s="172">
        <f t="shared" si="11"/>
        <v>2.3254033265317803E-2</v>
      </c>
      <c r="I65" s="336"/>
      <c r="J65" s="190"/>
      <c r="K65" s="168"/>
      <c r="M65" s="359">
        <f t="shared" si="12"/>
        <v>5.5434871007093482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'[20]Sch C'!D59</f>
        <v>57403</v>
      </c>
      <c r="D66" s="558">
        <f>'[20]Sch C'!F59</f>
        <v>0</v>
      </c>
      <c r="E66" s="171">
        <f t="shared" si="9"/>
        <v>57403</v>
      </c>
      <c r="F66" s="171"/>
      <c r="G66" s="171">
        <f t="shared" si="10"/>
        <v>57403</v>
      </c>
      <c r="H66" s="172">
        <f t="shared" si="11"/>
        <v>1.0879515473690954E-2</v>
      </c>
      <c r="I66" s="336"/>
      <c r="J66" s="190"/>
      <c r="K66" s="168"/>
      <c r="M66" s="359">
        <f t="shared" si="12"/>
        <v>2.5935480956038495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'[20]Sch C'!D60</f>
        <v>31609</v>
      </c>
      <c r="D67" s="558">
        <f>'[20]Sch C'!F60</f>
        <v>0</v>
      </c>
      <c r="E67" s="171">
        <f t="shared" si="9"/>
        <v>31609</v>
      </c>
      <c r="F67" s="171"/>
      <c r="G67" s="171">
        <f t="shared" si="10"/>
        <v>31609</v>
      </c>
      <c r="H67" s="172">
        <f t="shared" si="11"/>
        <v>5.9908124071546319E-3</v>
      </c>
      <c r="I67" s="336"/>
      <c r="J67" s="193"/>
      <c r="K67" s="168"/>
      <c r="M67" s="359">
        <f t="shared" si="12"/>
        <v>1.4281389779966567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'[20]Sch C'!D61</f>
        <v>19373</v>
      </c>
      <c r="D68" s="558">
        <f>'[20]Sch C'!F61</f>
        <v>0</v>
      </c>
      <c r="E68" s="171">
        <f t="shared" si="9"/>
        <v>19373</v>
      </c>
      <c r="F68" s="171"/>
      <c r="G68" s="171">
        <f t="shared" si="10"/>
        <v>19373</v>
      </c>
      <c r="H68" s="172">
        <f t="shared" si="11"/>
        <v>3.6717393389163432E-3</v>
      </c>
      <c r="I68" s="336"/>
      <c r="J68" s="193"/>
      <c r="K68" s="168"/>
      <c r="M68" s="359">
        <f t="shared" si="12"/>
        <v>0.87529932679709033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'[20]Sch C'!D62</f>
        <v>0</v>
      </c>
      <c r="D69" s="558">
        <f>'[20]Sch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'[20]Sch C'!D63</f>
        <v>0</v>
      </c>
      <c r="D70" s="558">
        <f>'[20]Sch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'[20]Sch C'!D64</f>
        <v>0</v>
      </c>
      <c r="D71" s="558">
        <f>'[20]Sch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'[20]Sch C'!D65</f>
        <v>3393</v>
      </c>
      <c r="D72" s="558">
        <f>'[20]Sch C'!F65</f>
        <v>0</v>
      </c>
      <c r="E72" s="171">
        <f t="shared" si="9"/>
        <v>3393</v>
      </c>
      <c r="F72" s="171"/>
      <c r="G72" s="171">
        <f t="shared" si="10"/>
        <v>3393</v>
      </c>
      <c r="H72" s="172">
        <f t="shared" si="11"/>
        <v>6.4307084999448466E-4</v>
      </c>
      <c r="I72" s="336"/>
      <c r="J72" s="195"/>
      <c r="K72" s="168"/>
      <c r="M72" s="359">
        <f t="shared" si="12"/>
        <v>0.15330050151357702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'[20]Sch C'!D66</f>
        <v>33599</v>
      </c>
      <c r="D73" s="558">
        <f>'[20]Sch C'!F66</f>
        <v>70</v>
      </c>
      <c r="E73" s="171">
        <f t="shared" si="9"/>
        <v>33669</v>
      </c>
      <c r="F73" s="171"/>
      <c r="G73" s="171">
        <f t="shared" si="10"/>
        <v>33669</v>
      </c>
      <c r="H73" s="172">
        <f t="shared" si="11"/>
        <v>6.3812415114837331E-3</v>
      </c>
      <c r="I73" s="336"/>
      <c r="J73" s="195"/>
      <c r="K73" s="168"/>
      <c r="M73" s="359">
        <f t="shared" si="12"/>
        <v>1.521212668865495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'[20]Sch C'!D67</f>
        <v>40049</v>
      </c>
      <c r="D74" s="558">
        <f>'[20]Sch C'!F67</f>
        <v>0</v>
      </c>
      <c r="E74" s="171">
        <f t="shared" si="9"/>
        <v>40049</v>
      </c>
      <c r="F74" s="171"/>
      <c r="G74" s="171">
        <f t="shared" si="10"/>
        <v>40049</v>
      </c>
      <c r="H74" s="172">
        <f t="shared" si="11"/>
        <v>7.5904345627554135E-3</v>
      </c>
      <c r="I74" s="336"/>
      <c r="J74" s="195"/>
      <c r="K74" s="168"/>
      <c r="M74" s="359">
        <f t="shared" si="12"/>
        <v>1.8094700221388875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'[20]Sch C'!D68</f>
        <v>0</v>
      </c>
      <c r="D75" s="558">
        <f>'[20]Sch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'[20]Sch C'!D69</f>
        <v>3780</v>
      </c>
      <c r="D76" s="558">
        <f>'[20]Sch C'!F69</f>
        <v>0</v>
      </c>
      <c r="E76" s="171">
        <f t="shared" si="9"/>
        <v>3780</v>
      </c>
      <c r="F76" s="171"/>
      <c r="G76" s="171">
        <f t="shared" si="10"/>
        <v>3780</v>
      </c>
      <c r="H76" s="172">
        <f t="shared" si="11"/>
        <v>7.1641845357475753E-4</v>
      </c>
      <c r="I76" s="336"/>
      <c r="J76" s="195"/>
      <c r="K76" s="168"/>
      <c r="M76" s="359">
        <f t="shared" si="12"/>
        <v>0.17078570460398501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'[20]Sch C'!D70</f>
        <v>0</v>
      </c>
      <c r="D77" s="558">
        <f>'[20]Sch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'[20]Sch C'!D71</f>
        <v>0</v>
      </c>
      <c r="D78" s="558">
        <f>'[20]Sch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315750</v>
      </c>
      <c r="D79" s="558">
        <f>SUM(D64:D78)</f>
        <v>-3780</v>
      </c>
      <c r="E79" s="171">
        <f t="shared" ref="E79:F79" si="13">SUM(E64:E78)</f>
        <v>311970</v>
      </c>
      <c r="F79" s="171">
        <f t="shared" si="13"/>
        <v>0</v>
      </c>
      <c r="G79" s="171">
        <f>SUM(G64:G78)</f>
        <v>311970</v>
      </c>
      <c r="H79" s="172">
        <f t="shared" si="11"/>
        <v>5.912726586288812E-2</v>
      </c>
      <c r="I79" s="336"/>
      <c r="J79" s="195"/>
      <c r="K79" s="168"/>
      <c r="M79" s="359">
        <f t="shared" si="12"/>
        <v>14.095242398228889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'[20]Sch C'!D75</f>
        <v>72926</v>
      </c>
      <c r="D82" s="558">
        <f>'[20]Sch C'!F75</f>
        <v>0</v>
      </c>
      <c r="E82" s="171">
        <f t="shared" ref="E82:E92" si="14">C82+D82</f>
        <v>72926</v>
      </c>
      <c r="F82" s="171"/>
      <c r="G82" s="171">
        <f t="shared" ref="G82:G92" si="15">E82+F82</f>
        <v>72926</v>
      </c>
      <c r="H82" s="172">
        <f t="shared" ref="H82:H93" si="16">IF($G$208=0,0,G82/$G$208)</f>
        <v>1.3821569350633008E-2</v>
      </c>
      <c r="I82" s="336"/>
      <c r="J82" s="183">
        <v>5120</v>
      </c>
      <c r="K82" s="183">
        <v>5470</v>
      </c>
      <c r="M82" s="359">
        <f t="shared" ref="M82:M92" si="17">G82/G$228</f>
        <v>3.2948990195635477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'[20]Sch C'!D76</f>
        <v>18123</v>
      </c>
      <c r="D83" s="558">
        <f>'[20]Sch C'!F76</f>
        <v>0</v>
      </c>
      <c r="E83" s="171">
        <f t="shared" si="14"/>
        <v>18123</v>
      </c>
      <c r="F83" s="171"/>
      <c r="G83" s="171">
        <f t="shared" si="15"/>
        <v>18123</v>
      </c>
      <c r="H83" s="172">
        <f t="shared" si="16"/>
        <v>3.4348284746389761E-3</v>
      </c>
      <c r="I83" s="336"/>
      <c r="J83" s="168"/>
      <c r="K83" s="168"/>
      <c r="M83" s="359">
        <f t="shared" si="17"/>
        <v>0.81882257262910585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'[20]Sch C'!D77</f>
        <v>6440</v>
      </c>
      <c r="D84" s="558">
        <f>'[20]Sch C'!F77</f>
        <v>0</v>
      </c>
      <c r="E84" s="171">
        <f t="shared" si="14"/>
        <v>6440</v>
      </c>
      <c r="F84" s="171"/>
      <c r="G84" s="171">
        <f t="shared" si="15"/>
        <v>6440</v>
      </c>
      <c r="H84" s="172">
        <f t="shared" si="16"/>
        <v>1.2205647727569942E-3</v>
      </c>
      <c r="I84" s="336"/>
      <c r="J84" s="168"/>
      <c r="K84" s="168"/>
      <c r="M84" s="359">
        <f t="shared" si="17"/>
        <v>0.2909682374734559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'[20]Sch C'!D78</f>
        <v>0</v>
      </c>
      <c r="D85" s="558">
        <f>'[20]Sch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'[20]Sch C'!D79</f>
        <v>1178</v>
      </c>
      <c r="D86" s="558">
        <f>'[20]Sch C'!F79</f>
        <v>0</v>
      </c>
      <c r="E86" s="171">
        <f t="shared" si="14"/>
        <v>1178</v>
      </c>
      <c r="F86" s="171"/>
      <c r="G86" s="171">
        <f>E86+F86</f>
        <v>1178</v>
      </c>
      <c r="H86" s="172">
        <f t="shared" si="16"/>
        <v>2.2326479849499057E-4</v>
      </c>
      <c r="I86" s="336"/>
      <c r="J86" s="168"/>
      <c r="K86" s="168"/>
      <c r="M86" s="359">
        <f t="shared" si="17"/>
        <v>5.3223693127908554E-2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'[20]Sch C'!D80</f>
        <v>19788</v>
      </c>
      <c r="D87" s="558">
        <f>'[20]Sch C'!F80</f>
        <v>0</v>
      </c>
      <c r="E87" s="171">
        <f t="shared" si="14"/>
        <v>19788</v>
      </c>
      <c r="F87" s="171"/>
      <c r="G87" s="171">
        <f t="shared" si="15"/>
        <v>19788</v>
      </c>
      <c r="H87" s="172">
        <f t="shared" si="16"/>
        <v>3.750393745856429E-3</v>
      </c>
      <c r="I87" s="336"/>
      <c r="J87" s="168"/>
      <c r="K87" s="168"/>
      <c r="M87" s="359">
        <f t="shared" si="17"/>
        <v>0.89404960918086118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'[20]Sch C'!D81</f>
        <v>31557</v>
      </c>
      <c r="D88" s="558">
        <f>'[20]Sch C'!F81</f>
        <v>0</v>
      </c>
      <c r="E88" s="171">
        <f t="shared" si="14"/>
        <v>31557</v>
      </c>
      <c r="F88" s="171"/>
      <c r="G88" s="171">
        <f t="shared" si="15"/>
        <v>31557</v>
      </c>
      <c r="H88" s="172">
        <f t="shared" si="16"/>
        <v>5.9809569152006938E-3</v>
      </c>
      <c r="I88" s="336"/>
      <c r="J88" s="168"/>
      <c r="K88" s="168"/>
      <c r="M88" s="359">
        <f t="shared" si="17"/>
        <v>1.4257895450232685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'[20]Sch C'!D82</f>
        <v>5999</v>
      </c>
      <c r="D89" s="558">
        <f>'[20]Sch C'!F82</f>
        <v>0</v>
      </c>
      <c r="E89" s="171">
        <f t="shared" si="14"/>
        <v>5999</v>
      </c>
      <c r="F89" s="171"/>
      <c r="G89" s="171">
        <f t="shared" si="15"/>
        <v>5999</v>
      </c>
      <c r="H89" s="172">
        <f t="shared" si="16"/>
        <v>1.1369826198399393E-3</v>
      </c>
      <c r="I89" s="336"/>
      <c r="J89" s="168"/>
      <c r="K89" s="168"/>
      <c r="M89" s="359">
        <f t="shared" si="17"/>
        <v>0.27104323860299101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'[20]Sch C'!D83</f>
        <v>3395</v>
      </c>
      <c r="D90" s="558">
        <f>'[20]Sch C'!F83</f>
        <v>0</v>
      </c>
      <c r="E90" s="171">
        <f t="shared" si="14"/>
        <v>3395</v>
      </c>
      <c r="F90" s="171"/>
      <c r="G90" s="171">
        <f t="shared" si="15"/>
        <v>3395</v>
      </c>
      <c r="H90" s="172">
        <f t="shared" si="16"/>
        <v>6.4344990737732848E-4</v>
      </c>
      <c r="I90" s="336"/>
      <c r="J90" s="168"/>
      <c r="K90" s="168"/>
      <c r="M90" s="359">
        <f t="shared" si="17"/>
        <v>0.15339086432024579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'[20]Sch C'!D84</f>
        <v>142186</v>
      </c>
      <c r="D91" s="558">
        <f>'[20]Sch C'!F84</f>
        <v>0</v>
      </c>
      <c r="E91" s="171">
        <f t="shared" si="14"/>
        <v>142186</v>
      </c>
      <c r="F91" s="171"/>
      <c r="G91" s="171">
        <f t="shared" si="15"/>
        <v>142186</v>
      </c>
      <c r="H91" s="172">
        <f t="shared" si="16"/>
        <v>2.6948326518513352E-2</v>
      </c>
      <c r="I91" s="336"/>
      <c r="J91" s="168"/>
      <c r="K91" s="168"/>
      <c r="M91" s="359">
        <f t="shared" si="17"/>
        <v>6.4241630145032307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'[20]Sch C'!D85</f>
        <v>0</v>
      </c>
      <c r="D92" s="558">
        <f>'[20]Sch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301592</v>
      </c>
      <c r="D93" s="558">
        <f>SUM(D82:D92)</f>
        <v>0</v>
      </c>
      <c r="E93" s="171">
        <f t="shared" ref="E93:F93" si="18">SUM(E82:E92)</f>
        <v>301592</v>
      </c>
      <c r="F93" s="171">
        <f t="shared" si="18"/>
        <v>0</v>
      </c>
      <c r="G93" s="171">
        <f>SUM(G82:G92)</f>
        <v>301592</v>
      </c>
      <c r="H93" s="172">
        <f t="shared" si="16"/>
        <v>5.7160337103311712E-2</v>
      </c>
      <c r="I93" s="336"/>
      <c r="J93" s="168"/>
      <c r="K93" s="168"/>
      <c r="M93" s="364">
        <f>G93/G$228</f>
        <v>13.626349794424614</v>
      </c>
      <c r="N93" s="359">
        <f>SUMMARY!J96</f>
        <v>11.458724454710746</v>
      </c>
      <c r="O93" s="354">
        <f>M93/N93-1</f>
        <v>0.18916811799438515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'[20]Sch C'!D89</f>
        <v>90019</v>
      </c>
      <c r="D96" s="558">
        <f>'[20]Sch C'!F89</f>
        <v>0</v>
      </c>
      <c r="E96" s="171">
        <f t="shared" ref="E96:E101" si="19">C96+D96</f>
        <v>90019</v>
      </c>
      <c r="F96" s="171"/>
      <c r="G96" s="171">
        <f t="shared" ref="G96:G101" si="20">E96+F96</f>
        <v>90019</v>
      </c>
      <c r="H96" s="172">
        <f t="shared" ref="H96:H102" si="21">IF($G$208=0,0,G96/$G$208)</f>
        <v>1.7061183273107433E-2</v>
      </c>
      <c r="I96" s="336"/>
      <c r="J96" s="183">
        <v>13278</v>
      </c>
      <c r="K96" s="183">
        <v>15098</v>
      </c>
      <c r="M96" s="364">
        <f t="shared" ref="M96:M101" si="22">G96/G$228</f>
        <v>4.067184746758234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'[20]Sch C'!D90</f>
        <v>20595</v>
      </c>
      <c r="D97" s="558">
        <f>'[20]Sch C'!F90</f>
        <v>0</v>
      </c>
      <c r="E97" s="171">
        <f t="shared" si="19"/>
        <v>20595</v>
      </c>
      <c r="F97" s="171"/>
      <c r="G97" s="171">
        <f t="shared" si="20"/>
        <v>20595</v>
      </c>
      <c r="H97" s="172">
        <f t="shared" si="21"/>
        <v>3.903343399833897E-3</v>
      </c>
      <c r="I97" s="336"/>
      <c r="J97" s="168"/>
      <c r="K97" s="168"/>
      <c r="M97" s="364">
        <f t="shared" si="22"/>
        <v>0.93051100167171197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'[20]Sch C'!D91</f>
        <v>297757</v>
      </c>
      <c r="D98" s="558">
        <f>'[20]Sch C'!F91</f>
        <v>0</v>
      </c>
      <c r="E98" s="171">
        <f t="shared" si="19"/>
        <v>297757</v>
      </c>
      <c r="F98" s="171"/>
      <c r="G98" s="171">
        <f t="shared" si="20"/>
        <v>297757</v>
      </c>
      <c r="H98" s="172">
        <f t="shared" si="21"/>
        <v>5.643349457170875E-2</v>
      </c>
      <c r="I98" s="336"/>
      <c r="J98" s="168"/>
      <c r="K98" s="168"/>
      <c r="M98" s="364">
        <f t="shared" si="22"/>
        <v>13.453079112637239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'[20]Sch C'!D92</f>
        <v>73640</v>
      </c>
      <c r="D99" s="558">
        <f>'[20]Sch C'!F92</f>
        <v>-3953</v>
      </c>
      <c r="E99" s="171">
        <f t="shared" si="19"/>
        <v>69687</v>
      </c>
      <c r="F99" s="171"/>
      <c r="G99" s="171">
        <f t="shared" si="20"/>
        <v>69687</v>
      </c>
      <c r="H99" s="172">
        <f t="shared" si="21"/>
        <v>1.3207685919117494E-2</v>
      </c>
      <c r="I99" s="336"/>
      <c r="J99" s="168"/>
      <c r="K99" s="168"/>
      <c r="M99" s="364">
        <f t="shared" si="22"/>
        <v>3.1485564541634665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'[20]Sch C'!D93</f>
        <v>11477</v>
      </c>
      <c r="D100" s="558">
        <f>'[20]Sch C'!F93</f>
        <v>0</v>
      </c>
      <c r="E100" s="171">
        <f t="shared" si="19"/>
        <v>11477</v>
      </c>
      <c r="F100" s="171"/>
      <c r="G100" s="171">
        <f t="shared" si="20"/>
        <v>11477</v>
      </c>
      <c r="H100" s="172">
        <f t="shared" si="21"/>
        <v>2.1752207914490719E-3</v>
      </c>
      <c r="I100" s="336"/>
      <c r="J100" s="168"/>
      <c r="K100" s="168"/>
      <c r="M100" s="364">
        <f t="shared" si="22"/>
        <v>0.51854696606876605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'[20]Sch C'!D94</f>
        <v>0</v>
      </c>
      <c r="D101" s="558">
        <f>'[20]Sch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493488</v>
      </c>
      <c r="D102" s="558">
        <f>SUM(D96:D101)</f>
        <v>-3953</v>
      </c>
      <c r="E102" s="171">
        <f t="shared" ref="E102:F102" si="23">SUM(E96:E101)</f>
        <v>489535</v>
      </c>
      <c r="F102" s="171">
        <f t="shared" si="23"/>
        <v>0</v>
      </c>
      <c r="G102" s="171">
        <f>SUM(G96:G101)</f>
        <v>489535</v>
      </c>
      <c r="H102" s="172">
        <f t="shared" si="21"/>
        <v>9.2780927955216641E-2</v>
      </c>
      <c r="I102" s="336"/>
      <c r="J102" s="168"/>
      <c r="K102" s="168"/>
      <c r="M102" s="364">
        <f>G102/G$228</f>
        <v>22.117878281299419</v>
      </c>
      <c r="N102" s="359">
        <f>SUMMARY!J105</f>
        <v>19.901077037785338</v>
      </c>
      <c r="O102" s="354">
        <f>M102/N102-1</f>
        <v>0.11139101865216294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'[20]Sch C'!D98</f>
        <v>0</v>
      </c>
      <c r="D105" s="558">
        <f>'[20]Sch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'[20]Sch C'!D99</f>
        <v>0</v>
      </c>
      <c r="D106" s="558">
        <f>'[20]Sch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'[20]Sch C'!D100</f>
        <v>0</v>
      </c>
      <c r="D107" s="558">
        <f>'[20]Sch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'[20]Sch C'!D101</f>
        <v>65105</v>
      </c>
      <c r="D108" s="558">
        <f>'[20]Sch C'!F101</f>
        <v>0</v>
      </c>
      <c r="E108" s="171">
        <f t="shared" si="24"/>
        <v>65105</v>
      </c>
      <c r="F108" s="171"/>
      <c r="G108" s="171">
        <f t="shared" si="25"/>
        <v>65105</v>
      </c>
      <c r="H108" s="172">
        <f t="shared" si="26"/>
        <v>1.2339265455022378E-2</v>
      </c>
      <c r="I108" s="336"/>
      <c r="J108" s="168"/>
      <c r="K108" s="168"/>
      <c r="M108" s="364">
        <f t="shared" si="27"/>
        <v>2.9415352640853025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'[20]Sch C'!D102</f>
        <v>5147</v>
      </c>
      <c r="D109" s="558">
        <f>'[20]Sch C'!F102</f>
        <v>0</v>
      </c>
      <c r="E109" s="171">
        <f t="shared" si="24"/>
        <v>5147</v>
      </c>
      <c r="F109" s="171"/>
      <c r="G109" s="171">
        <f t="shared" si="25"/>
        <v>5147</v>
      </c>
      <c r="H109" s="172">
        <f t="shared" si="26"/>
        <v>9.7550417474848595E-4</v>
      </c>
      <c r="I109" s="336"/>
      <c r="J109" s="168"/>
      <c r="K109" s="168"/>
      <c r="M109" s="364">
        <f t="shared" si="27"/>
        <v>0.2325486829620928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'[20]Sch C'!D103</f>
        <v>0</v>
      </c>
      <c r="D110" s="558">
        <f>'[20]Sch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70252</v>
      </c>
      <c r="D111" s="558">
        <f>SUM(D105:D110)</f>
        <v>0</v>
      </c>
      <c r="E111" s="171">
        <f t="shared" ref="E111:F111" si="28">SUM(E105:E110)</f>
        <v>70252</v>
      </c>
      <c r="F111" s="171">
        <f t="shared" si="28"/>
        <v>0</v>
      </c>
      <c r="G111" s="171">
        <f>SUM(G105:G110)</f>
        <v>70252</v>
      </c>
      <c r="H111" s="172">
        <f t="shared" si="26"/>
        <v>1.3314769629770863E-2</v>
      </c>
      <c r="I111" s="336"/>
      <c r="J111" s="168"/>
      <c r="K111" s="168"/>
      <c r="M111" s="364">
        <f>G111/G$228</f>
        <v>3.1740839470473952</v>
      </c>
      <c r="N111" s="359">
        <f>SUMMARY!J114</f>
        <v>2.4242384372309496</v>
      </c>
      <c r="O111" s="354">
        <f>M111/N111-1</f>
        <v>0.30931178150650296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'[20]Sch C'!D115</f>
        <v>0</v>
      </c>
      <c r="D114" s="558">
        <f>'[20]Sch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'[20]Sch C'!D116</f>
        <v>0</v>
      </c>
      <c r="D115" s="558">
        <f>'[20]Sch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'[20]Sch C'!D117</f>
        <v>13057</v>
      </c>
      <c r="D116" s="558">
        <f>'[20]Sch C'!F117</f>
        <v>0</v>
      </c>
      <c r="E116" s="171">
        <f t="shared" si="29"/>
        <v>13057</v>
      </c>
      <c r="F116" s="171"/>
      <c r="G116" s="171">
        <f>E116+F116</f>
        <v>13057</v>
      </c>
      <c r="H116" s="172">
        <f t="shared" si="30"/>
        <v>2.4746761238956636E-3</v>
      </c>
      <c r="I116" s="336"/>
      <c r="J116" s="168"/>
      <c r="K116" s="168"/>
      <c r="M116" s="364">
        <f t="shared" si="31"/>
        <v>0.58993358333709844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'[20]Sch C'!D118</f>
        <v>120381</v>
      </c>
      <c r="D117" s="558">
        <f>'[20]Sch C'!F118</f>
        <v>0</v>
      </c>
      <c r="E117" s="171">
        <f t="shared" si="29"/>
        <v>120381</v>
      </c>
      <c r="F117" s="171"/>
      <c r="G117" s="171">
        <f>E117+F117</f>
        <v>120381</v>
      </c>
      <c r="H117" s="172">
        <f t="shared" si="30"/>
        <v>2.2815653402058964E-2</v>
      </c>
      <c r="I117" s="336"/>
      <c r="J117" s="168"/>
      <c r="K117" s="168"/>
      <c r="M117" s="364">
        <f t="shared" si="31"/>
        <v>5.4389825147969093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'[20]Sch C'!D119</f>
        <v>0</v>
      </c>
      <c r="D118" s="558">
        <f>'[20]Sch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133438</v>
      </c>
      <c r="D119" s="558">
        <f>SUM(D114:D118)</f>
        <v>0</v>
      </c>
      <c r="E119" s="171">
        <f t="shared" ref="E119:F119" si="32">SUM(E114:E118)</f>
        <v>133438</v>
      </c>
      <c r="F119" s="171">
        <f t="shared" si="32"/>
        <v>0</v>
      </c>
      <c r="G119" s="171">
        <f>SUM(G114:G118)</f>
        <v>133438</v>
      </c>
      <c r="H119" s="172">
        <f t="shared" si="30"/>
        <v>2.5290329525954627E-2</v>
      </c>
      <c r="I119" s="336"/>
      <c r="J119" s="168"/>
      <c r="K119" s="168"/>
      <c r="M119" s="364">
        <f t="shared" si="31"/>
        <v>6.0289160981340082</v>
      </c>
      <c r="N119" s="359">
        <f>SUMMARY!J122</f>
        <v>6.0247597205909562</v>
      </c>
      <c r="O119" s="354">
        <f>M119/N119-1</f>
        <v>6.8988270666570095E-4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'[20]Sch C'!D124</f>
        <v>0</v>
      </c>
      <c r="D123" s="558">
        <f>'[20]Sch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'[20]Sch C'!D125</f>
        <v>167526</v>
      </c>
      <c r="D124" s="558">
        <f>'[20]Sch C'!F125</f>
        <v>0</v>
      </c>
      <c r="E124" s="171">
        <f t="shared" si="33"/>
        <v>167526</v>
      </c>
      <c r="F124" s="171"/>
      <c r="G124" s="171">
        <f>E124+F124</f>
        <v>167526</v>
      </c>
      <c r="H124" s="172">
        <f>IF($G$208=0,0,G124/$G$208)</f>
        <v>3.1750983559144137E-2</v>
      </c>
      <c r="I124" s="336"/>
      <c r="J124" s="183">
        <v>6223</v>
      </c>
      <c r="K124" s="183">
        <v>6901</v>
      </c>
      <c r="M124" s="364">
        <f t="shared" si="34"/>
        <v>7.5690597749966111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'[20]Sch C'!D126</f>
        <v>0</v>
      </c>
      <c r="D125" s="558">
        <f>'[20]Sch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'[20]Sch C'!D127</f>
        <v>0</v>
      </c>
      <c r="D126" s="558">
        <f>'[20]Sch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'[20]Sch C'!D128</f>
        <v>29007</v>
      </c>
      <c r="D127" s="558">
        <f>'[20]Sch C'!F128</f>
        <v>0</v>
      </c>
      <c r="E127" s="171">
        <f t="shared" si="33"/>
        <v>29007</v>
      </c>
      <c r="F127" s="171"/>
      <c r="G127" s="171">
        <f>E127+F127</f>
        <v>29007</v>
      </c>
      <c r="H127" s="172">
        <f>IF($G$208=0,0,G127/$G$208)</f>
        <v>5.4976587520748649E-3</v>
      </c>
      <c r="I127" s="336"/>
      <c r="J127" s="183">
        <v>3203</v>
      </c>
      <c r="K127" s="183">
        <v>3667</v>
      </c>
      <c r="M127" s="364">
        <f t="shared" si="34"/>
        <v>1.3105769665205802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'[20]Sch C'!D130</f>
        <v>0</v>
      </c>
      <c r="D129" s="558">
        <f>'[20]Sch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'[20]Sch C'!D131</f>
        <v>27849</v>
      </c>
      <c r="D130" s="558">
        <f>'[20]Sch C'!F131</f>
        <v>0</v>
      </c>
      <c r="E130" s="171">
        <f t="shared" si="35"/>
        <v>27849</v>
      </c>
      <c r="F130" s="171"/>
      <c r="G130" s="171">
        <f>E130+F130</f>
        <v>27849</v>
      </c>
      <c r="H130" s="172">
        <f>IF($G$208=0,0,G130/$G$208)</f>
        <v>5.2781845274083123E-3</v>
      </c>
      <c r="I130" s="336"/>
      <c r="J130" s="204"/>
      <c r="K130" s="204"/>
      <c r="M130" s="364">
        <f t="shared" si="34"/>
        <v>1.2582569014593594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'[20]Sch C'!D132</f>
        <v>0</v>
      </c>
      <c r="D131" s="558">
        <f>'[20]Sch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'[20]Sch C'!D133</f>
        <v>0</v>
      </c>
      <c r="D132" s="558">
        <f>'[20]Sch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'[20]Sch C'!D134</f>
        <v>49905</v>
      </c>
      <c r="D133" s="558">
        <f>'[20]Sch C'!F134</f>
        <v>0</v>
      </c>
      <c r="E133" s="171">
        <f t="shared" si="35"/>
        <v>49905</v>
      </c>
      <c r="F133" s="171"/>
      <c r="G133" s="171">
        <f>E133+F133</f>
        <v>49905</v>
      </c>
      <c r="H133" s="172">
        <f>IF($G$208=0,0,G133/$G$208)</f>
        <v>9.4584293454095959E-3</v>
      </c>
      <c r="I133" s="336"/>
      <c r="J133" s="168"/>
      <c r="K133" s="168"/>
      <c r="M133" s="364">
        <f t="shared" si="34"/>
        <v>2.2547779334026115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'[20]Sch C'!D136</f>
        <v>431384</v>
      </c>
      <c r="D135" s="558">
        <f>'[20]Sch C'!F136</f>
        <v>0</v>
      </c>
      <c r="E135" s="171">
        <f t="shared" ref="E135:E138" si="36">C135+D135</f>
        <v>431384</v>
      </c>
      <c r="F135" s="171"/>
      <c r="G135" s="171">
        <f>E135+F135</f>
        <v>431384</v>
      </c>
      <c r="H135" s="172">
        <f>IF($G$208=0,0,G135/$G$208)</f>
        <v>8.1759645020342109E-2</v>
      </c>
      <c r="I135" s="336"/>
      <c r="J135" s="183">
        <v>19132</v>
      </c>
      <c r="K135" s="183">
        <v>21461</v>
      </c>
      <c r="M135" s="364">
        <f t="shared" si="34"/>
        <v>19.490534496001445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'[20]Sch C'!D137</f>
        <v>320618</v>
      </c>
      <c r="D136" s="558">
        <f>'[20]Sch C'!F137</f>
        <v>0</v>
      </c>
      <c r="E136" s="171">
        <f t="shared" si="36"/>
        <v>320618</v>
      </c>
      <c r="F136" s="171"/>
      <c r="G136" s="171">
        <f>E136+F136</f>
        <v>320618</v>
      </c>
      <c r="H136" s="172">
        <f>IF($G$208=0,0,G136/$G$208)</f>
        <v>6.0766309986304654E-2</v>
      </c>
      <c r="I136" s="336"/>
      <c r="J136" s="183">
        <v>17077</v>
      </c>
      <c r="K136" s="183">
        <v>19440</v>
      </c>
      <c r="M136" s="364">
        <f t="shared" si="34"/>
        <v>14.485971174264673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'[20]Sch C'!D138</f>
        <v>618989</v>
      </c>
      <c r="D137" s="558">
        <f>'[20]Sch C'!F138</f>
        <v>26420</v>
      </c>
      <c r="E137" s="171">
        <f t="shared" si="36"/>
        <v>645409</v>
      </c>
      <c r="F137" s="171"/>
      <c r="G137" s="171">
        <f>E137+F137</f>
        <v>645409</v>
      </c>
      <c r="H137" s="172">
        <f>IF($G$208=0,0,G137/$G$208)</f>
        <v>0.12232352320191288</v>
      </c>
      <c r="I137" s="336"/>
      <c r="J137" s="183">
        <v>67997</v>
      </c>
      <c r="K137" s="183">
        <v>80794</v>
      </c>
      <c r="M137" s="364">
        <f t="shared" si="34"/>
        <v>29.160484344643745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'[20]Sch C'!D139</f>
        <v>26420</v>
      </c>
      <c r="D138" s="558">
        <f>'[20]Sch C'!F139</f>
        <v>-26420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'[20]Sch C'!D141</f>
        <v>335644</v>
      </c>
      <c r="D140" s="558">
        <f>'[20]Sch C'!F141</f>
        <v>-232030</v>
      </c>
      <c r="E140" s="171">
        <f t="shared" ref="E140:E143" si="37">C140+D140</f>
        <v>103614</v>
      </c>
      <c r="F140" s="171"/>
      <c r="G140" s="171">
        <f>E140+F140</f>
        <v>103614</v>
      </c>
      <c r="H140" s="172">
        <f>IF($G$208=0,0,G140/$G$208)</f>
        <v>1.9637825832988075E-2</v>
      </c>
      <c r="I140" s="336"/>
      <c r="J140" s="168"/>
      <c r="K140" s="168"/>
      <c r="M140" s="364">
        <f t="shared" si="34"/>
        <v>4.6814259250892336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'[20]Sch C'!D142</f>
        <v>0</v>
      </c>
      <c r="D141" s="558">
        <f>'[20]Sch C'!F142</f>
        <v>77009</v>
      </c>
      <c r="E141" s="171">
        <f t="shared" si="37"/>
        <v>77009</v>
      </c>
      <c r="F141" s="171"/>
      <c r="G141" s="171">
        <f>E141+F141</f>
        <v>77009</v>
      </c>
      <c r="H141" s="172">
        <f>IF($G$208=0,0,G141/$G$208)</f>
        <v>1.4595414997708597E-2</v>
      </c>
      <c r="I141" s="336"/>
      <c r="J141" s="168"/>
      <c r="K141" s="168"/>
      <c r="M141" s="364">
        <f t="shared" si="34"/>
        <v>3.4793746893778521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'[20]Sch C'!D143</f>
        <v>0</v>
      </c>
      <c r="D142" s="558">
        <f>'[20]Sch C'!F143</f>
        <v>155021</v>
      </c>
      <c r="E142" s="171">
        <f t="shared" si="37"/>
        <v>155021</v>
      </c>
      <c r="F142" s="171"/>
      <c r="G142" s="171">
        <f>E142+F142</f>
        <v>155021</v>
      </c>
      <c r="H142" s="172">
        <f>IF($G$208=0,0,G142/$G$208)</f>
        <v>2.9380927272913356E-2</v>
      </c>
      <c r="I142" s="336"/>
      <c r="J142" s="168"/>
      <c r="K142" s="168"/>
      <c r="M142" s="364">
        <f t="shared" si="34"/>
        <v>7.0040663263000953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'[20]Sch C'!D144</f>
        <v>0</v>
      </c>
      <c r="D143" s="558">
        <f>'[20]Sch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'[20]Sch C'!D146</f>
        <v>26560</v>
      </c>
      <c r="D145" s="558">
        <f>'[20]Sch C'!F146</f>
        <v>0</v>
      </c>
      <c r="E145" s="171">
        <f t="shared" ref="E145:E153" si="38">C145+D145</f>
        <v>26560</v>
      </c>
      <c r="F145" s="171"/>
      <c r="G145" s="171">
        <f t="shared" ref="G145:G153" si="39">E145+F145</f>
        <v>26560</v>
      </c>
      <c r="H145" s="172">
        <f t="shared" ref="H145:H153" si="40">IF($G$208=0,0,G145/$G$208)</f>
        <v>5.0338820441654915E-3</v>
      </c>
      <c r="I145" s="336"/>
      <c r="J145" s="183">
        <v>167</v>
      </c>
      <c r="K145" s="183">
        <v>167</v>
      </c>
      <c r="M145" s="364">
        <f t="shared" si="34"/>
        <v>1.2000180725613339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'[20]Sch C'!D147</f>
        <v>94119</v>
      </c>
      <c r="D146" s="558">
        <f>'[20]Sch C'!F147</f>
        <v>0</v>
      </c>
      <c r="E146" s="171">
        <f t="shared" si="38"/>
        <v>94119</v>
      </c>
      <c r="F146" s="171"/>
      <c r="G146" s="171">
        <f t="shared" si="39"/>
        <v>94119</v>
      </c>
      <c r="H146" s="172">
        <f t="shared" si="40"/>
        <v>1.7838250907937198E-2</v>
      </c>
      <c r="I146" s="336"/>
      <c r="J146" s="183">
        <v>1658</v>
      </c>
      <c r="K146" s="183">
        <v>1658</v>
      </c>
      <c r="M146" s="364">
        <f t="shared" si="34"/>
        <v>4.2524285004292235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'[20]Sch C'!D148</f>
        <v>10717</v>
      </c>
      <c r="D147" s="558">
        <f>'[20]Sch C'!F148</f>
        <v>0</v>
      </c>
      <c r="E147" s="171">
        <f t="shared" si="38"/>
        <v>10717</v>
      </c>
      <c r="F147" s="171"/>
      <c r="G147" s="171">
        <f t="shared" si="39"/>
        <v>10717</v>
      </c>
      <c r="H147" s="172">
        <f t="shared" si="40"/>
        <v>2.031178985968433E-3</v>
      </c>
      <c r="I147" s="336"/>
      <c r="J147" s="183">
        <v>564</v>
      </c>
      <c r="K147" s="183">
        <v>564</v>
      </c>
      <c r="M147" s="364">
        <f t="shared" si="34"/>
        <v>0.48420909953463154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'[20]Sch C'!D149</f>
        <v>11025</v>
      </c>
      <c r="D148" s="558">
        <f>'[20]Sch C'!F149</f>
        <v>0</v>
      </c>
      <c r="E148" s="171">
        <f t="shared" si="38"/>
        <v>11025</v>
      </c>
      <c r="F148" s="171"/>
      <c r="G148" s="171">
        <f t="shared" si="39"/>
        <v>11025</v>
      </c>
      <c r="H148" s="172">
        <f t="shared" si="40"/>
        <v>2.089553822926376E-3</v>
      </c>
      <c r="I148" s="336"/>
      <c r="J148" s="183">
        <v>1018</v>
      </c>
      <c r="K148" s="183">
        <v>1018</v>
      </c>
      <c r="M148" s="364">
        <f t="shared" si="34"/>
        <v>0.4981249717616229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'[20]Sch C'!D150</f>
        <v>1187</v>
      </c>
      <c r="D149" s="558">
        <f>'[20]Sch C'!F150</f>
        <v>0</v>
      </c>
      <c r="E149" s="171">
        <f t="shared" si="38"/>
        <v>1187</v>
      </c>
      <c r="F149" s="171"/>
      <c r="G149" s="171">
        <f t="shared" si="39"/>
        <v>1187</v>
      </c>
      <c r="H149" s="172">
        <f t="shared" si="40"/>
        <v>2.249705567177876E-4</v>
      </c>
      <c r="I149" s="336"/>
      <c r="J149" s="183">
        <v>0</v>
      </c>
      <c r="K149" s="183">
        <v>0</v>
      </c>
      <c r="M149" s="364">
        <f t="shared" si="34"/>
        <v>5.363032575791804E-2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'[20]Sch C'!D151</f>
        <v>105442</v>
      </c>
      <c r="D150" s="558">
        <f>'[20]Sch C'!F151</f>
        <v>-526</v>
      </c>
      <c r="E150" s="171">
        <f t="shared" si="38"/>
        <v>104916</v>
      </c>
      <c r="F150" s="171"/>
      <c r="G150" s="171">
        <f t="shared" si="39"/>
        <v>104916</v>
      </c>
      <c r="H150" s="172">
        <f t="shared" si="40"/>
        <v>1.9884592189219379E-2</v>
      </c>
      <c r="I150" s="336"/>
      <c r="J150" s="168"/>
      <c r="K150" s="168"/>
      <c r="M150" s="364">
        <f t="shared" si="34"/>
        <v>4.7402521122306061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'[20]Sch C'!D152</f>
        <v>5886</v>
      </c>
      <c r="D151" s="558">
        <f>'[20]Sch C'!F152</f>
        <v>0</v>
      </c>
      <c r="E151" s="171">
        <f t="shared" si="38"/>
        <v>5886</v>
      </c>
      <c r="F151" s="171"/>
      <c r="G151" s="171">
        <f t="shared" si="39"/>
        <v>5886</v>
      </c>
      <c r="H151" s="172">
        <f t="shared" si="40"/>
        <v>1.1155658777092653E-3</v>
      </c>
      <c r="I151" s="336"/>
      <c r="J151" s="168"/>
      <c r="K151" s="168"/>
      <c r="M151" s="364">
        <f t="shared" si="34"/>
        <v>0.26593774002620524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'[20]Sch C'!D153</f>
        <v>0</v>
      </c>
      <c r="D152" s="558">
        <f>'[20]Sch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'[20]Sch C'!D154</f>
        <v>0</v>
      </c>
      <c r="D153" s="558">
        <f>'[20]Sch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'[20]Sch C'!D156</f>
        <v>0</v>
      </c>
      <c r="D155" s="558">
        <f>'[20]Sch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'[20]Sch C'!D157</f>
        <v>0</v>
      </c>
      <c r="D156" s="558">
        <f>'[20]Sch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'[20]Sch C'!D158</f>
        <v>1710</v>
      </c>
      <c r="D157" s="558">
        <f>'[20]Sch C'!F158</f>
        <v>0</v>
      </c>
      <c r="E157" s="171">
        <f t="shared" si="41"/>
        <v>1710</v>
      </c>
      <c r="F157" s="171"/>
      <c r="G157" s="171">
        <f t="shared" si="42"/>
        <v>1710</v>
      </c>
      <c r="H157" s="172">
        <f t="shared" si="43"/>
        <v>3.2409406233143789E-4</v>
      </c>
      <c r="I157" s="336"/>
      <c r="J157" s="168"/>
      <c r="K157" s="168"/>
      <c r="M157" s="364">
        <f t="shared" si="34"/>
        <v>7.7260199701802743E-2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'[20]Sch C'!D159</f>
        <v>0</v>
      </c>
      <c r="D158" s="558">
        <f>'[20]Sch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'[20]Sch C'!D160</f>
        <v>0</v>
      </c>
      <c r="D159" s="558">
        <f>'[20]Sch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'[20]Sch C'!D161</f>
        <v>14031</v>
      </c>
      <c r="D160" s="558">
        <f>'[20]Sch C'!F161</f>
        <v>-203294</v>
      </c>
      <c r="E160" s="171">
        <f t="shared" si="41"/>
        <v>-189263</v>
      </c>
      <c r="F160" s="171"/>
      <c r="G160" s="171">
        <f t="shared" si="42"/>
        <v>-189263</v>
      </c>
      <c r="H160" s="172">
        <f t="shared" si="43"/>
        <v>-3.5870768724581836E-2</v>
      </c>
      <c r="I160" s="336"/>
      <c r="J160" s="168"/>
      <c r="K160" s="168"/>
      <c r="M160" s="364">
        <f t="shared" si="34"/>
        <v>-8.5511679392761941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2278019</v>
      </c>
      <c r="D161" s="558">
        <f>SUM(D123:D160)</f>
        <v>-203820</v>
      </c>
      <c r="E161" s="171">
        <f t="shared" ref="E161:F161" si="44">SUM(E123:E160)</f>
        <v>2074199</v>
      </c>
      <c r="F161" s="171">
        <f t="shared" si="44"/>
        <v>0</v>
      </c>
      <c r="G161" s="171">
        <f>SUM(G123:G160)</f>
        <v>2074199</v>
      </c>
      <c r="H161" s="172">
        <f t="shared" si="43"/>
        <v>0.3931202222186001</v>
      </c>
      <c r="I161" s="336"/>
      <c r="J161" s="168"/>
      <c r="K161" s="168"/>
      <c r="M161" s="364">
        <f>G161/G$228</f>
        <v>93.71522161478336</v>
      </c>
      <c r="N161" s="359">
        <f>SUMMARY!J164</f>
        <v>105.56901037202306</v>
      </c>
      <c r="O161" s="354">
        <f>M161/N161-1</f>
        <v>-0.11228473882124301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'[20]Sch C'!D175</f>
        <v>0</v>
      </c>
      <c r="D164" s="558">
        <f>'[20]Sch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'[20]Sch C'!D176</f>
        <v>0</v>
      </c>
      <c r="D165" s="558">
        <f>'[20]Sch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'[20]Sch C'!D177</f>
        <v>0</v>
      </c>
      <c r="D166" s="558">
        <f>'[20]Sch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'[20]Sch C'!D178</f>
        <v>0</v>
      </c>
      <c r="D167" s="558">
        <f>'[20]Sch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'[20]Sch C'!D179</f>
        <v>0</v>
      </c>
      <c r="D168" s="558">
        <f>'[20]Sch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'[20]Sch C'!D180</f>
        <v>0</v>
      </c>
      <c r="D169" s="558">
        <f>'[20]Sch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'[20]Sch C'!D181</f>
        <v>0</v>
      </c>
      <c r="D170" s="558">
        <f>'[20]Sch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'[20]Sch C'!D182</f>
        <v>0</v>
      </c>
      <c r="D171" s="558">
        <f>'[20]Sch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'[20]Sch C'!D183</f>
        <v>0</v>
      </c>
      <c r="D172" s="558">
        <f>'[20]Sch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'[20]Sch C'!D184</f>
        <v>0</v>
      </c>
      <c r="D173" s="558">
        <f>'[20]Sch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'[20]Sch C'!D185</f>
        <v>0</v>
      </c>
      <c r="D174" s="558">
        <f>'[20]Sch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'[20]Sch C'!D186</f>
        <v>0</v>
      </c>
      <c r="D175" s="558">
        <f>'[20]Sch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'[20]Sch C'!D187</f>
        <v>0</v>
      </c>
      <c r="D176" s="558">
        <f>'[20]Sch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'[20]Sch C'!D188</f>
        <v>0</v>
      </c>
      <c r="D177" s="558">
        <f>'[20]Sch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'[20]Sch C'!D189</f>
        <v>0</v>
      </c>
      <c r="D178" s="558">
        <f>'[20]Sch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'[20]Sch C'!D190</f>
        <v>0</v>
      </c>
      <c r="D179" s="558">
        <f>'[20]Sch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'[20]Sch C'!D191</f>
        <v>0</v>
      </c>
      <c r="D180" s="558">
        <f>'[20]Sch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'[20]Sch C'!D192</f>
        <v>633</v>
      </c>
      <c r="D181" s="558">
        <f>'[20]Sch C'!F192</f>
        <v>0</v>
      </c>
      <c r="E181" s="171">
        <f t="shared" si="45"/>
        <v>633</v>
      </c>
      <c r="F181" s="216"/>
      <c r="G181" s="171">
        <f t="shared" si="46"/>
        <v>633</v>
      </c>
      <c r="H181" s="172">
        <f t="shared" si="47"/>
        <v>1.1997166167005859E-4</v>
      </c>
      <c r="I181" s="336"/>
      <c r="J181" s="223"/>
      <c r="K181" s="218"/>
      <c r="L181" s="220"/>
      <c r="M181" s="364">
        <f t="shared" si="48"/>
        <v>2.8599828310667329E-2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'[20]Sch C'!D193</f>
        <v>6055</v>
      </c>
      <c r="D182" s="558">
        <f>'[20]Sch C'!F193</f>
        <v>0</v>
      </c>
      <c r="E182" s="171">
        <f t="shared" si="45"/>
        <v>6055</v>
      </c>
      <c r="F182" s="216"/>
      <c r="G182" s="171">
        <f t="shared" si="46"/>
        <v>6055</v>
      </c>
      <c r="H182" s="172">
        <f t="shared" si="47"/>
        <v>1.1475962265595652E-3</v>
      </c>
      <c r="I182" s="336"/>
      <c r="J182" s="223"/>
      <c r="K182" s="218"/>
      <c r="L182" s="220"/>
      <c r="M182" s="364">
        <f t="shared" si="48"/>
        <v>0.27357339718971674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'[20]Sch C'!D194</f>
        <v>167151</v>
      </c>
      <c r="D183" s="558">
        <f>'[20]Sch C'!F194</f>
        <v>-2257</v>
      </c>
      <c r="E183" s="171">
        <f t="shared" si="45"/>
        <v>164894</v>
      </c>
      <c r="F183" s="216"/>
      <c r="G183" s="171">
        <f t="shared" si="46"/>
        <v>164894</v>
      </c>
      <c r="H183" s="172">
        <f t="shared" si="47"/>
        <v>3.125214404332171E-2</v>
      </c>
      <c r="I183" s="336"/>
      <c r="J183" s="223"/>
      <c r="K183" s="218"/>
      <c r="M183" s="364">
        <f t="shared" si="48"/>
        <v>7.4501423214205031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'[20]Sch C'!D195</f>
        <v>73648</v>
      </c>
      <c r="D184" s="558">
        <f>'[20]Sch C'!F195</f>
        <v>-994</v>
      </c>
      <c r="E184" s="171">
        <f t="shared" si="45"/>
        <v>72654</v>
      </c>
      <c r="F184" s="216"/>
      <c r="G184" s="171">
        <f t="shared" si="46"/>
        <v>72654</v>
      </c>
      <c r="H184" s="172">
        <f t="shared" si="47"/>
        <v>1.3770017546566251E-2</v>
      </c>
      <c r="I184" s="336"/>
      <c r="J184" s="223"/>
      <c r="K184" s="218"/>
      <c r="M184" s="364">
        <f t="shared" si="48"/>
        <v>3.2826096778565943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'[20]Sch C'!D196</f>
        <v>0</v>
      </c>
      <c r="D185" s="558">
        <f>'[20]Sch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'[20]Sch C'!D197</f>
        <v>153162</v>
      </c>
      <c r="D186" s="558">
        <f>'[20]Sch C'!F197</f>
        <v>-2068</v>
      </c>
      <c r="E186" s="171">
        <f t="shared" si="45"/>
        <v>151094</v>
      </c>
      <c r="F186" s="216"/>
      <c r="G186" s="171">
        <f t="shared" si="46"/>
        <v>151094</v>
      </c>
      <c r="H186" s="172">
        <f t="shared" si="47"/>
        <v>2.863664810169958E-2</v>
      </c>
      <c r="I186" s="336"/>
      <c r="J186" s="223"/>
      <c r="K186" s="218"/>
      <c r="M186" s="364">
        <f t="shared" si="48"/>
        <v>6.8266389554059552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'[20]Sch C'!D198</f>
        <v>31791</v>
      </c>
      <c r="D187" s="558">
        <f>'[20]Sch C'!F198</f>
        <v>-101</v>
      </c>
      <c r="E187" s="171">
        <f t="shared" si="45"/>
        <v>31690</v>
      </c>
      <c r="F187" s="216"/>
      <c r="G187" s="171">
        <f t="shared" si="46"/>
        <v>31690</v>
      </c>
      <c r="H187" s="172">
        <f t="shared" si="47"/>
        <v>6.0061642311598053E-3</v>
      </c>
      <c r="I187" s="336"/>
      <c r="J187" s="223"/>
      <c r="K187" s="218"/>
      <c r="M187" s="364">
        <f t="shared" si="48"/>
        <v>1.4317986716667419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'[20]Sch C'!D199</f>
        <v>0</v>
      </c>
      <c r="D188" s="558">
        <f>'[20]Sch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'[20]Sch C'!D200</f>
        <v>0</v>
      </c>
      <c r="D189" s="558">
        <f>'[20]Sch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'[20]Sch C'!D201</f>
        <v>0</v>
      </c>
      <c r="D190" s="558">
        <f>'[20]Sch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'[20]Sch C'!D202</f>
        <v>0</v>
      </c>
      <c r="D191" s="558">
        <f>'[20]Sch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'[20]Sch C'!D203</f>
        <v>0</v>
      </c>
      <c r="D192" s="558">
        <f>'[20]Sch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'[20]Sch C'!D204</f>
        <v>0</v>
      </c>
      <c r="D193" s="558">
        <f>'[20]Sch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'[20]Sch C'!D205</f>
        <v>194870</v>
      </c>
      <c r="D194" s="558">
        <f>'[20]Sch C'!F205</f>
        <v>-2870</v>
      </c>
      <c r="E194" s="171">
        <f t="shared" si="45"/>
        <v>192000</v>
      </c>
      <c r="F194" s="216"/>
      <c r="G194" s="171">
        <f t="shared" si="46"/>
        <v>192000</v>
      </c>
      <c r="H194" s="172">
        <f t="shared" si="47"/>
        <v>3.6389508753003556E-2</v>
      </c>
      <c r="I194" s="336"/>
      <c r="J194" s="223"/>
      <c r="K194" s="218"/>
      <c r="M194" s="364">
        <f t="shared" si="48"/>
        <v>8.6748294402024122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'[20]Sch C'!D206</f>
        <v>42</v>
      </c>
      <c r="D195" s="558">
        <f>'[20]Sch C'!F206</f>
        <v>0</v>
      </c>
      <c r="E195" s="171">
        <f t="shared" si="45"/>
        <v>42</v>
      </c>
      <c r="F195" s="216"/>
      <c r="G195" s="171">
        <f t="shared" si="46"/>
        <v>42</v>
      </c>
      <c r="H195" s="172">
        <f t="shared" si="47"/>
        <v>7.9602050397195272E-6</v>
      </c>
      <c r="I195" s="336"/>
      <c r="J195" s="223"/>
      <c r="K195" s="218"/>
      <c r="M195" s="364">
        <f t="shared" si="48"/>
        <v>1.8976189400442777E-3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'[20]Sch C'!D207</f>
        <v>6420</v>
      </c>
      <c r="D196" s="558">
        <f>'[20]Sch C'!F207</f>
        <v>-100</v>
      </c>
      <c r="E196" s="171">
        <f t="shared" si="45"/>
        <v>6320</v>
      </c>
      <c r="F196" s="216"/>
      <c r="G196" s="171">
        <f t="shared" si="46"/>
        <v>6320</v>
      </c>
      <c r="H196" s="172">
        <f t="shared" si="47"/>
        <v>1.197821329786367E-3</v>
      </c>
      <c r="I196" s="336"/>
      <c r="J196" s="223"/>
      <c r="K196" s="218"/>
      <c r="M196" s="364">
        <f t="shared" si="48"/>
        <v>0.28554646907332942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633772</v>
      </c>
      <c r="D197" s="558">
        <f>SUM(D164:D196)</f>
        <v>-8390</v>
      </c>
      <c r="E197" s="171">
        <f t="shared" ref="E197:F197" si="49">SUM(E164:E196)</f>
        <v>625382</v>
      </c>
      <c r="F197" s="171">
        <f t="shared" si="49"/>
        <v>0</v>
      </c>
      <c r="G197" s="171">
        <f>SUM(G164:G196)</f>
        <v>625382</v>
      </c>
      <c r="H197" s="172">
        <f>IF($G$208=0,0,G197/$G$208)</f>
        <v>0.11852783209880662</v>
      </c>
      <c r="I197" s="336"/>
      <c r="J197" s="168"/>
      <c r="K197" s="168"/>
      <c r="M197" s="364">
        <f>G197/G$228</f>
        <v>28.255636380065965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'[20]Sch C'!D211</f>
        <v>93481</v>
      </c>
      <c r="D200" s="558">
        <f>'[20]Sch C'!F211</f>
        <v>0</v>
      </c>
      <c r="E200" s="171">
        <f t="shared" ref="E200:E205" si="50">C200+D200</f>
        <v>93481</v>
      </c>
      <c r="F200" s="171"/>
      <c r="G200" s="171">
        <f t="shared" ref="G200:G205" si="51">E200+F200</f>
        <v>93481</v>
      </c>
      <c r="H200" s="172">
        <f t="shared" ref="H200:H206" si="52">IF($G$208=0,0,G200/$G$208)</f>
        <v>1.7717331602810027E-2</v>
      </c>
      <c r="I200" s="336"/>
      <c r="J200" s="183">
        <v>8704</v>
      </c>
      <c r="K200" s="183">
        <v>9228</v>
      </c>
      <c r="M200" s="364">
        <f t="shared" ref="M200:M205" si="53">G200/G$228</f>
        <v>4.2236027651018837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'[20]Sch C'!D212</f>
        <v>19659</v>
      </c>
      <c r="D201" s="558">
        <f>'[20]Sch C'!F212</f>
        <v>0</v>
      </c>
      <c r="E201" s="171">
        <f t="shared" si="50"/>
        <v>19659</v>
      </c>
      <c r="F201" s="171"/>
      <c r="G201" s="171">
        <f t="shared" si="51"/>
        <v>19659</v>
      </c>
      <c r="H201" s="172">
        <f t="shared" si="52"/>
        <v>3.7259445446630049E-3</v>
      </c>
      <c r="I201" s="336"/>
      <c r="J201" s="168"/>
      <c r="K201" s="168"/>
      <c r="M201" s="364">
        <f t="shared" si="53"/>
        <v>0.88822120815072514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'[20]Sch C'!D213</f>
        <v>3747</v>
      </c>
      <c r="D202" s="558">
        <f>'[20]Sch C'!F213</f>
        <v>0</v>
      </c>
      <c r="E202" s="171">
        <f t="shared" si="50"/>
        <v>3747</v>
      </c>
      <c r="F202" s="171"/>
      <c r="G202" s="171">
        <f t="shared" si="51"/>
        <v>3747</v>
      </c>
      <c r="H202" s="172">
        <f t="shared" si="52"/>
        <v>7.1016400675783507E-4</v>
      </c>
      <c r="I202" s="336"/>
      <c r="J202" s="168"/>
      <c r="K202" s="168"/>
      <c r="M202" s="364">
        <f t="shared" si="53"/>
        <v>0.16929471829395021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'[20]Sch C'!D214</f>
        <v>0</v>
      </c>
      <c r="D203" s="558">
        <f>'[20]Sch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'[20]Sch C'!D215</f>
        <v>0</v>
      </c>
      <c r="D204" s="558">
        <f>'[20]Sch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'[20]Sch C'!D216</f>
        <v>2041</v>
      </c>
      <c r="D205" s="558">
        <f>'[20]Sch C'!F216</f>
        <v>0</v>
      </c>
      <c r="E205" s="171">
        <f t="shared" si="50"/>
        <v>2041</v>
      </c>
      <c r="F205" s="171"/>
      <c r="G205" s="171">
        <f t="shared" si="51"/>
        <v>2041</v>
      </c>
      <c r="H205" s="172">
        <f t="shared" si="52"/>
        <v>3.868280591920847E-4</v>
      </c>
      <c r="I205" s="336"/>
      <c r="J205" s="168"/>
      <c r="K205" s="168"/>
      <c r="M205" s="364">
        <f t="shared" si="53"/>
        <v>9.221524420548502E-2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118928</v>
      </c>
      <c r="D206" s="558">
        <f>SUM(D200:D205)</f>
        <v>0</v>
      </c>
      <c r="E206" s="171">
        <f t="shared" ref="E206:F206" si="54">SUM(E200:E205)</f>
        <v>118928</v>
      </c>
      <c r="F206" s="171">
        <f t="shared" si="54"/>
        <v>0</v>
      </c>
      <c r="G206" s="171">
        <f>SUM(G200:G205)</f>
        <v>118928</v>
      </c>
      <c r="H206" s="172">
        <f t="shared" si="52"/>
        <v>2.2540268213422952E-2</v>
      </c>
      <c r="I206" s="336"/>
      <c r="J206" s="168"/>
      <c r="K206" s="168"/>
      <c r="M206" s="364">
        <f>G206/G$228</f>
        <v>5.3733339357520444</v>
      </c>
      <c r="N206" s="359">
        <f>SUMMARY!J209</f>
        <v>7.1515095990067339</v>
      </c>
      <c r="O206" s="354">
        <f>M206/N206-1</f>
        <v>-0.24864340019926123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5622278</v>
      </c>
      <c r="D208" s="558">
        <f>SUM(D25:D206)/2</f>
        <v>-346032</v>
      </c>
      <c r="E208" s="171">
        <f t="shared" ref="E208:F208" si="55">SUM(E25:E206)/2</f>
        <v>5276246</v>
      </c>
      <c r="F208" s="171">
        <f t="shared" si="55"/>
        <v>0</v>
      </c>
      <c r="G208" s="171">
        <f>SUM(G25:G206)/2</f>
        <v>5276246</v>
      </c>
      <c r="H208" s="172">
        <f>IF($G$208=0,0,G208/$G$208)</f>
        <v>1</v>
      </c>
      <c r="I208" s="336"/>
      <c r="J208" s="183">
        <f>SUM(J25:J200)</f>
        <v>156292</v>
      </c>
      <c r="K208" s="183">
        <f>SUM(K25:K200)</f>
        <v>178952</v>
      </c>
      <c r="M208" s="364">
        <f>G208/G$228</f>
        <v>238.38819861744906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0.2174850156343332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'[20]Sch C'!D221</f>
        <v>5622278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-84562</v>
      </c>
      <c r="D215" s="558">
        <f>D21-D208</f>
        <v>126743</v>
      </c>
      <c r="E215" s="171">
        <f t="shared" ref="E215:F215" si="56">E21-E208</f>
        <v>42181</v>
      </c>
      <c r="F215" s="171">
        <f t="shared" si="56"/>
        <v>0</v>
      </c>
      <c r="G215" s="171">
        <f>G21-G208</f>
        <v>42181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'[20]Sch D'!C9</f>
        <v>11014</v>
      </c>
      <c r="D219" s="592"/>
      <c r="E219" s="235">
        <f t="shared" ref="E219:G227" si="57">C219+D219</f>
        <v>11014</v>
      </c>
      <c r="F219" s="234"/>
      <c r="G219" s="235">
        <f t="shared" si="57"/>
        <v>11014</v>
      </c>
      <c r="H219" s="172">
        <f t="shared" ref="H219:H228" si="58">IF($G$228=0,0,G219/$G$228)</f>
        <v>0.49762797632494465</v>
      </c>
      <c r="I219" s="336"/>
      <c r="J219" s="168"/>
      <c r="K219" s="168"/>
    </row>
    <row r="220" spans="1:17">
      <c r="A220" s="163"/>
      <c r="B220" s="170" t="s">
        <v>217</v>
      </c>
      <c r="C220" s="592">
        <f>'[20]Sch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'[20]Sch D'!E9</f>
        <v>1784</v>
      </c>
      <c r="D221" s="592"/>
      <c r="E221" s="235">
        <f t="shared" si="59"/>
        <v>1784</v>
      </c>
      <c r="F221" s="234"/>
      <c r="G221" s="235">
        <f t="shared" si="57"/>
        <v>1784</v>
      </c>
      <c r="H221" s="172">
        <f t="shared" si="58"/>
        <v>8.0603623548547415E-2</v>
      </c>
      <c r="I221" s="336"/>
      <c r="J221" s="168"/>
      <c r="K221" s="168"/>
    </row>
    <row r="222" spans="1:17">
      <c r="A222" s="163"/>
      <c r="B222" s="202" t="s">
        <v>334</v>
      </c>
      <c r="C222" s="592">
        <f>'[20]Sch D'!F9</f>
        <v>999</v>
      </c>
      <c r="D222" s="592"/>
      <c r="E222" s="235">
        <f>C222+D222</f>
        <v>999</v>
      </c>
      <c r="F222" s="234"/>
      <c r="G222" s="235">
        <f>E222+F222</f>
        <v>999</v>
      </c>
      <c r="H222" s="172">
        <f t="shared" si="58"/>
        <v>4.5136221931053176E-2</v>
      </c>
      <c r="I222" s="336"/>
      <c r="J222" s="168"/>
      <c r="K222" s="168"/>
    </row>
    <row r="223" spans="1:17">
      <c r="A223" s="163"/>
      <c r="B223" s="170" t="s">
        <v>73</v>
      </c>
      <c r="C223" s="592">
        <f>'[20]Sch D'!G9</f>
        <v>1914</v>
      </c>
      <c r="D223" s="592"/>
      <c r="E223" s="235">
        <f t="shared" si="59"/>
        <v>1914</v>
      </c>
      <c r="F223" s="234"/>
      <c r="G223" s="235">
        <f t="shared" si="57"/>
        <v>1914</v>
      </c>
      <c r="H223" s="172">
        <f t="shared" si="58"/>
        <v>8.6477205982017802E-2</v>
      </c>
      <c r="I223" s="336"/>
      <c r="J223" s="168"/>
      <c r="K223" s="168"/>
    </row>
    <row r="224" spans="1:17">
      <c r="A224" s="163"/>
      <c r="B224" s="170" t="s">
        <v>74</v>
      </c>
      <c r="C224" s="592">
        <f>'[20]Sch D'!H9</f>
        <v>1826</v>
      </c>
      <c r="D224" s="592"/>
      <c r="E224" s="235">
        <f t="shared" si="59"/>
        <v>1826</v>
      </c>
      <c r="F224" s="234"/>
      <c r="G224" s="235">
        <f t="shared" si="57"/>
        <v>1826</v>
      </c>
      <c r="H224" s="172">
        <f t="shared" si="58"/>
        <v>8.2501242488591697E-2</v>
      </c>
      <c r="I224" s="336"/>
      <c r="J224" s="168"/>
      <c r="K224" s="168"/>
    </row>
    <row r="225" spans="1:11">
      <c r="A225" s="163"/>
      <c r="B225" s="170" t="s">
        <v>236</v>
      </c>
      <c r="C225" s="592">
        <f>'[20]Sch D'!I9</f>
        <v>4123</v>
      </c>
      <c r="D225" s="592"/>
      <c r="E225" s="235">
        <f t="shared" si="59"/>
        <v>4123</v>
      </c>
      <c r="F225" s="234"/>
      <c r="G225" s="235">
        <f t="shared" si="57"/>
        <v>4123</v>
      </c>
      <c r="H225" s="172">
        <f t="shared" si="58"/>
        <v>0.18628292594767992</v>
      </c>
      <c r="I225" s="336"/>
      <c r="J225" s="168"/>
      <c r="K225" s="168"/>
    </row>
    <row r="226" spans="1:11">
      <c r="A226" s="163"/>
      <c r="B226" s="170" t="s">
        <v>235</v>
      </c>
      <c r="C226" s="592">
        <f>'[20]Sch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'[20]Sch D'!K9</f>
        <v>473</v>
      </c>
      <c r="D227" s="592"/>
      <c r="E227" s="235">
        <f t="shared" si="59"/>
        <v>473</v>
      </c>
      <c r="F227" s="234"/>
      <c r="G227" s="235">
        <f t="shared" si="57"/>
        <v>473</v>
      </c>
      <c r="H227" s="172">
        <f t="shared" si="58"/>
        <v>2.1370803777165319E-2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22133</v>
      </c>
      <c r="D228" s="592">
        <f>SUM(D219:D227)</f>
        <v>0</v>
      </c>
      <c r="E228" s="237">
        <f>SUM(E219:E227)</f>
        <v>22133</v>
      </c>
      <c r="F228" s="237">
        <f>SUM(F219:F227)</f>
        <v>0</v>
      </c>
      <c r="G228" s="237">
        <f>SUM(G219:G227)</f>
        <v>22133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'[20]Sch D'!N22</f>
        <v>106</v>
      </c>
      <c r="D231" s="559"/>
      <c r="E231" s="235">
        <f>C231+D231</f>
        <v>106</v>
      </c>
      <c r="F231" s="235"/>
      <c r="G231" s="235">
        <f>E231+F231</f>
        <v>106</v>
      </c>
      <c r="H231" s="167"/>
      <c r="J231" s="168"/>
      <c r="K231" s="168"/>
    </row>
    <row r="232" spans="1:11">
      <c r="A232" s="163"/>
      <c r="B232" s="202" t="s">
        <v>290</v>
      </c>
      <c r="C232" s="593">
        <f>'[20]Sch D'!N24</f>
        <v>106</v>
      </c>
      <c r="D232" s="559"/>
      <c r="E232" s="235">
        <f>C232+D232</f>
        <v>106</v>
      </c>
      <c r="F232" s="235"/>
      <c r="G232" s="235">
        <f>E232+F232</f>
        <v>106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'[20]Sch D'!N28</f>
        <v>38796</v>
      </c>
      <c r="D235" s="483"/>
      <c r="E235" s="234">
        <f>E231*E233</f>
        <v>38796</v>
      </c>
      <c r="F235" s="239"/>
      <c r="G235" s="234">
        <f>G231*G233</f>
        <v>38796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'[20]Sch D'!N30</f>
        <v>0.57049695844932469</v>
      </c>
      <c r="D236" s="239"/>
      <c r="E236" s="244">
        <f>E228/E235</f>
        <v>0.57049695844932469</v>
      </c>
      <c r="F236" s="245"/>
      <c r="G236" s="244">
        <f>G228/G235</f>
        <v>0.57049695844932469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'[20]Sch D'!N32</f>
        <v>0.28389524693267348</v>
      </c>
      <c r="D237" s="239"/>
      <c r="E237" s="244">
        <f>(E219+E220)/E235</f>
        <v>0.28389524693267348</v>
      </c>
      <c r="F237" s="245"/>
      <c r="G237" s="244">
        <f>(G219+G220)/G235</f>
        <v>0.28389524693267348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'[20]Sch D'!N34</f>
        <v>0.49762797632494465</v>
      </c>
      <c r="D238" s="239"/>
      <c r="E238" s="244">
        <f>(E237/E236)</f>
        <v>0.49762797632494465</v>
      </c>
      <c r="F238" s="245"/>
      <c r="G238" s="244">
        <f>(G237/G236)</f>
        <v>0.49762797632494465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'[20]Sch B'!C85</f>
        <v>202.45078459343796</v>
      </c>
    </row>
    <row r="242" spans="2:7">
      <c r="F242" s="142" t="s">
        <v>341</v>
      </c>
      <c r="G242" s="558">
        <f>'[20]Sch B'!E85</f>
        <v>202.45488721804512</v>
      </c>
    </row>
    <row r="243" spans="2:7">
      <c r="F243" s="142" t="s">
        <v>342</v>
      </c>
      <c r="G243" s="558">
        <f>'[20]Sch B'!G85</f>
        <v>202.45135135135135</v>
      </c>
    </row>
    <row r="244" spans="2:7">
      <c r="F244" s="142" t="s">
        <v>343</v>
      </c>
      <c r="G244" s="558">
        <f>'[20]Sch B'!I85</f>
        <v>202.44989775051124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375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'[21]Sch B'!E10</f>
        <v>2709862</v>
      </c>
      <c r="D11" s="558">
        <f>'[21]Sch B'!G10</f>
        <v>0</v>
      </c>
      <c r="E11" s="171">
        <f>C11+D11</f>
        <v>2709862</v>
      </c>
      <c r="F11" s="171"/>
      <c r="G11" s="171">
        <f t="shared" ref="G11:G20" si="0">E11+F11</f>
        <v>2709862</v>
      </c>
      <c r="H11" s="172">
        <f t="shared" ref="H11:H21" si="1">IF($G$21=0,0,G11/$G$21)</f>
        <v>0.83589729352902342</v>
      </c>
      <c r="I11" s="336"/>
      <c r="J11" s="368" t="s">
        <v>344</v>
      </c>
      <c r="K11" s="369">
        <f>G21</f>
        <v>3241860</v>
      </c>
      <c r="M11" s="359">
        <f>IFERROR(G11/G219,0)</f>
        <v>219.33322541481181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'[21]Sch B'!E15</f>
        <v>67710</v>
      </c>
      <c r="D12" s="558">
        <f>'[21]Sch B'!G15</f>
        <v>0</v>
      </c>
      <c r="E12" s="171">
        <f t="shared" ref="E12:E20" si="2">C12+D12</f>
        <v>67710</v>
      </c>
      <c r="F12" s="171"/>
      <c r="G12" s="171">
        <f>E12+F12</f>
        <v>67710</v>
      </c>
      <c r="H12" s="172">
        <f t="shared" si="1"/>
        <v>2.0886157946364125E-2</v>
      </c>
      <c r="I12" s="336"/>
      <c r="J12" s="370" t="s">
        <v>345</v>
      </c>
      <c r="K12" s="371">
        <f>G208</f>
        <v>3605906</v>
      </c>
      <c r="M12" s="359">
        <f t="shared" ref="M12:M19" si="3">IFERROR(G12/G220,0)</f>
        <v>185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'[21]Sch B'!E21</f>
        <v>671299</v>
      </c>
      <c r="D13" s="558">
        <f>'[21]Sch B'!G21</f>
        <v>0</v>
      </c>
      <c r="E13" s="171">
        <f t="shared" si="2"/>
        <v>671299</v>
      </c>
      <c r="F13" s="171"/>
      <c r="G13" s="171">
        <f t="shared" si="0"/>
        <v>671299</v>
      </c>
      <c r="H13" s="172">
        <f t="shared" si="1"/>
        <v>0.20707217461580699</v>
      </c>
      <c r="I13" s="336"/>
      <c r="J13" s="370" t="s">
        <v>346</v>
      </c>
      <c r="K13" s="371">
        <f>G228</f>
        <v>15865</v>
      </c>
      <c r="M13" s="359">
        <f t="shared" si="3"/>
        <v>402.45743405275778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'[21]Sch B'!E27</f>
        <v>89425</v>
      </c>
      <c r="D14" s="558">
        <f>'[21]Sch B'!G27</f>
        <v>0</v>
      </c>
      <c r="E14" s="171">
        <f t="shared" si="2"/>
        <v>89425</v>
      </c>
      <c r="F14" s="175"/>
      <c r="G14" s="175">
        <f>E14+F14</f>
        <v>89425</v>
      </c>
      <c r="H14" s="176">
        <f t="shared" si="1"/>
        <v>2.7584473111115223E-2</v>
      </c>
      <c r="I14" s="337"/>
      <c r="J14" s="370" t="s">
        <v>347</v>
      </c>
      <c r="K14" s="371">
        <f>G231</f>
        <v>80</v>
      </c>
      <c r="M14" s="359">
        <f t="shared" si="3"/>
        <v>440.51724137931035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'[21]Sch B'!E32</f>
        <v>70342</v>
      </c>
      <c r="D15" s="558">
        <f>'[21]Sch B'!G32</f>
        <v>0</v>
      </c>
      <c r="E15" s="171">
        <f t="shared" si="2"/>
        <v>70342</v>
      </c>
      <c r="F15" s="171"/>
      <c r="G15" s="171">
        <f t="shared" si="0"/>
        <v>70342</v>
      </c>
      <c r="H15" s="172">
        <f t="shared" si="1"/>
        <v>2.169803754634685E-2</v>
      </c>
      <c r="I15" s="336"/>
      <c r="J15" s="370" t="s">
        <v>348</v>
      </c>
      <c r="K15" s="371">
        <f>G235</f>
        <v>29280</v>
      </c>
      <c r="M15" s="359">
        <f t="shared" si="3"/>
        <v>207.49852507374632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'[21]Sch B'!E37</f>
        <v>63902</v>
      </c>
      <c r="D16" s="558">
        <f>'[21]Sch B'!G37</f>
        <v>0</v>
      </c>
      <c r="E16" s="171">
        <f t="shared" si="2"/>
        <v>63902</v>
      </c>
      <c r="F16" s="171"/>
      <c r="G16" s="171">
        <f t="shared" si="0"/>
        <v>63902</v>
      </c>
      <c r="H16" s="172">
        <f t="shared" si="1"/>
        <v>1.97115236314955E-2</v>
      </c>
      <c r="I16" s="336"/>
      <c r="J16" s="372"/>
      <c r="K16" s="371"/>
      <c r="M16" s="359">
        <f t="shared" si="3"/>
        <v>204.1597444089457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'[21]Sch B'!E42</f>
        <v>128303</v>
      </c>
      <c r="D17" s="558">
        <f>'[21]Sch B'!G42</f>
        <v>0</v>
      </c>
      <c r="E17" s="171">
        <f t="shared" si="2"/>
        <v>128303</v>
      </c>
      <c r="F17" s="171"/>
      <c r="G17" s="171">
        <f>E17+F17</f>
        <v>128303</v>
      </c>
      <c r="H17" s="172">
        <f t="shared" si="1"/>
        <v>3.9576971244902615E-2</v>
      </c>
      <c r="I17" s="336"/>
      <c r="J17" s="370" t="s">
        <v>156</v>
      </c>
      <c r="K17" s="371">
        <f>J208</f>
        <v>87368</v>
      </c>
      <c r="M17" s="359">
        <f t="shared" si="3"/>
        <v>218.20238095238096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'[21]Sch B'!E47</f>
        <v>0</v>
      </c>
      <c r="D18" s="558">
        <f>'[21]Sch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93284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'[21]Sch B'!E52</f>
        <v>5181</v>
      </c>
      <c r="D19" s="558">
        <f>'[21]Sch B'!G52</f>
        <v>0</v>
      </c>
      <c r="E19" s="171">
        <f t="shared" si="2"/>
        <v>5181</v>
      </c>
      <c r="F19" s="171"/>
      <c r="G19" s="171">
        <f t="shared" si="0"/>
        <v>5181</v>
      </c>
      <c r="H19" s="172">
        <f t="shared" si="1"/>
        <v>1.5981566137957838E-3</v>
      </c>
      <c r="I19" s="336"/>
      <c r="J19" s="168"/>
      <c r="K19" s="168"/>
      <c r="M19" s="359">
        <f t="shared" si="3"/>
        <v>157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'[21]Sch B'!E67</f>
        <v>-549731</v>
      </c>
      <c r="D20" s="558">
        <f>'[21]Sch B'!G67</f>
        <v>-14433</v>
      </c>
      <c r="E20" s="171">
        <f t="shared" si="2"/>
        <v>-564164</v>
      </c>
      <c r="F20" s="171"/>
      <c r="G20" s="171">
        <f t="shared" si="0"/>
        <v>-564164</v>
      </c>
      <c r="H20" s="172">
        <f t="shared" si="1"/>
        <v>-0.17402478823885054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3256293</v>
      </c>
      <c r="D21" s="558">
        <f>SUM(D11:D20)</f>
        <v>-14433</v>
      </c>
      <c r="E21" s="171">
        <f>SUM(E11:E20)</f>
        <v>3241860</v>
      </c>
      <c r="F21" s="171">
        <f>SUM(F11:F20)</f>
        <v>0</v>
      </c>
      <c r="G21" s="171">
        <f>SUM(G11:G20)</f>
        <v>3241860</v>
      </c>
      <c r="H21" s="172">
        <f t="shared" si="1"/>
        <v>1</v>
      </c>
      <c r="I21" s="336"/>
      <c r="J21" s="168"/>
      <c r="K21" s="168"/>
      <c r="M21" s="359">
        <f>IFERROR(G21/G228,0)</f>
        <v>204.34037188780334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'[21]Sch C'!D10</f>
        <v>0</v>
      </c>
      <c r="D25" s="558">
        <f>'[21]Sch C'!F10</f>
        <v>108086</v>
      </c>
      <c r="E25" s="171">
        <f t="shared" ref="E25:E60" si="4">C25+D25</f>
        <v>108086</v>
      </c>
      <c r="F25" s="171"/>
      <c r="G25" s="182">
        <f>E25+F25</f>
        <v>108086</v>
      </c>
      <c r="H25" s="172">
        <f>IF($G$208=0,0,G25/$G$208)</f>
        <v>2.9974713705792664E-2</v>
      </c>
      <c r="I25" s="336"/>
      <c r="J25" s="183">
        <v>1952</v>
      </c>
      <c r="K25" s="183">
        <v>2080</v>
      </c>
      <c r="M25" s="359">
        <f>G25/G$228</f>
        <v>6.8128584935392373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'[21]Sch C'!D11</f>
        <v>0</v>
      </c>
      <c r="D26" s="558">
        <f>'[21]Sch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'[21]Sch C'!D12</f>
        <v>192098</v>
      </c>
      <c r="D27" s="558">
        <f>'[21]Sch C'!F12</f>
        <v>-108086</v>
      </c>
      <c r="E27" s="171">
        <f t="shared" si="4"/>
        <v>84012</v>
      </c>
      <c r="F27" s="171"/>
      <c r="G27" s="171">
        <f t="shared" si="5"/>
        <v>84012</v>
      </c>
      <c r="H27" s="172">
        <f t="shared" si="6"/>
        <v>2.3298444274476374E-2</v>
      </c>
      <c r="I27" s="336"/>
      <c r="J27" s="185">
        <v>5650</v>
      </c>
      <c r="K27" s="185">
        <v>6082</v>
      </c>
      <c r="M27" s="359">
        <f t="shared" si="7"/>
        <v>5.2954301922470846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'[21]Sch C'!D13</f>
        <v>41114</v>
      </c>
      <c r="D28" s="558">
        <f>'[21]Sch C'!F13</f>
        <v>0</v>
      </c>
      <c r="E28" s="171">
        <f t="shared" si="4"/>
        <v>41114</v>
      </c>
      <c r="F28" s="171"/>
      <c r="G28" s="171">
        <f t="shared" si="5"/>
        <v>41114</v>
      </c>
      <c r="H28" s="172">
        <f t="shared" si="6"/>
        <v>1.1401850186887845E-2</v>
      </c>
      <c r="I28" s="336"/>
      <c r="J28" s="168"/>
      <c r="K28" s="168"/>
      <c r="M28" s="359">
        <f t="shared" si="7"/>
        <v>2.5914907028049163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'[21]Sch C'!D14</f>
        <v>0</v>
      </c>
      <c r="D29" s="558">
        <f>'[21]Sch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'[21]Sch C'!D15</f>
        <v>0</v>
      </c>
      <c r="D30" s="558">
        <f>'[21]Sch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'[21]Sch C'!D16</f>
        <v>162196</v>
      </c>
      <c r="D31" s="558">
        <f>'[21]Sch C'!F16</f>
        <v>-463</v>
      </c>
      <c r="E31" s="171">
        <f t="shared" si="4"/>
        <v>161733</v>
      </c>
      <c r="F31" s="171"/>
      <c r="G31" s="171">
        <f t="shared" si="5"/>
        <v>161733</v>
      </c>
      <c r="H31" s="172">
        <f t="shared" si="6"/>
        <v>4.4852250724228528E-2</v>
      </c>
      <c r="I31" s="336"/>
      <c r="J31" s="168"/>
      <c r="K31" s="168"/>
      <c r="M31" s="359">
        <f t="shared" si="7"/>
        <v>10.194327135203277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'[21]Sch C'!D17</f>
        <v>1121</v>
      </c>
      <c r="D32" s="558">
        <f>'[21]Sch C'!F17</f>
        <v>-1121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'[21]Sch C'!D18</f>
        <v>24083</v>
      </c>
      <c r="D33" s="558">
        <f>'[21]Sch C'!F18</f>
        <v>0</v>
      </c>
      <c r="E33" s="171">
        <f t="shared" si="4"/>
        <v>24083</v>
      </c>
      <c r="F33" s="171"/>
      <c r="G33" s="171">
        <f t="shared" si="5"/>
        <v>24083</v>
      </c>
      <c r="H33" s="172">
        <f t="shared" si="6"/>
        <v>6.6787653366449373E-3</v>
      </c>
      <c r="I33" s="336"/>
      <c r="J33" s="168"/>
      <c r="K33" s="168"/>
      <c r="M33" s="359">
        <f t="shared" si="7"/>
        <v>1.5179955877718248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'[21]Sch C'!D19</f>
        <v>6355</v>
      </c>
      <c r="D34" s="558">
        <f>'[21]Sch C'!F19</f>
        <v>0</v>
      </c>
      <c r="E34" s="171">
        <f t="shared" si="4"/>
        <v>6355</v>
      </c>
      <c r="F34" s="171"/>
      <c r="G34" s="171">
        <f t="shared" si="5"/>
        <v>6355</v>
      </c>
      <c r="H34" s="172">
        <f t="shared" si="6"/>
        <v>1.762386484839039E-3</v>
      </c>
      <c r="I34" s="336"/>
      <c r="J34" s="168"/>
      <c r="K34" s="168"/>
      <c r="M34" s="359">
        <f t="shared" si="7"/>
        <v>0.40056728647967221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'[21]Sch C'!D20</f>
        <v>9541</v>
      </c>
      <c r="D35" s="558">
        <f>'[21]Sch C'!F20</f>
        <v>0</v>
      </c>
      <c r="E35" s="171">
        <f t="shared" si="4"/>
        <v>9541</v>
      </c>
      <c r="F35" s="171"/>
      <c r="G35" s="171">
        <f t="shared" si="5"/>
        <v>9541</v>
      </c>
      <c r="H35" s="172">
        <f t="shared" si="6"/>
        <v>2.6459369711800585E-3</v>
      </c>
      <c r="I35" s="336"/>
      <c r="J35" s="168"/>
      <c r="K35" s="168"/>
      <c r="M35" s="359">
        <f t="shared" si="7"/>
        <v>0.60138670028364327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'[21]Sch C'!D21</f>
        <v>13780</v>
      </c>
      <c r="D36" s="558">
        <f>'[21]Sch C'!F21</f>
        <v>0</v>
      </c>
      <c r="E36" s="171">
        <f t="shared" si="4"/>
        <v>13780</v>
      </c>
      <c r="F36" s="171"/>
      <c r="G36" s="171">
        <f t="shared" si="5"/>
        <v>13780</v>
      </c>
      <c r="H36" s="172">
        <f t="shared" si="6"/>
        <v>3.8215083809727706E-3</v>
      </c>
      <c r="I36" s="336"/>
      <c r="J36" s="168"/>
      <c r="K36" s="168"/>
      <c r="M36" s="359">
        <f t="shared" si="7"/>
        <v>0.86857863220926568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'[21]Sch C'!D22</f>
        <v>0</v>
      </c>
      <c r="D37" s="558">
        <f>'[21]Sch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'[21]Sch C'!D23</f>
        <v>5483</v>
      </c>
      <c r="D38" s="558">
        <f>'[21]Sch C'!F23</f>
        <v>0</v>
      </c>
      <c r="E38" s="171">
        <f t="shared" si="4"/>
        <v>5483</v>
      </c>
      <c r="F38" s="171"/>
      <c r="G38" s="171">
        <f t="shared" si="5"/>
        <v>5483</v>
      </c>
      <c r="H38" s="172">
        <f t="shared" si="6"/>
        <v>1.5205609907745794E-3</v>
      </c>
      <c r="I38" s="336"/>
      <c r="J38" s="168"/>
      <c r="K38" s="168"/>
      <c r="M38" s="359">
        <f t="shared" si="7"/>
        <v>0.34560352978254016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'[21]Sch C'!D24</f>
        <v>10849</v>
      </c>
      <c r="D39" s="558">
        <f>'[21]Sch C'!F24</f>
        <v>0</v>
      </c>
      <c r="E39" s="171">
        <f t="shared" si="4"/>
        <v>10849</v>
      </c>
      <c r="F39" s="171"/>
      <c r="G39" s="171">
        <f t="shared" si="5"/>
        <v>10849</v>
      </c>
      <c r="H39" s="172">
        <f t="shared" si="6"/>
        <v>3.0086752122767484E-3</v>
      </c>
      <c r="I39" s="336"/>
      <c r="J39" s="168"/>
      <c r="K39" s="168"/>
      <c r="M39" s="359">
        <f t="shared" si="7"/>
        <v>0.68383233532934129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'[21]Sch C'!D25</f>
        <v>3190</v>
      </c>
      <c r="D40" s="558">
        <f>'[21]Sch C'!F25</f>
        <v>0</v>
      </c>
      <c r="E40" s="171">
        <f t="shared" si="4"/>
        <v>3190</v>
      </c>
      <c r="F40" s="171"/>
      <c r="G40" s="171">
        <f t="shared" si="5"/>
        <v>3190</v>
      </c>
      <c r="H40" s="172">
        <f t="shared" si="6"/>
        <v>8.8465977759819589E-4</v>
      </c>
      <c r="I40" s="336"/>
      <c r="J40" s="168"/>
      <c r="K40" s="168"/>
      <c r="M40" s="359">
        <f t="shared" si="7"/>
        <v>0.20107154112826978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'[21]Sch C'!D26</f>
        <v>257497</v>
      </c>
      <c r="D41" s="558">
        <f>'[21]Sch C'!F26</f>
        <v>0</v>
      </c>
      <c r="E41" s="171">
        <f t="shared" si="4"/>
        <v>257497</v>
      </c>
      <c r="F41" s="171"/>
      <c r="G41" s="171">
        <f t="shared" si="5"/>
        <v>257497</v>
      </c>
      <c r="H41" s="172">
        <f t="shared" si="6"/>
        <v>7.1409792712289227E-2</v>
      </c>
      <c r="I41" s="336"/>
      <c r="J41" s="168"/>
      <c r="K41" s="168"/>
      <c r="M41" s="359">
        <f t="shared" si="7"/>
        <v>16.23050740624015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'[21]Sch C'!D27</f>
        <v>13366</v>
      </c>
      <c r="D42" s="558">
        <f>'[21]Sch C'!F27</f>
        <v>0</v>
      </c>
      <c r="E42" s="171">
        <f t="shared" si="4"/>
        <v>13366</v>
      </c>
      <c r="F42" s="171"/>
      <c r="G42" s="171">
        <f t="shared" si="5"/>
        <v>13366</v>
      </c>
      <c r="H42" s="172">
        <f t="shared" si="6"/>
        <v>3.7066967358550112E-3</v>
      </c>
      <c r="I42" s="336"/>
      <c r="J42" s="168"/>
      <c r="K42" s="168"/>
      <c r="M42" s="359">
        <f t="shared" si="7"/>
        <v>0.84248345414434289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'[21]Sch C'!D28</f>
        <v>58143</v>
      </c>
      <c r="D43" s="558">
        <f>'[21]Sch C'!F28</f>
        <v>-58143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'[21]Sch C'!D29</f>
        <v>42926</v>
      </c>
      <c r="D44" s="558">
        <f>'[21]Sch C'!F29</f>
        <v>-42926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'[21]Sch C'!D30</f>
        <v>0</v>
      </c>
      <c r="D45" s="558">
        <f>'[21]Sch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'[21]Sch C'!D31</f>
        <v>0</v>
      </c>
      <c r="D46" s="558">
        <f>'[21]Sch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'[21]Sch C'!D32</f>
        <v>49140</v>
      </c>
      <c r="D47" s="558">
        <f>'[21]Sch C'!F32</f>
        <v>0</v>
      </c>
      <c r="E47" s="171">
        <f t="shared" si="4"/>
        <v>49140</v>
      </c>
      <c r="F47" s="171"/>
      <c r="G47" s="171">
        <f t="shared" si="5"/>
        <v>49140</v>
      </c>
      <c r="H47" s="172">
        <f t="shared" si="6"/>
        <v>1.3627643094412334E-2</v>
      </c>
      <c r="I47" s="336"/>
      <c r="J47" s="168"/>
      <c r="K47" s="168"/>
      <c r="M47" s="359">
        <f t="shared" si="7"/>
        <v>3.0973841790104002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'[21]Sch C'!D33</f>
        <v>0</v>
      </c>
      <c r="D48" s="558">
        <f>'[21]Sch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'[21]Sch C'!D34</f>
        <v>166</v>
      </c>
      <c r="D49" s="558">
        <f>'[21]Sch C'!F34</f>
        <v>0</v>
      </c>
      <c r="E49" s="171">
        <f t="shared" si="4"/>
        <v>166</v>
      </c>
      <c r="F49" s="171"/>
      <c r="G49" s="171">
        <f t="shared" si="5"/>
        <v>166</v>
      </c>
      <c r="H49" s="172">
        <f t="shared" si="6"/>
        <v>4.6035587172821475E-5</v>
      </c>
      <c r="I49" s="336"/>
      <c r="J49" s="168"/>
      <c r="K49" s="168"/>
      <c r="M49" s="359">
        <f t="shared" si="7"/>
        <v>1.0463283958398991E-2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'[21]Sch C'!D35</f>
        <v>0</v>
      </c>
      <c r="D50" s="558">
        <f>'[21]Sch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'[21]Sch C'!D36</f>
        <v>26390</v>
      </c>
      <c r="D51" s="558">
        <f>'[21]Sch C'!F36</f>
        <v>0</v>
      </c>
      <c r="E51" s="171">
        <f t="shared" si="4"/>
        <v>26390</v>
      </c>
      <c r="F51" s="171"/>
      <c r="G51" s="171">
        <f t="shared" si="5"/>
        <v>26390</v>
      </c>
      <c r="H51" s="172">
        <f t="shared" si="6"/>
        <v>7.3185490692214382E-3</v>
      </c>
      <c r="I51" s="336"/>
      <c r="J51" s="183">
        <v>1732</v>
      </c>
      <c r="K51" s="183">
        <v>1944</v>
      </c>
      <c r="M51" s="359">
        <f t="shared" si="7"/>
        <v>1.663410022061141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'[21]Sch C'!D37</f>
        <v>696</v>
      </c>
      <c r="D52" s="558">
        <f>'[21]Sch C'!F37</f>
        <v>0</v>
      </c>
      <c r="E52" s="171">
        <f t="shared" si="4"/>
        <v>696</v>
      </c>
      <c r="F52" s="171"/>
      <c r="G52" s="171">
        <f t="shared" si="5"/>
        <v>696</v>
      </c>
      <c r="H52" s="172">
        <f t="shared" si="6"/>
        <v>1.9301667874869729E-4</v>
      </c>
      <c r="I52" s="336"/>
      <c r="J52" s="168"/>
      <c r="K52" s="168"/>
      <c r="M52" s="359">
        <f t="shared" si="7"/>
        <v>4.3870154427986134E-2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'[21]Sch C'!D38</f>
        <v>2211</v>
      </c>
      <c r="D53" s="558">
        <f>'[21]Sch C'!F38</f>
        <v>-2211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'[21]Sch C'!D39</f>
        <v>2575</v>
      </c>
      <c r="D54" s="558">
        <f>'[21]Sch C'!F39</f>
        <v>0</v>
      </c>
      <c r="E54" s="171">
        <f t="shared" si="4"/>
        <v>2575</v>
      </c>
      <c r="F54" s="171"/>
      <c r="G54" s="171">
        <f t="shared" si="5"/>
        <v>2575</v>
      </c>
      <c r="H54" s="172">
        <f t="shared" si="6"/>
        <v>7.1410624680732105E-4</v>
      </c>
      <c r="I54" s="336"/>
      <c r="J54" s="168"/>
      <c r="K54" s="168"/>
      <c r="M54" s="359">
        <f t="shared" si="7"/>
        <v>0.16230696501733374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'[21]Sch C'!D40</f>
        <v>5025</v>
      </c>
      <c r="D55" s="558">
        <f>'[21]Sch C'!F40</f>
        <v>-5025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'[21]Sch C'!D41</f>
        <v>48483</v>
      </c>
      <c r="D56" s="558">
        <f>'[21]Sch C'!F41</f>
        <v>0</v>
      </c>
      <c r="E56" s="171">
        <f t="shared" si="4"/>
        <v>48483</v>
      </c>
      <c r="F56" s="171"/>
      <c r="G56" s="171">
        <f t="shared" si="5"/>
        <v>48483</v>
      </c>
      <c r="H56" s="172">
        <f t="shared" si="6"/>
        <v>1.3445442005421106E-2</v>
      </c>
      <c r="I56" s="336"/>
      <c r="J56" s="168"/>
      <c r="K56" s="168"/>
      <c r="M56" s="359">
        <f t="shared" si="7"/>
        <v>3.0559722659943271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'[21]Sch C'!D42</f>
        <v>1205</v>
      </c>
      <c r="D57" s="558">
        <f>'[21]Sch C'!F42</f>
        <v>0</v>
      </c>
      <c r="E57" s="171">
        <f t="shared" si="4"/>
        <v>1205</v>
      </c>
      <c r="F57" s="171"/>
      <c r="G57" s="171">
        <f t="shared" si="5"/>
        <v>1205</v>
      </c>
      <c r="H57" s="172">
        <f t="shared" si="6"/>
        <v>3.3417399122439689E-4</v>
      </c>
      <c r="I57" s="336"/>
      <c r="J57" s="168"/>
      <c r="K57" s="168"/>
      <c r="M57" s="359">
        <f t="shared" si="7"/>
        <v>7.5953356445004727E-2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'[21]Sch C'!D43</f>
        <v>4296</v>
      </c>
      <c r="D58" s="558">
        <f>'[21]Sch C'!F43</f>
        <v>-4296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'[21]Sch C'!D44</f>
        <v>0</v>
      </c>
      <c r="D59" s="558">
        <f>'[21]Sch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'[21]Sch C'!D45</f>
        <v>4245</v>
      </c>
      <c r="D60" s="558">
        <f>'[21]Sch C'!F45</f>
        <v>-14178</v>
      </c>
      <c r="E60" s="171">
        <f t="shared" si="4"/>
        <v>-9933</v>
      </c>
      <c r="F60" s="171"/>
      <c r="G60" s="171">
        <f t="shared" si="5"/>
        <v>-9933</v>
      </c>
      <c r="H60" s="172">
        <f t="shared" si="6"/>
        <v>-2.7546475143833478E-3</v>
      </c>
      <c r="I60" s="336"/>
      <c r="J60" s="168"/>
      <c r="K60" s="168"/>
      <c r="M60" s="359">
        <f t="shared" si="7"/>
        <v>-0.62609517806492276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986174</v>
      </c>
      <c r="D61" s="558">
        <f>SUM(D25:D60)</f>
        <v>-128363</v>
      </c>
      <c r="E61" s="171">
        <f t="shared" ref="E61:F61" si="8">SUM(E25:E60)</f>
        <v>857811</v>
      </c>
      <c r="F61" s="171">
        <f t="shared" si="8"/>
        <v>0</v>
      </c>
      <c r="G61" s="171">
        <f>SUM(G25:G60)</f>
        <v>857811</v>
      </c>
      <c r="H61" s="186">
        <f t="shared" si="6"/>
        <v>0.23789056065244074</v>
      </c>
      <c r="I61" s="338"/>
      <c r="J61" s="168"/>
      <c r="K61" s="168"/>
      <c r="M61" s="364">
        <f>G61/G$228</f>
        <v>54.069398046013234</v>
      </c>
      <c r="N61" s="359">
        <f>SUMMARY!J64</f>
        <v>53.728790309602623</v>
      </c>
      <c r="O61" s="354">
        <f>M61/N61-1</f>
        <v>6.3393896353876045E-3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'[21]Sch C'!D57</f>
        <v>0</v>
      </c>
      <c r="D64" s="558">
        <f>'[21]Sch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'[21]Sch C'!D58</f>
        <v>84002</v>
      </c>
      <c r="D65" s="558">
        <f>'[21]Sch C'!F58</f>
        <v>0</v>
      </c>
      <c r="E65" s="171">
        <f t="shared" si="9"/>
        <v>84002</v>
      </c>
      <c r="F65" s="171"/>
      <c r="G65" s="171">
        <f t="shared" si="10"/>
        <v>84002</v>
      </c>
      <c r="H65" s="172">
        <f t="shared" si="11"/>
        <v>2.3295671046333431E-2</v>
      </c>
      <c r="I65" s="336"/>
      <c r="J65" s="190"/>
      <c r="K65" s="168"/>
      <c r="M65" s="359">
        <f t="shared" si="12"/>
        <v>5.2947998739363378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'[21]Sch C'!D59</f>
        <v>65405</v>
      </c>
      <c r="D66" s="558">
        <f>'[21]Sch C'!F59</f>
        <v>0</v>
      </c>
      <c r="E66" s="171">
        <f t="shared" si="9"/>
        <v>65405</v>
      </c>
      <c r="F66" s="171"/>
      <c r="G66" s="171">
        <f t="shared" si="10"/>
        <v>65405</v>
      </c>
      <c r="H66" s="172">
        <f t="shared" si="11"/>
        <v>1.8138298668905956E-2</v>
      </c>
      <c r="I66" s="336"/>
      <c r="J66" s="190"/>
      <c r="K66" s="168"/>
      <c r="M66" s="359">
        <f t="shared" si="12"/>
        <v>4.1225969114402776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'[21]Sch C'!D60</f>
        <v>10565</v>
      </c>
      <c r="D67" s="558">
        <f>'[21]Sch C'!F60</f>
        <v>0</v>
      </c>
      <c r="E67" s="171">
        <f t="shared" si="9"/>
        <v>10565</v>
      </c>
      <c r="F67" s="171"/>
      <c r="G67" s="171">
        <f t="shared" si="10"/>
        <v>10565</v>
      </c>
      <c r="H67" s="172">
        <f t="shared" si="11"/>
        <v>2.9299155330172223E-3</v>
      </c>
      <c r="I67" s="336"/>
      <c r="J67" s="193"/>
      <c r="K67" s="168"/>
      <c r="M67" s="359">
        <f t="shared" si="12"/>
        <v>0.66593129530412853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'[21]Sch C'!D61</f>
        <v>3872</v>
      </c>
      <c r="D68" s="558">
        <f>'[21]Sch C'!F61</f>
        <v>0</v>
      </c>
      <c r="E68" s="171">
        <f t="shared" si="9"/>
        <v>3872</v>
      </c>
      <c r="F68" s="171"/>
      <c r="G68" s="171">
        <f t="shared" si="10"/>
        <v>3872</v>
      </c>
      <c r="H68" s="172">
        <f t="shared" si="11"/>
        <v>1.0737939369467756E-3</v>
      </c>
      <c r="I68" s="336"/>
      <c r="J68" s="193"/>
      <c r="K68" s="168"/>
      <c r="M68" s="359">
        <f t="shared" si="12"/>
        <v>0.2440592499212102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'[21]Sch C'!D62</f>
        <v>0</v>
      </c>
      <c r="D69" s="558">
        <f>'[21]Sch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'[21]Sch C'!D63</f>
        <v>0</v>
      </c>
      <c r="D70" s="558">
        <f>'[21]Sch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'[21]Sch C'!D64</f>
        <v>0</v>
      </c>
      <c r="D71" s="558">
        <f>'[21]Sch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'[21]Sch C'!D65</f>
        <v>1905</v>
      </c>
      <c r="D72" s="558">
        <f>'[21]Sch C'!F65</f>
        <v>0</v>
      </c>
      <c r="E72" s="171">
        <f t="shared" si="9"/>
        <v>1905</v>
      </c>
      <c r="F72" s="171"/>
      <c r="G72" s="171">
        <f t="shared" si="10"/>
        <v>1905</v>
      </c>
      <c r="H72" s="172">
        <f t="shared" si="11"/>
        <v>5.282999612302706E-4</v>
      </c>
      <c r="I72" s="336"/>
      <c r="J72" s="195"/>
      <c r="K72" s="168"/>
      <c r="M72" s="359">
        <f t="shared" si="12"/>
        <v>0.12007563819728963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'[21]Sch C'!D66</f>
        <v>48220</v>
      </c>
      <c r="D73" s="558">
        <f>'[21]Sch C'!F66</f>
        <v>47</v>
      </c>
      <c r="E73" s="171">
        <f t="shared" si="9"/>
        <v>48267</v>
      </c>
      <c r="F73" s="171"/>
      <c r="G73" s="171">
        <f t="shared" si="10"/>
        <v>48267</v>
      </c>
      <c r="H73" s="172">
        <f t="shared" si="11"/>
        <v>1.3385540277533579E-2</v>
      </c>
      <c r="I73" s="336"/>
      <c r="J73" s="195"/>
      <c r="K73" s="168"/>
      <c r="M73" s="359">
        <f t="shared" si="12"/>
        <v>3.0423573904821937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'[21]Sch C'!D67</f>
        <v>28702</v>
      </c>
      <c r="D74" s="558">
        <f>'[21]Sch C'!F67</f>
        <v>0</v>
      </c>
      <c r="E74" s="171">
        <f t="shared" si="9"/>
        <v>28702</v>
      </c>
      <c r="F74" s="171"/>
      <c r="G74" s="171">
        <f t="shared" si="10"/>
        <v>28702</v>
      </c>
      <c r="H74" s="172">
        <f t="shared" si="11"/>
        <v>7.9597194158694106E-3</v>
      </c>
      <c r="I74" s="336"/>
      <c r="J74" s="195"/>
      <c r="K74" s="168"/>
      <c r="M74" s="359">
        <f t="shared" si="12"/>
        <v>1.8091396155058304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'[21]Sch C'!D68</f>
        <v>0</v>
      </c>
      <c r="D75" s="558">
        <f>'[21]Sch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'[21]Sch C'!D69</f>
        <v>3788</v>
      </c>
      <c r="D76" s="558">
        <f>'[21]Sch C'!F69</f>
        <v>0</v>
      </c>
      <c r="E76" s="171">
        <f t="shared" si="9"/>
        <v>3788</v>
      </c>
      <c r="F76" s="171"/>
      <c r="G76" s="171">
        <f t="shared" si="10"/>
        <v>3788</v>
      </c>
      <c r="H76" s="172">
        <f t="shared" si="11"/>
        <v>1.0504988205460707E-3</v>
      </c>
      <c r="I76" s="336"/>
      <c r="J76" s="195"/>
      <c r="K76" s="168"/>
      <c r="M76" s="359">
        <f t="shared" si="12"/>
        <v>0.23876457611093602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'[21]Sch C'!D70</f>
        <v>0</v>
      </c>
      <c r="D77" s="558">
        <f>'[21]Sch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'[21]Sch C'!D71</f>
        <v>0</v>
      </c>
      <c r="D78" s="558">
        <f>'[21]Sch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246459</v>
      </c>
      <c r="D79" s="558">
        <f>SUM(D64:D78)</f>
        <v>47</v>
      </c>
      <c r="E79" s="171">
        <f t="shared" ref="E79:F79" si="13">SUM(E64:E78)</f>
        <v>246506</v>
      </c>
      <c r="F79" s="171">
        <f t="shared" si="13"/>
        <v>0</v>
      </c>
      <c r="G79" s="171">
        <f>SUM(G64:G78)</f>
        <v>246506</v>
      </c>
      <c r="H79" s="172">
        <f t="shared" si="11"/>
        <v>6.8361737660382713E-2</v>
      </c>
      <c r="I79" s="336"/>
      <c r="J79" s="195"/>
      <c r="K79" s="168"/>
      <c r="M79" s="359">
        <f t="shared" si="12"/>
        <v>15.537724550898204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'[21]Sch C'!D75</f>
        <v>40079</v>
      </c>
      <c r="D82" s="558">
        <f>'[21]Sch C'!F75</f>
        <v>0</v>
      </c>
      <c r="E82" s="171">
        <f t="shared" ref="E82:E92" si="14">C82+D82</f>
        <v>40079</v>
      </c>
      <c r="F82" s="171"/>
      <c r="G82" s="171">
        <f t="shared" ref="G82:G92" si="15">E82+F82</f>
        <v>40079</v>
      </c>
      <c r="H82" s="172">
        <f t="shared" ref="H82:H93" si="16">IF($G$208=0,0,G82/$G$208)</f>
        <v>1.1114821074093445E-2</v>
      </c>
      <c r="I82" s="336"/>
      <c r="J82" s="183">
        <v>1872</v>
      </c>
      <c r="K82" s="183">
        <v>2090</v>
      </c>
      <c r="M82" s="359">
        <f t="shared" ref="M82:M92" si="17">G82/G$228</f>
        <v>2.5262527576426095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'[21]Sch C'!D76</f>
        <v>6655</v>
      </c>
      <c r="D83" s="558">
        <f>'[21]Sch C'!F76</f>
        <v>0</v>
      </c>
      <c r="E83" s="171">
        <f t="shared" si="14"/>
        <v>6655</v>
      </c>
      <c r="F83" s="171"/>
      <c r="G83" s="171">
        <f t="shared" si="15"/>
        <v>6655</v>
      </c>
      <c r="H83" s="172">
        <f t="shared" si="16"/>
        <v>1.8455833291272706E-3</v>
      </c>
      <c r="I83" s="336"/>
      <c r="J83" s="168"/>
      <c r="K83" s="168"/>
      <c r="M83" s="359">
        <f t="shared" si="17"/>
        <v>0.41947683580208006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'[21]Sch C'!D77</f>
        <v>6536</v>
      </c>
      <c r="D84" s="558">
        <f>'[21]Sch C'!F77</f>
        <v>0</v>
      </c>
      <c r="E84" s="171">
        <f t="shared" si="14"/>
        <v>6536</v>
      </c>
      <c r="F84" s="171"/>
      <c r="G84" s="171">
        <f t="shared" si="15"/>
        <v>6536</v>
      </c>
      <c r="H84" s="172">
        <f t="shared" si="16"/>
        <v>1.8125819142262721E-3</v>
      </c>
      <c r="I84" s="336"/>
      <c r="J84" s="168"/>
      <c r="K84" s="168"/>
      <c r="M84" s="359">
        <f t="shared" si="17"/>
        <v>0.41197604790419162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'[21]Sch C'!D78</f>
        <v>0</v>
      </c>
      <c r="D85" s="558">
        <f>'[21]Sch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'[21]Sch C'!D79</f>
        <v>4666</v>
      </c>
      <c r="D86" s="558">
        <f>'[21]Sch C'!F79</f>
        <v>0</v>
      </c>
      <c r="E86" s="171">
        <f t="shared" si="14"/>
        <v>4666</v>
      </c>
      <c r="F86" s="171"/>
      <c r="G86" s="171">
        <f>E86+F86</f>
        <v>4666</v>
      </c>
      <c r="H86" s="172">
        <f t="shared" si="16"/>
        <v>1.2939882514962952E-3</v>
      </c>
      <c r="I86" s="336"/>
      <c r="J86" s="168"/>
      <c r="K86" s="168"/>
      <c r="M86" s="359">
        <f t="shared" si="17"/>
        <v>0.29410652379451624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'[21]Sch C'!D80</f>
        <v>10137</v>
      </c>
      <c r="D87" s="558">
        <f>'[21]Sch C'!F80</f>
        <v>0</v>
      </c>
      <c r="E87" s="171">
        <f t="shared" si="14"/>
        <v>10137</v>
      </c>
      <c r="F87" s="171"/>
      <c r="G87" s="171">
        <f t="shared" si="15"/>
        <v>10137</v>
      </c>
      <c r="H87" s="172">
        <f t="shared" si="16"/>
        <v>2.8112213684993452E-3</v>
      </c>
      <c r="I87" s="336"/>
      <c r="J87" s="168"/>
      <c r="K87" s="168"/>
      <c r="M87" s="359">
        <f t="shared" si="17"/>
        <v>0.63895367160416006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'[21]Sch C'!D81</f>
        <v>17209</v>
      </c>
      <c r="D88" s="558">
        <f>'[21]Sch C'!F81</f>
        <v>0</v>
      </c>
      <c r="E88" s="171">
        <f t="shared" si="14"/>
        <v>17209</v>
      </c>
      <c r="F88" s="171"/>
      <c r="G88" s="171">
        <f t="shared" si="15"/>
        <v>17209</v>
      </c>
      <c r="H88" s="172">
        <f t="shared" si="16"/>
        <v>4.7724483111872577E-3</v>
      </c>
      <c r="I88" s="336"/>
      <c r="J88" s="168"/>
      <c r="K88" s="168"/>
      <c r="M88" s="359">
        <f t="shared" si="17"/>
        <v>1.0847147809643871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'[21]Sch C'!D82</f>
        <v>11196</v>
      </c>
      <c r="D89" s="558">
        <f>'[21]Sch C'!F82</f>
        <v>0</v>
      </c>
      <c r="E89" s="171">
        <f t="shared" si="14"/>
        <v>11196</v>
      </c>
      <c r="F89" s="171"/>
      <c r="G89" s="171">
        <f t="shared" si="15"/>
        <v>11196</v>
      </c>
      <c r="H89" s="172">
        <f t="shared" si="16"/>
        <v>3.1049062288368025E-3</v>
      </c>
      <c r="I89" s="336"/>
      <c r="J89" s="168"/>
      <c r="K89" s="168"/>
      <c r="M89" s="359">
        <f t="shared" si="17"/>
        <v>0.70570438071225972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'[21]Sch C'!D83</f>
        <v>6924</v>
      </c>
      <c r="D90" s="558">
        <f>'[21]Sch C'!F83</f>
        <v>0</v>
      </c>
      <c r="E90" s="171">
        <f t="shared" si="14"/>
        <v>6924</v>
      </c>
      <c r="F90" s="171"/>
      <c r="G90" s="171">
        <f t="shared" si="15"/>
        <v>6924</v>
      </c>
      <c r="H90" s="172">
        <f t="shared" si="16"/>
        <v>1.9201831661723849E-3</v>
      </c>
      <c r="I90" s="336"/>
      <c r="J90" s="168"/>
      <c r="K90" s="168"/>
      <c r="M90" s="359">
        <f t="shared" si="17"/>
        <v>0.43643239836117237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'[21]Sch C'!D84</f>
        <v>47756</v>
      </c>
      <c r="D91" s="558">
        <f>'[21]Sch C'!F84</f>
        <v>0</v>
      </c>
      <c r="E91" s="171">
        <f t="shared" si="14"/>
        <v>47756</v>
      </c>
      <c r="F91" s="171"/>
      <c r="G91" s="171">
        <f t="shared" si="15"/>
        <v>47756</v>
      </c>
      <c r="H91" s="172">
        <f t="shared" si="16"/>
        <v>1.3243828319429291E-2</v>
      </c>
      <c r="I91" s="336"/>
      <c r="J91" s="168"/>
      <c r="K91" s="168"/>
      <c r="M91" s="359">
        <f t="shared" si="17"/>
        <v>3.0101481248030257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'[21]Sch C'!D85</f>
        <v>0</v>
      </c>
      <c r="D92" s="558">
        <f>'[21]Sch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151158</v>
      </c>
      <c r="D93" s="558">
        <f>SUM(D82:D92)</f>
        <v>0</v>
      </c>
      <c r="E93" s="171">
        <f t="shared" ref="E93:F93" si="18">SUM(E82:E92)</f>
        <v>151158</v>
      </c>
      <c r="F93" s="171">
        <f t="shared" si="18"/>
        <v>0</v>
      </c>
      <c r="G93" s="171">
        <f>SUM(G82:G92)</f>
        <v>151158</v>
      </c>
      <c r="H93" s="172">
        <f t="shared" si="16"/>
        <v>4.1919561963068369E-2</v>
      </c>
      <c r="I93" s="336"/>
      <c r="J93" s="168"/>
      <c r="K93" s="168"/>
      <c r="M93" s="364">
        <f>G93/G$228</f>
        <v>9.5277655215884014</v>
      </c>
      <c r="N93" s="359">
        <f>SUMMARY!J96</f>
        <v>11.458724454710746</v>
      </c>
      <c r="O93" s="354">
        <f>M93/N93-1</f>
        <v>-0.16851430023945779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'[21]Sch C'!D89</f>
        <v>81556</v>
      </c>
      <c r="D96" s="558">
        <f>'[21]Sch C'!F89</f>
        <v>0</v>
      </c>
      <c r="E96" s="171">
        <f t="shared" ref="E96:E101" si="19">C96+D96</f>
        <v>81556</v>
      </c>
      <c r="F96" s="171"/>
      <c r="G96" s="171">
        <f t="shared" ref="G96:G101" si="20">E96+F96</f>
        <v>81556</v>
      </c>
      <c r="H96" s="172">
        <f t="shared" ref="H96:H102" si="21">IF($G$208=0,0,G96/$G$208)</f>
        <v>2.261733944257005E-2</v>
      </c>
      <c r="I96" s="336"/>
      <c r="J96" s="183">
        <v>6447</v>
      </c>
      <c r="K96" s="183">
        <v>7318</v>
      </c>
      <c r="M96" s="364">
        <f t="shared" ref="M96:M101" si="22">G96/G$228</f>
        <v>5.1406240151276394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'[21]Sch C'!D90</f>
        <v>16363</v>
      </c>
      <c r="D97" s="558">
        <f>'[21]Sch C'!F90</f>
        <v>0</v>
      </c>
      <c r="E97" s="171">
        <f t="shared" si="19"/>
        <v>16363</v>
      </c>
      <c r="F97" s="171"/>
      <c r="G97" s="171">
        <f t="shared" si="20"/>
        <v>16363</v>
      </c>
      <c r="H97" s="172">
        <f t="shared" si="21"/>
        <v>4.5378332102944448E-3</v>
      </c>
      <c r="I97" s="336"/>
      <c r="J97" s="168"/>
      <c r="K97" s="168"/>
      <c r="M97" s="364">
        <f t="shared" si="22"/>
        <v>1.0313898518751969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'[21]Sch C'!D91</f>
        <v>113559</v>
      </c>
      <c r="D98" s="558">
        <f>'[21]Sch C'!F91</f>
        <v>0</v>
      </c>
      <c r="E98" s="171">
        <f t="shared" si="19"/>
        <v>113559</v>
      </c>
      <c r="F98" s="171"/>
      <c r="G98" s="171">
        <f t="shared" si="20"/>
        <v>113559</v>
      </c>
      <c r="H98" s="172">
        <f t="shared" si="21"/>
        <v>3.1492501468424298E-2</v>
      </c>
      <c r="I98" s="336"/>
      <c r="J98" s="168"/>
      <c r="K98" s="168"/>
      <c r="M98" s="364">
        <f t="shared" si="22"/>
        <v>7.1578317050110307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'[21]Sch C'!D92</f>
        <v>51493</v>
      </c>
      <c r="D99" s="558">
        <f>'[21]Sch C'!F92</f>
        <v>-55</v>
      </c>
      <c r="E99" s="171">
        <f t="shared" si="19"/>
        <v>51438</v>
      </c>
      <c r="F99" s="171"/>
      <c r="G99" s="171">
        <f t="shared" si="20"/>
        <v>51438</v>
      </c>
      <c r="H99" s="172">
        <f t="shared" si="21"/>
        <v>1.4264930921660188E-2</v>
      </c>
      <c r="I99" s="336"/>
      <c r="J99" s="168"/>
      <c r="K99" s="168"/>
      <c r="M99" s="364">
        <f t="shared" si="22"/>
        <v>3.2422313268200442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'[21]Sch C'!D93</f>
        <v>7578</v>
      </c>
      <c r="D100" s="558">
        <f>'[21]Sch C'!F93</f>
        <v>0</v>
      </c>
      <c r="E100" s="171">
        <f t="shared" si="19"/>
        <v>7578</v>
      </c>
      <c r="F100" s="171"/>
      <c r="G100" s="171">
        <f t="shared" si="20"/>
        <v>7578</v>
      </c>
      <c r="H100" s="172">
        <f t="shared" si="21"/>
        <v>2.1015522867207296E-3</v>
      </c>
      <c r="I100" s="336"/>
      <c r="J100" s="168"/>
      <c r="K100" s="168"/>
      <c r="M100" s="364">
        <f t="shared" si="22"/>
        <v>0.47765521588402143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'[21]Sch C'!D94</f>
        <v>0</v>
      </c>
      <c r="D101" s="558">
        <f>'[21]Sch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270549</v>
      </c>
      <c r="D102" s="558">
        <f>SUM(D96:D101)</f>
        <v>-55</v>
      </c>
      <c r="E102" s="171">
        <f t="shared" ref="E102:F102" si="23">SUM(E96:E101)</f>
        <v>270494</v>
      </c>
      <c r="F102" s="171">
        <f t="shared" si="23"/>
        <v>0</v>
      </c>
      <c r="G102" s="171">
        <f>SUM(G96:G101)</f>
        <v>270494</v>
      </c>
      <c r="H102" s="172">
        <f t="shared" si="21"/>
        <v>7.501415732966972E-2</v>
      </c>
      <c r="I102" s="336"/>
      <c r="J102" s="168"/>
      <c r="K102" s="168"/>
      <c r="M102" s="364">
        <f>G102/G$228</f>
        <v>17.049732114717933</v>
      </c>
      <c r="N102" s="359">
        <f>SUMMARY!J105</f>
        <v>19.901077037785338</v>
      </c>
      <c r="O102" s="354">
        <f>M102/N102-1</f>
        <v>-0.14327591002505424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'[21]Sch C'!D98</f>
        <v>0</v>
      </c>
      <c r="D105" s="558">
        <f>'[21]Sch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'[21]Sch C'!D99</f>
        <v>0</v>
      </c>
      <c r="D106" s="558">
        <f>'[21]Sch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'[21]Sch C'!D100</f>
        <v>0</v>
      </c>
      <c r="D107" s="558">
        <f>'[21]Sch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'[21]Sch C'!D101</f>
        <v>45593</v>
      </c>
      <c r="D108" s="558">
        <f>'[21]Sch C'!F101</f>
        <v>0</v>
      </c>
      <c r="E108" s="171">
        <f t="shared" si="24"/>
        <v>45593</v>
      </c>
      <c r="F108" s="171"/>
      <c r="G108" s="171">
        <f t="shared" si="25"/>
        <v>45593</v>
      </c>
      <c r="H108" s="172">
        <f t="shared" si="26"/>
        <v>1.2643979072111141E-2</v>
      </c>
      <c r="I108" s="336"/>
      <c r="J108" s="168"/>
      <c r="K108" s="168"/>
      <c r="M108" s="364">
        <f t="shared" si="27"/>
        <v>2.873810274188465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'[21]Sch C'!D102</f>
        <v>3523</v>
      </c>
      <c r="D109" s="558">
        <f>'[21]Sch C'!F102</f>
        <v>0</v>
      </c>
      <c r="E109" s="171">
        <f t="shared" si="24"/>
        <v>3523</v>
      </c>
      <c r="F109" s="171"/>
      <c r="G109" s="171">
        <f t="shared" si="25"/>
        <v>3523</v>
      </c>
      <c r="H109" s="172">
        <f t="shared" si="26"/>
        <v>9.7700827475813283E-4</v>
      </c>
      <c r="I109" s="336"/>
      <c r="J109" s="168"/>
      <c r="K109" s="168"/>
      <c r="M109" s="364">
        <f t="shared" si="27"/>
        <v>0.22206114087614245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'[21]Sch C'!D103</f>
        <v>0</v>
      </c>
      <c r="D110" s="558">
        <f>'[21]Sch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49116</v>
      </c>
      <c r="D111" s="558">
        <f>SUM(D105:D110)</f>
        <v>0</v>
      </c>
      <c r="E111" s="171">
        <f t="shared" ref="E111:F111" si="28">SUM(E105:E110)</f>
        <v>49116</v>
      </c>
      <c r="F111" s="171">
        <f t="shared" si="28"/>
        <v>0</v>
      </c>
      <c r="G111" s="171">
        <f>SUM(G105:G110)</f>
        <v>49116</v>
      </c>
      <c r="H111" s="172">
        <f t="shared" si="26"/>
        <v>1.3620987346869276E-2</v>
      </c>
      <c r="I111" s="336"/>
      <c r="J111" s="168"/>
      <c r="K111" s="168"/>
      <c r="M111" s="364">
        <f>G111/G$228</f>
        <v>3.0958714150646078</v>
      </c>
      <c r="N111" s="359">
        <f>SUMMARY!J114</f>
        <v>2.4242384372309496</v>
      </c>
      <c r="O111" s="354">
        <f>M111/N111-1</f>
        <v>0.27704905900296728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'[21]Sch C'!D115</f>
        <v>0</v>
      </c>
      <c r="D114" s="558">
        <f>'[21]Sch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'[21]Sch C'!D116</f>
        <v>0</v>
      </c>
      <c r="D115" s="558">
        <f>'[21]Sch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'[21]Sch C'!D117</f>
        <v>10489</v>
      </c>
      <c r="D116" s="558">
        <f>'[21]Sch C'!F117</f>
        <v>0</v>
      </c>
      <c r="E116" s="171">
        <f t="shared" si="29"/>
        <v>10489</v>
      </c>
      <c r="F116" s="171"/>
      <c r="G116" s="171">
        <f>E116+F116</f>
        <v>10489</v>
      </c>
      <c r="H116" s="172">
        <f t="shared" si="30"/>
        <v>2.9088389991308704E-3</v>
      </c>
      <c r="I116" s="336"/>
      <c r="J116" s="168"/>
      <c r="K116" s="168"/>
      <c r="M116" s="364">
        <f t="shared" si="31"/>
        <v>0.66114087614245198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'[21]Sch C'!D118</f>
        <v>86541</v>
      </c>
      <c r="D117" s="558">
        <f>'[21]Sch C'!F118</f>
        <v>0</v>
      </c>
      <c r="E117" s="171">
        <f t="shared" si="29"/>
        <v>86541</v>
      </c>
      <c r="F117" s="171"/>
      <c r="G117" s="171">
        <f>E117+F117</f>
        <v>86541</v>
      </c>
      <c r="H117" s="172">
        <f t="shared" si="30"/>
        <v>2.3999793671826166E-2</v>
      </c>
      <c r="I117" s="336"/>
      <c r="J117" s="168"/>
      <c r="K117" s="168"/>
      <c r="M117" s="364">
        <f t="shared" si="31"/>
        <v>5.4548376930349827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'[21]Sch C'!D119</f>
        <v>114</v>
      </c>
      <c r="D118" s="558">
        <f>'[21]Sch C'!F119</f>
        <v>0</v>
      </c>
      <c r="E118" s="171">
        <f t="shared" si="29"/>
        <v>114</v>
      </c>
      <c r="F118" s="171"/>
      <c r="G118" s="171">
        <f>E118+F118</f>
        <v>114</v>
      </c>
      <c r="H118" s="172">
        <f t="shared" si="30"/>
        <v>3.1614800829528003E-5</v>
      </c>
      <c r="I118" s="336"/>
      <c r="J118" s="168"/>
      <c r="K118" s="168"/>
      <c r="M118" s="364">
        <f t="shared" si="31"/>
        <v>7.18562874251497E-3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97144</v>
      </c>
      <c r="D119" s="558">
        <f>SUM(D114:D118)</f>
        <v>0</v>
      </c>
      <c r="E119" s="171">
        <f t="shared" ref="E119:F119" si="32">SUM(E114:E118)</f>
        <v>97144</v>
      </c>
      <c r="F119" s="171">
        <f t="shared" si="32"/>
        <v>0</v>
      </c>
      <c r="G119" s="171">
        <f>SUM(G114:G118)</f>
        <v>97144</v>
      </c>
      <c r="H119" s="172">
        <f t="shared" si="30"/>
        <v>2.6940247471786565E-2</v>
      </c>
      <c r="I119" s="336"/>
      <c r="J119" s="168"/>
      <c r="K119" s="168"/>
      <c r="M119" s="364">
        <f t="shared" si="31"/>
        <v>6.1231641979199498</v>
      </c>
      <c r="N119" s="359">
        <f>SUMMARY!J122</f>
        <v>6.0247597205909562</v>
      </c>
      <c r="O119" s="354">
        <f>M119/N119-1</f>
        <v>1.6333344712931019E-2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'[21]Sch C'!D124</f>
        <v>0</v>
      </c>
      <c r="D123" s="558">
        <f>'[21]Sch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'[21]Sch C'!D125</f>
        <v>146391</v>
      </c>
      <c r="D124" s="558">
        <f>'[21]Sch C'!F125</f>
        <v>0</v>
      </c>
      <c r="E124" s="171">
        <f t="shared" si="33"/>
        <v>146391</v>
      </c>
      <c r="F124" s="171"/>
      <c r="G124" s="171">
        <f>E124+F124</f>
        <v>146391</v>
      </c>
      <c r="H124" s="172">
        <f>IF($G$208=0,0,G124/$G$208)</f>
        <v>4.0597564107328364E-2</v>
      </c>
      <c r="I124" s="336"/>
      <c r="J124" s="183">
        <v>3451</v>
      </c>
      <c r="K124" s="183">
        <v>3770</v>
      </c>
      <c r="M124" s="364">
        <f t="shared" si="34"/>
        <v>9.2272927828553417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'[21]Sch C'!D126</f>
        <v>0</v>
      </c>
      <c r="D125" s="558">
        <f>'[21]Sch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'[21]Sch C'!D127</f>
        <v>0</v>
      </c>
      <c r="D126" s="558">
        <f>'[21]Sch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'[21]Sch C'!D128</f>
        <v>32259</v>
      </c>
      <c r="D127" s="558">
        <f>'[21]Sch C'!F128</f>
        <v>0</v>
      </c>
      <c r="E127" s="171">
        <f t="shared" si="33"/>
        <v>32259</v>
      </c>
      <c r="F127" s="171"/>
      <c r="G127" s="171">
        <f>E127+F127</f>
        <v>32259</v>
      </c>
      <c r="H127" s="172">
        <f>IF($G$208=0,0,G127/$G$208)</f>
        <v>8.9461566663135428E-3</v>
      </c>
      <c r="I127" s="336"/>
      <c r="J127" s="183">
        <v>2418</v>
      </c>
      <c r="K127" s="183">
        <v>2584</v>
      </c>
      <c r="M127" s="364">
        <f t="shared" si="34"/>
        <v>2.0333438386385123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'[21]Sch C'!D130</f>
        <v>0</v>
      </c>
      <c r="D129" s="558">
        <f>'[21]Sch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'[21]Sch C'!D131</f>
        <v>19927</v>
      </c>
      <c r="D130" s="558">
        <f>'[21]Sch C'!F131</f>
        <v>0</v>
      </c>
      <c r="E130" s="171">
        <f t="shared" si="35"/>
        <v>19927</v>
      </c>
      <c r="F130" s="171"/>
      <c r="G130" s="171">
        <f>E130+F130</f>
        <v>19927</v>
      </c>
      <c r="H130" s="172">
        <f>IF($G$208=0,0,G130/$G$208)</f>
        <v>5.5262117204386363E-3</v>
      </c>
      <c r="I130" s="336"/>
      <c r="J130" s="204"/>
      <c r="K130" s="204"/>
      <c r="M130" s="364">
        <f t="shared" si="34"/>
        <v>1.2560352978254019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'[21]Sch C'!D132</f>
        <v>0</v>
      </c>
      <c r="D131" s="558">
        <f>'[21]Sch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'[21]Sch C'!D133</f>
        <v>0</v>
      </c>
      <c r="D132" s="558">
        <f>'[21]Sch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'[21]Sch C'!D134</f>
        <v>9702</v>
      </c>
      <c r="D133" s="558">
        <f>'[21]Sch C'!F134</f>
        <v>0</v>
      </c>
      <c r="E133" s="171">
        <f t="shared" si="35"/>
        <v>9702</v>
      </c>
      <c r="F133" s="171"/>
      <c r="G133" s="171">
        <f>E133+F133</f>
        <v>9702</v>
      </c>
      <c r="H133" s="172">
        <f>IF($G$208=0,0,G133/$G$208)</f>
        <v>2.6905859442814093E-3</v>
      </c>
      <c r="I133" s="336"/>
      <c r="J133" s="168"/>
      <c r="K133" s="168"/>
      <c r="M133" s="364">
        <f t="shared" si="34"/>
        <v>0.61153482508666879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'[21]Sch C'!D136</f>
        <v>329546</v>
      </c>
      <c r="D135" s="558">
        <f>'[21]Sch C'!F136</f>
        <v>0</v>
      </c>
      <c r="E135" s="171">
        <f t="shared" ref="E135:E138" si="36">C135+D135</f>
        <v>329546</v>
      </c>
      <c r="F135" s="171"/>
      <c r="G135" s="171">
        <f>E135+F135</f>
        <v>329546</v>
      </c>
      <c r="H135" s="172">
        <f>IF($G$208=0,0,G135/$G$208)</f>
        <v>9.1390624159365219E-2</v>
      </c>
      <c r="I135" s="336"/>
      <c r="J135" s="183">
        <v>12350</v>
      </c>
      <c r="K135" s="183">
        <v>12885</v>
      </c>
      <c r="M135" s="364">
        <f t="shared" si="34"/>
        <v>20.771887803340686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'[21]Sch C'!D137</f>
        <v>147658</v>
      </c>
      <c r="D136" s="558">
        <f>'[21]Sch C'!F137</f>
        <v>0</v>
      </c>
      <c r="E136" s="171">
        <f t="shared" si="36"/>
        <v>147658</v>
      </c>
      <c r="F136" s="171"/>
      <c r="G136" s="171">
        <f>E136+F136</f>
        <v>147658</v>
      </c>
      <c r="H136" s="172">
        <f>IF($G$208=0,0,G136/$G$208)</f>
        <v>4.0948932113038995E-2</v>
      </c>
      <c r="I136" s="336"/>
      <c r="J136" s="183">
        <v>8371</v>
      </c>
      <c r="K136" s="183">
        <v>8722</v>
      </c>
      <c r="M136" s="364">
        <f t="shared" si="34"/>
        <v>9.3071541128269768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'[21]Sch C'!D138</f>
        <v>390635</v>
      </c>
      <c r="D137" s="558">
        <f>'[21]Sch C'!F138</f>
        <v>6952</v>
      </c>
      <c r="E137" s="171">
        <f t="shared" si="36"/>
        <v>397587</v>
      </c>
      <c r="F137" s="171"/>
      <c r="G137" s="171">
        <f>E137+F137</f>
        <v>397587</v>
      </c>
      <c r="H137" s="172">
        <f>IF($G$208=0,0,G137/$G$208)</f>
        <v>0.11025994576675044</v>
      </c>
      <c r="I137" s="336"/>
      <c r="J137" s="183">
        <v>37417</v>
      </c>
      <c r="K137" s="183">
        <v>39613</v>
      </c>
      <c r="M137" s="364">
        <f t="shared" si="34"/>
        <v>25.060636621493856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'[21]Sch C'!D139</f>
        <v>6952</v>
      </c>
      <c r="D138" s="558">
        <f>'[21]Sch C'!F139</f>
        <v>-6952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'[21]Sch C'!D141</f>
        <v>207121</v>
      </c>
      <c r="D140" s="558">
        <f>'[21]Sch C'!F141</f>
        <v>-129096</v>
      </c>
      <c r="E140" s="171">
        <f t="shared" ref="E140:E143" si="37">C140+D140</f>
        <v>78025</v>
      </c>
      <c r="F140" s="171"/>
      <c r="G140" s="171">
        <f>E140+F140</f>
        <v>78025</v>
      </c>
      <c r="H140" s="172">
        <f>IF($G$208=0,0,G140/$G$208)</f>
        <v>2.1638112585297565E-2</v>
      </c>
      <c r="I140" s="336"/>
      <c r="J140" s="168"/>
      <c r="K140" s="168"/>
      <c r="M140" s="364">
        <f t="shared" si="34"/>
        <v>4.918058619602899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'[21]Sch C'!D142</f>
        <v>0</v>
      </c>
      <c r="D141" s="558">
        <f>'[21]Sch C'!F142</f>
        <v>34960</v>
      </c>
      <c r="E141" s="171">
        <f t="shared" si="37"/>
        <v>34960</v>
      </c>
      <c r="F141" s="171"/>
      <c r="G141" s="171">
        <f>E141+F141</f>
        <v>34960</v>
      </c>
      <c r="H141" s="172">
        <f>IF($G$208=0,0,G141/$G$208)</f>
        <v>9.6952055877219199E-3</v>
      </c>
      <c r="I141" s="336"/>
      <c r="J141" s="168"/>
      <c r="K141" s="168"/>
      <c r="M141" s="364">
        <f t="shared" si="34"/>
        <v>2.2035928143712575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'[21]Sch C'!D143</f>
        <v>0</v>
      </c>
      <c r="D142" s="558">
        <f>'[21]Sch C'!F143</f>
        <v>94135</v>
      </c>
      <c r="E142" s="171">
        <f t="shared" si="37"/>
        <v>94135</v>
      </c>
      <c r="F142" s="171"/>
      <c r="G142" s="171">
        <f>E142+F142</f>
        <v>94135</v>
      </c>
      <c r="H142" s="172">
        <f>IF($G$208=0,0,G142/$G$208)</f>
        <v>2.6105783123575602E-2</v>
      </c>
      <c r="I142" s="336"/>
      <c r="J142" s="168"/>
      <c r="K142" s="168"/>
      <c r="M142" s="364">
        <f t="shared" si="34"/>
        <v>5.9335014182161991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'[21]Sch C'!D144</f>
        <v>0</v>
      </c>
      <c r="D143" s="558">
        <f>'[21]Sch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'[21]Sch C'!D146</f>
        <v>17468</v>
      </c>
      <c r="D145" s="558">
        <f>'[21]Sch C'!F146</f>
        <v>0</v>
      </c>
      <c r="E145" s="171">
        <f t="shared" ref="E145:E153" si="38">C145+D145</f>
        <v>17468</v>
      </c>
      <c r="F145" s="171"/>
      <c r="G145" s="171">
        <f t="shared" ref="G145:G153" si="39">E145+F145</f>
        <v>17468</v>
      </c>
      <c r="H145" s="172">
        <f t="shared" ref="H145:H153" si="40">IF($G$208=0,0,G145/$G$208)</f>
        <v>4.8442749200894308E-3</v>
      </c>
      <c r="I145" s="336"/>
      <c r="J145" s="183">
        <v>113</v>
      </c>
      <c r="K145" s="183">
        <v>113</v>
      </c>
      <c r="M145" s="364">
        <f t="shared" si="34"/>
        <v>1.1010400252127324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'[21]Sch C'!D147</f>
        <v>5735</v>
      </c>
      <c r="D146" s="558">
        <f>'[21]Sch C'!F147</f>
        <v>0</v>
      </c>
      <c r="E146" s="171">
        <f t="shared" si="38"/>
        <v>5735</v>
      </c>
      <c r="F146" s="171"/>
      <c r="G146" s="171">
        <f t="shared" si="39"/>
        <v>5735</v>
      </c>
      <c r="H146" s="172">
        <f t="shared" si="40"/>
        <v>1.5904463399766938E-3</v>
      </c>
      <c r="I146" s="336"/>
      <c r="J146" s="183">
        <v>109</v>
      </c>
      <c r="K146" s="183">
        <v>109</v>
      </c>
      <c r="M146" s="364">
        <f t="shared" si="34"/>
        <v>0.36148755121336273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'[21]Sch C'!D148</f>
        <v>0</v>
      </c>
      <c r="D147" s="558">
        <f>'[21]Sch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'[21]Sch C'!D149</f>
        <v>0</v>
      </c>
      <c r="D148" s="558">
        <f>'[21]Sch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'[21]Sch C'!D150</f>
        <v>2774</v>
      </c>
      <c r="D149" s="558">
        <f>'[21]Sch C'!F150</f>
        <v>0</v>
      </c>
      <c r="E149" s="171">
        <f t="shared" si="38"/>
        <v>2774</v>
      </c>
      <c r="F149" s="171"/>
      <c r="G149" s="171">
        <f t="shared" si="39"/>
        <v>2774</v>
      </c>
      <c r="H149" s="172">
        <f t="shared" si="40"/>
        <v>7.69293486851848E-4</v>
      </c>
      <c r="I149" s="336"/>
      <c r="J149" s="183">
        <v>0</v>
      </c>
      <c r="K149" s="183">
        <v>0</v>
      </c>
      <c r="M149" s="364">
        <f t="shared" si="34"/>
        <v>0.17485029940119762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'[21]Sch C'!D151</f>
        <v>65459</v>
      </c>
      <c r="D150" s="558">
        <f>'[21]Sch C'!F151</f>
        <v>-139</v>
      </c>
      <c r="E150" s="171">
        <f t="shared" si="38"/>
        <v>65320</v>
      </c>
      <c r="F150" s="171"/>
      <c r="G150" s="171">
        <f t="shared" si="39"/>
        <v>65320</v>
      </c>
      <c r="H150" s="172">
        <f t="shared" si="40"/>
        <v>1.8114726229690958E-2</v>
      </c>
      <c r="I150" s="336"/>
      <c r="J150" s="168"/>
      <c r="K150" s="168"/>
      <c r="M150" s="364">
        <f t="shared" si="34"/>
        <v>4.1172392057989287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'[21]Sch C'!D152</f>
        <v>7279</v>
      </c>
      <c r="D151" s="558">
        <f>'[21]Sch C'!F152</f>
        <v>0</v>
      </c>
      <c r="E151" s="171">
        <f t="shared" si="38"/>
        <v>7279</v>
      </c>
      <c r="F151" s="171"/>
      <c r="G151" s="171">
        <f t="shared" si="39"/>
        <v>7279</v>
      </c>
      <c r="H151" s="172">
        <f t="shared" si="40"/>
        <v>2.0186327652467924E-3</v>
      </c>
      <c r="I151" s="336"/>
      <c r="J151" s="168"/>
      <c r="K151" s="168"/>
      <c r="M151" s="364">
        <f t="shared" si="34"/>
        <v>0.45880869839268829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'[21]Sch C'!D153</f>
        <v>0</v>
      </c>
      <c r="D152" s="558">
        <f>'[21]Sch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'[21]Sch C'!D154</f>
        <v>105</v>
      </c>
      <c r="D153" s="558">
        <f>'[21]Sch C'!F154</f>
        <v>0</v>
      </c>
      <c r="E153" s="171">
        <f t="shared" si="38"/>
        <v>105</v>
      </c>
      <c r="F153" s="171"/>
      <c r="G153" s="171">
        <f t="shared" si="39"/>
        <v>105</v>
      </c>
      <c r="H153" s="172">
        <f t="shared" si="40"/>
        <v>2.9118895500881054E-5</v>
      </c>
      <c r="I153" s="336"/>
      <c r="J153" s="168"/>
      <c r="K153" s="168"/>
      <c r="M153" s="364">
        <f t="shared" si="34"/>
        <v>6.6183422628427356E-3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'[21]Sch C'!D156</f>
        <v>0</v>
      </c>
      <c r="D155" s="558">
        <f>'[21]Sch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'[21]Sch C'!D157</f>
        <v>0</v>
      </c>
      <c r="D156" s="558">
        <f>'[21]Sch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'[21]Sch C'!D158</f>
        <v>2217</v>
      </c>
      <c r="D157" s="558">
        <f>'[21]Sch C'!F158</f>
        <v>0</v>
      </c>
      <c r="E157" s="171">
        <f t="shared" si="41"/>
        <v>2217</v>
      </c>
      <c r="F157" s="171"/>
      <c r="G157" s="171">
        <f t="shared" si="42"/>
        <v>2217</v>
      </c>
      <c r="H157" s="172">
        <f t="shared" si="43"/>
        <v>6.1482467929003138E-4</v>
      </c>
      <c r="I157" s="336"/>
      <c r="J157" s="168"/>
      <c r="K157" s="168"/>
      <c r="M157" s="364">
        <f t="shared" si="34"/>
        <v>0.13974156949259375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'[21]Sch C'!D159</f>
        <v>0</v>
      </c>
      <c r="D158" s="558">
        <f>'[21]Sch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'[21]Sch C'!D160</f>
        <v>0</v>
      </c>
      <c r="D159" s="558">
        <f>'[21]Sch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'[21]Sch C'!D161</f>
        <v>15703</v>
      </c>
      <c r="D160" s="558">
        <f>'[21]Sch C'!F161</f>
        <v>-92</v>
      </c>
      <c r="E160" s="171">
        <f t="shared" si="41"/>
        <v>15611</v>
      </c>
      <c r="F160" s="171"/>
      <c r="G160" s="171">
        <f t="shared" si="42"/>
        <v>15611</v>
      </c>
      <c r="H160" s="172">
        <f t="shared" si="43"/>
        <v>4.329286453945278E-3</v>
      </c>
      <c r="I160" s="336"/>
      <c r="J160" s="168"/>
      <c r="K160" s="168"/>
      <c r="M160" s="364">
        <f t="shared" si="34"/>
        <v>0.98398991490702803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1406931</v>
      </c>
      <c r="D161" s="558">
        <f>SUM(D123:D160)</f>
        <v>-232</v>
      </c>
      <c r="E161" s="171">
        <f t="shared" ref="E161:F161" si="44">SUM(E123:E160)</f>
        <v>1406699</v>
      </c>
      <c r="F161" s="171">
        <f t="shared" si="44"/>
        <v>0</v>
      </c>
      <c r="G161" s="171">
        <f>SUM(G123:G160)</f>
        <v>1406699</v>
      </c>
      <c r="H161" s="172">
        <f t="shared" si="43"/>
        <v>0.39010972554470358</v>
      </c>
      <c r="I161" s="336"/>
      <c r="J161" s="168"/>
      <c r="K161" s="168"/>
      <c r="M161" s="364">
        <f>G161/G$228</f>
        <v>88.666813740939176</v>
      </c>
      <c r="N161" s="359">
        <f>SUMMARY!J164</f>
        <v>105.56901037202306</v>
      </c>
      <c r="O161" s="354">
        <f>M161/N161-1</f>
        <v>-0.16010566520914504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'[21]Sch C'!D175</f>
        <v>0</v>
      </c>
      <c r="D164" s="558">
        <f>'[21]Sch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'[21]Sch C'!D176</f>
        <v>0</v>
      </c>
      <c r="D165" s="558">
        <f>'[21]Sch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'[21]Sch C'!D177</f>
        <v>0</v>
      </c>
      <c r="D166" s="558">
        <f>'[21]Sch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'[21]Sch C'!D178</f>
        <v>0</v>
      </c>
      <c r="D167" s="558">
        <f>'[21]Sch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'[21]Sch C'!D179</f>
        <v>0</v>
      </c>
      <c r="D168" s="558">
        <f>'[21]Sch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'[21]Sch C'!D180</f>
        <v>0</v>
      </c>
      <c r="D169" s="558">
        <f>'[21]Sch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'[21]Sch C'!D181</f>
        <v>0</v>
      </c>
      <c r="D170" s="558">
        <f>'[21]Sch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'[21]Sch C'!D182</f>
        <v>0</v>
      </c>
      <c r="D171" s="558">
        <f>'[21]Sch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'[21]Sch C'!D183</f>
        <v>0</v>
      </c>
      <c r="D172" s="558">
        <f>'[21]Sch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'[21]Sch C'!D184</f>
        <v>0</v>
      </c>
      <c r="D173" s="558">
        <f>'[21]Sch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'[21]Sch C'!D185</f>
        <v>0</v>
      </c>
      <c r="D174" s="558">
        <f>'[21]Sch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'[21]Sch C'!D186</f>
        <v>0</v>
      </c>
      <c r="D175" s="558">
        <f>'[21]Sch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'[21]Sch C'!D187</f>
        <v>0</v>
      </c>
      <c r="D176" s="558">
        <f>'[21]Sch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'[21]Sch C'!D188</f>
        <v>703</v>
      </c>
      <c r="D177" s="558">
        <f>'[21]Sch C'!F188</f>
        <v>0</v>
      </c>
      <c r="E177" s="171">
        <f t="shared" si="45"/>
        <v>703</v>
      </c>
      <c r="F177" s="216"/>
      <c r="G177" s="171">
        <f t="shared" si="46"/>
        <v>703</v>
      </c>
      <c r="H177" s="172">
        <f t="shared" si="47"/>
        <v>1.9495793844875601E-4</v>
      </c>
      <c r="I177" s="336"/>
      <c r="J177" s="223"/>
      <c r="K177" s="218"/>
      <c r="L177" s="220"/>
      <c r="M177" s="364">
        <f t="shared" si="48"/>
        <v>4.431137724550898E-2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'[21]Sch C'!D189</f>
        <v>0</v>
      </c>
      <c r="D178" s="558">
        <f>'[21]Sch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'[21]Sch C'!D190</f>
        <v>0</v>
      </c>
      <c r="D179" s="558">
        <f>'[21]Sch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'[21]Sch C'!D191</f>
        <v>247</v>
      </c>
      <c r="D180" s="558">
        <f>'[21]Sch C'!F191</f>
        <v>0</v>
      </c>
      <c r="E180" s="171">
        <f t="shared" si="45"/>
        <v>247</v>
      </c>
      <c r="F180" s="216"/>
      <c r="G180" s="171">
        <f t="shared" si="46"/>
        <v>247</v>
      </c>
      <c r="H180" s="172">
        <f t="shared" si="47"/>
        <v>6.8498735130644001E-5</v>
      </c>
      <c r="I180" s="336"/>
      <c r="J180" s="223"/>
      <c r="K180" s="218"/>
      <c r="L180" s="220"/>
      <c r="M180" s="364">
        <f t="shared" si="48"/>
        <v>1.5568862275449102E-2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'[21]Sch C'!D192</f>
        <v>145</v>
      </c>
      <c r="D181" s="558">
        <f>'[21]Sch C'!F192</f>
        <v>0</v>
      </c>
      <c r="E181" s="171">
        <f t="shared" si="45"/>
        <v>145</v>
      </c>
      <c r="F181" s="216"/>
      <c r="G181" s="171">
        <f t="shared" si="46"/>
        <v>145</v>
      </c>
      <c r="H181" s="172">
        <f t="shared" si="47"/>
        <v>4.0211808072645268E-5</v>
      </c>
      <c r="I181" s="336"/>
      <c r="J181" s="223"/>
      <c r="K181" s="218"/>
      <c r="L181" s="220"/>
      <c r="M181" s="364">
        <f t="shared" si="48"/>
        <v>9.1396155058304437E-3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'[21]Sch C'!D193</f>
        <v>4902</v>
      </c>
      <c r="D182" s="558">
        <f>'[21]Sch C'!F193</f>
        <v>0</v>
      </c>
      <c r="E182" s="171">
        <f t="shared" si="45"/>
        <v>4902</v>
      </c>
      <c r="F182" s="216"/>
      <c r="G182" s="171">
        <f t="shared" si="46"/>
        <v>4902</v>
      </c>
      <c r="H182" s="172">
        <f t="shared" si="47"/>
        <v>1.3594364356697042E-3</v>
      </c>
      <c r="I182" s="336"/>
      <c r="J182" s="223"/>
      <c r="K182" s="218"/>
      <c r="L182" s="220"/>
      <c r="M182" s="364">
        <f t="shared" si="48"/>
        <v>0.30898203592814372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'[21]Sch C'!D194</f>
        <v>125010</v>
      </c>
      <c r="D183" s="558">
        <f>'[21]Sch C'!F194</f>
        <v>-1688</v>
      </c>
      <c r="E183" s="171">
        <f t="shared" si="45"/>
        <v>123322</v>
      </c>
      <c r="F183" s="216"/>
      <c r="G183" s="171">
        <f t="shared" si="46"/>
        <v>123322</v>
      </c>
      <c r="H183" s="172">
        <f t="shared" si="47"/>
        <v>3.4200004104377651E-2</v>
      </c>
      <c r="I183" s="336"/>
      <c r="J183" s="223"/>
      <c r="K183" s="218"/>
      <c r="M183" s="364">
        <f t="shared" si="48"/>
        <v>7.7732114717932559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'[21]Sch C'!D195</f>
        <v>18838</v>
      </c>
      <c r="D184" s="558">
        <f>'[21]Sch C'!F195</f>
        <v>-254</v>
      </c>
      <c r="E184" s="171">
        <f t="shared" si="45"/>
        <v>18584</v>
      </c>
      <c r="F184" s="216"/>
      <c r="G184" s="171">
        <f t="shared" si="46"/>
        <v>18584</v>
      </c>
      <c r="H184" s="172">
        <f t="shared" si="47"/>
        <v>5.1537671808416525E-3</v>
      </c>
      <c r="I184" s="336"/>
      <c r="J184" s="223"/>
      <c r="K184" s="218"/>
      <c r="M184" s="364">
        <f t="shared" si="48"/>
        <v>1.1713835486920896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'[21]Sch C'!D196</f>
        <v>0</v>
      </c>
      <c r="D185" s="558">
        <f>'[21]Sch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'[21]Sch C'!D197</f>
        <v>82738</v>
      </c>
      <c r="D186" s="558">
        <f>'[21]Sch C'!F197</f>
        <v>-1117</v>
      </c>
      <c r="E186" s="171">
        <f t="shared" si="45"/>
        <v>81621</v>
      </c>
      <c r="F186" s="216"/>
      <c r="G186" s="171">
        <f t="shared" si="46"/>
        <v>81621</v>
      </c>
      <c r="H186" s="172">
        <f t="shared" si="47"/>
        <v>2.2635365425499168E-2</v>
      </c>
      <c r="I186" s="336"/>
      <c r="J186" s="223"/>
      <c r="K186" s="218"/>
      <c r="M186" s="364">
        <f t="shared" si="48"/>
        <v>5.1447210841474948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'[21]Sch C'!D198</f>
        <v>9660</v>
      </c>
      <c r="D187" s="558">
        <f>'[21]Sch C'!F198</f>
        <v>0</v>
      </c>
      <c r="E187" s="171">
        <f t="shared" si="45"/>
        <v>9660</v>
      </c>
      <c r="F187" s="216"/>
      <c r="G187" s="171">
        <f t="shared" si="46"/>
        <v>9660</v>
      </c>
      <c r="H187" s="172">
        <f t="shared" si="47"/>
        <v>2.6789383860810569E-3</v>
      </c>
      <c r="I187" s="336"/>
      <c r="J187" s="223"/>
      <c r="K187" s="218"/>
      <c r="M187" s="364">
        <f t="shared" si="48"/>
        <v>0.60888748818153171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'[21]Sch C'!D199</f>
        <v>0</v>
      </c>
      <c r="D188" s="558">
        <f>'[21]Sch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'[21]Sch C'!D200</f>
        <v>0</v>
      </c>
      <c r="D189" s="558">
        <f>'[21]Sch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'[21]Sch C'!D201</f>
        <v>0</v>
      </c>
      <c r="D190" s="558">
        <f>'[21]Sch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'[21]Sch C'!D202</f>
        <v>0</v>
      </c>
      <c r="D191" s="558">
        <f>'[21]Sch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'[21]Sch C'!D203</f>
        <v>0</v>
      </c>
      <c r="D192" s="558">
        <f>'[21]Sch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'[21]Sch C'!D204</f>
        <v>0</v>
      </c>
      <c r="D193" s="558">
        <f>'[21]Sch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'[21]Sch C'!D205</f>
        <v>128649</v>
      </c>
      <c r="D194" s="558">
        <f>'[21]Sch C'!F205</f>
        <v>-1926</v>
      </c>
      <c r="E194" s="171">
        <f t="shared" si="45"/>
        <v>126723</v>
      </c>
      <c r="F194" s="216"/>
      <c r="G194" s="171">
        <f t="shared" si="46"/>
        <v>126723</v>
      </c>
      <c r="H194" s="172">
        <f t="shared" si="47"/>
        <v>3.5143178995791904E-2</v>
      </c>
      <c r="I194" s="336"/>
      <c r="J194" s="223"/>
      <c r="K194" s="218"/>
      <c r="M194" s="364">
        <f t="shared" si="48"/>
        <v>7.9875827292782855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'[21]Sch C'!D206</f>
        <v>3605</v>
      </c>
      <c r="D195" s="558">
        <f>'[21]Sch C'!F206</f>
        <v>0</v>
      </c>
      <c r="E195" s="171">
        <f t="shared" si="45"/>
        <v>3605</v>
      </c>
      <c r="F195" s="216"/>
      <c r="G195" s="171">
        <f t="shared" si="46"/>
        <v>3605</v>
      </c>
      <c r="H195" s="172">
        <f t="shared" si="47"/>
        <v>9.9974874553024947E-4</v>
      </c>
      <c r="I195" s="336"/>
      <c r="J195" s="223"/>
      <c r="K195" s="218"/>
      <c r="M195" s="364">
        <f t="shared" si="48"/>
        <v>0.22722975102426726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'[21]Sch C'!D207</f>
        <v>327</v>
      </c>
      <c r="D196" s="558">
        <f>'[21]Sch C'!F207</f>
        <v>0</v>
      </c>
      <c r="E196" s="171">
        <f t="shared" si="45"/>
        <v>327</v>
      </c>
      <c r="F196" s="216"/>
      <c r="G196" s="171">
        <f t="shared" si="46"/>
        <v>327</v>
      </c>
      <c r="H196" s="172">
        <f t="shared" si="47"/>
        <v>9.0684560274172422E-5</v>
      </c>
      <c r="I196" s="336"/>
      <c r="J196" s="223"/>
      <c r="K196" s="218"/>
      <c r="M196" s="364">
        <f t="shared" si="48"/>
        <v>2.0611408761424518E-2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374824</v>
      </c>
      <c r="D197" s="558">
        <f>SUM(D164:D196)</f>
        <v>-4985</v>
      </c>
      <c r="E197" s="171">
        <f t="shared" ref="E197:F197" si="49">SUM(E164:E196)</f>
        <v>369839</v>
      </c>
      <c r="F197" s="171">
        <f t="shared" si="49"/>
        <v>0</v>
      </c>
      <c r="G197" s="171">
        <f>SUM(G164:G196)</f>
        <v>369839</v>
      </c>
      <c r="H197" s="172">
        <f>IF($G$208=0,0,G197/$G$208)</f>
        <v>0.10256479231571761</v>
      </c>
      <c r="I197" s="336"/>
      <c r="J197" s="168"/>
      <c r="K197" s="168"/>
      <c r="M197" s="364">
        <f>G197/G$228</f>
        <v>23.311629372833281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'[21]Sch C'!D211</f>
        <v>93665</v>
      </c>
      <c r="D200" s="558">
        <f>'[21]Sch C'!F211</f>
        <v>0</v>
      </c>
      <c r="E200" s="171">
        <f t="shared" ref="E200:E205" si="50">C200+D200</f>
        <v>93665</v>
      </c>
      <c r="F200" s="171"/>
      <c r="G200" s="171">
        <f t="shared" ref="G200:G205" si="51">E200+F200</f>
        <v>93665</v>
      </c>
      <c r="H200" s="172">
        <f t="shared" ref="H200:H206" si="52">IF($G$208=0,0,G200/$G$208)</f>
        <v>2.597544140085737E-2</v>
      </c>
      <c r="I200" s="336"/>
      <c r="J200" s="183">
        <v>5486</v>
      </c>
      <c r="K200" s="183">
        <v>5974</v>
      </c>
      <c r="M200" s="364">
        <f t="shared" ref="M200:M205" si="53">G200/G$228</f>
        <v>5.9038764576110934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'[21]Sch C'!D212</f>
        <v>58796</v>
      </c>
      <c r="D201" s="558">
        <f>'[21]Sch C'!F212</f>
        <v>0</v>
      </c>
      <c r="E201" s="171">
        <f t="shared" si="50"/>
        <v>58796</v>
      </c>
      <c r="F201" s="171"/>
      <c r="G201" s="171">
        <f t="shared" si="51"/>
        <v>58796</v>
      </c>
      <c r="H201" s="172">
        <f t="shared" si="52"/>
        <v>1.6305472189236215E-2</v>
      </c>
      <c r="I201" s="336"/>
      <c r="J201" s="168"/>
      <c r="K201" s="168"/>
      <c r="M201" s="364">
        <f t="shared" si="53"/>
        <v>3.7060195398676332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'[21]Sch C'!D213</f>
        <v>3464</v>
      </c>
      <c r="D202" s="558">
        <f>'[21]Sch C'!F213</f>
        <v>0</v>
      </c>
      <c r="E202" s="171">
        <f t="shared" si="50"/>
        <v>3464</v>
      </c>
      <c r="F202" s="171"/>
      <c r="G202" s="171">
        <f t="shared" si="51"/>
        <v>3464</v>
      </c>
      <c r="H202" s="172">
        <f t="shared" si="52"/>
        <v>9.6064622871478073E-4</v>
      </c>
      <c r="I202" s="336"/>
      <c r="J202" s="168"/>
      <c r="K202" s="168"/>
      <c r="M202" s="364">
        <f t="shared" si="53"/>
        <v>0.21834226284273558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'[21]Sch C'!D214</f>
        <v>0</v>
      </c>
      <c r="D203" s="558">
        <f>'[21]Sch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'[21]Sch C'!D215</f>
        <v>0</v>
      </c>
      <c r="D204" s="558">
        <f>'[21]Sch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'[21]Sch C'!D216</f>
        <v>1214</v>
      </c>
      <c r="D205" s="558">
        <f>'[21]Sch C'!F216</f>
        <v>0</v>
      </c>
      <c r="E205" s="171">
        <f t="shared" si="50"/>
        <v>1214</v>
      </c>
      <c r="F205" s="171"/>
      <c r="G205" s="171">
        <f t="shared" si="51"/>
        <v>1214</v>
      </c>
      <c r="H205" s="172">
        <f t="shared" si="52"/>
        <v>3.3666989655304383E-4</v>
      </c>
      <c r="I205" s="336"/>
      <c r="J205" s="168"/>
      <c r="K205" s="168"/>
      <c r="M205" s="364">
        <f t="shared" si="53"/>
        <v>7.652064292467696E-2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157139</v>
      </c>
      <c r="D206" s="558">
        <f>SUM(D200:D205)</f>
        <v>0</v>
      </c>
      <c r="E206" s="171">
        <f t="shared" ref="E206:F206" si="54">SUM(E200:E205)</f>
        <v>157139</v>
      </c>
      <c r="F206" s="171">
        <f t="shared" si="54"/>
        <v>0</v>
      </c>
      <c r="G206" s="171">
        <f>SUM(G200:G205)</f>
        <v>157139</v>
      </c>
      <c r="H206" s="172">
        <f t="shared" si="52"/>
        <v>4.3578229715361412E-2</v>
      </c>
      <c r="I206" s="336"/>
      <c r="J206" s="168"/>
      <c r="K206" s="168"/>
      <c r="M206" s="364">
        <f>G206/G$228</f>
        <v>9.9047589032461385</v>
      </c>
      <c r="N206" s="359">
        <f>SUMMARY!J209</f>
        <v>7.1515095990067339</v>
      </c>
      <c r="O206" s="354">
        <f>M206/N206-1</f>
        <v>0.3849885490780578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3739494</v>
      </c>
      <c r="D208" s="558">
        <f>SUM(D25:D206)/2</f>
        <v>-133588</v>
      </c>
      <c r="E208" s="171">
        <f t="shared" ref="E208:F208" si="55">SUM(E25:E206)/2</f>
        <v>3605906</v>
      </c>
      <c r="F208" s="171">
        <f t="shared" si="55"/>
        <v>0</v>
      </c>
      <c r="G208" s="171">
        <f>SUM(G25:G206)/2</f>
        <v>3605906</v>
      </c>
      <c r="H208" s="172">
        <f>IF($G$208=0,0,G208/$G$208)</f>
        <v>1</v>
      </c>
      <c r="I208" s="336"/>
      <c r="J208" s="183">
        <f>SUM(J25:J200)</f>
        <v>87368</v>
      </c>
      <c r="K208" s="183">
        <f>SUM(K25:K200)</f>
        <v>93284</v>
      </c>
      <c r="M208" s="364">
        <f>G208/G$228</f>
        <v>227.28685786322092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0.21281446695568662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'[21]Sch C'!D221</f>
        <v>3739494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-483201</v>
      </c>
      <c r="D215" s="558">
        <f>D21-D208</f>
        <v>119155</v>
      </c>
      <c r="E215" s="171">
        <f t="shared" ref="E215:F215" si="56">E21-E208</f>
        <v>-364046</v>
      </c>
      <c r="F215" s="171">
        <f t="shared" si="56"/>
        <v>0</v>
      </c>
      <c r="G215" s="171">
        <f>G21-G208</f>
        <v>-364046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'[21]Sch D'!C9</f>
        <v>12355</v>
      </c>
      <c r="D219" s="592"/>
      <c r="E219" s="235">
        <f t="shared" ref="E219:G227" si="57">C219+D219</f>
        <v>12355</v>
      </c>
      <c r="F219" s="234"/>
      <c r="G219" s="235">
        <f t="shared" si="57"/>
        <v>12355</v>
      </c>
      <c r="H219" s="172">
        <f t="shared" ref="H219:H228" si="58">IF($G$228=0,0,G219/$G$228)</f>
        <v>0.77875827292782851</v>
      </c>
      <c r="I219" s="336"/>
      <c r="J219" s="168"/>
      <c r="K219" s="168"/>
    </row>
    <row r="220" spans="1:17">
      <c r="A220" s="163"/>
      <c r="B220" s="170" t="s">
        <v>217</v>
      </c>
      <c r="C220" s="592">
        <f>'[21]Sch D'!D9</f>
        <v>366</v>
      </c>
      <c r="D220" s="592"/>
      <c r="E220" s="235">
        <f t="shared" ref="E220:E227" si="59">C220+D220</f>
        <v>366</v>
      </c>
      <c r="F220" s="234"/>
      <c r="G220" s="235">
        <f t="shared" si="57"/>
        <v>366</v>
      </c>
      <c r="H220" s="172">
        <f t="shared" si="58"/>
        <v>2.3069650173337536E-2</v>
      </c>
      <c r="I220" s="336"/>
      <c r="J220" s="168"/>
      <c r="K220" s="168"/>
    </row>
    <row r="221" spans="1:17">
      <c r="A221" s="163"/>
      <c r="B221" s="170" t="s">
        <v>72</v>
      </c>
      <c r="C221" s="592">
        <f>'[21]Sch D'!E9</f>
        <v>1668</v>
      </c>
      <c r="D221" s="592"/>
      <c r="E221" s="235">
        <f t="shared" si="59"/>
        <v>1668</v>
      </c>
      <c r="F221" s="234"/>
      <c r="G221" s="235">
        <f t="shared" si="57"/>
        <v>1668</v>
      </c>
      <c r="H221" s="172">
        <f t="shared" si="58"/>
        <v>0.10513709423258746</v>
      </c>
      <c r="I221" s="336"/>
      <c r="J221" s="168"/>
      <c r="K221" s="168"/>
    </row>
    <row r="222" spans="1:17">
      <c r="A222" s="163"/>
      <c r="B222" s="202" t="s">
        <v>334</v>
      </c>
      <c r="C222" s="592">
        <f>'[21]Sch D'!F9</f>
        <v>203</v>
      </c>
      <c r="D222" s="592"/>
      <c r="E222" s="235">
        <f>C222+D222</f>
        <v>203</v>
      </c>
      <c r="F222" s="234"/>
      <c r="G222" s="235">
        <f>E222+F222</f>
        <v>203</v>
      </c>
      <c r="H222" s="172">
        <f t="shared" si="58"/>
        <v>1.2795461708162622E-2</v>
      </c>
      <c r="I222" s="336"/>
      <c r="J222" s="168"/>
      <c r="K222" s="168"/>
    </row>
    <row r="223" spans="1:17">
      <c r="A223" s="163"/>
      <c r="B223" s="170" t="s">
        <v>73</v>
      </c>
      <c r="C223" s="592">
        <f>'[21]Sch D'!G9</f>
        <v>339</v>
      </c>
      <c r="D223" s="592"/>
      <c r="E223" s="235">
        <f t="shared" si="59"/>
        <v>339</v>
      </c>
      <c r="F223" s="234"/>
      <c r="G223" s="235">
        <f t="shared" si="57"/>
        <v>339</v>
      </c>
      <c r="H223" s="172">
        <f t="shared" si="58"/>
        <v>2.1367790734320831E-2</v>
      </c>
      <c r="I223" s="336"/>
      <c r="J223" s="168"/>
      <c r="K223" s="168"/>
    </row>
    <row r="224" spans="1:17">
      <c r="A224" s="163"/>
      <c r="B224" s="170" t="s">
        <v>74</v>
      </c>
      <c r="C224" s="592">
        <f>'[21]Sch D'!H9</f>
        <v>313</v>
      </c>
      <c r="D224" s="592"/>
      <c r="E224" s="235">
        <f t="shared" si="59"/>
        <v>313</v>
      </c>
      <c r="F224" s="234"/>
      <c r="G224" s="235">
        <f t="shared" si="57"/>
        <v>313</v>
      </c>
      <c r="H224" s="172">
        <f t="shared" si="58"/>
        <v>1.9728963126378823E-2</v>
      </c>
      <c r="I224" s="336"/>
      <c r="J224" s="168"/>
      <c r="K224" s="168"/>
    </row>
    <row r="225" spans="1:11">
      <c r="A225" s="163"/>
      <c r="B225" s="170" t="s">
        <v>236</v>
      </c>
      <c r="C225" s="592">
        <f>'[21]Sch D'!I9</f>
        <v>588</v>
      </c>
      <c r="D225" s="592"/>
      <c r="E225" s="235">
        <f t="shared" si="59"/>
        <v>588</v>
      </c>
      <c r="F225" s="234"/>
      <c r="G225" s="235">
        <f t="shared" si="57"/>
        <v>588</v>
      </c>
      <c r="H225" s="172">
        <f t="shared" si="58"/>
        <v>3.7062716671919321E-2</v>
      </c>
      <c r="I225" s="336"/>
      <c r="J225" s="168"/>
      <c r="K225" s="168"/>
    </row>
    <row r="226" spans="1:11">
      <c r="A226" s="163"/>
      <c r="B226" s="170" t="s">
        <v>235</v>
      </c>
      <c r="C226" s="592">
        <f>'[21]Sch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'[21]Sch D'!K9</f>
        <v>33</v>
      </c>
      <c r="D227" s="592"/>
      <c r="E227" s="235">
        <f t="shared" si="59"/>
        <v>33</v>
      </c>
      <c r="F227" s="234"/>
      <c r="G227" s="235">
        <f t="shared" si="57"/>
        <v>33</v>
      </c>
      <c r="H227" s="172">
        <f t="shared" si="58"/>
        <v>2.0800504254648599E-3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15865</v>
      </c>
      <c r="D228" s="592">
        <f>SUM(D219:D227)</f>
        <v>0</v>
      </c>
      <c r="E228" s="237">
        <f>SUM(E219:E227)</f>
        <v>15865</v>
      </c>
      <c r="F228" s="237">
        <f>SUM(F219:F227)</f>
        <v>0</v>
      </c>
      <c r="G228" s="237">
        <f>SUM(G219:G227)</f>
        <v>15865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'[21]Sch D'!N22</f>
        <v>80</v>
      </c>
      <c r="D231" s="559"/>
      <c r="E231" s="235">
        <f>C231+D231</f>
        <v>80</v>
      </c>
      <c r="F231" s="235"/>
      <c r="G231" s="235">
        <f>E231+F231</f>
        <v>80</v>
      </c>
      <c r="H231" s="167"/>
      <c r="J231" s="168"/>
      <c r="K231" s="168"/>
    </row>
    <row r="232" spans="1:11">
      <c r="A232" s="163"/>
      <c r="B232" s="202" t="s">
        <v>290</v>
      </c>
      <c r="C232" s="593">
        <f>'[21]Sch D'!N24</f>
        <v>80</v>
      </c>
      <c r="D232" s="559"/>
      <c r="E232" s="235">
        <f>C232+D232</f>
        <v>80</v>
      </c>
      <c r="F232" s="235"/>
      <c r="G232" s="235">
        <f>E232+F232</f>
        <v>80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'[21]Sch D'!N28</f>
        <v>29280</v>
      </c>
      <c r="D235" s="483"/>
      <c r="E235" s="234">
        <f>E231*E233</f>
        <v>29280</v>
      </c>
      <c r="F235" s="239"/>
      <c r="G235" s="234">
        <f>G231*G233</f>
        <v>29280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'[21]Sch D'!N30</f>
        <v>0.54183743169398912</v>
      </c>
      <c r="D236" s="239"/>
      <c r="E236" s="244">
        <f>E228/E235</f>
        <v>0.54183743169398912</v>
      </c>
      <c r="F236" s="245"/>
      <c r="G236" s="244">
        <f>G228/G235</f>
        <v>0.54183743169398912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'[21]Sch D'!N32</f>
        <v>0.4344603825136612</v>
      </c>
      <c r="D237" s="239"/>
      <c r="E237" s="244">
        <f>(E219+E220)/E235</f>
        <v>0.4344603825136612</v>
      </c>
      <c r="F237" s="245"/>
      <c r="G237" s="244">
        <f>(G219+G220)/G235</f>
        <v>0.4344603825136612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'[21]Sch D'!N34</f>
        <v>0.80182792310116602</v>
      </c>
      <c r="D238" s="239"/>
      <c r="E238" s="244">
        <f>(E237/E236)</f>
        <v>0.80182792310116602</v>
      </c>
      <c r="F238" s="245"/>
      <c r="G238" s="244">
        <f>(G237/G236)</f>
        <v>0.80182792310116602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'[21]Sch B'!C85</f>
        <v>204.17241379310346</v>
      </c>
    </row>
    <row r="242" spans="2:7">
      <c r="F242" s="142" t="s">
        <v>341</v>
      </c>
      <c r="G242" s="558">
        <f>'[21]Sch B'!E85</f>
        <v>204.2</v>
      </c>
    </row>
    <row r="243" spans="2:7">
      <c r="F243" s="142" t="s">
        <v>342</v>
      </c>
      <c r="G243" s="558">
        <f>'[21]Sch B'!G85</f>
        <v>204.15584415584416</v>
      </c>
    </row>
    <row r="244" spans="2:7">
      <c r="F244" s="142" t="s">
        <v>343</v>
      </c>
      <c r="G244" s="558">
        <f>'[21]Sch B'!I85</f>
        <v>204.15736040609136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376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'[22]Sch B'!E10</f>
        <v>5003218</v>
      </c>
      <c r="D11" s="558">
        <f>'[22]Sch B'!G10</f>
        <v>23034</v>
      </c>
      <c r="E11" s="171">
        <f>C11+D11</f>
        <v>5026252</v>
      </c>
      <c r="F11" s="171"/>
      <c r="G11" s="171">
        <f t="shared" ref="G11:G20" si="0">E11+F11</f>
        <v>5026252</v>
      </c>
      <c r="H11" s="172">
        <f t="shared" ref="H11:H21" si="1">IF($G$21=0,0,G11/$G$21)</f>
        <v>0.48130119852928011</v>
      </c>
      <c r="I11" s="336"/>
      <c r="J11" s="368" t="s">
        <v>344</v>
      </c>
      <c r="K11" s="369">
        <f>G21</f>
        <v>10443049</v>
      </c>
      <c r="M11" s="359">
        <f>IFERROR(G11/G219,0)</f>
        <v>222.66654853143135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'[22]Sch B'!E15</f>
        <v>0</v>
      </c>
      <c r="D12" s="558">
        <f>'[22]Sch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10348253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'[22]Sch B'!E21</f>
        <v>1835215</v>
      </c>
      <c r="D13" s="558">
        <f>'[22]Sch B'!G21</f>
        <v>-1620</v>
      </c>
      <c r="E13" s="171">
        <f t="shared" si="2"/>
        <v>1833595</v>
      </c>
      <c r="F13" s="171"/>
      <c r="G13" s="171">
        <f t="shared" si="0"/>
        <v>1833595</v>
      </c>
      <c r="H13" s="172">
        <f t="shared" si="1"/>
        <v>0.17558042675084642</v>
      </c>
      <c r="I13" s="336"/>
      <c r="J13" s="370" t="s">
        <v>346</v>
      </c>
      <c r="K13" s="371">
        <f>G228</f>
        <v>36454</v>
      </c>
      <c r="M13" s="359">
        <f t="shared" si="3"/>
        <v>613.44764135162256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'[22]Sch B'!E27</f>
        <v>653808</v>
      </c>
      <c r="D14" s="558">
        <f>'[22]Sch B'!G27</f>
        <v>37606</v>
      </c>
      <c r="E14" s="171">
        <f t="shared" si="2"/>
        <v>691414</v>
      </c>
      <c r="F14" s="175"/>
      <c r="G14" s="175">
        <f>E14+F14</f>
        <v>691414</v>
      </c>
      <c r="H14" s="176">
        <f t="shared" si="1"/>
        <v>6.6208058585189064E-2</v>
      </c>
      <c r="I14" s="337"/>
      <c r="J14" s="370" t="s">
        <v>347</v>
      </c>
      <c r="K14" s="371">
        <f>G231</f>
        <v>176</v>
      </c>
      <c r="M14" s="359">
        <f t="shared" si="3"/>
        <v>540.16718749999995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'[22]Sch B'!E32</f>
        <v>1275896</v>
      </c>
      <c r="D15" s="558">
        <f>'[22]Sch B'!G32</f>
        <v>16166</v>
      </c>
      <c r="E15" s="171">
        <f t="shared" si="2"/>
        <v>1292062</v>
      </c>
      <c r="F15" s="171"/>
      <c r="G15" s="171">
        <f t="shared" si="0"/>
        <v>1292062</v>
      </c>
      <c r="H15" s="172">
        <f t="shared" si="1"/>
        <v>0.12372459422530718</v>
      </c>
      <c r="I15" s="336"/>
      <c r="J15" s="370" t="s">
        <v>348</v>
      </c>
      <c r="K15" s="371">
        <f>G235</f>
        <v>64416</v>
      </c>
      <c r="M15" s="359">
        <f t="shared" si="3"/>
        <v>320.5313817911188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'[22]Sch B'!E37</f>
        <v>522368</v>
      </c>
      <c r="D16" s="558">
        <f>'[22]Sch B'!G37</f>
        <v>-14526</v>
      </c>
      <c r="E16" s="171">
        <f t="shared" si="2"/>
        <v>507842</v>
      </c>
      <c r="F16" s="171"/>
      <c r="G16" s="171">
        <f t="shared" si="0"/>
        <v>507842</v>
      </c>
      <c r="H16" s="172">
        <f t="shared" si="1"/>
        <v>4.8629667446738974E-2</v>
      </c>
      <c r="I16" s="336"/>
      <c r="J16" s="372"/>
      <c r="K16" s="371"/>
      <c r="M16" s="359">
        <f t="shared" si="3"/>
        <v>219.27547495682211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'[22]Sch B'!E42</f>
        <v>377395</v>
      </c>
      <c r="D17" s="558">
        <f>'[22]Sch B'!G42</f>
        <v>184</v>
      </c>
      <c r="E17" s="171">
        <f t="shared" si="2"/>
        <v>377579</v>
      </c>
      <c r="F17" s="171"/>
      <c r="G17" s="171">
        <f>E17+F17</f>
        <v>377579</v>
      </c>
      <c r="H17" s="172">
        <f t="shared" si="1"/>
        <v>3.6156011524986618E-2</v>
      </c>
      <c r="I17" s="336"/>
      <c r="J17" s="370" t="s">
        <v>156</v>
      </c>
      <c r="K17" s="371">
        <f>J208</f>
        <v>173138</v>
      </c>
      <c r="M17" s="359">
        <f t="shared" si="3"/>
        <v>172.88415750915752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'[22]Sch B'!E47</f>
        <v>0</v>
      </c>
      <c r="D18" s="558">
        <f>'[22]Sch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181595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'[22]Sch B'!E52</f>
        <v>409497</v>
      </c>
      <c r="D19" s="558">
        <f>'[22]Sch B'!G52</f>
        <v>-2511</v>
      </c>
      <c r="E19" s="171">
        <f t="shared" si="2"/>
        <v>406986</v>
      </c>
      <c r="F19" s="171"/>
      <c r="G19" s="171">
        <f t="shared" si="0"/>
        <v>406986</v>
      </c>
      <c r="H19" s="172">
        <f t="shared" si="1"/>
        <v>3.8971951582339605E-2</v>
      </c>
      <c r="I19" s="336"/>
      <c r="J19" s="168"/>
      <c r="K19" s="168"/>
      <c r="M19" s="359">
        <f t="shared" si="3"/>
        <v>376.49028677150784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'[22]Sch B'!E67</f>
        <v>1535672</v>
      </c>
      <c r="D20" s="558">
        <f>'[22]Sch B'!G67</f>
        <v>-1228353</v>
      </c>
      <c r="E20" s="171">
        <f t="shared" si="2"/>
        <v>307319</v>
      </c>
      <c r="F20" s="171"/>
      <c r="G20" s="171">
        <f t="shared" si="0"/>
        <v>307319</v>
      </c>
      <c r="H20" s="172">
        <f t="shared" si="1"/>
        <v>2.9428091355312037E-2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11613069</v>
      </c>
      <c r="D21" s="558">
        <f>SUM(D11:D20)</f>
        <v>-1170020</v>
      </c>
      <c r="E21" s="171">
        <f>SUM(E11:E20)</f>
        <v>10443049</v>
      </c>
      <c r="F21" s="171">
        <f>SUM(F11:F20)</f>
        <v>0</v>
      </c>
      <c r="G21" s="171">
        <f>SUM(G11:G20)</f>
        <v>10443049</v>
      </c>
      <c r="H21" s="172">
        <f t="shared" si="1"/>
        <v>1</v>
      </c>
      <c r="I21" s="336"/>
      <c r="J21" s="168"/>
      <c r="K21" s="168"/>
      <c r="M21" s="359">
        <f>IFERROR(G21/G228,0)</f>
        <v>286.47196466780053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'[22]Sch C'!D10</f>
        <v>105037</v>
      </c>
      <c r="D25" s="558">
        <f>'[22]Sch C'!F10</f>
        <v>-44</v>
      </c>
      <c r="E25" s="171">
        <f t="shared" ref="E25:E60" si="4">C25+D25</f>
        <v>104993</v>
      </c>
      <c r="F25" s="171"/>
      <c r="G25" s="182">
        <f>E25+F25</f>
        <v>104993</v>
      </c>
      <c r="H25" s="172">
        <f>IF($G$208=0,0,G25/$G$208)</f>
        <v>1.0145963767990597E-2</v>
      </c>
      <c r="I25" s="336"/>
      <c r="J25" s="183">
        <v>2336</v>
      </c>
      <c r="K25" s="183">
        <v>2400</v>
      </c>
      <c r="M25" s="359">
        <f>G25/G$228</f>
        <v>2.8801503264387995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'[22]Sch C'!D11</f>
        <v>0</v>
      </c>
      <c r="D26" s="558">
        <f>'[22]Sch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'[22]Sch C'!D12</f>
        <v>216585</v>
      </c>
      <c r="D27" s="558">
        <f>'[22]Sch C'!F12</f>
        <v>44</v>
      </c>
      <c r="E27" s="171">
        <f t="shared" si="4"/>
        <v>216629</v>
      </c>
      <c r="F27" s="171"/>
      <c r="G27" s="171">
        <f t="shared" si="5"/>
        <v>216629</v>
      </c>
      <c r="H27" s="172">
        <f t="shared" si="6"/>
        <v>2.0933871639976332E-2</v>
      </c>
      <c r="I27" s="336"/>
      <c r="J27" s="185">
        <v>10700</v>
      </c>
      <c r="K27" s="185">
        <v>11636</v>
      </c>
      <c r="M27" s="359">
        <f t="shared" si="7"/>
        <v>5.942530312174247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'[22]Sch C'!D13</f>
        <v>72902</v>
      </c>
      <c r="D28" s="558">
        <f>'[22]Sch C'!F13</f>
        <v>-39793</v>
      </c>
      <c r="E28" s="171">
        <f t="shared" si="4"/>
        <v>33109</v>
      </c>
      <c r="F28" s="171"/>
      <c r="G28" s="171">
        <f t="shared" si="5"/>
        <v>33109</v>
      </c>
      <c r="H28" s="172">
        <f t="shared" si="6"/>
        <v>3.199477245096346E-3</v>
      </c>
      <c r="I28" s="336"/>
      <c r="J28" s="168"/>
      <c r="K28" s="168"/>
      <c r="M28" s="359">
        <f t="shared" si="7"/>
        <v>0.9082405223020793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'[22]Sch C'!D14</f>
        <v>0</v>
      </c>
      <c r="D29" s="558">
        <f>'[22]Sch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'[22]Sch C'!D15</f>
        <v>0</v>
      </c>
      <c r="D30" s="558">
        <f>'[22]Sch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'[22]Sch C'!D16</f>
        <v>791030</v>
      </c>
      <c r="D31" s="558">
        <f>'[22]Sch C'!F16</f>
        <v>-224787</v>
      </c>
      <c r="E31" s="171">
        <f t="shared" si="4"/>
        <v>566243</v>
      </c>
      <c r="F31" s="171"/>
      <c r="G31" s="171">
        <f t="shared" si="5"/>
        <v>566243</v>
      </c>
      <c r="H31" s="172">
        <f t="shared" si="6"/>
        <v>5.4718704693439563E-2</v>
      </c>
      <c r="I31" s="336"/>
      <c r="J31" s="168"/>
      <c r="K31" s="168"/>
      <c r="M31" s="359">
        <f t="shared" si="7"/>
        <v>15.533082789268667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'[22]Sch C'!D17</f>
        <v>31922</v>
      </c>
      <c r="D32" s="558">
        <f>'[22]Sch C'!F17</f>
        <v>-31922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'[22]Sch C'!D18</f>
        <v>49629</v>
      </c>
      <c r="D33" s="558">
        <f>'[22]Sch C'!F18</f>
        <v>0</v>
      </c>
      <c r="E33" s="171">
        <f t="shared" si="4"/>
        <v>49629</v>
      </c>
      <c r="F33" s="171"/>
      <c r="G33" s="171">
        <f t="shared" si="5"/>
        <v>49629</v>
      </c>
      <c r="H33" s="172">
        <f t="shared" si="6"/>
        <v>4.7958819715752986E-3</v>
      </c>
      <c r="I33" s="336"/>
      <c r="J33" s="168"/>
      <c r="K33" s="168"/>
      <c r="M33" s="359">
        <f t="shared" si="7"/>
        <v>1.3614143852526472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'[22]Sch C'!D19</f>
        <v>14295</v>
      </c>
      <c r="D34" s="558">
        <f>'[22]Sch C'!F19</f>
        <v>-2798</v>
      </c>
      <c r="E34" s="171">
        <f t="shared" si="4"/>
        <v>11497</v>
      </c>
      <c r="F34" s="171"/>
      <c r="G34" s="171">
        <f t="shared" si="5"/>
        <v>11497</v>
      </c>
      <c r="H34" s="172">
        <f t="shared" si="6"/>
        <v>1.1110087857341717E-3</v>
      </c>
      <c r="I34" s="336"/>
      <c r="J34" s="168"/>
      <c r="K34" s="168"/>
      <c r="M34" s="359">
        <f t="shared" si="7"/>
        <v>0.3153837713282493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'[22]Sch C'!D20</f>
        <v>33783</v>
      </c>
      <c r="D35" s="558">
        <f>'[22]Sch C'!F20</f>
        <v>0</v>
      </c>
      <c r="E35" s="171">
        <f t="shared" si="4"/>
        <v>33783</v>
      </c>
      <c r="F35" s="171"/>
      <c r="G35" s="171">
        <f t="shared" si="5"/>
        <v>33783</v>
      </c>
      <c r="H35" s="172">
        <f t="shared" si="6"/>
        <v>3.2646090117819885E-3</v>
      </c>
      <c r="I35" s="336"/>
      <c r="J35" s="168"/>
      <c r="K35" s="168"/>
      <c r="M35" s="359">
        <f t="shared" si="7"/>
        <v>0.9267295770011521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'[22]Sch C'!D21</f>
        <v>54086</v>
      </c>
      <c r="D36" s="558">
        <f>'[22]Sch C'!F21</f>
        <v>0</v>
      </c>
      <c r="E36" s="171">
        <f t="shared" si="4"/>
        <v>54086</v>
      </c>
      <c r="F36" s="171"/>
      <c r="G36" s="171">
        <f t="shared" si="5"/>
        <v>54086</v>
      </c>
      <c r="H36" s="172">
        <f t="shared" si="6"/>
        <v>5.2265826898511272E-3</v>
      </c>
      <c r="I36" s="336"/>
      <c r="J36" s="168"/>
      <c r="K36" s="168"/>
      <c r="M36" s="359">
        <f t="shared" si="7"/>
        <v>1.4836780600208481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'[22]Sch C'!D22</f>
        <v>0</v>
      </c>
      <c r="D37" s="558">
        <f>'[22]Sch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'[22]Sch C'!D23</f>
        <v>27167</v>
      </c>
      <c r="D38" s="558">
        <f>'[22]Sch C'!F23</f>
        <v>0</v>
      </c>
      <c r="E38" s="171">
        <f t="shared" si="4"/>
        <v>27167</v>
      </c>
      <c r="F38" s="171"/>
      <c r="G38" s="171">
        <f t="shared" si="5"/>
        <v>27167</v>
      </c>
      <c r="H38" s="172">
        <f t="shared" si="6"/>
        <v>2.6252740438410232E-3</v>
      </c>
      <c r="I38" s="336"/>
      <c r="J38" s="168"/>
      <c r="K38" s="168"/>
      <c r="M38" s="359">
        <f t="shared" si="7"/>
        <v>0.7452405771657431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'[22]Sch C'!D24</f>
        <v>0</v>
      </c>
      <c r="D39" s="558">
        <f>'[22]Sch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'[22]Sch C'!D25</f>
        <v>0</v>
      </c>
      <c r="D40" s="558">
        <f>'[22]Sch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'[22]Sch C'!D26</f>
        <v>599980</v>
      </c>
      <c r="D41" s="558">
        <f>'[22]Sch C'!F26</f>
        <v>0</v>
      </c>
      <c r="E41" s="171">
        <f t="shared" si="4"/>
        <v>599980</v>
      </c>
      <c r="F41" s="171"/>
      <c r="G41" s="171">
        <f t="shared" si="5"/>
        <v>599980</v>
      </c>
      <c r="H41" s="172">
        <f t="shared" si="6"/>
        <v>5.7978868510462585E-2</v>
      </c>
      <c r="I41" s="336"/>
      <c r="J41" s="168"/>
      <c r="K41" s="168"/>
      <c r="M41" s="359">
        <f t="shared" si="7"/>
        <v>16.458550502002524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'[22]Sch C'!D27</f>
        <v>0</v>
      </c>
      <c r="D42" s="558">
        <f>'[22]Sch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'[22]Sch C'!D28</f>
        <v>0</v>
      </c>
      <c r="D43" s="558">
        <f>'[22]Sch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'[22]Sch C'!D29</f>
        <v>2724</v>
      </c>
      <c r="D44" s="558">
        <f>'[22]Sch C'!F29</f>
        <v>-2724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'[22]Sch C'!D30</f>
        <v>0</v>
      </c>
      <c r="D45" s="558">
        <f>'[22]Sch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'[22]Sch C'!D31</f>
        <v>0</v>
      </c>
      <c r="D46" s="558">
        <f>'[22]Sch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'[22]Sch C'!D32</f>
        <v>34036</v>
      </c>
      <c r="D47" s="558">
        <f>'[22]Sch C'!F32</f>
        <v>0</v>
      </c>
      <c r="E47" s="171">
        <f t="shared" si="4"/>
        <v>34036</v>
      </c>
      <c r="F47" s="171"/>
      <c r="G47" s="171">
        <f t="shared" si="5"/>
        <v>34036</v>
      </c>
      <c r="H47" s="172">
        <f t="shared" si="6"/>
        <v>3.2890575829562728E-3</v>
      </c>
      <c r="I47" s="336"/>
      <c r="J47" s="168"/>
      <c r="K47" s="168"/>
      <c r="M47" s="359">
        <f t="shared" si="7"/>
        <v>0.93366983047127883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'[22]Sch C'!D33</f>
        <v>30</v>
      </c>
      <c r="D48" s="558">
        <f>'[22]Sch C'!F33</f>
        <v>-30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'[22]Sch C'!D34</f>
        <v>5637</v>
      </c>
      <c r="D49" s="558">
        <f>'[22]Sch C'!F34</f>
        <v>0</v>
      </c>
      <c r="E49" s="171">
        <f t="shared" si="4"/>
        <v>5637</v>
      </c>
      <c r="F49" s="171"/>
      <c r="G49" s="171">
        <f t="shared" si="5"/>
        <v>5637</v>
      </c>
      <c r="H49" s="172">
        <f t="shared" si="6"/>
        <v>5.4472962731003972E-4</v>
      </c>
      <c r="I49" s="336"/>
      <c r="J49" s="168"/>
      <c r="K49" s="168"/>
      <c r="M49" s="359">
        <f t="shared" si="7"/>
        <v>0.1546332364075273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'[22]Sch C'!D35</f>
        <v>0</v>
      </c>
      <c r="D50" s="558">
        <f>'[22]Sch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'[22]Sch C'!D36</f>
        <v>0</v>
      </c>
      <c r="D51" s="558">
        <f>'[22]Sch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'[22]Sch C'!D37</f>
        <v>0</v>
      </c>
      <c r="D52" s="558">
        <f>'[22]Sch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'[22]Sch C'!D38</f>
        <v>0</v>
      </c>
      <c r="D53" s="558">
        <f>'[22]Sch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'[22]Sch C'!D39</f>
        <v>12637</v>
      </c>
      <c r="D54" s="558">
        <f>'[22]Sch C'!F39</f>
        <v>0</v>
      </c>
      <c r="E54" s="171">
        <f t="shared" si="4"/>
        <v>12637</v>
      </c>
      <c r="F54" s="171"/>
      <c r="G54" s="171">
        <f t="shared" si="5"/>
        <v>12637</v>
      </c>
      <c r="H54" s="172">
        <f t="shared" si="6"/>
        <v>1.2211723080214603E-3</v>
      </c>
      <c r="I54" s="336"/>
      <c r="J54" s="168"/>
      <c r="K54" s="168"/>
      <c r="M54" s="359">
        <f t="shared" si="7"/>
        <v>0.34665605969166619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'[22]Sch C'!D40</f>
        <v>0</v>
      </c>
      <c r="D55" s="558">
        <f>'[22]Sch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'[22]Sch C'!D41</f>
        <v>21416</v>
      </c>
      <c r="D56" s="558">
        <f>'[22]Sch C'!F41</f>
        <v>7353</v>
      </c>
      <c r="E56" s="171">
        <f t="shared" si="4"/>
        <v>28769</v>
      </c>
      <c r="F56" s="171"/>
      <c r="G56" s="171">
        <f t="shared" si="5"/>
        <v>28769</v>
      </c>
      <c r="H56" s="172">
        <f t="shared" si="6"/>
        <v>2.7800827830552653E-3</v>
      </c>
      <c r="I56" s="336"/>
      <c r="J56" s="168"/>
      <c r="K56" s="168"/>
      <c r="M56" s="359">
        <f t="shared" si="7"/>
        <v>0.78918637186591323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'[22]Sch C'!D42</f>
        <v>2410</v>
      </c>
      <c r="D57" s="558">
        <f>'[22]Sch C'!F42</f>
        <v>0</v>
      </c>
      <c r="E57" s="171">
        <f t="shared" si="4"/>
        <v>2410</v>
      </c>
      <c r="F57" s="171"/>
      <c r="G57" s="171">
        <f t="shared" si="5"/>
        <v>2410</v>
      </c>
      <c r="H57" s="172">
        <f t="shared" si="6"/>
        <v>2.3288955150207479E-4</v>
      </c>
      <c r="I57" s="336"/>
      <c r="J57" s="168"/>
      <c r="K57" s="168"/>
      <c r="M57" s="359">
        <f t="shared" si="7"/>
        <v>6.6110714873539256E-2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'[22]Sch C'!D43</f>
        <v>7823</v>
      </c>
      <c r="D58" s="558">
        <f>'[22]Sch C'!F43</f>
        <v>-7823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'[22]Sch C'!D44</f>
        <v>0</v>
      </c>
      <c r="D59" s="558">
        <f>'[22]Sch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'[22]Sch C'!D45</f>
        <v>950572</v>
      </c>
      <c r="D60" s="558">
        <f>'[22]Sch C'!F45</f>
        <v>-853030</v>
      </c>
      <c r="E60" s="171">
        <f t="shared" si="4"/>
        <v>97542</v>
      </c>
      <c r="F60" s="171"/>
      <c r="G60" s="171">
        <f t="shared" si="5"/>
        <v>97542</v>
      </c>
      <c r="H60" s="172">
        <f t="shared" si="6"/>
        <v>9.4259388517076263E-3</v>
      </c>
      <c r="I60" s="336"/>
      <c r="J60" s="168"/>
      <c r="K60" s="168"/>
      <c r="M60" s="359">
        <f t="shared" si="7"/>
        <v>2.6757557469687825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3033701</v>
      </c>
      <c r="D61" s="558">
        <f>SUM(D25:D60)</f>
        <v>-1155554</v>
      </c>
      <c r="E61" s="171">
        <f t="shared" ref="E61:F61" si="8">SUM(E25:E60)</f>
        <v>1878147</v>
      </c>
      <c r="F61" s="171">
        <f t="shared" si="8"/>
        <v>0</v>
      </c>
      <c r="G61" s="171">
        <f>SUM(G25:G60)</f>
        <v>1878147</v>
      </c>
      <c r="H61" s="186">
        <f t="shared" si="6"/>
        <v>0.18149411306430177</v>
      </c>
      <c r="I61" s="338"/>
      <c r="J61" s="168"/>
      <c r="K61" s="168"/>
      <c r="M61" s="364">
        <f>G61/G$228</f>
        <v>51.521012783233665</v>
      </c>
      <c r="N61" s="359">
        <f>SUMMARY!J64</f>
        <v>53.728790309602623</v>
      </c>
      <c r="O61" s="354">
        <f>M61/N61-1</f>
        <v>-4.1091145243491112E-2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'[22]Sch C'!D57</f>
        <v>453358</v>
      </c>
      <c r="D64" s="558">
        <f>'[22]Sch C'!F57</f>
        <v>-453358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'[22]Sch C'!D58</f>
        <v>0</v>
      </c>
      <c r="D65" s="558">
        <f>'[22]Sch C'!F58</f>
        <v>79937</v>
      </c>
      <c r="E65" s="171">
        <f t="shared" si="9"/>
        <v>79937</v>
      </c>
      <c r="F65" s="171"/>
      <c r="G65" s="171">
        <f t="shared" si="10"/>
        <v>79937</v>
      </c>
      <c r="H65" s="172">
        <f t="shared" si="11"/>
        <v>7.724685509718404E-3</v>
      </c>
      <c r="I65" s="336"/>
      <c r="J65" s="190"/>
      <c r="K65" s="168"/>
      <c r="M65" s="359">
        <f t="shared" si="12"/>
        <v>2.1928183464091733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'[22]Sch C'!D59</f>
        <v>593669</v>
      </c>
      <c r="D66" s="558">
        <f>'[22]Sch C'!F59</f>
        <v>-356943</v>
      </c>
      <c r="E66" s="171">
        <f t="shared" si="9"/>
        <v>236726</v>
      </c>
      <c r="F66" s="171"/>
      <c r="G66" s="171">
        <f t="shared" si="10"/>
        <v>236726</v>
      </c>
      <c r="H66" s="172">
        <f t="shared" si="11"/>
        <v>2.287593857629882E-2</v>
      </c>
      <c r="I66" s="336"/>
      <c r="J66" s="190"/>
      <c r="K66" s="168"/>
      <c r="M66" s="359">
        <f t="shared" si="12"/>
        <v>6.4938278378230097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'[22]Sch C'!D60</f>
        <v>29880</v>
      </c>
      <c r="D67" s="558">
        <f>'[22]Sch C'!F60</f>
        <v>0</v>
      </c>
      <c r="E67" s="171">
        <f t="shared" si="9"/>
        <v>29880</v>
      </c>
      <c r="F67" s="171"/>
      <c r="G67" s="171">
        <f t="shared" si="10"/>
        <v>29880</v>
      </c>
      <c r="H67" s="172">
        <f t="shared" si="11"/>
        <v>2.8874438999510351E-3</v>
      </c>
      <c r="I67" s="336"/>
      <c r="J67" s="193"/>
      <c r="K67" s="168"/>
      <c r="M67" s="359">
        <f t="shared" si="12"/>
        <v>0.81966313710429584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'[22]Sch C'!D61</f>
        <v>26591</v>
      </c>
      <c r="D68" s="558">
        <f>'[22]Sch C'!F61</f>
        <v>-16007</v>
      </c>
      <c r="E68" s="171">
        <f t="shared" si="9"/>
        <v>10584</v>
      </c>
      <c r="F68" s="171"/>
      <c r="G68" s="171">
        <f t="shared" si="10"/>
        <v>10584</v>
      </c>
      <c r="H68" s="172">
        <f t="shared" si="11"/>
        <v>1.022781333235668E-3</v>
      </c>
      <c r="I68" s="336"/>
      <c r="J68" s="193"/>
      <c r="K68" s="168"/>
      <c r="M68" s="359">
        <f t="shared" si="12"/>
        <v>0.29033850880561801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'[22]Sch C'!D62</f>
        <v>0</v>
      </c>
      <c r="D69" s="558">
        <f>'[22]Sch C'!F62</f>
        <v>15501</v>
      </c>
      <c r="E69" s="171">
        <f t="shared" si="9"/>
        <v>15501</v>
      </c>
      <c r="F69" s="171"/>
      <c r="G69" s="171">
        <f t="shared" si="10"/>
        <v>15501</v>
      </c>
      <c r="H69" s="172">
        <f t="shared" si="11"/>
        <v>1.4979339991011043E-3</v>
      </c>
      <c r="I69" s="336"/>
      <c r="J69" s="195"/>
      <c r="K69" s="168"/>
      <c r="M69" s="359">
        <f t="shared" si="12"/>
        <v>0.42522082624677676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'[22]Sch C'!D63</f>
        <v>0</v>
      </c>
      <c r="D70" s="558">
        <f>'[22]Sch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'[22]Sch C'!D64</f>
        <v>0</v>
      </c>
      <c r="D71" s="558">
        <f>'[22]Sch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'[22]Sch C'!D65</f>
        <v>0</v>
      </c>
      <c r="D72" s="558">
        <f>'[22]Sch C'!F65</f>
        <v>16007</v>
      </c>
      <c r="E72" s="171">
        <f t="shared" si="9"/>
        <v>16007</v>
      </c>
      <c r="F72" s="171"/>
      <c r="G72" s="171">
        <f t="shared" si="10"/>
        <v>16007</v>
      </c>
      <c r="H72" s="172">
        <f t="shared" si="11"/>
        <v>1.5468311414496728E-3</v>
      </c>
      <c r="I72" s="336"/>
      <c r="J72" s="195"/>
      <c r="K72" s="168"/>
      <c r="M72" s="359">
        <f t="shared" si="12"/>
        <v>0.43910133318703021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'[22]Sch C'!D66</f>
        <v>0</v>
      </c>
      <c r="D73" s="558">
        <f>'[22]Sch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'[22]Sch C'!D67</f>
        <v>312936</v>
      </c>
      <c r="D74" s="558">
        <f>'[22]Sch C'!F67</f>
        <v>-273981</v>
      </c>
      <c r="E74" s="171">
        <f t="shared" si="9"/>
        <v>38955</v>
      </c>
      <c r="F74" s="171"/>
      <c r="G74" s="171">
        <f t="shared" si="10"/>
        <v>38955</v>
      </c>
      <c r="H74" s="172">
        <f t="shared" si="11"/>
        <v>3.7644035181590555E-3</v>
      </c>
      <c r="I74" s="336"/>
      <c r="J74" s="195"/>
      <c r="K74" s="168"/>
      <c r="M74" s="359">
        <f t="shared" si="12"/>
        <v>1.0686070115762332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'[22]Sch C'!D68</f>
        <v>0</v>
      </c>
      <c r="D75" s="558">
        <f>'[22]Sch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'[22]Sch C'!D69</f>
        <v>0</v>
      </c>
      <c r="D76" s="558">
        <f>'[22]Sch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'[22]Sch C'!D70</f>
        <v>44890</v>
      </c>
      <c r="D77" s="558">
        <f>'[22]Sch C'!F70</f>
        <v>-44890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'[22]Sch C'!D71</f>
        <v>1049</v>
      </c>
      <c r="D78" s="558">
        <f>'[22]Sch C'!F71</f>
        <v>-1049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1462373</v>
      </c>
      <c r="D79" s="558">
        <f>SUM(D64:D78)</f>
        <v>-1034783</v>
      </c>
      <c r="E79" s="171">
        <f t="shared" ref="E79:F79" si="13">SUM(E64:E78)</f>
        <v>427590</v>
      </c>
      <c r="F79" s="171">
        <f t="shared" si="13"/>
        <v>0</v>
      </c>
      <c r="G79" s="171">
        <f>SUM(G64:G78)</f>
        <v>427590</v>
      </c>
      <c r="H79" s="172">
        <f t="shared" si="11"/>
        <v>4.1320017977913757E-2</v>
      </c>
      <c r="I79" s="336"/>
      <c r="J79" s="195"/>
      <c r="K79" s="168"/>
      <c r="M79" s="359">
        <f t="shared" si="12"/>
        <v>11.729577001152137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'[22]Sch C'!D75</f>
        <v>168729</v>
      </c>
      <c r="D82" s="558">
        <f>'[22]Sch C'!F75</f>
        <v>-30795</v>
      </c>
      <c r="E82" s="171">
        <f t="shared" ref="E82:E92" si="14">C82+D82</f>
        <v>137934</v>
      </c>
      <c r="F82" s="171"/>
      <c r="G82" s="171">
        <f t="shared" ref="G82:G92" si="15">E82+F82</f>
        <v>137934</v>
      </c>
      <c r="H82" s="172">
        <f t="shared" ref="H82:H93" si="16">IF($G$208=0,0,G82/$G$208)</f>
        <v>1.3329206388749869E-2</v>
      </c>
      <c r="I82" s="336"/>
      <c r="J82" s="183">
        <v>7583</v>
      </c>
      <c r="K82" s="183">
        <v>8292</v>
      </c>
      <c r="M82" s="359">
        <f t="shared" ref="M82:M92" si="17">G82/G$228</f>
        <v>3.7837823009820597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'[22]Sch C'!D76</f>
        <v>14847</v>
      </c>
      <c r="D83" s="558">
        <f>'[22]Sch C'!F76</f>
        <v>-1304</v>
      </c>
      <c r="E83" s="171">
        <f t="shared" si="14"/>
        <v>13543</v>
      </c>
      <c r="F83" s="171"/>
      <c r="G83" s="171">
        <f t="shared" si="15"/>
        <v>13543</v>
      </c>
      <c r="H83" s="172">
        <f t="shared" si="16"/>
        <v>1.3087233178392527E-3</v>
      </c>
      <c r="I83" s="336"/>
      <c r="J83" s="168"/>
      <c r="K83" s="168"/>
      <c r="M83" s="359">
        <f t="shared" si="17"/>
        <v>0.37150929939101335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'[22]Sch C'!D77</f>
        <v>45523</v>
      </c>
      <c r="D84" s="558">
        <f>'[22]Sch C'!F77</f>
        <v>-8308</v>
      </c>
      <c r="E84" s="171">
        <f t="shared" si="14"/>
        <v>37215</v>
      </c>
      <c r="F84" s="171"/>
      <c r="G84" s="171">
        <f t="shared" si="15"/>
        <v>37215</v>
      </c>
      <c r="H84" s="172">
        <f t="shared" si="16"/>
        <v>3.5962591946679307E-3</v>
      </c>
      <c r="I84" s="336"/>
      <c r="J84" s="168"/>
      <c r="K84" s="168"/>
      <c r="M84" s="359">
        <f t="shared" si="17"/>
        <v>1.0208756240741756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'[22]Sch C'!D78</f>
        <v>4272</v>
      </c>
      <c r="D85" s="558">
        <f>'[22]Sch C'!F78</f>
        <v>-780</v>
      </c>
      <c r="E85" s="171">
        <f t="shared" si="14"/>
        <v>3492</v>
      </c>
      <c r="F85" s="171"/>
      <c r="G85" s="171">
        <f t="shared" si="15"/>
        <v>3492</v>
      </c>
      <c r="H85" s="172">
        <f t="shared" si="16"/>
        <v>3.3744826300632582E-4</v>
      </c>
      <c r="I85" s="336"/>
      <c r="J85" s="168"/>
      <c r="K85" s="168"/>
      <c r="M85" s="359">
        <f t="shared" si="17"/>
        <v>9.5791956986887583E-2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'[22]Sch C'!D79</f>
        <v>5201</v>
      </c>
      <c r="D86" s="558">
        <f>'[22]Sch C'!F79</f>
        <v>-949</v>
      </c>
      <c r="E86" s="171">
        <f t="shared" si="14"/>
        <v>4252</v>
      </c>
      <c r="F86" s="171"/>
      <c r="G86" s="171">
        <f>E86+F86</f>
        <v>4252</v>
      </c>
      <c r="H86" s="172">
        <f t="shared" si="16"/>
        <v>4.1089061119785146E-4</v>
      </c>
      <c r="I86" s="336"/>
      <c r="J86" s="168"/>
      <c r="K86" s="168"/>
      <c r="M86" s="359">
        <f t="shared" si="17"/>
        <v>0.11664014922916552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'[22]Sch C'!D80</f>
        <v>8983</v>
      </c>
      <c r="D87" s="558">
        <f>'[22]Sch C'!F80</f>
        <v>-1639</v>
      </c>
      <c r="E87" s="171">
        <f t="shared" si="14"/>
        <v>7344</v>
      </c>
      <c r="F87" s="171"/>
      <c r="G87" s="171">
        <f t="shared" si="15"/>
        <v>7344</v>
      </c>
      <c r="H87" s="172">
        <f t="shared" si="16"/>
        <v>7.0968500673495325E-4</v>
      </c>
      <c r="I87" s="336"/>
      <c r="J87" s="168"/>
      <c r="K87" s="168"/>
      <c r="M87" s="359">
        <f t="shared" si="17"/>
        <v>0.20145937345695947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'[22]Sch C'!D81</f>
        <v>24734</v>
      </c>
      <c r="D88" s="558">
        <f>'[22]Sch C'!F81</f>
        <v>-4514</v>
      </c>
      <c r="E88" s="171">
        <f t="shared" si="14"/>
        <v>20220</v>
      </c>
      <c r="F88" s="171"/>
      <c r="G88" s="171">
        <f t="shared" si="15"/>
        <v>20220</v>
      </c>
      <c r="H88" s="172">
        <f t="shared" si="16"/>
        <v>1.9539530005692747E-3</v>
      </c>
      <c r="I88" s="336"/>
      <c r="J88" s="168"/>
      <c r="K88" s="168"/>
      <c r="M88" s="359">
        <f t="shared" si="17"/>
        <v>0.55467164097218413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'[22]Sch C'!D82</f>
        <v>0</v>
      </c>
      <c r="D89" s="558">
        <f>'[22]Sch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'[22]Sch C'!D83</f>
        <v>21017</v>
      </c>
      <c r="D90" s="558">
        <f>'[22]Sch C'!F83</f>
        <v>-3836</v>
      </c>
      <c r="E90" s="171">
        <f t="shared" si="14"/>
        <v>17181</v>
      </c>
      <c r="F90" s="171"/>
      <c r="G90" s="171">
        <f t="shared" si="15"/>
        <v>17181</v>
      </c>
      <c r="H90" s="172">
        <f t="shared" si="16"/>
        <v>1.6602802424718452E-3</v>
      </c>
      <c r="I90" s="336"/>
      <c r="J90" s="168"/>
      <c r="K90" s="168"/>
      <c r="M90" s="359">
        <f t="shared" si="17"/>
        <v>0.47130630383497008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'[22]Sch C'!D84</f>
        <v>257084</v>
      </c>
      <c r="D91" s="558">
        <f>'[22]Sch C'!F84</f>
        <v>-46920</v>
      </c>
      <c r="E91" s="171">
        <f t="shared" si="14"/>
        <v>210164</v>
      </c>
      <c r="F91" s="171"/>
      <c r="G91" s="171">
        <f t="shared" si="15"/>
        <v>210164</v>
      </c>
      <c r="H91" s="172">
        <f t="shared" si="16"/>
        <v>2.0309128507005E-2</v>
      </c>
      <c r="I91" s="336"/>
      <c r="J91" s="168"/>
      <c r="K91" s="168"/>
      <c r="M91" s="359">
        <f t="shared" si="17"/>
        <v>5.7651835189553955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'[22]Sch C'!D85</f>
        <v>24361</v>
      </c>
      <c r="D92" s="558">
        <f>'[22]Sch C'!F85</f>
        <v>59624</v>
      </c>
      <c r="E92" s="171">
        <f t="shared" si="14"/>
        <v>83985</v>
      </c>
      <c r="F92" s="171"/>
      <c r="G92" s="171">
        <f t="shared" si="15"/>
        <v>83985</v>
      </c>
      <c r="H92" s="172">
        <f t="shared" si="16"/>
        <v>8.115862648506951E-3</v>
      </c>
      <c r="I92" s="336"/>
      <c r="J92" s="168"/>
      <c r="K92" s="168"/>
      <c r="M92" s="359">
        <f t="shared" si="17"/>
        <v>2.3038624019312008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574751</v>
      </c>
      <c r="D93" s="558">
        <f>SUM(D82:D92)</f>
        <v>-39421</v>
      </c>
      <c r="E93" s="171">
        <f t="shared" ref="E93:F93" si="18">SUM(E82:E92)</f>
        <v>535330</v>
      </c>
      <c r="F93" s="171">
        <f t="shared" si="18"/>
        <v>0</v>
      </c>
      <c r="G93" s="171">
        <f>SUM(G82:G92)</f>
        <v>535330</v>
      </c>
      <c r="H93" s="172">
        <f t="shared" si="16"/>
        <v>5.1731437180749254E-2</v>
      </c>
      <c r="I93" s="336"/>
      <c r="J93" s="168"/>
      <c r="K93" s="168"/>
      <c r="M93" s="364">
        <f>G93/G$228</f>
        <v>14.685082569814012</v>
      </c>
      <c r="N93" s="359">
        <f>SUMMARY!J96</f>
        <v>11.458724454710746</v>
      </c>
      <c r="O93" s="354">
        <f>M93/N93-1</f>
        <v>0.28156346091182005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'[22]Sch C'!D89</f>
        <v>0</v>
      </c>
      <c r="D96" s="558">
        <f>'[22]Sch C'!F89</f>
        <v>0</v>
      </c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6"/>
      <c r="J96" s="183">
        <v>0</v>
      </c>
      <c r="K96" s="183">
        <v>0</v>
      </c>
      <c r="M96" s="364">
        <f t="shared" ref="M96:M101" si="22">G96/G$228</f>
        <v>0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'[22]Sch C'!D90</f>
        <v>0</v>
      </c>
      <c r="D97" s="558">
        <f>'[22]Sch C'!F90</f>
        <v>0</v>
      </c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6"/>
      <c r="J97" s="168"/>
      <c r="K97" s="168"/>
      <c r="M97" s="364">
        <f t="shared" si="22"/>
        <v>0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'[22]Sch C'!D91</f>
        <v>732590</v>
      </c>
      <c r="D98" s="558">
        <f>'[22]Sch C'!F91</f>
        <v>-297122</v>
      </c>
      <c r="E98" s="171">
        <f t="shared" si="19"/>
        <v>435468</v>
      </c>
      <c r="F98" s="171"/>
      <c r="G98" s="171">
        <f t="shared" si="20"/>
        <v>435468</v>
      </c>
      <c r="H98" s="172">
        <f t="shared" si="21"/>
        <v>4.2081305897720127E-2</v>
      </c>
      <c r="I98" s="336"/>
      <c r="J98" s="168"/>
      <c r="K98" s="168"/>
      <c r="M98" s="364">
        <f t="shared" si="22"/>
        <v>11.945684972842486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'[22]Sch C'!D92</f>
        <v>4452</v>
      </c>
      <c r="D99" s="558">
        <f>'[22]Sch C'!F92</f>
        <v>297122</v>
      </c>
      <c r="E99" s="171">
        <f t="shared" si="19"/>
        <v>301574</v>
      </c>
      <c r="F99" s="171"/>
      <c r="G99" s="171">
        <f t="shared" si="20"/>
        <v>301574</v>
      </c>
      <c r="H99" s="172">
        <f t="shared" si="21"/>
        <v>2.9142503570409421E-2</v>
      </c>
      <c r="I99" s="336"/>
      <c r="J99" s="168"/>
      <c r="K99" s="168"/>
      <c r="M99" s="364">
        <f t="shared" si="22"/>
        <v>8.2727272727272734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'[22]Sch C'!D93</f>
        <v>4054</v>
      </c>
      <c r="D100" s="558">
        <f>'[22]Sch C'!F93</f>
        <v>0</v>
      </c>
      <c r="E100" s="171">
        <f t="shared" si="19"/>
        <v>4054</v>
      </c>
      <c r="F100" s="171"/>
      <c r="G100" s="171">
        <f t="shared" si="20"/>
        <v>4054</v>
      </c>
      <c r="H100" s="172">
        <f t="shared" si="21"/>
        <v>3.9175694680058557E-4</v>
      </c>
      <c r="I100" s="336"/>
      <c r="J100" s="168"/>
      <c r="K100" s="168"/>
      <c r="M100" s="364">
        <f t="shared" si="22"/>
        <v>0.11120864651341417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'[22]Sch C'!D94</f>
        <v>49</v>
      </c>
      <c r="D101" s="558">
        <f>'[22]Sch C'!F94</f>
        <v>148</v>
      </c>
      <c r="E101" s="171">
        <f t="shared" si="19"/>
        <v>197</v>
      </c>
      <c r="F101" s="171"/>
      <c r="G101" s="171">
        <f t="shared" si="20"/>
        <v>197</v>
      </c>
      <c r="H101" s="172">
        <f t="shared" si="21"/>
        <v>1.9037029728592835E-5</v>
      </c>
      <c r="I101" s="336"/>
      <c r="J101" s="168"/>
      <c r="K101" s="168"/>
      <c r="M101" s="364">
        <f t="shared" si="22"/>
        <v>5.4040708838536235E-3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741145</v>
      </c>
      <c r="D102" s="558">
        <f>SUM(D96:D101)</f>
        <v>148</v>
      </c>
      <c r="E102" s="171">
        <f t="shared" ref="E102:F102" si="23">SUM(E96:E101)</f>
        <v>741293</v>
      </c>
      <c r="F102" s="171">
        <f t="shared" si="23"/>
        <v>0</v>
      </c>
      <c r="G102" s="171">
        <f>SUM(G96:G101)</f>
        <v>741293</v>
      </c>
      <c r="H102" s="172">
        <f t="shared" si="21"/>
        <v>7.1634603444658732E-2</v>
      </c>
      <c r="I102" s="336"/>
      <c r="J102" s="168"/>
      <c r="K102" s="168"/>
      <c r="M102" s="364">
        <f>G102/G$228</f>
        <v>20.335024962967026</v>
      </c>
      <c r="N102" s="359">
        <f>SUMMARY!J105</f>
        <v>19.901077037785338</v>
      </c>
      <c r="O102" s="354">
        <f>M102/N102-1</f>
        <v>2.1805248246502984E-2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'[22]Sch C'!D98</f>
        <v>0</v>
      </c>
      <c r="D105" s="558">
        <f>'[22]Sch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'[22]Sch C'!D99</f>
        <v>0</v>
      </c>
      <c r="D106" s="558">
        <f>'[22]Sch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'[22]Sch C'!D100</f>
        <v>0</v>
      </c>
      <c r="D107" s="558">
        <f>'[22]Sch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'[22]Sch C'!D101</f>
        <v>145015</v>
      </c>
      <c r="D108" s="558">
        <f>'[22]Sch C'!F101</f>
        <v>0</v>
      </c>
      <c r="E108" s="171">
        <f t="shared" si="24"/>
        <v>145015</v>
      </c>
      <c r="F108" s="171"/>
      <c r="G108" s="171">
        <f t="shared" si="25"/>
        <v>145015</v>
      </c>
      <c r="H108" s="172">
        <f t="shared" si="26"/>
        <v>1.4013476477623807E-2</v>
      </c>
      <c r="I108" s="336"/>
      <c r="J108" s="168"/>
      <c r="K108" s="168"/>
      <c r="M108" s="364">
        <f t="shared" si="27"/>
        <v>3.9780271026499148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'[22]Sch C'!D102</f>
        <v>31</v>
      </c>
      <c r="D109" s="558">
        <f>'[22]Sch C'!F102</f>
        <v>0</v>
      </c>
      <c r="E109" s="171">
        <f t="shared" si="24"/>
        <v>31</v>
      </c>
      <c r="F109" s="171"/>
      <c r="G109" s="171">
        <f t="shared" si="25"/>
        <v>31</v>
      </c>
      <c r="H109" s="172">
        <f t="shared" si="26"/>
        <v>2.9956747288648623E-6</v>
      </c>
      <c r="I109" s="336"/>
      <c r="J109" s="168"/>
      <c r="K109" s="168"/>
      <c r="M109" s="364">
        <f t="shared" si="27"/>
        <v>8.5038678882975809E-4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'[22]Sch C'!D103</f>
        <v>0</v>
      </c>
      <c r="D110" s="558">
        <f>'[22]Sch C'!F103</f>
        <v>4</v>
      </c>
      <c r="E110" s="171">
        <f t="shared" si="24"/>
        <v>4</v>
      </c>
      <c r="F110" s="171"/>
      <c r="G110" s="171">
        <f t="shared" si="25"/>
        <v>4</v>
      </c>
      <c r="H110" s="172">
        <f t="shared" si="26"/>
        <v>3.8653867469224035E-7</v>
      </c>
      <c r="I110" s="336"/>
      <c r="J110" s="168"/>
      <c r="K110" s="168"/>
      <c r="M110" s="364">
        <f t="shared" si="27"/>
        <v>1.0972732759093652E-4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145046</v>
      </c>
      <c r="D111" s="558">
        <f>SUM(D105:D110)</f>
        <v>4</v>
      </c>
      <c r="E111" s="171">
        <f t="shared" ref="E111:F111" si="28">SUM(E105:E110)</f>
        <v>145050</v>
      </c>
      <c r="F111" s="171">
        <f t="shared" si="28"/>
        <v>0</v>
      </c>
      <c r="G111" s="171">
        <f>SUM(G105:G110)</f>
        <v>145050</v>
      </c>
      <c r="H111" s="172">
        <f t="shared" si="26"/>
        <v>1.4016858691027364E-2</v>
      </c>
      <c r="I111" s="336"/>
      <c r="J111" s="168"/>
      <c r="K111" s="168"/>
      <c r="M111" s="364">
        <f>G111/G$228</f>
        <v>3.9789872167663356</v>
      </c>
      <c r="N111" s="359">
        <f>SUMMARY!J114</f>
        <v>2.4242384372309496</v>
      </c>
      <c r="O111" s="354">
        <f>M111/N111-1</f>
        <v>0.64133492632485223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'[22]Sch C'!D115</f>
        <v>0</v>
      </c>
      <c r="D114" s="558">
        <f>'[22]Sch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'[22]Sch C'!D116</f>
        <v>0</v>
      </c>
      <c r="D115" s="558">
        <f>'[22]Sch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'[22]Sch C'!D117</f>
        <v>0</v>
      </c>
      <c r="D116" s="558">
        <f>'[22]Sch C'!F117</f>
        <v>0</v>
      </c>
      <c r="E116" s="171">
        <f t="shared" si="29"/>
        <v>0</v>
      </c>
      <c r="F116" s="171"/>
      <c r="G116" s="171">
        <f>E116+F116</f>
        <v>0</v>
      </c>
      <c r="H116" s="172">
        <f t="shared" si="30"/>
        <v>0</v>
      </c>
      <c r="I116" s="336"/>
      <c r="J116" s="168"/>
      <c r="K116" s="168"/>
      <c r="M116" s="364">
        <f t="shared" si="31"/>
        <v>0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'[22]Sch C'!D118</f>
        <v>217523</v>
      </c>
      <c r="D117" s="558">
        <f>'[22]Sch C'!F118</f>
        <v>0</v>
      </c>
      <c r="E117" s="171">
        <f t="shared" si="29"/>
        <v>217523</v>
      </c>
      <c r="F117" s="171"/>
      <c r="G117" s="171">
        <f>E117+F117</f>
        <v>217523</v>
      </c>
      <c r="H117" s="172">
        <f t="shared" si="30"/>
        <v>2.1020263033770047E-2</v>
      </c>
      <c r="I117" s="336"/>
      <c r="J117" s="168"/>
      <c r="K117" s="168"/>
      <c r="M117" s="364">
        <f t="shared" si="31"/>
        <v>5.9670543698908212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'[22]Sch C'!D119</f>
        <v>0</v>
      </c>
      <c r="D118" s="558">
        <f>'[22]Sch C'!F119</f>
        <v>26</v>
      </c>
      <c r="E118" s="171">
        <f t="shared" si="29"/>
        <v>26</v>
      </c>
      <c r="F118" s="171"/>
      <c r="G118" s="171">
        <f>E118+F118</f>
        <v>26</v>
      </c>
      <c r="H118" s="172">
        <f t="shared" si="30"/>
        <v>2.5125013854995622E-6</v>
      </c>
      <c r="I118" s="336"/>
      <c r="J118" s="168"/>
      <c r="K118" s="168"/>
      <c r="M118" s="364">
        <f t="shared" si="31"/>
        <v>7.1322762934108736E-4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217523</v>
      </c>
      <c r="D119" s="558">
        <f>SUM(D114:D118)</f>
        <v>26</v>
      </c>
      <c r="E119" s="171">
        <f t="shared" ref="E119:F119" si="32">SUM(E114:E118)</f>
        <v>217549</v>
      </c>
      <c r="F119" s="171">
        <f t="shared" si="32"/>
        <v>0</v>
      </c>
      <c r="G119" s="171">
        <f>SUM(G114:G118)</f>
        <v>217549</v>
      </c>
      <c r="H119" s="172">
        <f t="shared" si="30"/>
        <v>2.1022775535155549E-2</v>
      </c>
      <c r="I119" s="336"/>
      <c r="J119" s="168"/>
      <c r="K119" s="168"/>
      <c r="M119" s="364">
        <f t="shared" si="31"/>
        <v>5.9677675975201625</v>
      </c>
      <c r="N119" s="359">
        <f>SUMMARY!J122</f>
        <v>6.0247597205909562</v>
      </c>
      <c r="O119" s="354">
        <f>M119/N119-1</f>
        <v>-9.4596507933769614E-3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'[22]Sch C'!D124</f>
        <v>0</v>
      </c>
      <c r="D123" s="558">
        <f>'[22]Sch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'[22]Sch C'!D125</f>
        <v>475934</v>
      </c>
      <c r="D124" s="558">
        <f>'[22]Sch C'!F125</f>
        <v>0</v>
      </c>
      <c r="E124" s="171">
        <f t="shared" si="33"/>
        <v>475934</v>
      </c>
      <c r="F124" s="171"/>
      <c r="G124" s="171">
        <f>E124+F124</f>
        <v>475934</v>
      </c>
      <c r="H124" s="172">
        <f>IF($G$208=0,0,G124/$G$208)</f>
        <v>4.5991724400244176E-2</v>
      </c>
      <c r="I124" s="336"/>
      <c r="J124" s="183">
        <v>12732</v>
      </c>
      <c r="K124" s="183">
        <v>13767</v>
      </c>
      <c r="M124" s="364">
        <f t="shared" si="34"/>
        <v>13.055741482416195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'[22]Sch C'!D126</f>
        <v>0</v>
      </c>
      <c r="D125" s="558">
        <f>'[22]Sch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'[22]Sch C'!D127</f>
        <v>0</v>
      </c>
      <c r="D126" s="558">
        <f>'[22]Sch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'[22]Sch C'!D128</f>
        <v>104471</v>
      </c>
      <c r="D127" s="558">
        <f>'[22]Sch C'!F128</f>
        <v>0</v>
      </c>
      <c r="E127" s="171">
        <f t="shared" si="33"/>
        <v>104471</v>
      </c>
      <c r="F127" s="171"/>
      <c r="G127" s="171">
        <f>E127+F127</f>
        <v>104471</v>
      </c>
      <c r="H127" s="172">
        <f>IF($G$208=0,0,G127/$G$208)</f>
        <v>1.009552047094326E-2</v>
      </c>
      <c r="I127" s="336"/>
      <c r="J127" s="183">
        <v>4161</v>
      </c>
      <c r="K127" s="183">
        <v>4434</v>
      </c>
      <c r="M127" s="364">
        <f t="shared" si="34"/>
        <v>2.8658309101881825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'[22]Sch C'!D130</f>
        <v>0</v>
      </c>
      <c r="D129" s="558">
        <f>'[22]Sch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'[22]Sch C'!D131</f>
        <v>44932</v>
      </c>
      <c r="D130" s="558">
        <f>'[22]Sch C'!F131</f>
        <v>4852</v>
      </c>
      <c r="E130" s="171">
        <f t="shared" si="35"/>
        <v>49784</v>
      </c>
      <c r="F130" s="171"/>
      <c r="G130" s="171">
        <f>E130+F130</f>
        <v>49784</v>
      </c>
      <c r="H130" s="172">
        <f>IF($G$208=0,0,G130/$G$208)</f>
        <v>4.810860345219623E-3</v>
      </c>
      <c r="I130" s="336"/>
      <c r="J130" s="204"/>
      <c r="K130" s="204"/>
      <c r="M130" s="364">
        <f t="shared" si="34"/>
        <v>1.3656663191967959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'[22]Sch C'!D132</f>
        <v>0</v>
      </c>
      <c r="D131" s="558">
        <f>'[22]Sch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'[22]Sch C'!D133</f>
        <v>0</v>
      </c>
      <c r="D132" s="558">
        <f>'[22]Sch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'[22]Sch C'!D134</f>
        <v>9754</v>
      </c>
      <c r="D133" s="558">
        <f>'[22]Sch C'!F134</f>
        <v>1065</v>
      </c>
      <c r="E133" s="171">
        <f t="shared" si="35"/>
        <v>10819</v>
      </c>
      <c r="F133" s="171"/>
      <c r="G133" s="171">
        <f>E133+F133</f>
        <v>10819</v>
      </c>
      <c r="H133" s="172">
        <f>IF($G$208=0,0,G133/$G$208)</f>
        <v>1.0454904803738371E-3</v>
      </c>
      <c r="I133" s="336"/>
      <c r="J133" s="168"/>
      <c r="K133" s="168"/>
      <c r="M133" s="364">
        <f t="shared" si="34"/>
        <v>0.29678498930158553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'[22]Sch C'!D136</f>
        <v>401521</v>
      </c>
      <c r="D135" s="558">
        <f>'[22]Sch C'!F136</f>
        <v>12734</v>
      </c>
      <c r="E135" s="171">
        <f t="shared" ref="E135:E138" si="36">C135+D135</f>
        <v>414255</v>
      </c>
      <c r="F135" s="171"/>
      <c r="G135" s="171">
        <f>E135+F135</f>
        <v>414255</v>
      </c>
      <c r="H135" s="172">
        <f>IF($G$208=0,0,G135/$G$208)</f>
        <v>4.0031394671158502E-2</v>
      </c>
      <c r="I135" s="336"/>
      <c r="J135" s="183">
        <v>13315</v>
      </c>
      <c r="K135" s="183">
        <v>14091</v>
      </c>
      <c r="M135" s="364">
        <f t="shared" si="34"/>
        <v>11.363773522795853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'[22]Sch C'!D137</f>
        <v>732369</v>
      </c>
      <c r="D136" s="558">
        <f>'[22]Sch C'!F137</f>
        <v>20689</v>
      </c>
      <c r="E136" s="171">
        <f t="shared" si="36"/>
        <v>753058</v>
      </c>
      <c r="F136" s="171"/>
      <c r="G136" s="171">
        <f>E136+F136</f>
        <v>753058</v>
      </c>
      <c r="H136" s="172">
        <f>IF($G$208=0,0,G136/$G$208)</f>
        <v>7.2771510321597274E-2</v>
      </c>
      <c r="I136" s="336"/>
      <c r="J136" s="183">
        <v>26318</v>
      </c>
      <c r="K136" s="183">
        <v>27291</v>
      </c>
      <c r="M136" s="364">
        <f t="shared" si="34"/>
        <v>20.657760465243868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'[22]Sch C'!D138</f>
        <v>1154224</v>
      </c>
      <c r="D137" s="558">
        <f>'[22]Sch C'!F138</f>
        <v>34179</v>
      </c>
      <c r="E137" s="171">
        <f t="shared" si="36"/>
        <v>1188403</v>
      </c>
      <c r="F137" s="171"/>
      <c r="G137" s="171">
        <f>E137+F137</f>
        <v>1188403</v>
      </c>
      <c r="H137" s="172">
        <f>IF($G$208=0,0,G137/$G$208)</f>
        <v>0.11484093015507062</v>
      </c>
      <c r="I137" s="336"/>
      <c r="J137" s="183">
        <v>85219</v>
      </c>
      <c r="K137" s="183">
        <v>88066</v>
      </c>
      <c r="M137" s="364">
        <f t="shared" si="34"/>
        <v>32.600071322762936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'[22]Sch C'!D139</f>
        <v>67602</v>
      </c>
      <c r="D138" s="558">
        <f>'[22]Sch C'!F139</f>
        <v>-67602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'[22]Sch C'!D141</f>
        <v>0</v>
      </c>
      <c r="D140" s="558">
        <f>'[22]Sch C'!F141</f>
        <v>44993</v>
      </c>
      <c r="E140" s="171">
        <f t="shared" ref="E140:E143" si="37">C140+D140</f>
        <v>44993</v>
      </c>
      <c r="F140" s="171"/>
      <c r="G140" s="171">
        <f>E140+F140</f>
        <v>44993</v>
      </c>
      <c r="H140" s="172">
        <f>IF($G$208=0,0,G140/$G$208)</f>
        <v>4.3478836476069926E-3</v>
      </c>
      <c r="I140" s="336"/>
      <c r="J140" s="168"/>
      <c r="K140" s="168"/>
      <c r="M140" s="364">
        <f t="shared" si="34"/>
        <v>1.2342404125747517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'[22]Sch C'!D142</f>
        <v>0</v>
      </c>
      <c r="D141" s="558">
        <f>'[22]Sch C'!F142</f>
        <v>81791</v>
      </c>
      <c r="E141" s="171">
        <f t="shared" si="37"/>
        <v>81791</v>
      </c>
      <c r="F141" s="171"/>
      <c r="G141" s="171">
        <f>E141+F141</f>
        <v>81791</v>
      </c>
      <c r="H141" s="172">
        <f>IF($G$208=0,0,G141/$G$208)</f>
        <v>7.9038461854382576E-3</v>
      </c>
      <c r="I141" s="336"/>
      <c r="J141" s="168"/>
      <c r="K141" s="168"/>
      <c r="M141" s="364">
        <f t="shared" si="34"/>
        <v>2.2436769627475721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'[22]Sch C'!D143</f>
        <v>0</v>
      </c>
      <c r="D142" s="558">
        <f>'[22]Sch C'!F143</f>
        <v>129074</v>
      </c>
      <c r="E142" s="171">
        <f t="shared" si="37"/>
        <v>129074</v>
      </c>
      <c r="F142" s="171"/>
      <c r="G142" s="171">
        <f>E142+F142</f>
        <v>129074</v>
      </c>
      <c r="H142" s="172">
        <f>IF($G$208=0,0,G142/$G$208)</f>
        <v>1.2473023224306557E-2</v>
      </c>
      <c r="I142" s="336"/>
      <c r="J142" s="168"/>
      <c r="K142" s="168"/>
      <c r="M142" s="364">
        <f t="shared" si="34"/>
        <v>3.5407362703681353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'[22]Sch C'!D144</f>
        <v>231841</v>
      </c>
      <c r="D143" s="558">
        <f>'[22]Sch C'!F144</f>
        <v>-231841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'[22]Sch C'!D146</f>
        <v>61602</v>
      </c>
      <c r="D145" s="558">
        <f>'[22]Sch C'!F146</f>
        <v>0</v>
      </c>
      <c r="E145" s="171">
        <f t="shared" ref="E145:E153" si="38">C145+D145</f>
        <v>61602</v>
      </c>
      <c r="F145" s="171"/>
      <c r="G145" s="171">
        <f t="shared" ref="G145:G153" si="39">E145+F145</f>
        <v>61602</v>
      </c>
      <c r="H145" s="172">
        <f t="shared" ref="H145:H153" si="40">IF($G$208=0,0,G145/$G$208)</f>
        <v>5.9528888595978468E-3</v>
      </c>
      <c r="I145" s="336"/>
      <c r="J145" s="183">
        <v>388</v>
      </c>
      <c r="K145" s="183">
        <v>388</v>
      </c>
      <c r="M145" s="364">
        <f t="shared" si="34"/>
        <v>1.6898557085642179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'[22]Sch C'!D147</f>
        <v>0</v>
      </c>
      <c r="D146" s="558">
        <f>'[22]Sch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'[22]Sch C'!D148</f>
        <v>0</v>
      </c>
      <c r="D147" s="558">
        <f>'[22]Sch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'[22]Sch C'!D149</f>
        <v>0</v>
      </c>
      <c r="D148" s="558">
        <f>'[22]Sch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'[22]Sch C'!D150</f>
        <v>22774</v>
      </c>
      <c r="D149" s="558">
        <f>'[22]Sch C'!F150</f>
        <v>0</v>
      </c>
      <c r="E149" s="171">
        <f t="shared" si="38"/>
        <v>22774</v>
      </c>
      <c r="F149" s="171"/>
      <c r="G149" s="171">
        <f t="shared" si="39"/>
        <v>22774</v>
      </c>
      <c r="H149" s="172">
        <f t="shared" si="40"/>
        <v>2.2007579443602703E-3</v>
      </c>
      <c r="I149" s="336"/>
      <c r="J149" s="183">
        <v>0</v>
      </c>
      <c r="K149" s="183">
        <v>0</v>
      </c>
      <c r="M149" s="364">
        <f t="shared" si="34"/>
        <v>0.62473253963899711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'[22]Sch C'!D151</f>
        <v>208413</v>
      </c>
      <c r="D150" s="558">
        <f>'[22]Sch C'!F151</f>
        <v>558</v>
      </c>
      <c r="E150" s="171">
        <f t="shared" si="38"/>
        <v>208971</v>
      </c>
      <c r="F150" s="171"/>
      <c r="G150" s="171">
        <f t="shared" si="39"/>
        <v>208971</v>
      </c>
      <c r="H150" s="172">
        <f t="shared" si="40"/>
        <v>2.0193843347278039E-2</v>
      </c>
      <c r="I150" s="336"/>
      <c r="J150" s="168"/>
      <c r="K150" s="168"/>
      <c r="M150" s="364">
        <f t="shared" si="34"/>
        <v>5.732457343501399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'[22]Sch C'!D152</f>
        <v>1899</v>
      </c>
      <c r="D151" s="558">
        <f>'[22]Sch C'!F152</f>
        <v>0</v>
      </c>
      <c r="E151" s="171">
        <f t="shared" si="38"/>
        <v>1899</v>
      </c>
      <c r="F151" s="171"/>
      <c r="G151" s="171">
        <f t="shared" si="39"/>
        <v>1899</v>
      </c>
      <c r="H151" s="172">
        <f t="shared" si="40"/>
        <v>1.835092358101411E-4</v>
      </c>
      <c r="I151" s="336"/>
      <c r="J151" s="168"/>
      <c r="K151" s="168"/>
      <c r="M151" s="364">
        <f t="shared" si="34"/>
        <v>5.2093048773797113E-2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'[22]Sch C'!D153</f>
        <v>43781</v>
      </c>
      <c r="D152" s="558">
        <f>'[22]Sch C'!F153</f>
        <v>0</v>
      </c>
      <c r="E152" s="171">
        <f t="shared" si="38"/>
        <v>43781</v>
      </c>
      <c r="F152" s="171"/>
      <c r="G152" s="171">
        <f t="shared" si="39"/>
        <v>43781</v>
      </c>
      <c r="H152" s="172">
        <f t="shared" si="40"/>
        <v>4.230762429175243E-3</v>
      </c>
      <c r="I152" s="336"/>
      <c r="J152" s="168"/>
      <c r="K152" s="168"/>
      <c r="M152" s="364">
        <f t="shared" si="34"/>
        <v>1.200993032314698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'[22]Sch C'!D154</f>
        <v>793880</v>
      </c>
      <c r="D153" s="558">
        <f>'[22]Sch C'!F154</f>
        <v>0</v>
      </c>
      <c r="E153" s="171">
        <f t="shared" si="38"/>
        <v>793880</v>
      </c>
      <c r="F153" s="171"/>
      <c r="G153" s="171">
        <f t="shared" si="39"/>
        <v>793880</v>
      </c>
      <c r="H153" s="172">
        <f t="shared" si="40"/>
        <v>7.6716330766168933E-2</v>
      </c>
      <c r="I153" s="336"/>
      <c r="J153" s="168"/>
      <c r="K153" s="168"/>
      <c r="M153" s="364">
        <f t="shared" si="34"/>
        <v>21.77758270697317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'[22]Sch C'!D156</f>
        <v>0</v>
      </c>
      <c r="D155" s="558">
        <f>'[22]Sch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'[22]Sch C'!D157</f>
        <v>0</v>
      </c>
      <c r="D156" s="558">
        <f>'[22]Sch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'[22]Sch C'!D158</f>
        <v>0</v>
      </c>
      <c r="D157" s="558">
        <f>'[22]Sch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'[22]Sch C'!D159</f>
        <v>0</v>
      </c>
      <c r="D158" s="558">
        <f>'[22]Sch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'[22]Sch C'!D160</f>
        <v>0</v>
      </c>
      <c r="D159" s="558">
        <f>'[22]Sch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'[22]Sch C'!D161</f>
        <v>146233</v>
      </c>
      <c r="D160" s="558">
        <f>'[22]Sch C'!F161</f>
        <v>190016</v>
      </c>
      <c r="E160" s="171">
        <f t="shared" si="41"/>
        <v>336249</v>
      </c>
      <c r="F160" s="171"/>
      <c r="G160" s="171">
        <f t="shared" si="42"/>
        <v>336249</v>
      </c>
      <c r="H160" s="172">
        <f t="shared" si="43"/>
        <v>3.2493310706647779E-2</v>
      </c>
      <c r="I160" s="336"/>
      <c r="J160" s="168"/>
      <c r="K160" s="168"/>
      <c r="M160" s="364">
        <f t="shared" si="34"/>
        <v>9.2239260437812032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4501230</v>
      </c>
      <c r="D161" s="558">
        <f>SUM(D123:D160)</f>
        <v>220508</v>
      </c>
      <c r="E161" s="171">
        <f t="shared" ref="E161:F161" si="44">SUM(E123:E160)</f>
        <v>4721738</v>
      </c>
      <c r="F161" s="171">
        <f t="shared" si="44"/>
        <v>0</v>
      </c>
      <c r="G161" s="171">
        <f>SUM(G123:G160)</f>
        <v>4721738</v>
      </c>
      <c r="H161" s="172">
        <f t="shared" si="43"/>
        <v>0.45628358719099738</v>
      </c>
      <c r="I161" s="336"/>
      <c r="J161" s="168"/>
      <c r="K161" s="168"/>
      <c r="M161" s="364">
        <f>G161/G$228</f>
        <v>129.52592308114336</v>
      </c>
      <c r="N161" s="359">
        <f>SUMMARY!J164</f>
        <v>105.56901037202306</v>
      </c>
      <c r="O161" s="354">
        <f>M161/N161-1</f>
        <v>0.22693129948548951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'[22]Sch C'!D175</f>
        <v>0</v>
      </c>
      <c r="D164" s="558">
        <f>'[22]Sch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'[22]Sch C'!D176</f>
        <v>0</v>
      </c>
      <c r="D165" s="558">
        <f>'[22]Sch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'[22]Sch C'!D177</f>
        <v>0</v>
      </c>
      <c r="D166" s="558">
        <f>'[22]Sch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'[22]Sch C'!D178</f>
        <v>0</v>
      </c>
      <c r="D167" s="558">
        <f>'[22]Sch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'[22]Sch C'!D179</f>
        <v>0</v>
      </c>
      <c r="D168" s="558">
        <f>'[22]Sch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'[22]Sch C'!D180</f>
        <v>0</v>
      </c>
      <c r="D169" s="558">
        <f>'[22]Sch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'[22]Sch C'!D181</f>
        <v>0</v>
      </c>
      <c r="D170" s="558">
        <f>'[22]Sch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'[22]Sch C'!D182</f>
        <v>0</v>
      </c>
      <c r="D171" s="558">
        <f>'[22]Sch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'[22]Sch C'!D183</f>
        <v>0</v>
      </c>
      <c r="D172" s="558">
        <f>'[22]Sch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'[22]Sch C'!D184</f>
        <v>0</v>
      </c>
      <c r="D173" s="558">
        <f>'[22]Sch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'[22]Sch C'!D185</f>
        <v>0</v>
      </c>
      <c r="D174" s="558">
        <f>'[22]Sch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'[22]Sch C'!D186</f>
        <v>0</v>
      </c>
      <c r="D175" s="558">
        <f>'[22]Sch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'[22]Sch C'!D187</f>
        <v>0</v>
      </c>
      <c r="D176" s="558">
        <f>'[22]Sch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'[22]Sch C'!D188</f>
        <v>11794</v>
      </c>
      <c r="D177" s="558">
        <f>'[22]Sch C'!F188</f>
        <v>18</v>
      </c>
      <c r="E177" s="171">
        <f t="shared" si="45"/>
        <v>11812</v>
      </c>
      <c r="F177" s="216"/>
      <c r="G177" s="171">
        <f t="shared" si="46"/>
        <v>11812</v>
      </c>
      <c r="H177" s="172">
        <f t="shared" si="47"/>
        <v>1.1414487063661856E-3</v>
      </c>
      <c r="I177" s="336"/>
      <c r="J177" s="223"/>
      <c r="K177" s="218"/>
      <c r="L177" s="220"/>
      <c r="M177" s="364">
        <f t="shared" si="48"/>
        <v>0.32402479837603554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'[22]Sch C'!D189</f>
        <v>0</v>
      </c>
      <c r="D178" s="558">
        <f>'[22]Sch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'[22]Sch C'!D190</f>
        <v>0</v>
      </c>
      <c r="D179" s="558">
        <f>'[22]Sch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'[22]Sch C'!D191</f>
        <v>9641</v>
      </c>
      <c r="D180" s="558">
        <f>'[22]Sch C'!F191</f>
        <v>0</v>
      </c>
      <c r="E180" s="171">
        <f t="shared" si="45"/>
        <v>9641</v>
      </c>
      <c r="F180" s="216"/>
      <c r="G180" s="171">
        <f t="shared" si="46"/>
        <v>9641</v>
      </c>
      <c r="H180" s="172">
        <f t="shared" si="47"/>
        <v>9.3165484067697223E-4</v>
      </c>
      <c r="I180" s="336"/>
      <c r="J180" s="223"/>
      <c r="K180" s="218"/>
      <c r="L180" s="220"/>
      <c r="M180" s="364">
        <f t="shared" si="48"/>
        <v>0.26447029132605476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'[22]Sch C'!D192</f>
        <v>98246</v>
      </c>
      <c r="D181" s="558">
        <f>'[22]Sch C'!F192</f>
        <v>0</v>
      </c>
      <c r="E181" s="171">
        <f t="shared" si="45"/>
        <v>98246</v>
      </c>
      <c r="F181" s="216"/>
      <c r="G181" s="171">
        <f t="shared" si="46"/>
        <v>98246</v>
      </c>
      <c r="H181" s="172">
        <f t="shared" si="47"/>
        <v>9.4939696584534598E-3</v>
      </c>
      <c r="I181" s="336"/>
      <c r="J181" s="223"/>
      <c r="K181" s="218"/>
      <c r="L181" s="220"/>
      <c r="M181" s="364">
        <f t="shared" si="48"/>
        <v>2.6950677566247876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'[22]Sch C'!D193</f>
        <v>0</v>
      </c>
      <c r="D182" s="558">
        <f>'[22]Sch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'[22]Sch C'!D194</f>
        <v>362652</v>
      </c>
      <c r="D183" s="558">
        <f>'[22]Sch C'!F194</f>
        <v>-151284</v>
      </c>
      <c r="E183" s="171">
        <f t="shared" si="45"/>
        <v>211368</v>
      </c>
      <c r="F183" s="216"/>
      <c r="G183" s="171">
        <f t="shared" si="46"/>
        <v>211368</v>
      </c>
      <c r="H183" s="172">
        <f t="shared" si="47"/>
        <v>2.0425476648087363E-2</v>
      </c>
      <c r="I183" s="336"/>
      <c r="J183" s="223"/>
      <c r="K183" s="218"/>
      <c r="M183" s="364">
        <f t="shared" si="48"/>
        <v>5.7982114445602679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'[22]Sch C'!D195</f>
        <v>199532</v>
      </c>
      <c r="D184" s="558">
        <f>'[22]Sch C'!F195</f>
        <v>-14410</v>
      </c>
      <c r="E184" s="171">
        <f t="shared" si="45"/>
        <v>185122</v>
      </c>
      <c r="F184" s="216"/>
      <c r="G184" s="171">
        <f t="shared" si="46"/>
        <v>185122</v>
      </c>
      <c r="H184" s="172">
        <f t="shared" si="47"/>
        <v>1.7889203134094228E-2</v>
      </c>
      <c r="I184" s="336"/>
      <c r="J184" s="223"/>
      <c r="K184" s="218"/>
      <c r="M184" s="364">
        <f t="shared" si="48"/>
        <v>5.0782355845723375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'[22]Sch C'!D196</f>
        <v>0</v>
      </c>
      <c r="D185" s="558">
        <f>'[22]Sch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'[22]Sch C'!D197</f>
        <v>309207</v>
      </c>
      <c r="D186" s="558">
        <f>'[22]Sch C'!F197</f>
        <v>9586</v>
      </c>
      <c r="E186" s="171">
        <f t="shared" si="45"/>
        <v>318793</v>
      </c>
      <c r="F186" s="216"/>
      <c r="G186" s="171">
        <f t="shared" si="46"/>
        <v>318793</v>
      </c>
      <c r="H186" s="172">
        <f t="shared" si="47"/>
        <v>3.0806455930290841E-2</v>
      </c>
      <c r="I186" s="336"/>
      <c r="J186" s="223"/>
      <c r="K186" s="218"/>
      <c r="M186" s="364">
        <f t="shared" si="48"/>
        <v>8.7450759861743563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'[22]Sch C'!D198</f>
        <v>0</v>
      </c>
      <c r="D187" s="558">
        <f>'[22]Sch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'[22]Sch C'!D199</f>
        <v>0</v>
      </c>
      <c r="D188" s="558">
        <f>'[22]Sch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'[22]Sch C'!D200</f>
        <v>0</v>
      </c>
      <c r="D189" s="558">
        <f>'[22]Sch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'[22]Sch C'!D201</f>
        <v>0</v>
      </c>
      <c r="D190" s="558">
        <f>'[22]Sch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'[22]Sch C'!D202</f>
        <v>0</v>
      </c>
      <c r="D191" s="558">
        <f>'[22]Sch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'[22]Sch C'!D203</f>
        <v>0</v>
      </c>
      <c r="D192" s="558">
        <f>'[22]Sch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'[22]Sch C'!D204</f>
        <v>0</v>
      </c>
      <c r="D193" s="558">
        <f>'[22]Sch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'[22]Sch C'!D205</f>
        <v>550785</v>
      </c>
      <c r="D194" s="558">
        <f>'[22]Sch C'!F205</f>
        <v>0</v>
      </c>
      <c r="E194" s="171">
        <f t="shared" si="45"/>
        <v>550785</v>
      </c>
      <c r="F194" s="216"/>
      <c r="G194" s="171">
        <f t="shared" si="46"/>
        <v>550785</v>
      </c>
      <c r="H194" s="172">
        <f t="shared" si="47"/>
        <v>5.3224925985091397E-2</v>
      </c>
      <c r="I194" s="336"/>
      <c r="J194" s="223"/>
      <c r="K194" s="218"/>
      <c r="M194" s="364">
        <f t="shared" si="48"/>
        <v>15.109041531793492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'[22]Sch C'!D206</f>
        <v>0</v>
      </c>
      <c r="D195" s="558">
        <f>'[22]Sch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'[22]Sch C'!D207</f>
        <v>38424</v>
      </c>
      <c r="D196" s="558">
        <f>'[22]Sch C'!F207</f>
        <v>0</v>
      </c>
      <c r="E196" s="171">
        <f t="shared" si="45"/>
        <v>38424</v>
      </c>
      <c r="F196" s="216"/>
      <c r="G196" s="171">
        <f t="shared" si="46"/>
        <v>38424</v>
      </c>
      <c r="H196" s="172">
        <f t="shared" si="47"/>
        <v>3.7130905090936605E-3</v>
      </c>
      <c r="I196" s="336"/>
      <c r="J196" s="223"/>
      <c r="K196" s="218"/>
      <c r="M196" s="364">
        <f t="shared" si="48"/>
        <v>1.0540407088385362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1580281</v>
      </c>
      <c r="D197" s="558">
        <f>SUM(D164:D196)</f>
        <v>-156090</v>
      </c>
      <c r="E197" s="171">
        <f t="shared" ref="E197:F197" si="49">SUM(E164:E196)</f>
        <v>1424191</v>
      </c>
      <c r="F197" s="171">
        <f t="shared" si="49"/>
        <v>0</v>
      </c>
      <c r="G197" s="171">
        <f>SUM(G164:G196)</f>
        <v>1424191</v>
      </c>
      <c r="H197" s="172">
        <f>IF($G$208=0,0,G197/$G$208)</f>
        <v>0.13762622541215411</v>
      </c>
      <c r="I197" s="336"/>
      <c r="J197" s="168"/>
      <c r="K197" s="168"/>
      <c r="M197" s="364">
        <f>G197/G$228</f>
        <v>39.068168102265872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'[22]Sch C'!D211</f>
        <v>195539</v>
      </c>
      <c r="D200" s="558">
        <f>'[22]Sch C'!F211</f>
        <v>0</v>
      </c>
      <c r="E200" s="171">
        <f t="shared" ref="E200:E205" si="50">C200+D200</f>
        <v>195539</v>
      </c>
      <c r="F200" s="171"/>
      <c r="G200" s="171">
        <f t="shared" ref="G200:G205" si="51">E200+F200</f>
        <v>195539</v>
      </c>
      <c r="H200" s="172">
        <f t="shared" ref="H200:H206" si="52">IF($G$208=0,0,G200/$G$208)</f>
        <v>1.8895846477661495E-2</v>
      </c>
      <c r="I200" s="336"/>
      <c r="J200" s="183">
        <v>10386</v>
      </c>
      <c r="K200" s="183">
        <v>11230</v>
      </c>
      <c r="M200" s="364">
        <f t="shared" ref="M200:M205" si="53">G200/G$228</f>
        <v>5.3639929774510344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'[22]Sch C'!D212</f>
        <v>19113</v>
      </c>
      <c r="D201" s="558">
        <f>'[22]Sch C'!F212</f>
        <v>1994</v>
      </c>
      <c r="E201" s="171">
        <f t="shared" si="50"/>
        <v>21107</v>
      </c>
      <c r="F201" s="171"/>
      <c r="G201" s="171">
        <f t="shared" si="51"/>
        <v>21107</v>
      </c>
      <c r="H201" s="172">
        <f t="shared" si="52"/>
        <v>2.0396679516822792E-3</v>
      </c>
      <c r="I201" s="336"/>
      <c r="J201" s="168"/>
      <c r="K201" s="168"/>
      <c r="M201" s="364">
        <f t="shared" si="53"/>
        <v>0.5790036758654743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'[22]Sch C'!D213</f>
        <v>20465</v>
      </c>
      <c r="D202" s="558">
        <f>'[22]Sch C'!F213</f>
        <v>0</v>
      </c>
      <c r="E202" s="171">
        <f t="shared" si="50"/>
        <v>20465</v>
      </c>
      <c r="F202" s="171"/>
      <c r="G202" s="171">
        <f t="shared" si="51"/>
        <v>20465</v>
      </c>
      <c r="H202" s="172">
        <f t="shared" si="52"/>
        <v>1.9776284943941744E-3</v>
      </c>
      <c r="I202" s="336"/>
      <c r="J202" s="168"/>
      <c r="K202" s="168"/>
      <c r="M202" s="364">
        <f t="shared" si="53"/>
        <v>0.56139243978712894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'[22]Sch C'!D214</f>
        <v>0</v>
      </c>
      <c r="D203" s="558">
        <f>'[22]Sch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'[22]Sch C'!D215</f>
        <v>0</v>
      </c>
      <c r="D204" s="558">
        <f>'[22]Sch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'[22]Sch C'!D216</f>
        <v>20245</v>
      </c>
      <c r="D205" s="558">
        <f>'[22]Sch C'!F216</f>
        <v>9</v>
      </c>
      <c r="E205" s="171">
        <f t="shared" si="50"/>
        <v>20254</v>
      </c>
      <c r="F205" s="171"/>
      <c r="G205" s="171">
        <f t="shared" si="51"/>
        <v>20254</v>
      </c>
      <c r="H205" s="172">
        <f t="shared" si="52"/>
        <v>1.9572385793041589E-3</v>
      </c>
      <c r="I205" s="336"/>
      <c r="J205" s="168"/>
      <c r="K205" s="168"/>
      <c r="M205" s="364">
        <f t="shared" si="53"/>
        <v>0.55560432325670706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255362</v>
      </c>
      <c r="D206" s="558">
        <f>SUM(D200:D205)</f>
        <v>2003</v>
      </c>
      <c r="E206" s="171">
        <f t="shared" ref="E206:F206" si="54">SUM(E200:E205)</f>
        <v>257365</v>
      </c>
      <c r="F206" s="171">
        <f t="shared" si="54"/>
        <v>0</v>
      </c>
      <c r="G206" s="171">
        <f>SUM(G200:G205)</f>
        <v>257365</v>
      </c>
      <c r="H206" s="172">
        <f t="shared" si="52"/>
        <v>2.4870381503042108E-2</v>
      </c>
      <c r="I206" s="336"/>
      <c r="J206" s="168"/>
      <c r="K206" s="168"/>
      <c r="M206" s="364">
        <f>G206/G$228</f>
        <v>7.0599934163603448</v>
      </c>
      <c r="N206" s="359">
        <f>SUMMARY!J209</f>
        <v>7.1515095990067339</v>
      </c>
      <c r="O206" s="354">
        <f>M206/N206-1</f>
        <v>-1.2796764288633522E-2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12511412</v>
      </c>
      <c r="D208" s="558">
        <f>SUM(D25:D206)/2</f>
        <v>-2163159</v>
      </c>
      <c r="E208" s="171">
        <f t="shared" ref="E208:F208" si="55">SUM(E25:E206)/2</f>
        <v>10348253</v>
      </c>
      <c r="F208" s="171">
        <f t="shared" si="55"/>
        <v>0</v>
      </c>
      <c r="G208" s="171">
        <f>SUM(G25:G206)/2</f>
        <v>10348253</v>
      </c>
      <c r="H208" s="172">
        <f>IF($G$208=0,0,G208/$G$208)</f>
        <v>1</v>
      </c>
      <c r="I208" s="336"/>
      <c r="J208" s="183">
        <f>SUM(J25:J200)</f>
        <v>173138</v>
      </c>
      <c r="K208" s="183">
        <f>SUM(K25:K200)</f>
        <v>181595</v>
      </c>
      <c r="M208" s="364">
        <f>G208/G$228</f>
        <v>283.87153673122293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1.1082873746431632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'[22]Sch C'!D221</f>
        <v>12511412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-898343</v>
      </c>
      <c r="D215" s="558">
        <f>D21-D208</f>
        <v>993139</v>
      </c>
      <c r="E215" s="171">
        <f t="shared" ref="E215:F215" si="56">E21-E208</f>
        <v>94796</v>
      </c>
      <c r="F215" s="171">
        <f t="shared" si="56"/>
        <v>0</v>
      </c>
      <c r="G215" s="171">
        <f>G21-G208</f>
        <v>94796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'[22]Sch D'!C9</f>
        <v>22573</v>
      </c>
      <c r="D219" s="592"/>
      <c r="E219" s="235">
        <f t="shared" ref="E219:G227" si="57">C219+D219</f>
        <v>22573</v>
      </c>
      <c r="F219" s="234"/>
      <c r="G219" s="235">
        <f t="shared" si="57"/>
        <v>22573</v>
      </c>
      <c r="H219" s="172">
        <f t="shared" ref="H219:H228" si="58">IF($G$228=0,0,G219/$G$228)</f>
        <v>0.61921874142755251</v>
      </c>
      <c r="I219" s="336"/>
      <c r="J219" s="168"/>
      <c r="K219" s="168"/>
    </row>
    <row r="220" spans="1:17">
      <c r="A220" s="163"/>
      <c r="B220" s="170" t="s">
        <v>217</v>
      </c>
      <c r="C220" s="592">
        <f>'[22]Sch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'[22]Sch D'!E9</f>
        <v>2989</v>
      </c>
      <c r="D221" s="592"/>
      <c r="E221" s="235">
        <f t="shared" si="59"/>
        <v>2989</v>
      </c>
      <c r="F221" s="234"/>
      <c r="G221" s="235">
        <f t="shared" si="57"/>
        <v>2989</v>
      </c>
      <c r="H221" s="172">
        <f t="shared" si="58"/>
        <v>8.1993745542327315E-2</v>
      </c>
      <c r="I221" s="336"/>
      <c r="J221" s="168"/>
      <c r="K221" s="168"/>
    </row>
    <row r="222" spans="1:17">
      <c r="A222" s="163"/>
      <c r="B222" s="202" t="s">
        <v>334</v>
      </c>
      <c r="C222" s="592">
        <f>'[22]Sch D'!F9</f>
        <v>1280</v>
      </c>
      <c r="D222" s="592"/>
      <c r="E222" s="235">
        <f>C222+D222</f>
        <v>1280</v>
      </c>
      <c r="F222" s="234"/>
      <c r="G222" s="235">
        <f>E222+F222</f>
        <v>1280</v>
      </c>
      <c r="H222" s="172">
        <f t="shared" si="58"/>
        <v>3.5112744829099686E-2</v>
      </c>
      <c r="I222" s="336"/>
      <c r="J222" s="168"/>
      <c r="K222" s="168"/>
    </row>
    <row r="223" spans="1:17">
      <c r="A223" s="163"/>
      <c r="B223" s="170" t="s">
        <v>73</v>
      </c>
      <c r="C223" s="592">
        <f>'[22]Sch D'!G9</f>
        <v>4031</v>
      </c>
      <c r="D223" s="592"/>
      <c r="E223" s="235">
        <f t="shared" si="59"/>
        <v>4031</v>
      </c>
      <c r="F223" s="234"/>
      <c r="G223" s="235">
        <f t="shared" si="57"/>
        <v>4031</v>
      </c>
      <c r="H223" s="172">
        <f t="shared" si="58"/>
        <v>0.11057771437976628</v>
      </c>
      <c r="I223" s="336"/>
      <c r="J223" s="168"/>
      <c r="K223" s="168"/>
    </row>
    <row r="224" spans="1:17">
      <c r="A224" s="163"/>
      <c r="B224" s="170" t="s">
        <v>74</v>
      </c>
      <c r="C224" s="592">
        <f>'[22]Sch D'!H9</f>
        <v>2316</v>
      </c>
      <c r="D224" s="592"/>
      <c r="E224" s="235">
        <f t="shared" si="59"/>
        <v>2316</v>
      </c>
      <c r="F224" s="234"/>
      <c r="G224" s="235">
        <f t="shared" si="57"/>
        <v>2316</v>
      </c>
      <c r="H224" s="172">
        <f t="shared" si="58"/>
        <v>6.353212267515225E-2</v>
      </c>
      <c r="I224" s="336"/>
      <c r="J224" s="168"/>
      <c r="K224" s="168"/>
    </row>
    <row r="225" spans="1:11">
      <c r="A225" s="163"/>
      <c r="B225" s="170" t="s">
        <v>236</v>
      </c>
      <c r="C225" s="592">
        <f>'[22]Sch D'!I9</f>
        <v>2184</v>
      </c>
      <c r="D225" s="592"/>
      <c r="E225" s="235">
        <f t="shared" si="59"/>
        <v>2184</v>
      </c>
      <c r="F225" s="234"/>
      <c r="G225" s="235">
        <f t="shared" si="57"/>
        <v>2184</v>
      </c>
      <c r="H225" s="172">
        <f t="shared" si="58"/>
        <v>5.9911120864651342E-2</v>
      </c>
      <c r="I225" s="336"/>
      <c r="J225" s="168"/>
      <c r="K225" s="168"/>
    </row>
    <row r="226" spans="1:11">
      <c r="A226" s="163"/>
      <c r="B226" s="170" t="s">
        <v>235</v>
      </c>
      <c r="C226" s="592">
        <f>'[22]Sch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'[22]Sch D'!K9</f>
        <v>1081</v>
      </c>
      <c r="D227" s="592"/>
      <c r="E227" s="235">
        <f t="shared" si="59"/>
        <v>1081</v>
      </c>
      <c r="F227" s="234"/>
      <c r="G227" s="235">
        <f t="shared" si="57"/>
        <v>1081</v>
      </c>
      <c r="H227" s="172">
        <f t="shared" si="58"/>
        <v>2.9653810281450595E-2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36454</v>
      </c>
      <c r="D228" s="592">
        <f>SUM(D219:D227)</f>
        <v>0</v>
      </c>
      <c r="E228" s="237">
        <f>SUM(E219:E227)</f>
        <v>36454</v>
      </c>
      <c r="F228" s="237">
        <f>SUM(F219:F227)</f>
        <v>0</v>
      </c>
      <c r="G228" s="237">
        <f>SUM(G219:G227)</f>
        <v>36454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'[22]Sch D'!N22</f>
        <v>176</v>
      </c>
      <c r="D231" s="559"/>
      <c r="E231" s="235">
        <f>C231+D231</f>
        <v>176</v>
      </c>
      <c r="F231" s="235"/>
      <c r="G231" s="235">
        <f>E231+F231</f>
        <v>176</v>
      </c>
      <c r="H231" s="167"/>
      <c r="J231" s="168"/>
      <c r="K231" s="168"/>
    </row>
    <row r="232" spans="1:11">
      <c r="A232" s="163"/>
      <c r="B232" s="202" t="s">
        <v>290</v>
      </c>
      <c r="C232" s="593">
        <f>'[22]Sch D'!N24</f>
        <v>176</v>
      </c>
      <c r="D232" s="559"/>
      <c r="E232" s="235">
        <f>C232+D232</f>
        <v>176</v>
      </c>
      <c r="F232" s="235"/>
      <c r="G232" s="235">
        <f>E232+F232</f>
        <v>176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'[22]Sch D'!N28</f>
        <v>64416</v>
      </c>
      <c r="D235" s="483"/>
      <c r="E235" s="234">
        <f>E231*E233</f>
        <v>64416</v>
      </c>
      <c r="F235" s="239"/>
      <c r="G235" s="234">
        <f>G231*G233</f>
        <v>64416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'[22]Sch D'!N30</f>
        <v>0.56591530054644812</v>
      </c>
      <c r="D236" s="239"/>
      <c r="E236" s="244">
        <f>E228/E235</f>
        <v>0.56591530054644812</v>
      </c>
      <c r="F236" s="245"/>
      <c r="G236" s="244">
        <f>G228/G235</f>
        <v>0.56591530054644812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'[22]Sch D'!N32</f>
        <v>0.35042536015896669</v>
      </c>
      <c r="D237" s="239"/>
      <c r="E237" s="244">
        <f>(E219+E220)/E235</f>
        <v>0.35042536015896669</v>
      </c>
      <c r="F237" s="245"/>
      <c r="G237" s="244">
        <f>(G219+G220)/G235</f>
        <v>0.35042536015896669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'[22]Sch D'!N34</f>
        <v>0.6192187414275524</v>
      </c>
      <c r="D238" s="239"/>
      <c r="E238" s="244">
        <f>(E237/E236)</f>
        <v>0.6192187414275524</v>
      </c>
      <c r="F238" s="245"/>
      <c r="G238" s="244">
        <f>(G237/G236)</f>
        <v>0.6192187414275524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219.2750865051903</v>
      </c>
    </row>
    <row r="242" spans="2:7">
      <c r="F242" s="142" t="s">
        <v>341</v>
      </c>
      <c r="G242" s="558">
        <v>219.27580071174378</v>
      </c>
    </row>
    <row r="243" spans="2:7">
      <c r="F243" s="142" t="s">
        <v>342</v>
      </c>
      <c r="G243" s="558">
        <v>219.27529021558871</v>
      </c>
    </row>
    <row r="244" spans="2:7">
      <c r="F244" s="142" t="s">
        <v>343</v>
      </c>
      <c r="G244" s="558">
        <v>219.27574171029667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1" sqref="F1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  <cellWatches>
    <cellWatch r="G186"/>
  </cellWatch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tabColor rgb="FFE28CAB"/>
  </sheetPr>
  <dimension ref="A1:Q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29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247</v>
      </c>
      <c r="D2" s="246"/>
    </row>
    <row r="3" spans="1:17" ht="13.25" customHeight="1">
      <c r="A3" s="145"/>
      <c r="B3" s="140" t="s">
        <v>79</v>
      </c>
      <c r="C3" s="489">
        <v>42186</v>
      </c>
      <c r="D3" s="144"/>
      <c r="E3" s="414"/>
      <c r="F3" s="414"/>
    </row>
    <row r="4" spans="1:17" ht="13.25" customHeight="1">
      <c r="A4" s="145"/>
      <c r="B4" s="148" t="s">
        <v>80</v>
      </c>
      <c r="C4" s="489">
        <v>42551</v>
      </c>
      <c r="D4" s="144"/>
      <c r="E4" s="414"/>
      <c r="F4" s="414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'[23]Sch B'!E10</f>
        <v>1282796</v>
      </c>
      <c r="D11" s="558">
        <f>'[23]Sch B'!G10</f>
        <v>0</v>
      </c>
      <c r="E11" s="171">
        <f>C11+D11</f>
        <v>1282796</v>
      </c>
      <c r="F11" s="558"/>
      <c r="G11" s="171">
        <f t="shared" ref="G11:G20" si="0">E11+F11</f>
        <v>1282796</v>
      </c>
      <c r="H11" s="172">
        <f t="shared" ref="H11:H21" si="1">IF($G$21=0,0,G11/$G$21)</f>
        <v>0.12698642108226663</v>
      </c>
      <c r="I11" s="336"/>
      <c r="J11" s="368" t="s">
        <v>344</v>
      </c>
      <c r="K11" s="369">
        <f>G21</f>
        <v>10101836</v>
      </c>
      <c r="M11" s="359">
        <f>IFERROR(G11/G219,0)</f>
        <v>177.57419712070876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'[23]Sch B'!E15</f>
        <v>0</v>
      </c>
      <c r="D12" s="558">
        <f>'[23]Sch B'!G15</f>
        <v>0</v>
      </c>
      <c r="E12" s="171">
        <f t="shared" ref="E12:E20" si="2">C12+D12</f>
        <v>0</v>
      </c>
      <c r="F12" s="558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10601625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'[23]Sch B'!E21</f>
        <v>5585641</v>
      </c>
      <c r="D13" s="558">
        <f>'[23]Sch B'!G21</f>
        <v>0</v>
      </c>
      <c r="E13" s="171">
        <f t="shared" si="2"/>
        <v>5585641</v>
      </c>
      <c r="F13" s="558"/>
      <c r="G13" s="171">
        <f t="shared" si="0"/>
        <v>5585641</v>
      </c>
      <c r="H13" s="172">
        <f t="shared" si="1"/>
        <v>0.55293324896583151</v>
      </c>
      <c r="I13" s="336"/>
      <c r="J13" s="370" t="s">
        <v>346</v>
      </c>
      <c r="K13" s="371">
        <f>G228</f>
        <v>27240</v>
      </c>
      <c r="M13" s="359">
        <f t="shared" si="3"/>
        <v>558.73171951585471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'[23]Sch B'!E27</f>
        <v>1817175</v>
      </c>
      <c r="D14" s="558">
        <f>'[23]Sch B'!G27</f>
        <v>0</v>
      </c>
      <c r="E14" s="171">
        <f t="shared" si="2"/>
        <v>1817175</v>
      </c>
      <c r="F14" s="558"/>
      <c r="G14" s="175">
        <f>E14+F14</f>
        <v>1817175</v>
      </c>
      <c r="H14" s="176">
        <f t="shared" si="1"/>
        <v>0.17988561683242532</v>
      </c>
      <c r="I14" s="337"/>
      <c r="J14" s="370" t="s">
        <v>347</v>
      </c>
      <c r="K14" s="371">
        <f>G231</f>
        <v>108</v>
      </c>
      <c r="M14" s="359">
        <f t="shared" si="3"/>
        <v>389.61728130360206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'[23]Sch B'!E32</f>
        <v>0</v>
      </c>
      <c r="D15" s="558">
        <f>'[23]Sch B'!G32</f>
        <v>0</v>
      </c>
      <c r="E15" s="171">
        <f t="shared" si="2"/>
        <v>0</v>
      </c>
      <c r="F15" s="558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39528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'[23]Sch B'!E37</f>
        <v>1195574</v>
      </c>
      <c r="D16" s="558">
        <f>'[23]Sch B'!G37</f>
        <v>0</v>
      </c>
      <c r="E16" s="171">
        <f t="shared" si="2"/>
        <v>1195574</v>
      </c>
      <c r="F16" s="558"/>
      <c r="G16" s="171">
        <f t="shared" si="0"/>
        <v>1195574</v>
      </c>
      <c r="H16" s="172">
        <f t="shared" si="1"/>
        <v>0.11835214905488467</v>
      </c>
      <c r="I16" s="336"/>
      <c r="J16" s="372"/>
      <c r="K16" s="371"/>
      <c r="M16" s="359">
        <f t="shared" si="3"/>
        <v>264.62461266046921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'[23]Sch B'!E42</f>
        <v>0</v>
      </c>
      <c r="D17" s="558">
        <f>'[23]Sch B'!G42</f>
        <v>0</v>
      </c>
      <c r="E17" s="171">
        <f t="shared" si="2"/>
        <v>0</v>
      </c>
      <c r="F17" s="558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244349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'[23]Sch B'!E47</f>
        <v>187440</v>
      </c>
      <c r="D18" s="558">
        <f>'[23]Sch B'!G47</f>
        <v>0</v>
      </c>
      <c r="E18" s="171">
        <f t="shared" si="2"/>
        <v>187440</v>
      </c>
      <c r="F18" s="558"/>
      <c r="G18" s="171">
        <f>E18+F18</f>
        <v>187440</v>
      </c>
      <c r="H18" s="172">
        <f t="shared" si="1"/>
        <v>1.8555042865475147E-2</v>
      </c>
      <c r="I18" s="336"/>
      <c r="J18" s="373" t="s">
        <v>252</v>
      </c>
      <c r="K18" s="374">
        <f>K208</f>
        <v>259558</v>
      </c>
      <c r="M18" s="359">
        <f t="shared" si="3"/>
        <v>223.94265232974911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'[23]Sch B'!E52</f>
        <v>0</v>
      </c>
      <c r="D19" s="558">
        <f>'[23]Sch B'!G52</f>
        <v>0</v>
      </c>
      <c r="E19" s="171">
        <f t="shared" si="2"/>
        <v>0</v>
      </c>
      <c r="F19" s="558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'[23]Sch B'!E67</f>
        <v>33210</v>
      </c>
      <c r="D20" s="558">
        <f>'[23]Sch B'!G67</f>
        <v>0</v>
      </c>
      <c r="E20" s="171">
        <f t="shared" si="2"/>
        <v>33210</v>
      </c>
      <c r="F20" s="558"/>
      <c r="G20" s="171">
        <f t="shared" si="0"/>
        <v>33210</v>
      </c>
      <c r="H20" s="172">
        <f t="shared" si="1"/>
        <v>3.2875211991166753E-3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10101836</v>
      </c>
      <c r="D21" s="558">
        <f>SUM(D11:D20)</f>
        <v>0</v>
      </c>
      <c r="E21" s="171">
        <f>SUM(E11:E20)</f>
        <v>10101836</v>
      </c>
      <c r="F21" s="558">
        <f>SUM(F11:F20)</f>
        <v>0</v>
      </c>
      <c r="G21" s="171">
        <f>SUM(G11:G20)</f>
        <v>10101836</v>
      </c>
      <c r="H21" s="172">
        <f t="shared" si="1"/>
        <v>1</v>
      </c>
      <c r="I21" s="336"/>
      <c r="J21" s="168"/>
      <c r="K21" s="168"/>
      <c r="M21" s="359">
        <f>IFERROR(G21/G228,0)</f>
        <v>370.84566813509542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'[23]Sch C'!D10</f>
        <v>88945</v>
      </c>
      <c r="D25" s="558">
        <f>'[23]Sch C'!F10</f>
        <v>3617</v>
      </c>
      <c r="E25" s="171">
        <f t="shared" ref="E25:E60" si="4">C25+D25</f>
        <v>92562</v>
      </c>
      <c r="F25" s="558"/>
      <c r="G25" s="182">
        <f>E25+F25</f>
        <v>92562</v>
      </c>
      <c r="H25" s="172">
        <f>IF($G$208=0,0,G25/$G$208)</f>
        <v>8.7309256835626618E-3</v>
      </c>
      <c r="I25" s="336"/>
      <c r="J25" s="183">
        <v>2149</v>
      </c>
      <c r="K25" s="183">
        <v>2149</v>
      </c>
      <c r="M25" s="359">
        <f>G25/G$228</f>
        <v>3.3980176211453745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'[23]Sch C'!D11</f>
        <v>0</v>
      </c>
      <c r="D26" s="558">
        <f>'[23]Sch C'!F11</f>
        <v>0</v>
      </c>
      <c r="E26" s="171">
        <f t="shared" si="4"/>
        <v>0</v>
      </c>
      <c r="F26" s="558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'[23]Sch C'!D12</f>
        <v>409722</v>
      </c>
      <c r="D27" s="558">
        <f>'[23]Sch C'!F12</f>
        <v>16660</v>
      </c>
      <c r="E27" s="171">
        <f t="shared" si="4"/>
        <v>426382</v>
      </c>
      <c r="F27" s="558"/>
      <c r="G27" s="171">
        <f t="shared" si="5"/>
        <v>426382</v>
      </c>
      <c r="H27" s="172">
        <f t="shared" si="6"/>
        <v>4.0218551401318192E-2</v>
      </c>
      <c r="I27" s="336"/>
      <c r="J27" s="185">
        <v>23566</v>
      </c>
      <c r="K27" s="185">
        <v>25167</v>
      </c>
      <c r="M27" s="359">
        <f t="shared" si="7"/>
        <v>15.652790014684287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'[23]Sch C'!D13</f>
        <v>1010742</v>
      </c>
      <c r="D28" s="558">
        <f>'[23]Sch C'!F13</f>
        <v>-929128</v>
      </c>
      <c r="E28" s="171">
        <f t="shared" si="4"/>
        <v>81614</v>
      </c>
      <c r="F28" s="558"/>
      <c r="G28" s="171">
        <f t="shared" si="5"/>
        <v>81614</v>
      </c>
      <c r="H28" s="172">
        <f t="shared" si="6"/>
        <v>7.6982538054307711E-3</v>
      </c>
      <c r="I28" s="336"/>
      <c r="J28" s="168"/>
      <c r="K28" s="168"/>
      <c r="M28" s="359">
        <f t="shared" si="7"/>
        <v>2.9961086637298089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'[23]Sch C'!D14</f>
        <v>0</v>
      </c>
      <c r="D29" s="558">
        <f>'[23]Sch C'!F14</f>
        <v>0</v>
      </c>
      <c r="E29" s="171">
        <f t="shared" si="4"/>
        <v>0</v>
      </c>
      <c r="F29" s="558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'[23]Sch C'!D15</f>
        <v>0</v>
      </c>
      <c r="D30" s="558">
        <f>'[23]Sch C'!F15</f>
        <v>0</v>
      </c>
      <c r="E30" s="171">
        <f t="shared" si="4"/>
        <v>0</v>
      </c>
      <c r="F30" s="558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'[23]Sch C'!D16</f>
        <v>504107</v>
      </c>
      <c r="D31" s="558">
        <f>'[23]Sch C'!F16</f>
        <v>82103</v>
      </c>
      <c r="E31" s="171">
        <f t="shared" si="4"/>
        <v>586210</v>
      </c>
      <c r="F31" s="558"/>
      <c r="G31" s="171">
        <f t="shared" si="5"/>
        <v>586210</v>
      </c>
      <c r="H31" s="172">
        <f t="shared" si="6"/>
        <v>5.5294353459964862E-2</v>
      </c>
      <c r="I31" s="336"/>
      <c r="J31" s="168"/>
      <c r="K31" s="168"/>
      <c r="M31" s="359">
        <f t="shared" si="7"/>
        <v>21.520190895741557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'[23]Sch C'!D17</f>
        <v>8306</v>
      </c>
      <c r="D32" s="558">
        <f>'[23]Sch C'!F17</f>
        <v>0</v>
      </c>
      <c r="E32" s="171">
        <f t="shared" si="4"/>
        <v>8306</v>
      </c>
      <c r="F32" s="558"/>
      <c r="G32" s="171">
        <f t="shared" si="5"/>
        <v>8306</v>
      </c>
      <c r="H32" s="172">
        <f t="shared" si="6"/>
        <v>7.8346479902845082E-4</v>
      </c>
      <c r="I32" s="336"/>
      <c r="J32" s="168"/>
      <c r="K32" s="168"/>
      <c r="M32" s="359">
        <f t="shared" si="7"/>
        <v>0.30491923641703378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'[23]Sch C'!D18</f>
        <v>19769</v>
      </c>
      <c r="D33" s="558">
        <f>'[23]Sch C'!F18</f>
        <v>0</v>
      </c>
      <c r="E33" s="171">
        <f t="shared" si="4"/>
        <v>19769</v>
      </c>
      <c r="F33" s="558"/>
      <c r="G33" s="171">
        <f t="shared" si="5"/>
        <v>19769</v>
      </c>
      <c r="H33" s="172">
        <f t="shared" si="6"/>
        <v>1.8647141358046526E-3</v>
      </c>
      <c r="I33" s="336"/>
      <c r="J33" s="168"/>
      <c r="K33" s="168"/>
      <c r="M33" s="359">
        <f t="shared" si="7"/>
        <v>0.72573421439060204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'[23]Sch C'!D19</f>
        <v>15963</v>
      </c>
      <c r="D34" s="558">
        <f>'[23]Sch C'!F19</f>
        <v>0</v>
      </c>
      <c r="E34" s="171">
        <f t="shared" si="4"/>
        <v>15963</v>
      </c>
      <c r="F34" s="558"/>
      <c r="G34" s="171">
        <f t="shared" si="5"/>
        <v>15963</v>
      </c>
      <c r="H34" s="172">
        <f t="shared" si="6"/>
        <v>1.5057125676488274E-3</v>
      </c>
      <c r="I34" s="336"/>
      <c r="J34" s="168"/>
      <c r="K34" s="168"/>
      <c r="M34" s="359">
        <f t="shared" si="7"/>
        <v>0.58601321585903088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'[23]Sch C'!D20</f>
        <v>45608</v>
      </c>
      <c r="D35" s="558">
        <f>'[23]Sch C'!F20</f>
        <v>0</v>
      </c>
      <c r="E35" s="171">
        <f t="shared" si="4"/>
        <v>45608</v>
      </c>
      <c r="F35" s="558"/>
      <c r="G35" s="171">
        <f t="shared" si="5"/>
        <v>45608</v>
      </c>
      <c r="H35" s="172">
        <f t="shared" si="6"/>
        <v>4.3019820074752689E-3</v>
      </c>
      <c r="I35" s="336"/>
      <c r="J35" s="168"/>
      <c r="K35" s="168"/>
      <c r="M35" s="359">
        <f t="shared" si="7"/>
        <v>1.6743024963289281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'[23]Sch C'!D21</f>
        <v>73400</v>
      </c>
      <c r="D36" s="558">
        <f>'[23]Sch C'!F21</f>
        <v>7675</v>
      </c>
      <c r="E36" s="171">
        <f t="shared" si="4"/>
        <v>81075</v>
      </c>
      <c r="F36" s="558"/>
      <c r="G36" s="171">
        <f t="shared" si="5"/>
        <v>81075</v>
      </c>
      <c r="H36" s="172">
        <f t="shared" si="6"/>
        <v>7.6474125428884722E-3</v>
      </c>
      <c r="I36" s="336"/>
      <c r="J36" s="168"/>
      <c r="K36" s="168"/>
      <c r="M36" s="359">
        <f t="shared" si="7"/>
        <v>2.9763215859030838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'[23]Sch C'!D22</f>
        <v>6000</v>
      </c>
      <c r="D37" s="558">
        <f>'[23]Sch C'!F22</f>
        <v>0</v>
      </c>
      <c r="E37" s="171">
        <f t="shared" si="4"/>
        <v>6000</v>
      </c>
      <c r="F37" s="558"/>
      <c r="G37" s="171">
        <f t="shared" si="5"/>
        <v>6000</v>
      </c>
      <c r="H37" s="172">
        <f t="shared" si="6"/>
        <v>5.6595097449683421E-4</v>
      </c>
      <c r="I37" s="336"/>
      <c r="J37" s="168"/>
      <c r="K37" s="168"/>
      <c r="M37" s="359">
        <f t="shared" si="7"/>
        <v>0.22026431718061673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'[23]Sch C'!D23</f>
        <v>29662</v>
      </c>
      <c r="D38" s="558">
        <f>'[23]Sch C'!F23</f>
        <v>0</v>
      </c>
      <c r="E38" s="171">
        <f t="shared" si="4"/>
        <v>29662</v>
      </c>
      <c r="F38" s="558"/>
      <c r="G38" s="171">
        <f t="shared" si="5"/>
        <v>29662</v>
      </c>
      <c r="H38" s="172">
        <f t="shared" si="6"/>
        <v>2.797872967587516E-3</v>
      </c>
      <c r="I38" s="336"/>
      <c r="J38" s="168"/>
      <c r="K38" s="168"/>
      <c r="M38" s="359">
        <f t="shared" si="7"/>
        <v>1.088913362701909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'[23]Sch C'!D24</f>
        <v>0</v>
      </c>
      <c r="D39" s="558">
        <f>'[23]Sch C'!F24</f>
        <v>0</v>
      </c>
      <c r="E39" s="171">
        <f t="shared" si="4"/>
        <v>0</v>
      </c>
      <c r="F39" s="558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'[23]Sch C'!D25</f>
        <v>0</v>
      </c>
      <c r="D40" s="558">
        <f>'[23]Sch C'!F25</f>
        <v>0</v>
      </c>
      <c r="E40" s="171">
        <f t="shared" si="4"/>
        <v>0</v>
      </c>
      <c r="F40" s="558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'[23]Sch C'!D26</f>
        <v>249217</v>
      </c>
      <c r="D41" s="558">
        <f>'[23]Sch C'!F26</f>
        <v>0</v>
      </c>
      <c r="E41" s="171">
        <f t="shared" si="4"/>
        <v>249217</v>
      </c>
      <c r="F41" s="558"/>
      <c r="G41" s="171">
        <f t="shared" si="5"/>
        <v>249217</v>
      </c>
      <c r="H41" s="172">
        <f t="shared" si="6"/>
        <v>2.3507434001862924E-2</v>
      </c>
      <c r="I41" s="336"/>
      <c r="J41" s="168"/>
      <c r="K41" s="168"/>
      <c r="M41" s="359">
        <f t="shared" si="7"/>
        <v>9.1489353891336265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'[23]Sch C'!D27</f>
        <v>53719</v>
      </c>
      <c r="D42" s="558">
        <f>'[23]Sch C'!F27</f>
        <v>-601</v>
      </c>
      <c r="E42" s="171">
        <f t="shared" si="4"/>
        <v>53118</v>
      </c>
      <c r="F42" s="558"/>
      <c r="G42" s="171">
        <f t="shared" si="5"/>
        <v>53118</v>
      </c>
      <c r="H42" s="172">
        <f t="shared" si="6"/>
        <v>5.0103639772204733E-3</v>
      </c>
      <c r="I42" s="336"/>
      <c r="J42" s="168"/>
      <c r="K42" s="168"/>
      <c r="M42" s="359">
        <f t="shared" si="7"/>
        <v>1.95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'[23]Sch C'!D28</f>
        <v>0</v>
      </c>
      <c r="D43" s="558">
        <f>'[23]Sch C'!F28</f>
        <v>0</v>
      </c>
      <c r="E43" s="171">
        <f t="shared" si="4"/>
        <v>0</v>
      </c>
      <c r="F43" s="558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'[23]Sch C'!D29</f>
        <v>100821</v>
      </c>
      <c r="D44" s="558">
        <f>'[23]Sch C'!F29</f>
        <v>-100821</v>
      </c>
      <c r="E44" s="171">
        <f t="shared" si="4"/>
        <v>0</v>
      </c>
      <c r="F44" s="558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'[23]Sch C'!D30</f>
        <v>0</v>
      </c>
      <c r="D45" s="558">
        <f>'[23]Sch C'!F30</f>
        <v>0</v>
      </c>
      <c r="E45" s="171">
        <f t="shared" si="4"/>
        <v>0</v>
      </c>
      <c r="F45" s="558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'[23]Sch C'!D31</f>
        <v>60801</v>
      </c>
      <c r="D46" s="558">
        <f>'[23]Sch C'!F31</f>
        <v>0</v>
      </c>
      <c r="E46" s="171">
        <f t="shared" si="4"/>
        <v>60801</v>
      </c>
      <c r="F46" s="558"/>
      <c r="G46" s="171">
        <f t="shared" si="5"/>
        <v>60801</v>
      </c>
      <c r="H46" s="172">
        <f t="shared" si="6"/>
        <v>5.7350642000636694E-3</v>
      </c>
      <c r="I46" s="336"/>
      <c r="J46" s="168"/>
      <c r="K46" s="168"/>
      <c r="M46" s="359">
        <f t="shared" si="7"/>
        <v>2.2320484581497797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'[23]Sch C'!D32</f>
        <v>60712</v>
      </c>
      <c r="D47" s="558">
        <f>'[23]Sch C'!F32</f>
        <v>0</v>
      </c>
      <c r="E47" s="171">
        <f t="shared" si="4"/>
        <v>60712</v>
      </c>
      <c r="F47" s="558"/>
      <c r="G47" s="171">
        <f t="shared" si="5"/>
        <v>60712</v>
      </c>
      <c r="H47" s="172">
        <f t="shared" si="6"/>
        <v>5.726669260608633E-3</v>
      </c>
      <c r="I47" s="336"/>
      <c r="J47" s="168"/>
      <c r="K47" s="168"/>
      <c r="M47" s="359">
        <f t="shared" si="7"/>
        <v>2.2287812041116006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'[23]Sch C'!D33</f>
        <v>0</v>
      </c>
      <c r="D48" s="558">
        <f>'[23]Sch C'!F33</f>
        <v>0</v>
      </c>
      <c r="E48" s="171">
        <f t="shared" si="4"/>
        <v>0</v>
      </c>
      <c r="F48" s="558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'[23]Sch C'!D34</f>
        <v>0</v>
      </c>
      <c r="D49" s="558">
        <f>'[23]Sch C'!F34</f>
        <v>0</v>
      </c>
      <c r="E49" s="171">
        <f t="shared" si="4"/>
        <v>0</v>
      </c>
      <c r="F49" s="558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'[23]Sch C'!D35</f>
        <v>10584</v>
      </c>
      <c r="D50" s="558">
        <f>'[23]Sch C'!F35</f>
        <v>-10584</v>
      </c>
      <c r="E50" s="171">
        <f t="shared" si="4"/>
        <v>0</v>
      </c>
      <c r="F50" s="558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'[23]Sch C'!D36</f>
        <v>33051</v>
      </c>
      <c r="D51" s="558">
        <f>'[23]Sch C'!F36</f>
        <v>1344</v>
      </c>
      <c r="E51" s="171">
        <f t="shared" si="4"/>
        <v>34395</v>
      </c>
      <c r="F51" s="558"/>
      <c r="G51" s="171">
        <f t="shared" si="5"/>
        <v>34395</v>
      </c>
      <c r="H51" s="172">
        <f t="shared" si="6"/>
        <v>3.2443139613031022E-3</v>
      </c>
      <c r="I51" s="336"/>
      <c r="J51" s="183">
        <v>2445</v>
      </c>
      <c r="K51" s="183">
        <v>2533</v>
      </c>
      <c r="M51" s="359">
        <f t="shared" si="7"/>
        <v>1.2626651982378854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'[23]Sch C'!D37</f>
        <v>0</v>
      </c>
      <c r="D52" s="558">
        <f>'[23]Sch C'!F37</f>
        <v>5409</v>
      </c>
      <c r="E52" s="171">
        <f t="shared" si="4"/>
        <v>5409</v>
      </c>
      <c r="F52" s="558"/>
      <c r="G52" s="171">
        <f t="shared" si="5"/>
        <v>5409</v>
      </c>
      <c r="H52" s="172">
        <f t="shared" si="6"/>
        <v>5.1020480350889603E-4</v>
      </c>
      <c r="I52" s="336"/>
      <c r="J52" s="168"/>
      <c r="K52" s="168"/>
      <c r="M52" s="359">
        <f t="shared" si="7"/>
        <v>0.19856828193832599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'[23]Sch C'!D38</f>
        <v>0</v>
      </c>
      <c r="D53" s="558">
        <f>'[23]Sch C'!F38</f>
        <v>0</v>
      </c>
      <c r="E53" s="171">
        <f t="shared" si="4"/>
        <v>0</v>
      </c>
      <c r="F53" s="558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'[23]Sch C'!D39</f>
        <v>13251</v>
      </c>
      <c r="D54" s="558">
        <f>'[23]Sch C'!F39</f>
        <v>0</v>
      </c>
      <c r="E54" s="171">
        <f t="shared" si="4"/>
        <v>13251</v>
      </c>
      <c r="F54" s="558"/>
      <c r="G54" s="171">
        <f t="shared" si="5"/>
        <v>13251</v>
      </c>
      <c r="H54" s="172">
        <f t="shared" si="6"/>
        <v>1.2499027271762584E-3</v>
      </c>
      <c r="I54" s="336"/>
      <c r="J54" s="168"/>
      <c r="K54" s="168"/>
      <c r="M54" s="359">
        <f t="shared" si="7"/>
        <v>0.48645374449339207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'[23]Sch C'!D40</f>
        <v>0</v>
      </c>
      <c r="D55" s="558">
        <f>'[23]Sch C'!F40</f>
        <v>0</v>
      </c>
      <c r="E55" s="171">
        <f t="shared" si="4"/>
        <v>0</v>
      </c>
      <c r="F55" s="558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'[23]Sch C'!D41</f>
        <v>91067</v>
      </c>
      <c r="D56" s="558">
        <f>'[23]Sch C'!F41</f>
        <v>0</v>
      </c>
      <c r="E56" s="171">
        <f t="shared" si="4"/>
        <v>91067</v>
      </c>
      <c r="F56" s="558"/>
      <c r="G56" s="171">
        <f t="shared" si="5"/>
        <v>91067</v>
      </c>
      <c r="H56" s="172">
        <f t="shared" si="6"/>
        <v>8.589909565750533E-3</v>
      </c>
      <c r="I56" s="336"/>
      <c r="J56" s="168"/>
      <c r="K56" s="168"/>
      <c r="M56" s="359">
        <f t="shared" si="7"/>
        <v>3.3431350954478707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'[23]Sch C'!D42</f>
        <v>9448</v>
      </c>
      <c r="D57" s="558">
        <f>'[23]Sch C'!F42</f>
        <v>0</v>
      </c>
      <c r="E57" s="171">
        <f t="shared" si="4"/>
        <v>9448</v>
      </c>
      <c r="F57" s="558"/>
      <c r="G57" s="171">
        <f t="shared" si="5"/>
        <v>9448</v>
      </c>
      <c r="H57" s="172">
        <f t="shared" si="6"/>
        <v>8.9118413450768163E-4</v>
      </c>
      <c r="I57" s="336"/>
      <c r="J57" s="168"/>
      <c r="K57" s="168"/>
      <c r="M57" s="359">
        <f t="shared" si="7"/>
        <v>0.34684287812041115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'[23]Sch C'!D43</f>
        <v>16436</v>
      </c>
      <c r="D58" s="558">
        <f>'[23]Sch C'!F43</f>
        <v>0</v>
      </c>
      <c r="E58" s="171">
        <f t="shared" si="4"/>
        <v>16436</v>
      </c>
      <c r="F58" s="558"/>
      <c r="G58" s="171">
        <f t="shared" si="5"/>
        <v>16436</v>
      </c>
      <c r="H58" s="172">
        <f t="shared" si="6"/>
        <v>1.5503283694716613E-3</v>
      </c>
      <c r="I58" s="336"/>
      <c r="J58" s="168"/>
      <c r="K58" s="168"/>
      <c r="M58" s="359">
        <f t="shared" si="7"/>
        <v>0.60337738619676951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'[23]Sch C'!D44</f>
        <v>0</v>
      </c>
      <c r="D59" s="558">
        <f>'[23]Sch C'!F44</f>
        <v>0</v>
      </c>
      <c r="E59" s="171">
        <f t="shared" si="4"/>
        <v>0</v>
      </c>
      <c r="F59" s="558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'[23]Sch C'!D45</f>
        <v>431</v>
      </c>
      <c r="D60" s="558">
        <f>'[23]Sch C'!F45</f>
        <v>-10429</v>
      </c>
      <c r="E60" s="171">
        <f t="shared" si="4"/>
        <v>-9998</v>
      </c>
      <c r="F60" s="558"/>
      <c r="G60" s="171">
        <f t="shared" si="5"/>
        <v>-9998</v>
      </c>
      <c r="H60" s="172">
        <f t="shared" si="6"/>
        <v>-9.430629738365581E-4</v>
      </c>
      <c r="I60" s="336"/>
      <c r="J60" s="168"/>
      <c r="K60" s="168"/>
      <c r="M60" s="359">
        <f t="shared" si="7"/>
        <v>-0.36703377386196767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2911762</v>
      </c>
      <c r="D61" s="558">
        <f>SUM(D25:D60)</f>
        <v>-934755</v>
      </c>
      <c r="E61" s="171">
        <f t="shared" ref="E61" si="8">SUM(E25:E60)</f>
        <v>1977007</v>
      </c>
      <c r="F61" s="558">
        <f>SUM(F25:F60)</f>
        <v>0</v>
      </c>
      <c r="G61" s="171">
        <f>SUM(G25:G60)</f>
        <v>1977007</v>
      </c>
      <c r="H61" s="186">
        <f t="shared" si="6"/>
        <v>0.18648150637284377</v>
      </c>
      <c r="I61" s="338"/>
      <c r="J61" s="168"/>
      <c r="K61" s="168"/>
      <c r="M61" s="364">
        <f>G61/G$228</f>
        <v>72.577349486049926</v>
      </c>
      <c r="N61" s="359">
        <f>SUMMARY!J64</f>
        <v>53.728790309602623</v>
      </c>
      <c r="O61" s="354">
        <f>M61/N61-1</f>
        <v>0.35080929735874977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'[23]Sch C'!D57</f>
        <v>1109340</v>
      </c>
      <c r="D64" s="558">
        <f>'[23]Sch C'!F57</f>
        <v>-1109340</v>
      </c>
      <c r="E64" s="171">
        <f t="shared" ref="E64:E78" si="9">C64+D64</f>
        <v>0</v>
      </c>
      <c r="F64" s="558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'[23]Sch C'!D58</f>
        <v>13975</v>
      </c>
      <c r="D65" s="558">
        <f>'[23]Sch C'!F58</f>
        <v>309733</v>
      </c>
      <c r="E65" s="171">
        <f t="shared" si="9"/>
        <v>323708</v>
      </c>
      <c r="F65" s="558"/>
      <c r="G65" s="171">
        <f t="shared" si="10"/>
        <v>323708</v>
      </c>
      <c r="H65" s="172">
        <f t="shared" si="11"/>
        <v>3.0533809675403534E-2</v>
      </c>
      <c r="I65" s="336"/>
      <c r="J65" s="190"/>
      <c r="K65" s="168"/>
      <c r="M65" s="359">
        <f t="shared" si="12"/>
        <v>11.883553597650513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'[23]Sch C'!D59</f>
        <v>65665</v>
      </c>
      <c r="D66" s="558">
        <f>'[23]Sch C'!F59</f>
        <v>24224</v>
      </c>
      <c r="E66" s="171">
        <f t="shared" si="9"/>
        <v>89889</v>
      </c>
      <c r="F66" s="558"/>
      <c r="G66" s="171">
        <f t="shared" si="10"/>
        <v>89889</v>
      </c>
      <c r="H66" s="172">
        <f t="shared" si="11"/>
        <v>8.4787945244243212E-3</v>
      </c>
      <c r="I66" s="336"/>
      <c r="J66" s="190"/>
      <c r="K66" s="168"/>
      <c r="M66" s="359">
        <f t="shared" si="12"/>
        <v>3.2998898678414097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'[23]Sch C'!D60</f>
        <v>33337</v>
      </c>
      <c r="D67" s="558">
        <f>'[23]Sch C'!F60</f>
        <v>0</v>
      </c>
      <c r="E67" s="171">
        <f t="shared" si="9"/>
        <v>33337</v>
      </c>
      <c r="F67" s="558"/>
      <c r="G67" s="171">
        <f t="shared" si="10"/>
        <v>33337</v>
      </c>
      <c r="H67" s="172">
        <f t="shared" si="11"/>
        <v>3.1445179394668271E-3</v>
      </c>
      <c r="I67" s="336"/>
      <c r="J67" s="193"/>
      <c r="K67" s="168"/>
      <c r="M67" s="359">
        <f t="shared" si="12"/>
        <v>1.2238252569750367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'[23]Sch C'!D61</f>
        <v>20262</v>
      </c>
      <c r="D68" s="558">
        <f>'[23]Sch C'!F61</f>
        <v>52235</v>
      </c>
      <c r="E68" s="171">
        <f t="shared" si="9"/>
        <v>72497</v>
      </c>
      <c r="F68" s="558"/>
      <c r="G68" s="171">
        <f t="shared" si="10"/>
        <v>72497</v>
      </c>
      <c r="H68" s="172">
        <f t="shared" si="11"/>
        <v>6.8382912996828313E-3</v>
      </c>
      <c r="I68" s="336"/>
      <c r="J68" s="193"/>
      <c r="K68" s="168"/>
      <c r="M68" s="359">
        <f t="shared" si="12"/>
        <v>2.6614170337738621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'[23]Sch C'!D62</f>
        <v>15099</v>
      </c>
      <c r="D69" s="558">
        <f>'[23]Sch C'!F62</f>
        <v>0</v>
      </c>
      <c r="E69" s="171">
        <f t="shared" si="9"/>
        <v>15099</v>
      </c>
      <c r="F69" s="558"/>
      <c r="G69" s="171">
        <f t="shared" si="10"/>
        <v>15099</v>
      </c>
      <c r="H69" s="172">
        <f t="shared" si="11"/>
        <v>1.4242156273212832E-3</v>
      </c>
      <c r="I69" s="336"/>
      <c r="J69" s="195"/>
      <c r="K69" s="168"/>
      <c r="M69" s="359">
        <f t="shared" si="12"/>
        <v>0.55429515418502207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'[23]Sch C'!D63</f>
        <v>0</v>
      </c>
      <c r="D70" s="558">
        <f>'[23]Sch C'!F63</f>
        <v>0</v>
      </c>
      <c r="E70" s="171">
        <f t="shared" si="9"/>
        <v>0</v>
      </c>
      <c r="F70" s="558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'[23]Sch C'!D64</f>
        <v>0</v>
      </c>
      <c r="D71" s="558">
        <f>'[23]Sch C'!F64</f>
        <v>0</v>
      </c>
      <c r="E71" s="171">
        <f t="shared" si="9"/>
        <v>0</v>
      </c>
      <c r="F71" s="558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'[23]Sch C'!D65</f>
        <v>10710</v>
      </c>
      <c r="D72" s="558">
        <f>'[23]Sch C'!F65</f>
        <v>0</v>
      </c>
      <c r="E72" s="171">
        <f t="shared" si="9"/>
        <v>10710</v>
      </c>
      <c r="F72" s="558"/>
      <c r="G72" s="171">
        <f t="shared" si="10"/>
        <v>10710</v>
      </c>
      <c r="H72" s="172">
        <f t="shared" si="11"/>
        <v>1.0102224894768491E-3</v>
      </c>
      <c r="I72" s="336"/>
      <c r="J72" s="195"/>
      <c r="K72" s="168"/>
      <c r="M72" s="359">
        <f t="shared" si="12"/>
        <v>0.39317180616740088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'[23]Sch C'!D66</f>
        <v>0</v>
      </c>
      <c r="D73" s="558">
        <f>'[23]Sch C'!F66</f>
        <v>0</v>
      </c>
      <c r="E73" s="171">
        <f t="shared" si="9"/>
        <v>0</v>
      </c>
      <c r="F73" s="558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'[23]Sch C'!D67</f>
        <v>60638</v>
      </c>
      <c r="D74" s="558">
        <f>'[23]Sch C'!F67</f>
        <v>1163962</v>
      </c>
      <c r="E74" s="171">
        <f t="shared" si="9"/>
        <v>1224600</v>
      </c>
      <c r="F74" s="558"/>
      <c r="G74" s="171">
        <f t="shared" si="10"/>
        <v>1224600</v>
      </c>
      <c r="H74" s="172">
        <f t="shared" si="11"/>
        <v>0.11551059389480386</v>
      </c>
      <c r="I74" s="336"/>
      <c r="J74" s="195"/>
      <c r="K74" s="168"/>
      <c r="M74" s="359">
        <f t="shared" si="12"/>
        <v>44.955947136563879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'[23]Sch C'!D68</f>
        <v>0</v>
      </c>
      <c r="D75" s="558">
        <f>'[23]Sch C'!F68</f>
        <v>0</v>
      </c>
      <c r="E75" s="171">
        <f t="shared" si="9"/>
        <v>0</v>
      </c>
      <c r="F75" s="558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'[23]Sch C'!D69</f>
        <v>0</v>
      </c>
      <c r="D76" s="558">
        <f>'[23]Sch C'!F69</f>
        <v>0</v>
      </c>
      <c r="E76" s="171">
        <f t="shared" si="9"/>
        <v>0</v>
      </c>
      <c r="F76" s="558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'[23]Sch C'!D70</f>
        <v>0</v>
      </c>
      <c r="D77" s="558">
        <f>'[23]Sch C'!F70</f>
        <v>0</v>
      </c>
      <c r="E77" s="171">
        <f t="shared" si="9"/>
        <v>0</v>
      </c>
      <c r="F77" s="558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'[23]Sch C'!D71</f>
        <v>0</v>
      </c>
      <c r="D78" s="558">
        <f>'[23]Sch C'!F71</f>
        <v>0</v>
      </c>
      <c r="E78" s="171">
        <f t="shared" si="9"/>
        <v>0</v>
      </c>
      <c r="F78" s="558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1329026</v>
      </c>
      <c r="D79" s="558">
        <f>SUM(D64:D78)</f>
        <v>440814</v>
      </c>
      <c r="E79" s="171">
        <f t="shared" ref="E79" si="13">SUM(E64:E78)</f>
        <v>1769840</v>
      </c>
      <c r="F79" s="558">
        <f>SUM(F64:F78)</f>
        <v>0</v>
      </c>
      <c r="G79" s="171">
        <f>SUM(G64:G78)</f>
        <v>1769840</v>
      </c>
      <c r="H79" s="172">
        <f t="shared" si="11"/>
        <v>0.16694044545057951</v>
      </c>
      <c r="I79" s="336"/>
      <c r="J79" s="195"/>
      <c r="K79" s="168"/>
      <c r="M79" s="359">
        <f t="shared" si="12"/>
        <v>64.972099853157118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'[23]Sch C'!D75</f>
        <v>100199</v>
      </c>
      <c r="D82" s="558">
        <f>'[23]Sch C'!F75</f>
        <v>4074</v>
      </c>
      <c r="E82" s="171">
        <f t="shared" ref="E82:E92" si="14">C82+D82</f>
        <v>104273</v>
      </c>
      <c r="F82" s="558"/>
      <c r="G82" s="171">
        <f t="shared" ref="G82:G92" si="15">E82+F82</f>
        <v>104273</v>
      </c>
      <c r="H82" s="172">
        <f t="shared" ref="H82:H93" si="16">IF($G$208=0,0,G82/$G$208)</f>
        <v>9.8355676606180654E-3</v>
      </c>
      <c r="I82" s="336"/>
      <c r="J82" s="183">
        <v>6529</v>
      </c>
      <c r="K82" s="183">
        <v>6908</v>
      </c>
      <c r="M82" s="359">
        <f t="shared" ref="M82:M92" si="17">G82/G$228</f>
        <v>3.8279368575624084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'[23]Sch C'!D76</f>
        <v>0</v>
      </c>
      <c r="D83" s="558">
        <f>'[23]Sch C'!F76</f>
        <v>16399</v>
      </c>
      <c r="E83" s="171">
        <f t="shared" si="14"/>
        <v>16399</v>
      </c>
      <c r="F83" s="558"/>
      <c r="G83" s="171">
        <f t="shared" si="15"/>
        <v>16399</v>
      </c>
      <c r="H83" s="172">
        <f t="shared" si="16"/>
        <v>1.5468383384622641E-3</v>
      </c>
      <c r="I83" s="336"/>
      <c r="J83" s="168"/>
      <c r="K83" s="168"/>
      <c r="M83" s="359">
        <f t="shared" si="17"/>
        <v>0.60201908957415562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'[23]Sch C'!D77</f>
        <v>5849</v>
      </c>
      <c r="D84" s="558">
        <f>'[23]Sch C'!F77</f>
        <v>0</v>
      </c>
      <c r="E84" s="171">
        <f t="shared" si="14"/>
        <v>5849</v>
      </c>
      <c r="F84" s="558"/>
      <c r="G84" s="171">
        <f t="shared" si="15"/>
        <v>5849</v>
      </c>
      <c r="H84" s="172">
        <f t="shared" si="16"/>
        <v>5.5170787497199722E-4</v>
      </c>
      <c r="I84" s="336"/>
      <c r="J84" s="168"/>
      <c r="K84" s="168"/>
      <c r="M84" s="359">
        <f t="shared" si="17"/>
        <v>0.21472099853157123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'[23]Sch C'!D78</f>
        <v>34065</v>
      </c>
      <c r="D85" s="558">
        <f>'[23]Sch C'!F78</f>
        <v>0</v>
      </c>
      <c r="E85" s="171">
        <f t="shared" si="14"/>
        <v>34065</v>
      </c>
      <c r="F85" s="558"/>
      <c r="G85" s="171">
        <f t="shared" si="15"/>
        <v>34065</v>
      </c>
      <c r="H85" s="172">
        <f t="shared" si="16"/>
        <v>3.2131866577057764E-3</v>
      </c>
      <c r="I85" s="336"/>
      <c r="J85" s="168"/>
      <c r="K85" s="168"/>
      <c r="M85" s="359">
        <f t="shared" si="17"/>
        <v>1.2505506607929515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'[23]Sch C'!D79</f>
        <v>14405</v>
      </c>
      <c r="D86" s="558">
        <f>'[23]Sch C'!F79</f>
        <v>0</v>
      </c>
      <c r="E86" s="171">
        <f t="shared" si="14"/>
        <v>14405</v>
      </c>
      <c r="F86" s="558"/>
      <c r="G86" s="171">
        <f>E86+F86</f>
        <v>14405</v>
      </c>
      <c r="H86" s="172">
        <f t="shared" si="16"/>
        <v>1.3587539646044827E-3</v>
      </c>
      <c r="I86" s="336"/>
      <c r="J86" s="168"/>
      <c r="K86" s="168"/>
      <c r="M86" s="359">
        <f t="shared" si="17"/>
        <v>0.52881791483113072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'[23]Sch C'!D80</f>
        <v>27367</v>
      </c>
      <c r="D87" s="558">
        <f>'[23]Sch C'!F80</f>
        <v>0</v>
      </c>
      <c r="E87" s="171">
        <f t="shared" si="14"/>
        <v>27367</v>
      </c>
      <c r="F87" s="558"/>
      <c r="G87" s="171">
        <f t="shared" si="15"/>
        <v>27367</v>
      </c>
      <c r="H87" s="172">
        <f t="shared" si="16"/>
        <v>2.581396719842477E-3</v>
      </c>
      <c r="I87" s="336"/>
      <c r="J87" s="168"/>
      <c r="K87" s="168"/>
      <c r="M87" s="359">
        <f t="shared" si="17"/>
        <v>1.0046622613803231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'[23]Sch C'!D81</f>
        <v>29197</v>
      </c>
      <c r="D88" s="558">
        <f>'[23]Sch C'!F81</f>
        <v>0</v>
      </c>
      <c r="E88" s="171">
        <f t="shared" si="14"/>
        <v>29197</v>
      </c>
      <c r="F88" s="558"/>
      <c r="G88" s="171">
        <f t="shared" si="15"/>
        <v>29197</v>
      </c>
      <c r="H88" s="172">
        <f t="shared" si="16"/>
        <v>2.7540117670640115E-3</v>
      </c>
      <c r="I88" s="336"/>
      <c r="J88" s="168"/>
      <c r="K88" s="168"/>
      <c r="M88" s="359">
        <f t="shared" si="17"/>
        <v>1.0718428781204112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'[23]Sch C'!D82</f>
        <v>0</v>
      </c>
      <c r="D89" s="558">
        <f>'[23]Sch C'!F82</f>
        <v>0</v>
      </c>
      <c r="E89" s="171">
        <f t="shared" si="14"/>
        <v>0</v>
      </c>
      <c r="F89" s="558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'[23]Sch C'!D83</f>
        <v>5961</v>
      </c>
      <c r="D90" s="558">
        <f>'[23]Sch C'!F83</f>
        <v>0</v>
      </c>
      <c r="E90" s="171">
        <f t="shared" si="14"/>
        <v>5961</v>
      </c>
      <c r="F90" s="558"/>
      <c r="G90" s="171">
        <f t="shared" si="15"/>
        <v>5961</v>
      </c>
      <c r="H90" s="172">
        <f t="shared" si="16"/>
        <v>5.6227229316260481E-4</v>
      </c>
      <c r="I90" s="336"/>
      <c r="J90" s="168"/>
      <c r="K90" s="168"/>
      <c r="M90" s="359">
        <f t="shared" si="17"/>
        <v>0.21883259911894273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'[23]Sch C'!D84</f>
        <v>118122</v>
      </c>
      <c r="D91" s="558">
        <f>'[23]Sch C'!F84</f>
        <v>0</v>
      </c>
      <c r="E91" s="171">
        <f t="shared" si="14"/>
        <v>118122</v>
      </c>
      <c r="F91" s="558"/>
      <c r="G91" s="171">
        <f t="shared" si="15"/>
        <v>118122</v>
      </c>
      <c r="H91" s="172">
        <f t="shared" si="16"/>
        <v>1.1141876834919176E-2</v>
      </c>
      <c r="I91" s="336"/>
      <c r="J91" s="168"/>
      <c r="K91" s="168"/>
      <c r="M91" s="359">
        <f t="shared" si="17"/>
        <v>4.3363436123348018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'[23]Sch C'!D85</f>
        <v>578</v>
      </c>
      <c r="D92" s="558">
        <f>'[23]Sch C'!F85</f>
        <v>0</v>
      </c>
      <c r="E92" s="171">
        <f t="shared" si="14"/>
        <v>578</v>
      </c>
      <c r="F92" s="558"/>
      <c r="G92" s="171">
        <f t="shared" si="15"/>
        <v>578</v>
      </c>
      <c r="H92" s="172">
        <f t="shared" si="16"/>
        <v>5.451994387652836E-5</v>
      </c>
      <c r="I92" s="336"/>
      <c r="J92" s="168"/>
      <c r="K92" s="168"/>
      <c r="M92" s="359">
        <f t="shared" si="17"/>
        <v>2.1218795888399412E-2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335743</v>
      </c>
      <c r="D93" s="558">
        <f>SUM(D82:D92)</f>
        <v>20473</v>
      </c>
      <c r="E93" s="171">
        <f t="shared" ref="E93" si="18">SUM(E82:E92)</f>
        <v>356216</v>
      </c>
      <c r="F93" s="558">
        <f>SUM(F82:F92)</f>
        <v>0</v>
      </c>
      <c r="G93" s="171">
        <f>SUM(G82:G92)</f>
        <v>356216</v>
      </c>
      <c r="H93" s="172">
        <f t="shared" si="16"/>
        <v>3.3600132055227383E-2</v>
      </c>
      <c r="I93" s="336"/>
      <c r="J93" s="168"/>
      <c r="K93" s="168"/>
      <c r="M93" s="364">
        <f>G93/G$228</f>
        <v>13.076945668135096</v>
      </c>
      <c r="N93" s="359">
        <f>SUMMARY!J96</f>
        <v>11.458724454710746</v>
      </c>
      <c r="O93" s="354">
        <f>M93/N93-1</f>
        <v>0.14122175813025084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'[23]Sch C'!D89</f>
        <v>301543</v>
      </c>
      <c r="D96" s="558">
        <f>'[23]Sch C'!F89</f>
        <v>12262</v>
      </c>
      <c r="E96" s="171">
        <f t="shared" ref="E96:E101" si="19">C96+D96</f>
        <v>313805</v>
      </c>
      <c r="F96" s="558"/>
      <c r="G96" s="171">
        <f t="shared" ref="G96:G101" si="20">E96+F96</f>
        <v>313805</v>
      </c>
      <c r="H96" s="172">
        <f t="shared" ref="H96:H102" si="21">IF($G$208=0,0,G96/$G$208)</f>
        <v>2.959970759199651E-2</v>
      </c>
      <c r="I96" s="336"/>
      <c r="J96" s="183">
        <v>24568</v>
      </c>
      <c r="K96" s="183">
        <v>25687</v>
      </c>
      <c r="M96" s="364">
        <f t="shared" ref="M96:M101" si="22">G96/G$228</f>
        <v>11.520007342143906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'[23]Sch C'!D90</f>
        <v>0</v>
      </c>
      <c r="D97" s="558">
        <f>'[23]Sch C'!F90</f>
        <v>49351</v>
      </c>
      <c r="E97" s="171">
        <f t="shared" si="19"/>
        <v>49351</v>
      </c>
      <c r="F97" s="558"/>
      <c r="G97" s="171">
        <f t="shared" si="20"/>
        <v>49351</v>
      </c>
      <c r="H97" s="172">
        <f t="shared" si="21"/>
        <v>4.6550410903988771E-3</v>
      </c>
      <c r="I97" s="336"/>
      <c r="J97" s="168"/>
      <c r="K97" s="168"/>
      <c r="M97" s="364">
        <f t="shared" si="22"/>
        <v>1.8117107195301028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'[23]Sch C'!D91</f>
        <v>15930</v>
      </c>
      <c r="D98" s="558">
        <f>'[23]Sch C'!F91</f>
        <v>0</v>
      </c>
      <c r="E98" s="171">
        <f t="shared" si="19"/>
        <v>15930</v>
      </c>
      <c r="F98" s="558"/>
      <c r="G98" s="171">
        <f t="shared" si="20"/>
        <v>15930</v>
      </c>
      <c r="H98" s="172">
        <f t="shared" si="21"/>
        <v>1.5025998372890949E-3</v>
      </c>
      <c r="I98" s="336"/>
      <c r="J98" s="168"/>
      <c r="K98" s="168"/>
      <c r="M98" s="364">
        <f t="shared" si="22"/>
        <v>0.58480176211453749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'[23]Sch C'!D92</f>
        <v>190000</v>
      </c>
      <c r="D99" s="558">
        <f>'[23]Sch C'!F92</f>
        <v>2144</v>
      </c>
      <c r="E99" s="171">
        <f t="shared" si="19"/>
        <v>192144</v>
      </c>
      <c r="F99" s="558"/>
      <c r="G99" s="171">
        <f t="shared" si="20"/>
        <v>192144</v>
      </c>
      <c r="H99" s="172">
        <f t="shared" si="21"/>
        <v>1.812401400728662E-2</v>
      </c>
      <c r="I99" s="336"/>
      <c r="J99" s="168"/>
      <c r="K99" s="168"/>
      <c r="M99" s="364">
        <f t="shared" si="22"/>
        <v>7.0537444933920703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'[23]Sch C'!D93</f>
        <v>20412</v>
      </c>
      <c r="D100" s="558">
        <f>'[23]Sch C'!F93</f>
        <v>1440</v>
      </c>
      <c r="E100" s="171">
        <f t="shared" si="19"/>
        <v>21852</v>
      </c>
      <c r="F100" s="558"/>
      <c r="G100" s="171">
        <f t="shared" si="20"/>
        <v>21852</v>
      </c>
      <c r="H100" s="172">
        <f t="shared" si="21"/>
        <v>2.06119344911747E-3</v>
      </c>
      <c r="I100" s="336"/>
      <c r="J100" s="168"/>
      <c r="K100" s="168"/>
      <c r="M100" s="364">
        <f t="shared" si="22"/>
        <v>0.80220264317180612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'[23]Sch C'!D94</f>
        <v>4934</v>
      </c>
      <c r="D101" s="558">
        <f>'[23]Sch C'!F94</f>
        <v>-4440</v>
      </c>
      <c r="E101" s="171">
        <f t="shared" si="19"/>
        <v>494</v>
      </c>
      <c r="F101" s="558"/>
      <c r="G101" s="171">
        <f t="shared" si="20"/>
        <v>494</v>
      </c>
      <c r="H101" s="172">
        <f t="shared" si="21"/>
        <v>4.6596630233572685E-5</v>
      </c>
      <c r="I101" s="336"/>
      <c r="J101" s="168"/>
      <c r="K101" s="168"/>
      <c r="M101" s="364">
        <f t="shared" si="22"/>
        <v>1.8135095447870779E-2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532819</v>
      </c>
      <c r="D102" s="558">
        <f>SUM(D96:D101)</f>
        <v>60757</v>
      </c>
      <c r="E102" s="171">
        <f t="shared" ref="E102" si="23">SUM(E96:E101)</f>
        <v>593576</v>
      </c>
      <c r="F102" s="558">
        <f>SUM(F96:F101)</f>
        <v>0</v>
      </c>
      <c r="G102" s="171">
        <f>SUM(G96:G101)</f>
        <v>593576</v>
      </c>
      <c r="H102" s="172">
        <f t="shared" si="21"/>
        <v>5.5989152606322146E-2</v>
      </c>
      <c r="I102" s="336"/>
      <c r="J102" s="168"/>
      <c r="K102" s="168"/>
      <c r="M102" s="364">
        <f>G102/G$228</f>
        <v>21.790602055800292</v>
      </c>
      <c r="N102" s="359">
        <f>SUMMARY!J105</f>
        <v>19.901077037785338</v>
      </c>
      <c r="O102" s="354">
        <f>M102/N102-1</f>
        <v>9.4945867222532287E-2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'[23]Sch C'!D98</f>
        <v>0</v>
      </c>
      <c r="D105" s="558">
        <f>'[23]Sch C'!F98</f>
        <v>0</v>
      </c>
      <c r="E105" s="171">
        <f t="shared" ref="E105:E110" si="24">C105+D105</f>
        <v>0</v>
      </c>
      <c r="F105" s="558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'[23]Sch C'!D99</f>
        <v>0</v>
      </c>
      <c r="D106" s="558">
        <f>'[23]Sch C'!F99</f>
        <v>0</v>
      </c>
      <c r="E106" s="171">
        <f t="shared" si="24"/>
        <v>0</v>
      </c>
      <c r="F106" s="558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'[23]Sch C'!D100</f>
        <v>312</v>
      </c>
      <c r="D107" s="558">
        <f>'[23]Sch C'!F100</f>
        <v>0</v>
      </c>
      <c r="E107" s="171">
        <f t="shared" si="24"/>
        <v>312</v>
      </c>
      <c r="F107" s="558"/>
      <c r="G107" s="171">
        <f t="shared" si="25"/>
        <v>312</v>
      </c>
      <c r="H107" s="172">
        <f t="shared" si="26"/>
        <v>2.942945067383538E-5</v>
      </c>
      <c r="I107" s="336"/>
      <c r="J107" s="168"/>
      <c r="K107" s="168"/>
      <c r="M107" s="364">
        <f t="shared" si="27"/>
        <v>1.145374449339207E-2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'[23]Sch C'!D101</f>
        <v>86729</v>
      </c>
      <c r="D108" s="558">
        <f>'[23]Sch C'!F101</f>
        <v>0</v>
      </c>
      <c r="E108" s="171">
        <f t="shared" si="24"/>
        <v>86729</v>
      </c>
      <c r="F108" s="558"/>
      <c r="G108" s="171">
        <f t="shared" si="25"/>
        <v>86729</v>
      </c>
      <c r="H108" s="172">
        <f t="shared" si="26"/>
        <v>8.1807270111893225E-3</v>
      </c>
      <c r="I108" s="336"/>
      <c r="J108" s="168"/>
      <c r="K108" s="168"/>
      <c r="M108" s="364">
        <f t="shared" si="27"/>
        <v>3.1838839941262851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'[23]Sch C'!D102</f>
        <v>1272</v>
      </c>
      <c r="D109" s="558">
        <f>'[23]Sch C'!F102</f>
        <v>0</v>
      </c>
      <c r="E109" s="171">
        <f t="shared" si="24"/>
        <v>1272</v>
      </c>
      <c r="F109" s="558"/>
      <c r="G109" s="171">
        <f t="shared" si="25"/>
        <v>1272</v>
      </c>
      <c r="H109" s="172">
        <f t="shared" si="26"/>
        <v>1.1998160659332886E-4</v>
      </c>
      <c r="I109" s="336"/>
      <c r="J109" s="168"/>
      <c r="K109" s="168"/>
      <c r="M109" s="364">
        <f t="shared" si="27"/>
        <v>4.6696035242290747E-2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'[23]Sch C'!D103</f>
        <v>0</v>
      </c>
      <c r="D110" s="558">
        <f>'[23]Sch C'!F103</f>
        <v>0</v>
      </c>
      <c r="E110" s="171">
        <f t="shared" si="24"/>
        <v>0</v>
      </c>
      <c r="F110" s="558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88313</v>
      </c>
      <c r="D111" s="558">
        <f>SUM(D105:D110)</f>
        <v>0</v>
      </c>
      <c r="E111" s="171">
        <f t="shared" ref="E111" si="28">SUM(E105:E110)</f>
        <v>88313</v>
      </c>
      <c r="F111" s="558">
        <f>SUM(F105:F110)</f>
        <v>0</v>
      </c>
      <c r="G111" s="171">
        <f>SUM(G105:G110)</f>
        <v>88313</v>
      </c>
      <c r="H111" s="172">
        <f t="shared" si="26"/>
        <v>8.3301380684564861E-3</v>
      </c>
      <c r="I111" s="336"/>
      <c r="J111" s="168"/>
      <c r="K111" s="168"/>
      <c r="M111" s="364">
        <f>G111/G$228</f>
        <v>3.2420337738619676</v>
      </c>
      <c r="N111" s="359">
        <f>SUMMARY!J114</f>
        <v>2.4242384372309496</v>
      </c>
      <c r="O111" s="354">
        <f>M111/N111-1</f>
        <v>0.33734113116576636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'[23]Sch C'!D115</f>
        <v>0</v>
      </c>
      <c r="D114" s="558">
        <f>'[23]Sch C'!F115</f>
        <v>0</v>
      </c>
      <c r="E114" s="171">
        <f t="shared" ref="E114:E118" si="29">C114+D114</f>
        <v>0</v>
      </c>
      <c r="F114" s="558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'[23]Sch C'!D116</f>
        <v>0</v>
      </c>
      <c r="D115" s="558">
        <f>'[23]Sch C'!F116</f>
        <v>0</v>
      </c>
      <c r="E115" s="171">
        <f t="shared" si="29"/>
        <v>0</v>
      </c>
      <c r="F115" s="558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'[23]Sch C'!D117</f>
        <v>2209</v>
      </c>
      <c r="D116" s="558">
        <f>'[23]Sch C'!F117</f>
        <v>0</v>
      </c>
      <c r="E116" s="171">
        <f t="shared" si="29"/>
        <v>2209</v>
      </c>
      <c r="F116" s="558"/>
      <c r="G116" s="171">
        <f>E116+F116</f>
        <v>2209</v>
      </c>
      <c r="H116" s="172">
        <f t="shared" si="30"/>
        <v>2.0836428377725113E-4</v>
      </c>
      <c r="I116" s="336"/>
      <c r="J116" s="168"/>
      <c r="K116" s="168"/>
      <c r="M116" s="364">
        <f t="shared" si="31"/>
        <v>8.1093979441997061E-2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'[23]Sch C'!D118</f>
        <v>129912</v>
      </c>
      <c r="D117" s="558">
        <f>'[23]Sch C'!F118</f>
        <v>0</v>
      </c>
      <c r="E117" s="171">
        <f t="shared" si="29"/>
        <v>129912</v>
      </c>
      <c r="F117" s="558"/>
      <c r="G117" s="171">
        <f>E117+F117</f>
        <v>129912</v>
      </c>
      <c r="H117" s="172">
        <f t="shared" si="30"/>
        <v>1.2253970499805455E-2</v>
      </c>
      <c r="I117" s="336"/>
      <c r="J117" s="168"/>
      <c r="K117" s="168"/>
      <c r="M117" s="364">
        <f t="shared" si="31"/>
        <v>4.7691629955947139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'[23]Sch C'!D119</f>
        <v>0</v>
      </c>
      <c r="D118" s="558">
        <f>'[23]Sch C'!F119</f>
        <v>0</v>
      </c>
      <c r="E118" s="171">
        <f t="shared" si="29"/>
        <v>0</v>
      </c>
      <c r="F118" s="558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132121</v>
      </c>
      <c r="D119" s="558">
        <f>SUM(D114:D118)</f>
        <v>0</v>
      </c>
      <c r="E119" s="171">
        <f t="shared" ref="E119" si="32">SUM(E114:E118)</f>
        <v>132121</v>
      </c>
      <c r="F119" s="558">
        <f>SUM(F114:F118)</f>
        <v>0</v>
      </c>
      <c r="G119" s="171">
        <f>SUM(G114:G118)</f>
        <v>132121</v>
      </c>
      <c r="H119" s="172">
        <f t="shared" si="30"/>
        <v>1.2462334783582706E-2</v>
      </c>
      <c r="I119" s="336"/>
      <c r="J119" s="168"/>
      <c r="K119" s="168"/>
      <c r="M119" s="364">
        <f t="shared" si="31"/>
        <v>4.8502569750367108</v>
      </c>
      <c r="N119" s="359">
        <f>SUMMARY!J122</f>
        <v>6.0247597205909562</v>
      </c>
      <c r="O119" s="354">
        <f>M119/N119-1</f>
        <v>-0.19494598955376108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'[23]Sch C'!D124</f>
        <v>0</v>
      </c>
      <c r="D123" s="558">
        <f>'[23]Sch C'!F124</f>
        <v>0</v>
      </c>
      <c r="E123" s="171">
        <f t="shared" ref="E123:E127" si="33">C123+D123</f>
        <v>0</v>
      </c>
      <c r="F123" s="558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'[23]Sch C'!D125</f>
        <v>283851</v>
      </c>
      <c r="D124" s="558">
        <f>'[23]Sch C'!F125</f>
        <v>11542</v>
      </c>
      <c r="E124" s="171">
        <f t="shared" si="33"/>
        <v>295393</v>
      </c>
      <c r="F124" s="558"/>
      <c r="G124" s="171">
        <f>E124+F124</f>
        <v>295393</v>
      </c>
      <c r="H124" s="172">
        <f>IF($G$208=0,0,G124/$G$208)</f>
        <v>2.786299270159056E-2</v>
      </c>
      <c r="I124" s="336"/>
      <c r="J124" s="183">
        <v>7437</v>
      </c>
      <c r="K124" s="183">
        <v>7827</v>
      </c>
      <c r="M124" s="364">
        <f t="shared" si="34"/>
        <v>10.844089574155653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'[23]Sch C'!D126</f>
        <v>0</v>
      </c>
      <c r="D125" s="558">
        <f>'[23]Sch C'!F126</f>
        <v>0</v>
      </c>
      <c r="E125" s="171">
        <f t="shared" si="33"/>
        <v>0</v>
      </c>
      <c r="F125" s="558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'[23]Sch C'!D127</f>
        <v>0</v>
      </c>
      <c r="D126" s="558">
        <f>'[23]Sch C'!F127</f>
        <v>0</v>
      </c>
      <c r="E126" s="171">
        <f t="shared" si="33"/>
        <v>0</v>
      </c>
      <c r="F126" s="558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'[23]Sch C'!D128</f>
        <v>128363</v>
      </c>
      <c r="D127" s="558">
        <f>'[23]Sch C'!F128</f>
        <v>5220</v>
      </c>
      <c r="E127" s="171">
        <f t="shared" si="33"/>
        <v>133583</v>
      </c>
      <c r="F127" s="558"/>
      <c r="G127" s="171">
        <f>E127+F127</f>
        <v>133583</v>
      </c>
      <c r="H127" s="172">
        <f>IF($G$208=0,0,G127/$G$208)</f>
        <v>1.2600238171035101E-2</v>
      </c>
      <c r="I127" s="336"/>
      <c r="J127" s="183">
        <v>4240</v>
      </c>
      <c r="K127" s="183">
        <v>4547</v>
      </c>
      <c r="M127" s="364">
        <f t="shared" si="34"/>
        <v>4.9039280469897211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/>
      <c r="F128" s="558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'[23]Sch C'!D130</f>
        <v>0</v>
      </c>
      <c r="D129" s="558">
        <f>'[23]Sch C'!F130</f>
        <v>0</v>
      </c>
      <c r="E129" s="171">
        <f t="shared" ref="E129:E133" si="35">C129+D129</f>
        <v>0</v>
      </c>
      <c r="F129" s="558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'[23]Sch C'!D131</f>
        <v>0</v>
      </c>
      <c r="D130" s="558">
        <f>'[23]Sch C'!F131</f>
        <v>46456</v>
      </c>
      <c r="E130" s="171">
        <f t="shared" si="35"/>
        <v>46456</v>
      </c>
      <c r="F130" s="558"/>
      <c r="G130" s="171">
        <f>E130+F130</f>
        <v>46456</v>
      </c>
      <c r="H130" s="172">
        <f>IF($G$208=0,0,G130/$G$208)</f>
        <v>4.3819697452041548E-3</v>
      </c>
      <c r="I130" s="336"/>
      <c r="J130" s="204"/>
      <c r="K130" s="204"/>
      <c r="M130" s="364">
        <f t="shared" si="34"/>
        <v>1.7054331864904553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'[23]Sch C'!D132</f>
        <v>0</v>
      </c>
      <c r="D131" s="558">
        <f>'[23]Sch C'!F132</f>
        <v>0</v>
      </c>
      <c r="E131" s="171">
        <f t="shared" si="35"/>
        <v>0</v>
      </c>
      <c r="F131" s="558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'[23]Sch C'!D133</f>
        <v>0</v>
      </c>
      <c r="D132" s="558">
        <f>'[23]Sch C'!F133</f>
        <v>0</v>
      </c>
      <c r="E132" s="171">
        <f t="shared" si="35"/>
        <v>0</v>
      </c>
      <c r="F132" s="558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'[23]Sch C'!D134</f>
        <v>0</v>
      </c>
      <c r="D133" s="558">
        <f>'[23]Sch C'!F134</f>
        <v>21008</v>
      </c>
      <c r="E133" s="171">
        <f t="shared" si="35"/>
        <v>21008</v>
      </c>
      <c r="F133" s="558"/>
      <c r="G133" s="171">
        <f>E133+F133</f>
        <v>21008</v>
      </c>
      <c r="H133" s="172">
        <f>IF($G$208=0,0,G133/$G$208)</f>
        <v>1.9815830120382487E-3</v>
      </c>
      <c r="I133" s="336"/>
      <c r="J133" s="168"/>
      <c r="K133" s="168"/>
      <c r="M133" s="364">
        <f t="shared" si="34"/>
        <v>0.77121879588839937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'[23]Sch C'!D136</f>
        <v>867104</v>
      </c>
      <c r="D135" s="558">
        <f>'[23]Sch C'!F136</f>
        <v>35259</v>
      </c>
      <c r="E135" s="171">
        <f t="shared" ref="E135:E138" si="36">C135+D135</f>
        <v>902363</v>
      </c>
      <c r="F135" s="558"/>
      <c r="G135" s="171">
        <f>E135+F135</f>
        <v>902363</v>
      </c>
      <c r="H135" s="172">
        <f>IF($G$208=0,0,G135/$G$208)</f>
        <v>8.5115536533314468E-2</v>
      </c>
      <c r="I135" s="336"/>
      <c r="J135" s="183">
        <v>29930</v>
      </c>
      <c r="K135" s="183">
        <v>31818</v>
      </c>
      <c r="M135" s="364">
        <f t="shared" si="34"/>
        <v>33.126395007342147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'[23]Sch C'!D137</f>
        <v>339837</v>
      </c>
      <c r="D136" s="558">
        <f>'[23]Sch C'!F137</f>
        <v>13819</v>
      </c>
      <c r="E136" s="171">
        <f t="shared" si="36"/>
        <v>353656</v>
      </c>
      <c r="F136" s="558"/>
      <c r="G136" s="171">
        <f>E136+F136</f>
        <v>353656</v>
      </c>
      <c r="H136" s="172">
        <f>IF($G$208=0,0,G136/$G$208)</f>
        <v>3.3358659639442068E-2</v>
      </c>
      <c r="I136" s="336"/>
      <c r="J136" s="183">
        <v>14221</v>
      </c>
      <c r="K136" s="183">
        <v>15080</v>
      </c>
      <c r="M136" s="364">
        <f t="shared" si="34"/>
        <v>12.982966226138032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'[23]Sch C'!D138</f>
        <v>823398</v>
      </c>
      <c r="D137" s="558">
        <f>'[23]Sch C'!F138</f>
        <v>33482</v>
      </c>
      <c r="E137" s="171">
        <f t="shared" si="36"/>
        <v>856880</v>
      </c>
      <c r="F137" s="558"/>
      <c r="G137" s="171">
        <f>E137+F137</f>
        <v>856880</v>
      </c>
      <c r="H137" s="172">
        <f>IF($G$208=0,0,G137/$G$208)</f>
        <v>8.0825345171141219E-2</v>
      </c>
      <c r="I137" s="336"/>
      <c r="J137" s="183">
        <v>69281</v>
      </c>
      <c r="K137" s="183">
        <v>73342</v>
      </c>
      <c r="M137" s="364">
        <f t="shared" si="34"/>
        <v>31.456681350954479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'[23]Sch C'!D139</f>
        <v>0</v>
      </c>
      <c r="D138" s="558">
        <f>'[23]Sch C'!F139</f>
        <v>0</v>
      </c>
      <c r="E138" s="171">
        <f t="shared" si="36"/>
        <v>0</v>
      </c>
      <c r="F138" s="558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'[23]Sch C'!D141</f>
        <v>0</v>
      </c>
      <c r="D140" s="558">
        <f>'[23]Sch C'!F141</f>
        <v>141912</v>
      </c>
      <c r="E140" s="171">
        <f t="shared" ref="E140:E143" si="37">C140+D140</f>
        <v>141912</v>
      </c>
      <c r="F140" s="558"/>
      <c r="G140" s="171">
        <f>E140+F140</f>
        <v>141912</v>
      </c>
      <c r="H140" s="172">
        <f>IF($G$208=0,0,G140/$G$208)</f>
        <v>1.3385872448799123E-2</v>
      </c>
      <c r="I140" s="336"/>
      <c r="J140" s="168"/>
      <c r="K140" s="168"/>
      <c r="M140" s="364">
        <f t="shared" si="34"/>
        <v>5.2096916299559473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'[23]Sch C'!D142</f>
        <v>0</v>
      </c>
      <c r="D141" s="558">
        <f>'[23]Sch C'!F142</f>
        <v>55619</v>
      </c>
      <c r="E141" s="171">
        <f t="shared" si="37"/>
        <v>55619</v>
      </c>
      <c r="F141" s="558"/>
      <c r="G141" s="171">
        <f>E141+F141</f>
        <v>55619</v>
      </c>
      <c r="H141" s="172">
        <f>IF($G$208=0,0,G141/$G$208)</f>
        <v>5.2462712084232373E-3</v>
      </c>
      <c r="I141" s="336"/>
      <c r="J141" s="168"/>
      <c r="K141" s="168"/>
      <c r="M141" s="364">
        <f t="shared" si="34"/>
        <v>2.0418135095447871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'[23]Sch C'!D143</f>
        <v>0</v>
      </c>
      <c r="D142" s="558">
        <f>'[23]Sch C'!F143</f>
        <v>134759</v>
      </c>
      <c r="E142" s="171">
        <f t="shared" si="37"/>
        <v>134759</v>
      </c>
      <c r="F142" s="558"/>
      <c r="G142" s="171">
        <f>E142+F142</f>
        <v>134759</v>
      </c>
      <c r="H142" s="172">
        <f>IF($G$208=0,0,G142/$G$208)</f>
        <v>1.271116456203648E-2</v>
      </c>
      <c r="I142" s="336"/>
      <c r="J142" s="168"/>
      <c r="K142" s="168"/>
      <c r="M142" s="364">
        <f t="shared" si="34"/>
        <v>4.9470998531571215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'[23]Sch C'!D144</f>
        <v>0</v>
      </c>
      <c r="D143" s="558">
        <f>'[23]Sch C'!F144</f>
        <v>0</v>
      </c>
      <c r="E143" s="171">
        <f t="shared" si="37"/>
        <v>0</v>
      </c>
      <c r="F143" s="558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'[23]Sch C'!D146</f>
        <v>84400</v>
      </c>
      <c r="D145" s="558">
        <f>'[23]Sch C'!F146</f>
        <v>0</v>
      </c>
      <c r="E145" s="171">
        <f t="shared" ref="E145:E153" si="38">C145+D145</f>
        <v>84400</v>
      </c>
      <c r="F145" s="558"/>
      <c r="G145" s="171">
        <f t="shared" ref="G145:G153" si="39">E145+F145</f>
        <v>84400</v>
      </c>
      <c r="H145" s="172">
        <f t="shared" ref="H145:H153" si="40">IF($G$208=0,0,G145/$G$208)</f>
        <v>7.9610437079221351E-3</v>
      </c>
      <c r="I145" s="336"/>
      <c r="J145" s="183">
        <v>0</v>
      </c>
      <c r="K145" s="183">
        <v>0</v>
      </c>
      <c r="M145" s="364">
        <f t="shared" si="34"/>
        <v>3.0983847283406756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'[23]Sch C'!D147</f>
        <v>0</v>
      </c>
      <c r="D146" s="558">
        <f>'[23]Sch C'!F147</f>
        <v>0</v>
      </c>
      <c r="E146" s="171">
        <f t="shared" si="38"/>
        <v>0</v>
      </c>
      <c r="F146" s="558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'[23]Sch C'!D148</f>
        <v>0</v>
      </c>
      <c r="D147" s="558">
        <f>'[23]Sch C'!F148</f>
        <v>0</v>
      </c>
      <c r="E147" s="171">
        <f t="shared" si="38"/>
        <v>0</v>
      </c>
      <c r="F147" s="558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'[23]Sch C'!D149</f>
        <v>0</v>
      </c>
      <c r="D148" s="558">
        <f>'[23]Sch C'!F149</f>
        <v>0</v>
      </c>
      <c r="E148" s="171">
        <f t="shared" si="38"/>
        <v>0</v>
      </c>
      <c r="F148" s="558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'[23]Sch C'!D150</f>
        <v>12395</v>
      </c>
      <c r="D149" s="558">
        <f>'[23]Sch C'!F150</f>
        <v>0</v>
      </c>
      <c r="E149" s="171">
        <f t="shared" si="38"/>
        <v>12395</v>
      </c>
      <c r="F149" s="558"/>
      <c r="G149" s="171">
        <f t="shared" si="39"/>
        <v>12395</v>
      </c>
      <c r="H149" s="172">
        <f t="shared" si="40"/>
        <v>1.1691603881480433E-3</v>
      </c>
      <c r="I149" s="336"/>
      <c r="J149" s="183">
        <v>0</v>
      </c>
      <c r="K149" s="183">
        <v>0</v>
      </c>
      <c r="M149" s="364">
        <f t="shared" si="34"/>
        <v>0.45502936857562409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'[23]Sch C'!D151</f>
        <v>105938</v>
      </c>
      <c r="D150" s="558">
        <f>'[23]Sch C'!F151</f>
        <v>0</v>
      </c>
      <c r="E150" s="171">
        <f t="shared" si="38"/>
        <v>105938</v>
      </c>
      <c r="F150" s="558"/>
      <c r="G150" s="171">
        <f t="shared" si="39"/>
        <v>105938</v>
      </c>
      <c r="H150" s="172">
        <f t="shared" si="40"/>
        <v>9.992619056040937E-3</v>
      </c>
      <c r="I150" s="336"/>
      <c r="J150" s="168"/>
      <c r="K150" s="168"/>
      <c r="M150" s="364">
        <f t="shared" si="34"/>
        <v>3.8890602055800292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'[23]Sch C'!D152</f>
        <v>7217</v>
      </c>
      <c r="D151" s="558">
        <f>'[23]Sch C'!F152</f>
        <v>-2416</v>
      </c>
      <c r="E151" s="171">
        <f t="shared" si="38"/>
        <v>4801</v>
      </c>
      <c r="F151" s="558"/>
      <c r="G151" s="171">
        <f t="shared" si="39"/>
        <v>4801</v>
      </c>
      <c r="H151" s="172">
        <f t="shared" si="40"/>
        <v>4.5285510475988349E-4</v>
      </c>
      <c r="I151" s="336"/>
      <c r="J151" s="168"/>
      <c r="K151" s="168"/>
      <c r="M151" s="364">
        <f t="shared" si="34"/>
        <v>0.1762481644640235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'[23]Sch C'!D153</f>
        <v>0</v>
      </c>
      <c r="D152" s="558">
        <f>'[23]Sch C'!F153</f>
        <v>0</v>
      </c>
      <c r="E152" s="171">
        <f t="shared" si="38"/>
        <v>0</v>
      </c>
      <c r="F152" s="558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'[23]Sch C'!D154</f>
        <v>0</v>
      </c>
      <c r="D153" s="558">
        <f>'[23]Sch C'!F154</f>
        <v>0</v>
      </c>
      <c r="E153" s="171">
        <f t="shared" si="38"/>
        <v>0</v>
      </c>
      <c r="F153" s="558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/>
      <c r="F154" s="557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'[23]Sch C'!D156</f>
        <v>0</v>
      </c>
      <c r="D155" s="558">
        <f>'[23]Sch C'!F156</f>
        <v>0</v>
      </c>
      <c r="E155" s="171">
        <f t="shared" ref="E155:E160" si="41">C155+D155</f>
        <v>0</v>
      </c>
      <c r="F155" s="558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'[23]Sch C'!D157</f>
        <v>0</v>
      </c>
      <c r="D156" s="558">
        <f>'[23]Sch C'!F157</f>
        <v>0</v>
      </c>
      <c r="E156" s="171">
        <f t="shared" si="41"/>
        <v>0</v>
      </c>
      <c r="F156" s="558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'[23]Sch C'!D158</f>
        <v>0</v>
      </c>
      <c r="D157" s="558">
        <f>'[23]Sch C'!F158</f>
        <v>0</v>
      </c>
      <c r="E157" s="171">
        <f t="shared" si="41"/>
        <v>0</v>
      </c>
      <c r="F157" s="558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'[23]Sch C'!D159</f>
        <v>0</v>
      </c>
      <c r="D158" s="558">
        <f>'[23]Sch C'!F159</f>
        <v>0</v>
      </c>
      <c r="E158" s="171">
        <f t="shared" si="41"/>
        <v>0</v>
      </c>
      <c r="F158" s="558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'[23]Sch C'!D160</f>
        <v>0</v>
      </c>
      <c r="D159" s="558">
        <f>'[23]Sch C'!F160</f>
        <v>0</v>
      </c>
      <c r="E159" s="171">
        <f t="shared" si="41"/>
        <v>0</v>
      </c>
      <c r="F159" s="558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'[23]Sch C'!D161</f>
        <v>770</v>
      </c>
      <c r="D160" s="558">
        <f>'[23]Sch C'!F161</f>
        <v>0</v>
      </c>
      <c r="E160" s="171">
        <f t="shared" si="41"/>
        <v>770</v>
      </c>
      <c r="F160" s="558"/>
      <c r="G160" s="171">
        <f t="shared" si="42"/>
        <v>770</v>
      </c>
      <c r="H160" s="172">
        <f t="shared" si="43"/>
        <v>7.2630375060427053E-5</v>
      </c>
      <c r="I160" s="336"/>
      <c r="J160" s="168"/>
      <c r="K160" s="168"/>
      <c r="M160" s="364">
        <f t="shared" si="34"/>
        <v>2.8267254038179149E-2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2653273</v>
      </c>
      <c r="D161" s="558">
        <f>SUM(D123:D160)</f>
        <v>496660</v>
      </c>
      <c r="E161" s="171">
        <f t="shared" ref="E161" si="44">SUM(E123:E160)</f>
        <v>3149933</v>
      </c>
      <c r="F161" s="558">
        <f>SUM(F123:F160)</f>
        <v>0</v>
      </c>
      <c r="G161" s="171">
        <f>SUM(G123:G160)</f>
        <v>3149933</v>
      </c>
      <c r="H161" s="172">
        <f t="shared" si="43"/>
        <v>0.2971179418249561</v>
      </c>
      <c r="I161" s="336"/>
      <c r="J161" s="168"/>
      <c r="K161" s="168"/>
      <c r="M161" s="364">
        <f>G161/G$228</f>
        <v>115.63630690161527</v>
      </c>
      <c r="N161" s="359">
        <f>SUMMARY!J164</f>
        <v>105.56901037202306</v>
      </c>
      <c r="O161" s="354">
        <f>M161/N161-1</f>
        <v>9.536223266766708E-2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17" s="167" customFormat="1" ht="26.5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'[23]Sch C'!D175</f>
        <v>0</v>
      </c>
      <c r="D164" s="558">
        <f>'[23]Sch C'!F175</f>
        <v>0</v>
      </c>
      <c r="E164" s="171">
        <f t="shared" ref="E164:E196" si="45">C164+D164</f>
        <v>0</v>
      </c>
      <c r="F164" s="558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  <c r="P164"/>
      <c r="Q164"/>
    </row>
    <row r="165" spans="1:17" s="221" customFormat="1">
      <c r="A165" s="215" t="s">
        <v>123</v>
      </c>
      <c r="B165" s="148" t="s">
        <v>103</v>
      </c>
      <c r="C165" s="558">
        <f>'[23]Sch C'!D176</f>
        <v>0</v>
      </c>
      <c r="D165" s="558">
        <f>'[23]Sch C'!F176</f>
        <v>0</v>
      </c>
      <c r="E165" s="171">
        <f t="shared" si="45"/>
        <v>0</v>
      </c>
      <c r="F165" s="558"/>
      <c r="G165" s="171">
        <f t="shared" si="46"/>
        <v>0</v>
      </c>
      <c r="H165" s="172">
        <f t="shared" si="47"/>
        <v>0</v>
      </c>
      <c r="I165" s="343"/>
      <c r="J165" s="222"/>
      <c r="K165" s="222"/>
      <c r="M165" s="364">
        <f t="shared" ref="M165:M196" si="48">G165/G$228</f>
        <v>0</v>
      </c>
      <c r="N165" s="359">
        <f>SUMMARY!J168</f>
        <v>0</v>
      </c>
      <c r="P165"/>
      <c r="Q165"/>
    </row>
    <row r="166" spans="1:17" s="221" customFormat="1">
      <c r="A166" s="215" t="s">
        <v>124</v>
      </c>
      <c r="B166" s="148" t="s">
        <v>104</v>
      </c>
      <c r="C166" s="558">
        <f>'[23]Sch C'!D177</f>
        <v>798487</v>
      </c>
      <c r="D166" s="558">
        <f>'[23]Sch C'!F177</f>
        <v>32469</v>
      </c>
      <c r="E166" s="171">
        <f t="shared" si="45"/>
        <v>830956</v>
      </c>
      <c r="F166" s="558"/>
      <c r="G166" s="171">
        <f t="shared" si="46"/>
        <v>830956</v>
      </c>
      <c r="H166" s="172">
        <f t="shared" si="47"/>
        <v>7.8380059660665233E-2</v>
      </c>
      <c r="I166" s="342"/>
      <c r="J166" s="217">
        <v>30866</v>
      </c>
      <c r="K166" s="217">
        <v>33491</v>
      </c>
      <c r="M166" s="364">
        <f t="shared" si="48"/>
        <v>30.504992657856093</v>
      </c>
      <c r="N166" s="359">
        <f>SUMMARY!J169</f>
        <v>4.9060338253170936</v>
      </c>
      <c r="P166"/>
      <c r="Q166"/>
    </row>
    <row r="167" spans="1:17" s="221" customFormat="1">
      <c r="A167" s="215" t="s">
        <v>157</v>
      </c>
      <c r="B167" s="148" t="s">
        <v>105</v>
      </c>
      <c r="C167" s="558">
        <f>'[23]Sch C'!D178</f>
        <v>0</v>
      </c>
      <c r="D167" s="558">
        <f>'[23]Sch C'!F178</f>
        <v>130682</v>
      </c>
      <c r="E167" s="171">
        <f t="shared" si="45"/>
        <v>130682</v>
      </c>
      <c r="F167" s="558"/>
      <c r="G167" s="171">
        <f t="shared" si="46"/>
        <v>130682</v>
      </c>
      <c r="H167" s="172">
        <f t="shared" si="47"/>
        <v>1.2326600874865881E-2</v>
      </c>
      <c r="I167" s="343"/>
      <c r="J167" s="222"/>
      <c r="K167" s="222"/>
      <c r="M167" s="364">
        <f t="shared" si="48"/>
        <v>4.7974302496328924</v>
      </c>
      <c r="N167" s="359">
        <f>SUMMARY!J170</f>
        <v>0.8546059303297695</v>
      </c>
      <c r="P167"/>
      <c r="Q167"/>
    </row>
    <row r="168" spans="1:17" s="221" customFormat="1">
      <c r="A168" s="215" t="s">
        <v>158</v>
      </c>
      <c r="B168" s="148" t="s">
        <v>316</v>
      </c>
      <c r="C168" s="558">
        <f>'[23]Sch C'!D179</f>
        <v>136091</v>
      </c>
      <c r="D168" s="558">
        <f>'[23]Sch C'!F179</f>
        <v>5534</v>
      </c>
      <c r="E168" s="171">
        <f t="shared" si="45"/>
        <v>141625</v>
      </c>
      <c r="F168" s="558"/>
      <c r="G168" s="171">
        <f t="shared" si="46"/>
        <v>141625</v>
      </c>
      <c r="H168" s="172">
        <f t="shared" si="47"/>
        <v>1.3358801127185691E-2</v>
      </c>
      <c r="I168" s="342"/>
      <c r="J168" s="217">
        <v>3996</v>
      </c>
      <c r="K168" s="217">
        <v>4648</v>
      </c>
      <c r="M168" s="364">
        <f t="shared" si="48"/>
        <v>5.1991556534508074</v>
      </c>
      <c r="N168" s="359">
        <f>SUMMARY!J171</f>
        <v>0.79511806658504303</v>
      </c>
      <c r="P168"/>
      <c r="Q168"/>
    </row>
    <row r="169" spans="1:17" s="221" customFormat="1">
      <c r="A169" s="215" t="s">
        <v>86</v>
      </c>
      <c r="B169" s="148" t="s">
        <v>317</v>
      </c>
      <c r="C169" s="558">
        <f>'[23]Sch C'!D180</f>
        <v>0</v>
      </c>
      <c r="D169" s="558">
        <f>'[23]Sch C'!F180</f>
        <v>22273</v>
      </c>
      <c r="E169" s="171">
        <f t="shared" si="45"/>
        <v>22273</v>
      </c>
      <c r="F169" s="558"/>
      <c r="G169" s="171">
        <f t="shared" si="46"/>
        <v>22273</v>
      </c>
      <c r="H169" s="172">
        <f t="shared" si="47"/>
        <v>2.1009043424946648E-3</v>
      </c>
      <c r="I169" s="343"/>
      <c r="J169" s="222"/>
      <c r="K169" s="222"/>
      <c r="M169" s="364">
        <f t="shared" si="48"/>
        <v>0.81765785609397945</v>
      </c>
      <c r="N169" s="359">
        <f>SUMMARY!J172</f>
        <v>0.1405217057636943</v>
      </c>
      <c r="P169"/>
      <c r="Q169"/>
    </row>
    <row r="170" spans="1:17" s="221" customFormat="1">
      <c r="A170" s="215" t="s">
        <v>96</v>
      </c>
      <c r="B170" s="148" t="s">
        <v>318</v>
      </c>
      <c r="C170" s="558">
        <f>'[23]Sch C'!D181</f>
        <v>0</v>
      </c>
      <c r="D170" s="558">
        <f>'[23]Sch C'!F181</f>
        <v>0</v>
      </c>
      <c r="E170" s="171">
        <f t="shared" si="45"/>
        <v>0</v>
      </c>
      <c r="F170" s="558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M170" s="364">
        <f t="shared" si="48"/>
        <v>0</v>
      </c>
      <c r="N170" s="359">
        <f>SUMMARY!J173</f>
        <v>0.14856138086857354</v>
      </c>
      <c r="P170"/>
      <c r="Q170"/>
    </row>
    <row r="171" spans="1:17" s="221" customFormat="1">
      <c r="A171" s="215" t="s">
        <v>125</v>
      </c>
      <c r="B171" s="148" t="s">
        <v>109</v>
      </c>
      <c r="C171" s="558">
        <f>'[23]Sch C'!D182</f>
        <v>0</v>
      </c>
      <c r="D171" s="558">
        <f>'[23]Sch C'!F182</f>
        <v>0</v>
      </c>
      <c r="E171" s="171">
        <f t="shared" si="45"/>
        <v>0</v>
      </c>
      <c r="F171" s="558"/>
      <c r="G171" s="171">
        <f t="shared" si="46"/>
        <v>0</v>
      </c>
      <c r="H171" s="172">
        <f t="shared" si="47"/>
        <v>0</v>
      </c>
      <c r="I171" s="343"/>
      <c r="J171" s="222"/>
      <c r="K171" s="222"/>
      <c r="M171" s="364">
        <f t="shared" si="48"/>
        <v>0</v>
      </c>
      <c r="N171" s="359">
        <f>SUMMARY!J174</f>
        <v>2.2545547697802093E-2</v>
      </c>
      <c r="P171"/>
      <c r="Q171"/>
    </row>
    <row r="172" spans="1:17" s="221" customFormat="1">
      <c r="A172" s="215" t="s">
        <v>126</v>
      </c>
      <c r="B172" s="148" t="s">
        <v>319</v>
      </c>
      <c r="C172" s="558">
        <f>'[23]Sch C'!D183</f>
        <v>536096</v>
      </c>
      <c r="D172" s="558">
        <f>'[23]Sch C'!F183</f>
        <v>21799</v>
      </c>
      <c r="E172" s="171">
        <f t="shared" si="45"/>
        <v>557895</v>
      </c>
      <c r="F172" s="558"/>
      <c r="G172" s="171">
        <f t="shared" si="46"/>
        <v>557895</v>
      </c>
      <c r="H172" s="172">
        <f t="shared" si="47"/>
        <v>5.2623536486151888E-2</v>
      </c>
      <c r="I172" s="342"/>
      <c r="J172" s="217">
        <v>18323</v>
      </c>
      <c r="K172" s="217">
        <v>19175</v>
      </c>
      <c r="M172" s="364">
        <f t="shared" si="48"/>
        <v>20.480726872246695</v>
      </c>
      <c r="N172" s="359">
        <f>SUMMARY!J175</f>
        <v>2.8660001223726335</v>
      </c>
      <c r="P172"/>
      <c r="Q172"/>
    </row>
    <row r="173" spans="1:17" s="221" customFormat="1">
      <c r="A173" s="215" t="s">
        <v>127</v>
      </c>
      <c r="B173" s="148" t="s">
        <v>111</v>
      </c>
      <c r="C173" s="558">
        <f>'[23]Sch C'!D184</f>
        <v>0</v>
      </c>
      <c r="D173" s="558">
        <f>'[23]Sch C'!F184</f>
        <v>87739</v>
      </c>
      <c r="E173" s="171">
        <f t="shared" si="45"/>
        <v>87739</v>
      </c>
      <c r="F173" s="558"/>
      <c r="G173" s="171">
        <f t="shared" si="46"/>
        <v>87739</v>
      </c>
      <c r="H173" s="172">
        <f t="shared" si="47"/>
        <v>8.2759954252296236E-3</v>
      </c>
      <c r="I173" s="343"/>
      <c r="J173" s="222"/>
      <c r="K173" s="222"/>
      <c r="M173" s="364">
        <f t="shared" si="48"/>
        <v>3.2209618208516888</v>
      </c>
      <c r="N173" s="359">
        <f>SUMMARY!J176</f>
        <v>0.45922325087038773</v>
      </c>
      <c r="P173"/>
      <c r="Q173"/>
    </row>
    <row r="174" spans="1:17" s="221" customFormat="1">
      <c r="A174" s="215" t="s">
        <v>128</v>
      </c>
      <c r="B174" s="148" t="s">
        <v>320</v>
      </c>
      <c r="C174" s="558">
        <f>'[23]Sch C'!D185</f>
        <v>0</v>
      </c>
      <c r="D174" s="558">
        <f>'[23]Sch C'!F185</f>
        <v>0</v>
      </c>
      <c r="E174" s="171">
        <f t="shared" si="45"/>
        <v>0</v>
      </c>
      <c r="F174" s="558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M174" s="364">
        <f t="shared" si="48"/>
        <v>0</v>
      </c>
      <c r="N174" s="359">
        <f>SUMMARY!J177</f>
        <v>0</v>
      </c>
      <c r="P174"/>
      <c r="Q174"/>
    </row>
    <row r="175" spans="1:17" s="221" customFormat="1">
      <c r="A175" s="215" t="s">
        <v>129</v>
      </c>
      <c r="B175" s="148" t="s">
        <v>321</v>
      </c>
      <c r="C175" s="558">
        <f>'[23]Sch C'!D186</f>
        <v>0</v>
      </c>
      <c r="D175" s="558">
        <f>'[23]Sch C'!F186</f>
        <v>0</v>
      </c>
      <c r="E175" s="171">
        <f t="shared" si="45"/>
        <v>0</v>
      </c>
      <c r="F175" s="558"/>
      <c r="G175" s="171">
        <f t="shared" si="46"/>
        <v>0</v>
      </c>
      <c r="H175" s="172">
        <f t="shared" si="47"/>
        <v>0</v>
      </c>
      <c r="I175" s="336"/>
      <c r="J175" s="223"/>
      <c r="K175" s="218"/>
      <c r="M175" s="364">
        <f t="shared" si="48"/>
        <v>0</v>
      </c>
      <c r="N175" s="359">
        <f>SUMMARY!J178</f>
        <v>0</v>
      </c>
      <c r="P175"/>
      <c r="Q175"/>
    </row>
    <row r="176" spans="1:17" s="221" customFormat="1">
      <c r="A176" s="224" t="s">
        <v>293</v>
      </c>
      <c r="B176" s="148" t="s">
        <v>154</v>
      </c>
      <c r="C176" s="558">
        <f>'[23]Sch C'!D187</f>
        <v>0</v>
      </c>
      <c r="D176" s="558">
        <f>'[23]Sch C'!F187</f>
        <v>0</v>
      </c>
      <c r="E176" s="171">
        <f t="shared" si="45"/>
        <v>0</v>
      </c>
      <c r="F176" s="558"/>
      <c r="G176" s="171">
        <f t="shared" si="46"/>
        <v>0</v>
      </c>
      <c r="H176" s="172">
        <f t="shared" si="47"/>
        <v>0</v>
      </c>
      <c r="I176" s="336"/>
      <c r="J176" s="223"/>
      <c r="K176" s="218"/>
      <c r="M176" s="364">
        <f t="shared" si="48"/>
        <v>0</v>
      </c>
      <c r="N176" s="359">
        <f>SUMMARY!J179</f>
        <v>0</v>
      </c>
      <c r="P176"/>
      <c r="Q176"/>
    </row>
    <row r="177" spans="1:17" s="221" customFormat="1">
      <c r="A177" s="224" t="s">
        <v>294</v>
      </c>
      <c r="B177" s="148" t="s">
        <v>322</v>
      </c>
      <c r="C177" s="558">
        <f>'[23]Sch C'!D188</f>
        <v>10637</v>
      </c>
      <c r="D177" s="558">
        <f>'[23]Sch C'!F188</f>
        <v>0</v>
      </c>
      <c r="E177" s="171">
        <f t="shared" si="45"/>
        <v>10637</v>
      </c>
      <c r="F177" s="558"/>
      <c r="G177" s="171">
        <f t="shared" si="46"/>
        <v>10637</v>
      </c>
      <c r="H177" s="172">
        <f t="shared" si="47"/>
        <v>1.003336752620471E-3</v>
      </c>
      <c r="I177" s="336"/>
      <c r="J177" s="223"/>
      <c r="K177" s="218"/>
      <c r="M177" s="364">
        <f t="shared" si="48"/>
        <v>0.39049192364170338</v>
      </c>
      <c r="N177" s="359">
        <f>SUMMARY!J180</f>
        <v>0.30705480193530821</v>
      </c>
      <c r="P177"/>
      <c r="Q177"/>
    </row>
    <row r="178" spans="1:17" s="221" customFormat="1">
      <c r="A178" s="224" t="s">
        <v>295</v>
      </c>
      <c r="B178" s="148" t="s">
        <v>323</v>
      </c>
      <c r="C178" s="558">
        <f>'[23]Sch C'!D189</f>
        <v>0</v>
      </c>
      <c r="D178" s="558">
        <f>'[23]Sch C'!F189</f>
        <v>0</v>
      </c>
      <c r="E178" s="171">
        <f t="shared" si="45"/>
        <v>0</v>
      </c>
      <c r="F178" s="558"/>
      <c r="G178" s="171">
        <f t="shared" si="46"/>
        <v>0</v>
      </c>
      <c r="H178" s="172">
        <f t="shared" si="47"/>
        <v>0</v>
      </c>
      <c r="I178" s="336"/>
      <c r="J178" s="223"/>
      <c r="K178" s="218"/>
      <c r="M178" s="364">
        <f t="shared" si="48"/>
        <v>0</v>
      </c>
      <c r="N178" s="359">
        <f>SUMMARY!J181</f>
        <v>5.3584457511323957E-2</v>
      </c>
      <c r="P178"/>
      <c r="Q178"/>
    </row>
    <row r="179" spans="1:17" s="221" customFormat="1">
      <c r="A179" s="224" t="s">
        <v>296</v>
      </c>
      <c r="B179" s="148" t="s">
        <v>324</v>
      </c>
      <c r="C179" s="558">
        <f>'[23]Sch C'!D190</f>
        <v>0</v>
      </c>
      <c r="D179" s="558">
        <f>'[23]Sch C'!F190</f>
        <v>0</v>
      </c>
      <c r="E179" s="171">
        <f t="shared" si="45"/>
        <v>0</v>
      </c>
      <c r="F179" s="558"/>
      <c r="G179" s="171">
        <f t="shared" si="46"/>
        <v>0</v>
      </c>
      <c r="H179" s="172">
        <f t="shared" si="47"/>
        <v>0</v>
      </c>
      <c r="I179" s="336"/>
      <c r="J179" s="223"/>
      <c r="K179" s="218"/>
      <c r="M179" s="364">
        <f t="shared" si="48"/>
        <v>0</v>
      </c>
      <c r="N179" s="359">
        <f>SUMMARY!J182</f>
        <v>0</v>
      </c>
      <c r="P179"/>
      <c r="Q179"/>
    </row>
    <row r="180" spans="1:17" s="221" customFormat="1">
      <c r="A180" s="224" t="s">
        <v>297</v>
      </c>
      <c r="B180" s="148" t="s">
        <v>325</v>
      </c>
      <c r="C180" s="558">
        <f>'[23]Sch C'!D191</f>
        <v>0</v>
      </c>
      <c r="D180" s="558">
        <f>'[23]Sch C'!F191</f>
        <v>0</v>
      </c>
      <c r="E180" s="171">
        <f t="shared" si="45"/>
        <v>0</v>
      </c>
      <c r="F180" s="558"/>
      <c r="G180" s="171">
        <f t="shared" si="46"/>
        <v>0</v>
      </c>
      <c r="H180" s="172">
        <f t="shared" si="47"/>
        <v>0</v>
      </c>
      <c r="I180" s="336"/>
      <c r="J180" s="223"/>
      <c r="K180" s="218"/>
      <c r="M180" s="364">
        <f t="shared" si="48"/>
        <v>0</v>
      </c>
      <c r="N180" s="359">
        <f>SUMMARY!J183</f>
        <v>0.1333235617560114</v>
      </c>
      <c r="P180"/>
      <c r="Q180"/>
    </row>
    <row r="181" spans="1:17" s="221" customFormat="1">
      <c r="A181" s="224" t="s">
        <v>298</v>
      </c>
      <c r="B181" s="148" t="s">
        <v>117</v>
      </c>
      <c r="C181" s="558">
        <f>'[23]Sch C'!D192</f>
        <v>0</v>
      </c>
      <c r="D181" s="558">
        <f>'[23]Sch C'!F192</f>
        <v>0</v>
      </c>
      <c r="E181" s="171">
        <f t="shared" si="45"/>
        <v>0</v>
      </c>
      <c r="F181" s="558"/>
      <c r="G181" s="171">
        <f t="shared" si="46"/>
        <v>0</v>
      </c>
      <c r="H181" s="172">
        <f t="shared" si="47"/>
        <v>0</v>
      </c>
      <c r="I181" s="336"/>
      <c r="J181" s="223"/>
      <c r="K181" s="218"/>
      <c r="M181" s="364">
        <f t="shared" si="48"/>
        <v>0</v>
      </c>
      <c r="N181" s="359">
        <f>SUMMARY!J184</f>
        <v>0.29174571104570529</v>
      </c>
      <c r="P181"/>
      <c r="Q181"/>
    </row>
    <row r="182" spans="1:17" s="221" customFormat="1">
      <c r="A182" s="224" t="s">
        <v>132</v>
      </c>
      <c r="B182" s="148" t="s">
        <v>118</v>
      </c>
      <c r="C182" s="558">
        <f>'[23]Sch C'!D193</f>
        <v>0</v>
      </c>
      <c r="D182" s="558">
        <f>'[23]Sch C'!F193</f>
        <v>0</v>
      </c>
      <c r="E182" s="171">
        <f t="shared" si="45"/>
        <v>0</v>
      </c>
      <c r="F182" s="558"/>
      <c r="G182" s="171">
        <f t="shared" si="46"/>
        <v>0</v>
      </c>
      <c r="H182" s="172">
        <f t="shared" si="47"/>
        <v>0</v>
      </c>
      <c r="I182" s="336"/>
      <c r="J182" s="223"/>
      <c r="K182" s="218"/>
      <c r="M182" s="364">
        <f t="shared" si="48"/>
        <v>0</v>
      </c>
      <c r="N182" s="359">
        <f>SUMMARY!J185</f>
        <v>7.0915905841295299E-2</v>
      </c>
      <c r="P182"/>
      <c r="Q182"/>
    </row>
    <row r="183" spans="1:17" s="221" customFormat="1">
      <c r="A183" s="224" t="s">
        <v>133</v>
      </c>
      <c r="B183" s="148" t="s">
        <v>119</v>
      </c>
      <c r="C183" s="558">
        <f>'[23]Sch C'!D194</f>
        <v>0</v>
      </c>
      <c r="D183" s="558">
        <f>'[23]Sch C'!F194</f>
        <v>0</v>
      </c>
      <c r="E183" s="171">
        <f t="shared" si="45"/>
        <v>0</v>
      </c>
      <c r="F183" s="558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P183"/>
      <c r="Q183"/>
    </row>
    <row r="184" spans="1:17" s="221" customFormat="1">
      <c r="A184" s="224" t="s">
        <v>134</v>
      </c>
      <c r="B184" s="148" t="s">
        <v>326</v>
      </c>
      <c r="C184" s="558">
        <f>'[23]Sch C'!D195</f>
        <v>0</v>
      </c>
      <c r="D184" s="558">
        <f>'[23]Sch C'!F195</f>
        <v>0</v>
      </c>
      <c r="E184" s="171">
        <f t="shared" si="45"/>
        <v>0</v>
      </c>
      <c r="F184" s="558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P184"/>
      <c r="Q184"/>
    </row>
    <row r="185" spans="1:17" s="221" customFormat="1">
      <c r="A185" s="224" t="s">
        <v>135</v>
      </c>
      <c r="B185" s="148" t="s">
        <v>327</v>
      </c>
      <c r="C185" s="558">
        <f>'[23]Sch C'!D196</f>
        <v>0</v>
      </c>
      <c r="D185" s="558">
        <f>'[23]Sch C'!F196</f>
        <v>0</v>
      </c>
      <c r="E185" s="171">
        <f t="shared" si="45"/>
        <v>0</v>
      </c>
      <c r="F185" s="558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P185"/>
      <c r="Q185"/>
    </row>
    <row r="186" spans="1:17" s="221" customFormat="1">
      <c r="A186" s="224" t="s">
        <v>136</v>
      </c>
      <c r="B186" s="148" t="s">
        <v>328</v>
      </c>
      <c r="C186" s="558">
        <f>'[23]Sch C'!D197</f>
        <v>0</v>
      </c>
      <c r="D186" s="558">
        <f>'[23]Sch C'!F197</f>
        <v>0</v>
      </c>
      <c r="E186" s="171">
        <f t="shared" si="45"/>
        <v>0</v>
      </c>
      <c r="F186" s="558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P186"/>
      <c r="Q186"/>
    </row>
    <row r="187" spans="1:17" s="221" customFormat="1">
      <c r="A187" s="224" t="s">
        <v>137</v>
      </c>
      <c r="B187" s="148" t="s">
        <v>122</v>
      </c>
      <c r="C187" s="558">
        <f>'[23]Sch C'!D198</f>
        <v>98815</v>
      </c>
      <c r="D187" s="558">
        <f>'[23]Sch C'!F198</f>
        <v>0</v>
      </c>
      <c r="E187" s="171">
        <f t="shared" si="45"/>
        <v>98815</v>
      </c>
      <c r="F187" s="558"/>
      <c r="G187" s="171">
        <f t="shared" si="46"/>
        <v>98815</v>
      </c>
      <c r="H187" s="172">
        <f t="shared" si="47"/>
        <v>9.3207409241507794E-3</v>
      </c>
      <c r="I187" s="336"/>
      <c r="J187" s="223"/>
      <c r="K187" s="218"/>
      <c r="M187" s="364">
        <f t="shared" si="48"/>
        <v>3.6275697503671074</v>
      </c>
      <c r="N187" s="359">
        <f>SUMMARY!J190</f>
        <v>1.4762344610483848</v>
      </c>
      <c r="P187"/>
      <c r="Q187"/>
    </row>
    <row r="188" spans="1:17" s="221" customFormat="1">
      <c r="A188" s="224" t="s">
        <v>275</v>
      </c>
      <c r="B188" s="148" t="s">
        <v>329</v>
      </c>
      <c r="C188" s="558">
        <f>'[23]Sch C'!D199</f>
        <v>0</v>
      </c>
      <c r="D188" s="558">
        <f>'[23]Sch C'!F199</f>
        <v>0</v>
      </c>
      <c r="E188" s="171">
        <f t="shared" si="45"/>
        <v>0</v>
      </c>
      <c r="F188" s="558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P188"/>
      <c r="Q188"/>
    </row>
    <row r="189" spans="1:17" s="221" customFormat="1">
      <c r="A189" s="224" t="s">
        <v>277</v>
      </c>
      <c r="B189" s="148" t="s">
        <v>278</v>
      </c>
      <c r="C189" s="558">
        <f>'[23]Sch C'!D200</f>
        <v>0</v>
      </c>
      <c r="D189" s="558">
        <f>'[23]Sch C'!F200</f>
        <v>0</v>
      </c>
      <c r="E189" s="171">
        <f t="shared" si="45"/>
        <v>0</v>
      </c>
      <c r="F189" s="558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P189"/>
      <c r="Q189"/>
    </row>
    <row r="190" spans="1:17" s="221" customFormat="1">
      <c r="A190" s="225" t="s">
        <v>279</v>
      </c>
      <c r="B190" s="226" t="s">
        <v>280</v>
      </c>
      <c r="C190" s="558">
        <f>'[23]Sch C'!D201</f>
        <v>0</v>
      </c>
      <c r="D190" s="558">
        <f>'[23]Sch C'!F201</f>
        <v>0</v>
      </c>
      <c r="E190" s="171">
        <f t="shared" si="45"/>
        <v>0</v>
      </c>
      <c r="F190" s="558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P190"/>
      <c r="Q190"/>
    </row>
    <row r="191" spans="1:17" s="221" customFormat="1">
      <c r="A191" s="225" t="s">
        <v>281</v>
      </c>
      <c r="B191" s="226" t="s">
        <v>282</v>
      </c>
      <c r="C191" s="558">
        <f>'[23]Sch C'!D202</f>
        <v>0</v>
      </c>
      <c r="D191" s="558">
        <f>'[23]Sch C'!F202</f>
        <v>0</v>
      </c>
      <c r="E191" s="171">
        <f t="shared" si="45"/>
        <v>0</v>
      </c>
      <c r="F191" s="558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P191"/>
      <c r="Q191"/>
    </row>
    <row r="192" spans="1:17" s="221" customFormat="1">
      <c r="A192" s="225" t="s">
        <v>283</v>
      </c>
      <c r="B192" s="226" t="s">
        <v>330</v>
      </c>
      <c r="C192" s="558">
        <f>'[23]Sch C'!D203</f>
        <v>0</v>
      </c>
      <c r="D192" s="558">
        <f>'[23]Sch C'!F203</f>
        <v>0</v>
      </c>
      <c r="E192" s="171">
        <f t="shared" si="45"/>
        <v>0</v>
      </c>
      <c r="F192" s="558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P192"/>
      <c r="Q192"/>
    </row>
    <row r="193" spans="1:17" s="221" customFormat="1">
      <c r="A193" s="225" t="s">
        <v>285</v>
      </c>
      <c r="B193" s="226" t="s">
        <v>331</v>
      </c>
      <c r="C193" s="558">
        <f>'[23]Sch C'!D204</f>
        <v>0</v>
      </c>
      <c r="D193" s="558">
        <f>'[23]Sch C'!F204</f>
        <v>0</v>
      </c>
      <c r="E193" s="171">
        <f t="shared" si="45"/>
        <v>0</v>
      </c>
      <c r="F193" s="558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P193"/>
      <c r="Q193"/>
    </row>
    <row r="194" spans="1:17" s="221" customFormat="1">
      <c r="A194" s="224" t="s">
        <v>138</v>
      </c>
      <c r="B194" s="148" t="s">
        <v>332</v>
      </c>
      <c r="C194" s="558">
        <f>'[23]Sch C'!D205</f>
        <v>460995</v>
      </c>
      <c r="D194" s="558">
        <f>'[23]Sch C'!F205</f>
        <v>0</v>
      </c>
      <c r="E194" s="171">
        <f t="shared" si="45"/>
        <v>460995</v>
      </c>
      <c r="F194" s="558"/>
      <c r="G194" s="171">
        <f t="shared" si="46"/>
        <v>460995</v>
      </c>
      <c r="H194" s="172">
        <f t="shared" si="47"/>
        <v>4.3483428248028012E-2</v>
      </c>
      <c r="I194" s="336"/>
      <c r="J194" s="223"/>
      <c r="K194" s="218"/>
      <c r="M194" s="364">
        <f t="shared" si="48"/>
        <v>16.923458149779737</v>
      </c>
      <c r="N194" s="359">
        <f>SUMMARY!J197</f>
        <v>9.4138592764245246</v>
      </c>
      <c r="P194"/>
      <c r="Q194"/>
    </row>
    <row r="195" spans="1:17" s="221" customFormat="1">
      <c r="A195" s="224" t="s">
        <v>139</v>
      </c>
      <c r="B195" s="148" t="s">
        <v>67</v>
      </c>
      <c r="C195" s="558">
        <f>'[23]Sch C'!D206</f>
        <v>13719</v>
      </c>
      <c r="D195" s="558">
        <f>'[23]Sch C'!F206</f>
        <v>0</v>
      </c>
      <c r="E195" s="171">
        <f t="shared" si="45"/>
        <v>13719</v>
      </c>
      <c r="F195" s="558"/>
      <c r="G195" s="171">
        <f t="shared" si="46"/>
        <v>13719</v>
      </c>
      <c r="H195" s="172">
        <f t="shared" si="47"/>
        <v>1.2940469031870114E-3</v>
      </c>
      <c r="I195" s="336"/>
      <c r="J195" s="223"/>
      <c r="K195" s="218"/>
      <c r="M195" s="364">
        <f t="shared" si="48"/>
        <v>0.50363436123348015</v>
      </c>
      <c r="N195" s="359">
        <f>SUMMARY!J198</f>
        <v>0.50303072526897752</v>
      </c>
      <c r="P195"/>
      <c r="Q195"/>
    </row>
    <row r="196" spans="1:17" s="221" customFormat="1">
      <c r="A196" s="225" t="s">
        <v>143</v>
      </c>
      <c r="B196" s="194" t="s">
        <v>333</v>
      </c>
      <c r="C196" s="558">
        <f>'[23]Sch C'!D207</f>
        <v>37663</v>
      </c>
      <c r="D196" s="558">
        <f>'[23]Sch C'!F207</f>
        <v>0</v>
      </c>
      <c r="E196" s="171">
        <f t="shared" si="45"/>
        <v>37663</v>
      </c>
      <c r="F196" s="558"/>
      <c r="G196" s="171">
        <f t="shared" si="46"/>
        <v>37663</v>
      </c>
      <c r="H196" s="172">
        <f t="shared" si="47"/>
        <v>3.5525685920790445E-3</v>
      </c>
      <c r="I196" s="336"/>
      <c r="J196" s="223"/>
      <c r="K196" s="218"/>
      <c r="M196" s="364">
        <f t="shared" si="48"/>
        <v>1.3826358296622614</v>
      </c>
      <c r="N196" s="359">
        <f>SUMMARY!J199</f>
        <v>0.37420738931321718</v>
      </c>
      <c r="P196"/>
      <c r="Q196"/>
    </row>
    <row r="197" spans="1:17" s="167" customFormat="1" ht="26.5">
      <c r="A197" s="163"/>
      <c r="B197" s="212" t="s">
        <v>130</v>
      </c>
      <c r="C197" s="558">
        <f>SUM(C164:C196)</f>
        <v>2092503</v>
      </c>
      <c r="D197" s="558">
        <f>SUM(D164:D196)</f>
        <v>300496</v>
      </c>
      <c r="E197" s="171">
        <f t="shared" ref="E197" si="49">SUM(E164:E196)</f>
        <v>2392999</v>
      </c>
      <c r="F197" s="558">
        <f>SUM(F164:F196)</f>
        <v>0</v>
      </c>
      <c r="G197" s="171">
        <f>SUM(G164:G196)</f>
        <v>2392999</v>
      </c>
      <c r="H197" s="172">
        <f>IF($G$208=0,0,G197/$G$208)</f>
        <v>0.22572001933665831</v>
      </c>
      <c r="I197" s="336"/>
      <c r="J197" s="168"/>
      <c r="K197" s="168"/>
      <c r="M197" s="364">
        <f>G197/G$228</f>
        <v>87.848715124816451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'[23]Sch C'!D211</f>
        <v>100038</v>
      </c>
      <c r="D200" s="558">
        <f>'[23]Sch C'!F211</f>
        <v>0</v>
      </c>
      <c r="E200" s="171">
        <f t="shared" ref="E200:E205" si="50">C200+D200</f>
        <v>100038</v>
      </c>
      <c r="F200" s="558"/>
      <c r="G200" s="171">
        <f t="shared" ref="G200:G205" si="51">E200+F200</f>
        <v>100038</v>
      </c>
      <c r="H200" s="172">
        <f t="shared" ref="H200:H206" si="52">IF($G$208=0,0,G200/$G$208)</f>
        <v>9.4361005977857161E-3</v>
      </c>
      <c r="I200" s="336"/>
      <c r="J200" s="183">
        <v>6798</v>
      </c>
      <c r="K200" s="183">
        <v>7186</v>
      </c>
      <c r="M200" s="364">
        <f t="shared" ref="M200:M205" si="53">G200/G$228</f>
        <v>3.6724669603524229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'[23]Sch C'!D212</f>
        <v>0</v>
      </c>
      <c r="D201" s="558">
        <f>'[23]Sch C'!F212</f>
        <v>4068</v>
      </c>
      <c r="E201" s="171">
        <f t="shared" si="50"/>
        <v>4068</v>
      </c>
      <c r="F201" s="558"/>
      <c r="G201" s="171">
        <f t="shared" si="51"/>
        <v>4068</v>
      </c>
      <c r="H201" s="172">
        <f t="shared" si="52"/>
        <v>3.8371476070885361E-4</v>
      </c>
      <c r="I201" s="336"/>
      <c r="J201" s="168"/>
      <c r="K201" s="168"/>
      <c r="M201" s="364">
        <f t="shared" si="53"/>
        <v>0.14933920704845816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'[23]Sch C'!D213</f>
        <v>10692</v>
      </c>
      <c r="D202" s="558">
        <f>'[23]Sch C'!F213</f>
        <v>16372</v>
      </c>
      <c r="E202" s="171">
        <f t="shared" si="50"/>
        <v>27064</v>
      </c>
      <c r="F202" s="558"/>
      <c r="G202" s="171">
        <f t="shared" si="51"/>
        <v>27064</v>
      </c>
      <c r="H202" s="172">
        <f t="shared" si="52"/>
        <v>2.5528161956303867E-3</v>
      </c>
      <c r="I202" s="336"/>
      <c r="J202" s="168"/>
      <c r="K202" s="168"/>
      <c r="M202" s="364">
        <f t="shared" si="53"/>
        <v>0.99353891336270195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'[23]Sch C'!D214</f>
        <v>0</v>
      </c>
      <c r="D203" s="558">
        <f>'[23]Sch C'!F214</f>
        <v>0</v>
      </c>
      <c r="E203" s="171">
        <f t="shared" si="50"/>
        <v>0</v>
      </c>
      <c r="F203" s="558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'[23]Sch C'!D215</f>
        <v>0</v>
      </c>
      <c r="D204" s="558">
        <f>'[23]Sch C'!F215</f>
        <v>0</v>
      </c>
      <c r="E204" s="171">
        <f t="shared" si="50"/>
        <v>0</v>
      </c>
      <c r="F204" s="558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'[23]Sch C'!D216</f>
        <v>10450</v>
      </c>
      <c r="D205" s="558">
        <f>'[23]Sch C'!F216</f>
        <v>0</v>
      </c>
      <c r="E205" s="171">
        <f t="shared" si="50"/>
        <v>10450</v>
      </c>
      <c r="F205" s="558"/>
      <c r="G205" s="171">
        <f t="shared" si="51"/>
        <v>10450</v>
      </c>
      <c r="H205" s="172">
        <f t="shared" si="52"/>
        <v>9.85697947248653E-4</v>
      </c>
      <c r="I205" s="336"/>
      <c r="J205" s="168"/>
      <c r="K205" s="168"/>
      <c r="M205" s="364">
        <f t="shared" si="53"/>
        <v>0.38362701908957414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121180</v>
      </c>
      <c r="D206" s="558">
        <f>SUM(D200:D205)</f>
        <v>20440</v>
      </c>
      <c r="E206" s="171">
        <f t="shared" ref="E206" si="54">SUM(E200:E205)</f>
        <v>141620</v>
      </c>
      <c r="F206" s="558">
        <f>SUM(F200:F205)</f>
        <v>0</v>
      </c>
      <c r="G206" s="171">
        <f>SUM(G200:G205)</f>
        <v>141620</v>
      </c>
      <c r="H206" s="172">
        <f t="shared" si="52"/>
        <v>1.335832950137361E-2</v>
      </c>
      <c r="I206" s="336"/>
      <c r="J206" s="168"/>
      <c r="K206" s="168"/>
      <c r="M206" s="364">
        <f>G206/G$228</f>
        <v>5.1989720998531572</v>
      </c>
      <c r="N206" s="359">
        <f>SUMMARY!J209</f>
        <v>7.1515095990067339</v>
      </c>
      <c r="O206" s="354">
        <f>M206/N206-1</f>
        <v>-0.27302452330131288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10196740</v>
      </c>
      <c r="D208" s="558">
        <f>SUM(D25:D206)/2</f>
        <v>404885</v>
      </c>
      <c r="E208" s="171">
        <f t="shared" ref="E208:F208" si="55">SUM(E25:E206)/2</f>
        <v>10601625</v>
      </c>
      <c r="F208" s="171">
        <f t="shared" si="55"/>
        <v>0</v>
      </c>
      <c r="G208" s="171">
        <f>SUM(G25:G206)/2</f>
        <v>10601625</v>
      </c>
      <c r="H208" s="172">
        <f>IF($G$208=0,0,G208/$G$208)</f>
        <v>1</v>
      </c>
      <c r="I208" s="336"/>
      <c r="J208" s="183">
        <f>SUM(J25:J200)</f>
        <v>244349</v>
      </c>
      <c r="K208" s="183">
        <f>SUM(K25:K200)</f>
        <v>259558</v>
      </c>
      <c r="M208" s="364">
        <f>G208/G$228</f>
        <v>389.19328193832598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0.55170977368989238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'[23]Sch C'!D221</f>
        <v>10196740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-94904</v>
      </c>
      <c r="D215" s="558">
        <f>D21-D208</f>
        <v>-404885</v>
      </c>
      <c r="E215" s="171">
        <f t="shared" ref="E215:F215" si="56">E21-E208</f>
        <v>-499789</v>
      </c>
      <c r="F215" s="171">
        <f t="shared" si="56"/>
        <v>0</v>
      </c>
      <c r="G215" s="171">
        <f>G21-G208</f>
        <v>-499789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'[23]Sch D'!C9</f>
        <v>7224</v>
      </c>
      <c r="D219" s="592"/>
      <c r="E219" s="235">
        <f t="shared" ref="E219:G227" si="57">C219+D219</f>
        <v>7224</v>
      </c>
      <c r="F219" s="234"/>
      <c r="G219" s="235">
        <f t="shared" si="57"/>
        <v>7224</v>
      </c>
      <c r="H219" s="172">
        <f t="shared" ref="H219:H228" si="58">IF($G$228=0,0,G219/$G$228)</f>
        <v>0.26519823788546254</v>
      </c>
      <c r="I219" s="336"/>
      <c r="J219" s="168"/>
      <c r="K219" s="168"/>
    </row>
    <row r="220" spans="1:17">
      <c r="A220" s="163"/>
      <c r="B220" s="170" t="s">
        <v>217</v>
      </c>
      <c r="C220" s="592">
        <f>'[23]Sch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'[23]Sch D'!E9</f>
        <v>9997</v>
      </c>
      <c r="D221" s="592"/>
      <c r="E221" s="235">
        <f t="shared" si="59"/>
        <v>9997</v>
      </c>
      <c r="F221" s="234"/>
      <c r="G221" s="235">
        <f t="shared" si="57"/>
        <v>9997</v>
      </c>
      <c r="H221" s="172">
        <f t="shared" si="58"/>
        <v>0.36699706314243757</v>
      </c>
      <c r="I221" s="336"/>
      <c r="J221" s="168"/>
      <c r="K221" s="168"/>
    </row>
    <row r="222" spans="1:17">
      <c r="A222" s="163"/>
      <c r="B222" s="202" t="s">
        <v>334</v>
      </c>
      <c r="C222" s="592">
        <f>'[23]Sch D'!F9</f>
        <v>4664</v>
      </c>
      <c r="D222" s="592"/>
      <c r="E222" s="235">
        <f>C222+D222</f>
        <v>4664</v>
      </c>
      <c r="F222" s="234"/>
      <c r="G222" s="235">
        <f>E222+F222</f>
        <v>4664</v>
      </c>
      <c r="H222" s="172">
        <f t="shared" si="58"/>
        <v>0.17121879588839942</v>
      </c>
      <c r="I222" s="336"/>
      <c r="J222" s="168"/>
      <c r="K222" s="168"/>
    </row>
    <row r="223" spans="1:17">
      <c r="A223" s="163"/>
      <c r="B223" s="170" t="s">
        <v>73</v>
      </c>
      <c r="C223" s="592">
        <f>'[23]Sch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'[23]Sch D'!H9</f>
        <v>4518</v>
      </c>
      <c r="D224" s="592"/>
      <c r="E224" s="235">
        <f t="shared" si="59"/>
        <v>4518</v>
      </c>
      <c r="F224" s="234"/>
      <c r="G224" s="235">
        <f t="shared" si="57"/>
        <v>4518</v>
      </c>
      <c r="H224" s="172">
        <f t="shared" si="58"/>
        <v>0.1658590308370044</v>
      </c>
      <c r="I224" s="336"/>
      <c r="J224" s="168"/>
      <c r="K224" s="168"/>
    </row>
    <row r="225" spans="1:11">
      <c r="A225" s="163"/>
      <c r="B225" s="170" t="s">
        <v>236</v>
      </c>
      <c r="C225" s="592">
        <f>'[23]Sch D'!I9</f>
        <v>0</v>
      </c>
      <c r="D225" s="592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'[23]Sch D'!J9</f>
        <v>837</v>
      </c>
      <c r="D226" s="592"/>
      <c r="E226" s="235">
        <f>C226+D226</f>
        <v>837</v>
      </c>
      <c r="F226" s="234"/>
      <c r="G226" s="235">
        <f>E226+F226</f>
        <v>837</v>
      </c>
      <c r="H226" s="172">
        <f t="shared" si="58"/>
        <v>3.0726872246696034E-2</v>
      </c>
      <c r="I226" s="336"/>
      <c r="J226" s="168"/>
      <c r="K226" s="168"/>
    </row>
    <row r="227" spans="1:11">
      <c r="A227" s="163"/>
      <c r="B227" s="170" t="s">
        <v>179</v>
      </c>
      <c r="C227" s="592">
        <f>'[23]Sch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27240</v>
      </c>
      <c r="D228" s="592">
        <f>SUM(D219:D227)</f>
        <v>0</v>
      </c>
      <c r="E228" s="237">
        <f>SUM(E219:E227)</f>
        <v>27240</v>
      </c>
      <c r="F228" s="237">
        <f>SUM(F219:F227)</f>
        <v>0</v>
      </c>
      <c r="G228" s="237">
        <f>SUM(G219:G227)</f>
        <v>27240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358"/>
      <c r="B231" s="202" t="s">
        <v>219</v>
      </c>
      <c r="C231" s="593">
        <f>'[23]Sch D'!N22</f>
        <v>108</v>
      </c>
      <c r="D231" s="559"/>
      <c r="E231" s="235">
        <f>C231+D231</f>
        <v>108</v>
      </c>
      <c r="F231" s="235"/>
      <c r="G231" s="235">
        <f>E231+F231</f>
        <v>108</v>
      </c>
      <c r="J231" s="168"/>
      <c r="K231" s="168"/>
    </row>
    <row r="232" spans="1:11">
      <c r="A232" s="163"/>
      <c r="B232" s="202" t="s">
        <v>290</v>
      </c>
      <c r="C232" s="593">
        <f>'[23]Sch D'!N24</f>
        <v>95</v>
      </c>
      <c r="D232" s="559"/>
      <c r="E232" s="235">
        <f>C232+D232</f>
        <v>95</v>
      </c>
      <c r="F232" s="235"/>
      <c r="G232" s="235">
        <f>E232+F232</f>
        <v>95</v>
      </c>
      <c r="H232" s="508" t="s">
        <v>454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I233" s="662" t="s">
        <v>652</v>
      </c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39.5">
      <c r="A235" s="163"/>
      <c r="B235" s="243" t="s">
        <v>335</v>
      </c>
      <c r="C235" s="593">
        <f>'[23]Sch D'!N28</f>
        <v>39528</v>
      </c>
      <c r="D235" s="483"/>
      <c r="E235" s="234">
        <f>E231*E233</f>
        <v>39528</v>
      </c>
      <c r="F235" s="239"/>
      <c r="G235" s="234">
        <f>G231*G233</f>
        <v>39528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'[23]Sch D'!N30</f>
        <v>0.68913175470552523</v>
      </c>
      <c r="D236" s="239"/>
      <c r="E236" s="244">
        <f>IFERROR(E228/E235,"0")</f>
        <v>0.68913175470552523</v>
      </c>
      <c r="F236" s="245"/>
      <c r="G236" s="244">
        <f>IFERROR(G228/G235,"0")</f>
        <v>0.68913175470552523</v>
      </c>
      <c r="H236" s="167"/>
      <c r="J236" s="168"/>
      <c r="K236" s="168"/>
    </row>
    <row r="237" spans="1:11" ht="39.5">
      <c r="A237" s="163"/>
      <c r="B237" s="243" t="s">
        <v>337</v>
      </c>
      <c r="C237" s="594">
        <f>'[23]Sch D'!N32</f>
        <v>0.18275652701882211</v>
      </c>
      <c r="D237" s="239"/>
      <c r="E237" s="244">
        <f>IFERROR((E219+E220)/E235,"0")</f>
        <v>0.18275652701882211</v>
      </c>
      <c r="F237" s="245"/>
      <c r="G237" s="244">
        <f>IFERROR((G219+G220)/G235,"0")</f>
        <v>0.18275652701882211</v>
      </c>
      <c r="H237" s="167"/>
      <c r="J237" s="168"/>
      <c r="K237" s="168"/>
    </row>
    <row r="238" spans="1:11" ht="39.5">
      <c r="A238" s="163"/>
      <c r="B238" s="243" t="s">
        <v>338</v>
      </c>
      <c r="C238" s="594">
        <f>'[23]Sch D'!N34</f>
        <v>0.26519823788546254</v>
      </c>
      <c r="D238" s="239"/>
      <c r="E238" s="244">
        <f>IFERROR((E237/E236),"0")</f>
        <v>0.26519823788546254</v>
      </c>
      <c r="F238" s="245"/>
      <c r="G238" s="244">
        <f>IFERROR((G237/G236),"0")</f>
        <v>0.26519823788546254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'[23]Sch B'!C85</f>
        <v>267.96700723205527</v>
      </c>
    </row>
    <row r="242" spans="2:7">
      <c r="F242" s="142" t="s">
        <v>341</v>
      </c>
      <c r="G242" s="558">
        <f>'[23]Sch B'!E85</f>
        <v>263.1004623205082</v>
      </c>
    </row>
    <row r="243" spans="2:7">
      <c r="F243" s="142" t="s">
        <v>342</v>
      </c>
      <c r="G243" s="558">
        <f>'[23]Sch B'!G85</f>
        <v>258.95201792807939</v>
      </c>
    </row>
    <row r="244" spans="2:7">
      <c r="F244" s="142" t="s">
        <v>343</v>
      </c>
      <c r="G244" s="558">
        <f>'[23]Sch B'!I85</f>
        <v>267.2842801926202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403" t="s">
        <v>356</v>
      </c>
      <c r="D2" s="403"/>
      <c r="E2" s="436" t="s">
        <v>461</v>
      </c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'[24]Sch B'!E10</f>
        <v>2370580</v>
      </c>
      <c r="D11" s="558">
        <f>'[24]Sch B'!G10</f>
        <v>0</v>
      </c>
      <c r="E11" s="171">
        <f>C11+D11</f>
        <v>2370580</v>
      </c>
      <c r="F11" s="171"/>
      <c r="G11" s="171">
        <f t="shared" ref="G11:G20" si="0">E11+F11</f>
        <v>2370580</v>
      </c>
      <c r="H11" s="172">
        <f t="shared" ref="H11:H21" si="1">IF($G$21=0,0,G11/$G$21)</f>
        <v>0.4869452544518913</v>
      </c>
      <c r="I11" s="336"/>
      <c r="J11" s="368" t="s">
        <v>344</v>
      </c>
      <c r="K11" s="369">
        <f>G21</f>
        <v>4868268</v>
      </c>
      <c r="M11" s="359">
        <f>IFERROR(G11/G219,0)</f>
        <v>169.93405017921148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'[24]Sch B'!E15</f>
        <v>0</v>
      </c>
      <c r="D12" s="558">
        <f>'[24]Sch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4792822.9899999984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'[24]Sch B'!E21</f>
        <v>970818</v>
      </c>
      <c r="D13" s="558">
        <f>'[24]Sch B'!G21</f>
        <v>0</v>
      </c>
      <c r="E13" s="171">
        <f t="shared" si="2"/>
        <v>970818</v>
      </c>
      <c r="F13" s="171"/>
      <c r="G13" s="171">
        <f t="shared" si="0"/>
        <v>970818</v>
      </c>
      <c r="H13" s="172">
        <f t="shared" si="1"/>
        <v>0.19941753412096458</v>
      </c>
      <c r="I13" s="336"/>
      <c r="J13" s="370" t="s">
        <v>346</v>
      </c>
      <c r="K13" s="371">
        <f>G228</f>
        <v>21922</v>
      </c>
      <c r="M13" s="359">
        <f t="shared" si="3"/>
        <v>496.32822085889569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'[24]Sch B'!E27</f>
        <v>504096</v>
      </c>
      <c r="D14" s="558">
        <f>'[24]Sch B'!G27</f>
        <v>0</v>
      </c>
      <c r="E14" s="171">
        <f t="shared" si="2"/>
        <v>504096</v>
      </c>
      <c r="F14" s="175"/>
      <c r="G14" s="175">
        <f>E14+F14</f>
        <v>504096</v>
      </c>
      <c r="H14" s="176">
        <f t="shared" si="1"/>
        <v>0.10354729854642349</v>
      </c>
      <c r="I14" s="337"/>
      <c r="J14" s="370" t="s">
        <v>347</v>
      </c>
      <c r="K14" s="371">
        <f>G231</f>
        <v>82</v>
      </c>
      <c r="M14" s="359">
        <f t="shared" si="3"/>
        <v>341.06630581867387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'[24]Sch B'!E32</f>
        <v>0</v>
      </c>
      <c r="D15" s="558">
        <f>'[24]Sch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30012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'[24]Sch B'!E37</f>
        <v>651738</v>
      </c>
      <c r="D16" s="558">
        <f>'[24]Sch B'!G37</f>
        <v>0</v>
      </c>
      <c r="E16" s="171">
        <f t="shared" si="2"/>
        <v>651738</v>
      </c>
      <c r="F16" s="171"/>
      <c r="G16" s="171">
        <f t="shared" si="0"/>
        <v>651738</v>
      </c>
      <c r="H16" s="172">
        <f t="shared" si="1"/>
        <v>0.13387471683974669</v>
      </c>
      <c r="I16" s="336"/>
      <c r="J16" s="372"/>
      <c r="K16" s="371"/>
      <c r="M16" s="359">
        <f t="shared" si="3"/>
        <v>214.59927560092197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'[24]Sch B'!E42</f>
        <v>279152</v>
      </c>
      <c r="D17" s="558">
        <f>'[24]Sch B'!G42</f>
        <v>0</v>
      </c>
      <c r="E17" s="171">
        <f t="shared" si="2"/>
        <v>279152</v>
      </c>
      <c r="F17" s="171"/>
      <c r="G17" s="171">
        <f>E17+F17</f>
        <v>279152</v>
      </c>
      <c r="H17" s="172">
        <f t="shared" si="1"/>
        <v>5.73411324109519E-2</v>
      </c>
      <c r="I17" s="336"/>
      <c r="J17" s="370" t="s">
        <v>156</v>
      </c>
      <c r="K17" s="371">
        <f>J208</f>
        <v>104925.56</v>
      </c>
      <c r="M17" s="359">
        <f t="shared" si="3"/>
        <v>185.97734843437709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'[24]Sch B'!E47</f>
        <v>0</v>
      </c>
      <c r="D18" s="558">
        <f>'[24]Sch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110867.12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'[24]Sch B'!E52</f>
        <v>0</v>
      </c>
      <c r="D19" s="558">
        <f>'[24]Sch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'[24]Sch B'!E67</f>
        <v>95915</v>
      </c>
      <c r="D20" s="558">
        <f>'[24]Sch B'!G67</f>
        <v>-4031</v>
      </c>
      <c r="E20" s="171">
        <f t="shared" si="2"/>
        <v>91884</v>
      </c>
      <c r="F20" s="171"/>
      <c r="G20" s="171">
        <f t="shared" si="0"/>
        <v>91884</v>
      </c>
      <c r="H20" s="172">
        <f t="shared" si="1"/>
        <v>1.887406363002201E-2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4872299</v>
      </c>
      <c r="D21" s="558">
        <f>SUM(D11:D20)</f>
        <v>-4031</v>
      </c>
      <c r="E21" s="171">
        <f>SUM(E11:E20)</f>
        <v>4868268</v>
      </c>
      <c r="F21" s="171">
        <f>SUM(F11:F20)</f>
        <v>0</v>
      </c>
      <c r="G21" s="171">
        <f>SUM(G11:G20)</f>
        <v>4868268</v>
      </c>
      <c r="H21" s="172">
        <f t="shared" si="1"/>
        <v>1</v>
      </c>
      <c r="I21" s="336"/>
      <c r="J21" s="168"/>
      <c r="K21" s="168"/>
      <c r="M21" s="359">
        <f>IFERROR(G21/G228,0)</f>
        <v>222.07225618100537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'[24]Sch C'!D10</f>
        <v>90543</v>
      </c>
      <c r="D25" s="558">
        <f>'[24]Sch C'!F10</f>
        <v>13125.529999999999</v>
      </c>
      <c r="E25" s="171">
        <f t="shared" ref="E25:E60" si="4">C25+D25</f>
        <v>103668.53</v>
      </c>
      <c r="F25" s="171"/>
      <c r="G25" s="182">
        <f>E25+F25</f>
        <v>103668.53</v>
      </c>
      <c r="H25" s="172">
        <f>IF($G$208=0,0,G25/$G$208)</f>
        <v>2.1629951745829035E-2</v>
      </c>
      <c r="I25" s="336"/>
      <c r="J25" s="482">
        <v>1867.41</v>
      </c>
      <c r="K25" s="482">
        <v>2054.0500000000002</v>
      </c>
      <c r="M25" s="359">
        <f>G25/G$228</f>
        <v>4.7289722653042601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'[24]Sch C'!D11</f>
        <v>0</v>
      </c>
      <c r="D26" s="558">
        <f>'[24]Sch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482">
        <v>0</v>
      </c>
      <c r="K26" s="482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'[24]Sch C'!D12</f>
        <v>62672</v>
      </c>
      <c r="D27" s="558">
        <f>'[24]Sch C'!F12</f>
        <v>0</v>
      </c>
      <c r="E27" s="171">
        <f t="shared" si="4"/>
        <v>62672</v>
      </c>
      <c r="F27" s="171"/>
      <c r="G27" s="171">
        <f t="shared" si="5"/>
        <v>62672</v>
      </c>
      <c r="H27" s="172">
        <f t="shared" si="6"/>
        <v>1.3076218364575993E-2</v>
      </c>
      <c r="I27" s="336"/>
      <c r="J27" s="482">
        <v>4149.8</v>
      </c>
      <c r="K27" s="482">
        <v>4513.05</v>
      </c>
      <c r="M27" s="359">
        <f t="shared" si="7"/>
        <v>2.8588632424048899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'[24]Sch C'!D13</f>
        <v>375345</v>
      </c>
      <c r="D28" s="558">
        <f>'[24]Sch C'!F13</f>
        <v>-345047.14</v>
      </c>
      <c r="E28" s="171">
        <f t="shared" si="4"/>
        <v>30297.859999999986</v>
      </c>
      <c r="F28" s="171"/>
      <c r="G28" s="171">
        <f t="shared" si="5"/>
        <v>30297.859999999986</v>
      </c>
      <c r="H28" s="172">
        <f t="shared" si="6"/>
        <v>6.3215061485089388E-3</v>
      </c>
      <c r="I28" s="336"/>
      <c r="J28" s="513"/>
      <c r="K28" s="513"/>
      <c r="M28" s="359">
        <f t="shared" si="7"/>
        <v>1.3820755405528686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'[24]Sch C'!D14</f>
        <v>0</v>
      </c>
      <c r="D29" s="558">
        <f>'[24]Sch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513"/>
      <c r="K29" s="513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'[24]Sch C'!D15</f>
        <v>0</v>
      </c>
      <c r="D30" s="558">
        <f>'[24]Sch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513"/>
      <c r="K30" s="513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'[24]Sch C'!D16</f>
        <v>349571</v>
      </c>
      <c r="D31" s="558">
        <f>'[24]Sch C'!F16</f>
        <v>15270</v>
      </c>
      <c r="E31" s="171">
        <f t="shared" si="4"/>
        <v>364841</v>
      </c>
      <c r="F31" s="171"/>
      <c r="G31" s="171">
        <f t="shared" si="5"/>
        <v>364841</v>
      </c>
      <c r="H31" s="172">
        <f t="shared" si="6"/>
        <v>7.6122360613196799E-2</v>
      </c>
      <c r="I31" s="336"/>
      <c r="J31" s="513"/>
      <c r="K31" s="513"/>
      <c r="M31" s="359">
        <f t="shared" si="7"/>
        <v>16.642687710975277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'[24]Sch C'!D17</f>
        <v>0</v>
      </c>
      <c r="D32" s="558">
        <f>'[24]Sch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513"/>
      <c r="K32" s="513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'[24]Sch C'!D18</f>
        <v>10887</v>
      </c>
      <c r="D33" s="558">
        <f>'[24]Sch C'!F18</f>
        <v>0</v>
      </c>
      <c r="E33" s="171">
        <f t="shared" si="4"/>
        <v>10887</v>
      </c>
      <c r="F33" s="171"/>
      <c r="G33" s="171">
        <f t="shared" si="5"/>
        <v>10887</v>
      </c>
      <c r="H33" s="172">
        <f t="shared" si="6"/>
        <v>2.2715214024626442E-3</v>
      </c>
      <c r="I33" s="336"/>
      <c r="J33" s="513"/>
      <c r="K33" s="513"/>
      <c r="M33" s="359">
        <f t="shared" si="7"/>
        <v>0.49662439558434451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'[24]Sch C'!D19</f>
        <v>14164</v>
      </c>
      <c r="D34" s="558">
        <f>'[24]Sch C'!F19</f>
        <v>0</v>
      </c>
      <c r="E34" s="171">
        <f t="shared" si="4"/>
        <v>14164</v>
      </c>
      <c r="F34" s="171"/>
      <c r="G34" s="171">
        <f t="shared" si="5"/>
        <v>14164</v>
      </c>
      <c r="H34" s="172">
        <f t="shared" si="6"/>
        <v>2.9552520569928256E-3</v>
      </c>
      <c r="I34" s="336"/>
      <c r="J34" s="513"/>
      <c r="K34" s="513"/>
      <c r="M34" s="359">
        <f t="shared" si="7"/>
        <v>0.64610893166681871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'[24]Sch C'!D20</f>
        <v>7861</v>
      </c>
      <c r="D35" s="558">
        <f>'[24]Sch C'!F20</f>
        <v>0</v>
      </c>
      <c r="E35" s="171">
        <f t="shared" si="4"/>
        <v>7861</v>
      </c>
      <c r="F35" s="171"/>
      <c r="G35" s="171">
        <f t="shared" si="5"/>
        <v>7861</v>
      </c>
      <c r="H35" s="172">
        <f t="shared" si="6"/>
        <v>1.6401607187249789E-3</v>
      </c>
      <c r="I35" s="336"/>
      <c r="J35" s="513"/>
      <c r="K35" s="513"/>
      <c r="M35" s="359">
        <f t="shared" si="7"/>
        <v>0.35858954474956667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'[24]Sch C'!D21</f>
        <v>8814</v>
      </c>
      <c r="D36" s="558">
        <f>'[24]Sch C'!F21</f>
        <v>0</v>
      </c>
      <c r="E36" s="171">
        <f t="shared" si="4"/>
        <v>8814</v>
      </c>
      <c r="F36" s="171"/>
      <c r="G36" s="171">
        <f t="shared" si="5"/>
        <v>8814</v>
      </c>
      <c r="H36" s="172">
        <f t="shared" si="6"/>
        <v>1.8389996914949707E-3</v>
      </c>
      <c r="I36" s="336"/>
      <c r="J36" s="513"/>
      <c r="K36" s="513"/>
      <c r="M36" s="359">
        <f t="shared" si="7"/>
        <v>0.40206185567010311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'[24]Sch C'!D22</f>
        <v>0</v>
      </c>
      <c r="D37" s="558">
        <f>'[24]Sch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513"/>
      <c r="K37" s="513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'[24]Sch C'!D23</f>
        <v>3846</v>
      </c>
      <c r="D38" s="558">
        <f>'[24]Sch C'!F23</f>
        <v>0</v>
      </c>
      <c r="E38" s="171">
        <f t="shared" si="4"/>
        <v>3846</v>
      </c>
      <c r="F38" s="171"/>
      <c r="G38" s="171">
        <f t="shared" si="5"/>
        <v>3846</v>
      </c>
      <c r="H38" s="172">
        <f t="shared" si="6"/>
        <v>8.0244983134668225E-4</v>
      </c>
      <c r="I38" s="336"/>
      <c r="J38" s="513"/>
      <c r="K38" s="513"/>
      <c r="M38" s="359">
        <f t="shared" si="7"/>
        <v>0.17544019706231184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'[24]Sch C'!D24</f>
        <v>0</v>
      </c>
      <c r="D39" s="558">
        <f>'[24]Sch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513"/>
      <c r="K39" s="513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'[24]Sch C'!D25</f>
        <v>0</v>
      </c>
      <c r="D40" s="558">
        <f>'[24]Sch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513"/>
      <c r="K40" s="513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'[24]Sch C'!D26</f>
        <v>338537</v>
      </c>
      <c r="D41" s="558">
        <f>'[24]Sch C'!F26</f>
        <v>0</v>
      </c>
      <c r="E41" s="171">
        <f t="shared" si="4"/>
        <v>338537</v>
      </c>
      <c r="F41" s="171"/>
      <c r="G41" s="171">
        <f t="shared" si="5"/>
        <v>338537</v>
      </c>
      <c r="H41" s="172">
        <f t="shared" si="6"/>
        <v>7.0634154590382678E-2</v>
      </c>
      <c r="I41" s="336"/>
      <c r="J41" s="513"/>
      <c r="K41" s="513"/>
      <c r="M41" s="359">
        <f t="shared" si="7"/>
        <v>15.442797190037405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'[24]Sch C'!D27</f>
        <v>0</v>
      </c>
      <c r="D42" s="558">
        <f>'[24]Sch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513"/>
      <c r="K42" s="513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'[24]Sch C'!D28</f>
        <v>0</v>
      </c>
      <c r="D43" s="558">
        <f>'[24]Sch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513"/>
      <c r="K43" s="513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'[24]Sch C'!D29</f>
        <v>336081</v>
      </c>
      <c r="D44" s="558">
        <f>'[24]Sch C'!F29</f>
        <v>-336081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513"/>
      <c r="K44" s="513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'[24]Sch C'!D30</f>
        <v>0</v>
      </c>
      <c r="D45" s="558">
        <f>'[24]Sch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513"/>
      <c r="K45" s="513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'[24]Sch C'!D31</f>
        <v>55118</v>
      </c>
      <c r="D46" s="558">
        <f>'[24]Sch C'!F31</f>
        <v>0</v>
      </c>
      <c r="E46" s="171">
        <f t="shared" si="4"/>
        <v>55118</v>
      </c>
      <c r="F46" s="171"/>
      <c r="G46" s="171">
        <f t="shared" si="5"/>
        <v>55118</v>
      </c>
      <c r="H46" s="172">
        <f t="shared" si="6"/>
        <v>1.1500111753553414E-2</v>
      </c>
      <c r="I46" s="336"/>
      <c r="J46" s="513"/>
      <c r="K46" s="513"/>
      <c r="M46" s="359">
        <f t="shared" si="7"/>
        <v>2.5142778943527051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'[24]Sch C'!D32</f>
        <v>19851</v>
      </c>
      <c r="D47" s="558">
        <f>'[24]Sch C'!F32</f>
        <v>0</v>
      </c>
      <c r="E47" s="171">
        <f t="shared" si="4"/>
        <v>19851</v>
      </c>
      <c r="F47" s="171"/>
      <c r="G47" s="171">
        <f t="shared" si="5"/>
        <v>19851</v>
      </c>
      <c r="H47" s="172">
        <f t="shared" si="6"/>
        <v>4.1418178892519471E-3</v>
      </c>
      <c r="I47" s="336"/>
      <c r="J47" s="513"/>
      <c r="K47" s="513"/>
      <c r="M47" s="359">
        <f t="shared" si="7"/>
        <v>0.90552869263753311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'[24]Sch C'!D33</f>
        <v>0</v>
      </c>
      <c r="D48" s="558">
        <f>'[24]Sch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513"/>
      <c r="K48" s="513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'[24]Sch C'!D34</f>
        <v>0</v>
      </c>
      <c r="D49" s="558">
        <f>'[24]Sch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513"/>
      <c r="K49" s="513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'[24]Sch C'!D35</f>
        <v>9</v>
      </c>
      <c r="D50" s="558">
        <f>'[24]Sch C'!F35</f>
        <v>-9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513"/>
      <c r="K50" s="513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'[24]Sch C'!D36</f>
        <v>26831</v>
      </c>
      <c r="D51" s="558">
        <f>'[24]Sch C'!F36</f>
        <v>1610.82</v>
      </c>
      <c r="E51" s="171">
        <f t="shared" si="4"/>
        <v>28441.82</v>
      </c>
      <c r="F51" s="171"/>
      <c r="G51" s="171">
        <f t="shared" si="5"/>
        <v>28441.82</v>
      </c>
      <c r="H51" s="172">
        <f t="shared" si="6"/>
        <v>5.934252122254991E-3</v>
      </c>
      <c r="I51" s="336"/>
      <c r="J51" s="482">
        <v>1903.1</v>
      </c>
      <c r="K51" s="482">
        <v>1954.1</v>
      </c>
      <c r="M51" s="359">
        <f t="shared" si="7"/>
        <v>1.2974099078551227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'[24]Sch C'!D37</f>
        <v>0</v>
      </c>
      <c r="D52" s="558">
        <f>'[24]Sch C'!F37</f>
        <v>3718.29</v>
      </c>
      <c r="E52" s="171">
        <f t="shared" si="4"/>
        <v>3718.29</v>
      </c>
      <c r="F52" s="171"/>
      <c r="G52" s="171">
        <f t="shared" si="5"/>
        <v>3718.29</v>
      </c>
      <c r="H52" s="172">
        <f t="shared" si="6"/>
        <v>7.7580373983308763E-4</v>
      </c>
      <c r="I52" s="336"/>
      <c r="J52" s="513"/>
      <c r="K52" s="513"/>
      <c r="M52" s="359">
        <f t="shared" si="7"/>
        <v>0.16961454246875285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'[24]Sch C'!D38</f>
        <v>0</v>
      </c>
      <c r="D53" s="558">
        <f>'[24]Sch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513"/>
      <c r="K53" s="513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'[24]Sch C'!D39</f>
        <v>1019</v>
      </c>
      <c r="D54" s="558">
        <f>'[24]Sch C'!F39</f>
        <v>0</v>
      </c>
      <c r="E54" s="171">
        <f t="shared" si="4"/>
        <v>1019</v>
      </c>
      <c r="F54" s="171"/>
      <c r="G54" s="171">
        <f t="shared" si="5"/>
        <v>1019</v>
      </c>
      <c r="H54" s="172">
        <f t="shared" si="6"/>
        <v>2.1260956269949797E-4</v>
      </c>
      <c r="I54" s="336"/>
      <c r="J54" s="513"/>
      <c r="K54" s="513"/>
      <c r="M54" s="359">
        <f t="shared" si="7"/>
        <v>4.6482985129094059E-2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'[24]Sch C'!D40</f>
        <v>7544</v>
      </c>
      <c r="D55" s="558">
        <f>'[24]Sch C'!F40</f>
        <v>-7544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513"/>
      <c r="K55" s="513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'[24]Sch C'!D41</f>
        <v>0</v>
      </c>
      <c r="D56" s="558">
        <f>'[24]Sch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513"/>
      <c r="K56" s="513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'[24]Sch C'!D42</f>
        <v>8663</v>
      </c>
      <c r="D57" s="558">
        <f>'[24]Sch C'!F42</f>
        <v>0</v>
      </c>
      <c r="E57" s="171">
        <f t="shared" si="4"/>
        <v>8663</v>
      </c>
      <c r="F57" s="171"/>
      <c r="G57" s="171">
        <f t="shared" si="5"/>
        <v>8663</v>
      </c>
      <c r="H57" s="172">
        <f t="shared" si="6"/>
        <v>1.8074942508986762E-3</v>
      </c>
      <c r="I57" s="336"/>
      <c r="J57" s="513"/>
      <c r="K57" s="513"/>
      <c r="M57" s="359">
        <f t="shared" si="7"/>
        <v>0.39517379801113039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'[24]Sch C'!D43</f>
        <v>14506</v>
      </c>
      <c r="D58" s="558">
        <f>'[24]Sch C'!F43</f>
        <v>0</v>
      </c>
      <c r="E58" s="171">
        <f t="shared" si="4"/>
        <v>14506</v>
      </c>
      <c r="F58" s="171"/>
      <c r="G58" s="171">
        <f t="shared" si="5"/>
        <v>14506</v>
      </c>
      <c r="H58" s="172">
        <f t="shared" si="6"/>
        <v>3.0266087502639036E-3</v>
      </c>
      <c r="I58" s="336"/>
      <c r="J58" s="513"/>
      <c r="K58" s="513"/>
      <c r="M58" s="359">
        <f t="shared" si="7"/>
        <v>0.66170969802025359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'[24]Sch C'!D44</f>
        <v>0</v>
      </c>
      <c r="D59" s="558">
        <f>'[24]Sch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513"/>
      <c r="K59" s="513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'[24]Sch C'!D45</f>
        <v>63525</v>
      </c>
      <c r="D60" s="558">
        <f>'[24]Sch C'!F45</f>
        <v>0</v>
      </c>
      <c r="E60" s="171">
        <f t="shared" si="4"/>
        <v>63525</v>
      </c>
      <c r="F60" s="171"/>
      <c r="G60" s="171">
        <f t="shared" si="5"/>
        <v>63525</v>
      </c>
      <c r="H60" s="172">
        <f t="shared" si="6"/>
        <v>1.3254192807149763E-2</v>
      </c>
      <c r="I60" s="348" t="s">
        <v>666</v>
      </c>
      <c r="J60" s="513"/>
      <c r="K60" s="513"/>
      <c r="M60" s="359">
        <f t="shared" si="7"/>
        <v>2.8977739257367028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1795387</v>
      </c>
      <c r="D61" s="558">
        <f>SUM(D25:D60)</f>
        <v>-654956.5</v>
      </c>
      <c r="E61" s="171">
        <f t="shared" ref="E61:F61" si="8">SUM(E25:E60)</f>
        <v>1140430.5</v>
      </c>
      <c r="F61" s="171">
        <f t="shared" si="8"/>
        <v>0</v>
      </c>
      <c r="G61" s="171">
        <f>SUM(G25:G60)</f>
        <v>1140430.5</v>
      </c>
      <c r="H61" s="186">
        <f t="shared" si="6"/>
        <v>0.23794546603942082</v>
      </c>
      <c r="I61" s="338" t="s">
        <v>667</v>
      </c>
      <c r="J61" s="513"/>
      <c r="K61" s="513"/>
      <c r="M61" s="364">
        <f>G61/G$228</f>
        <v>52.02219231821914</v>
      </c>
      <c r="N61" s="359">
        <f>SUMMARY!J64</f>
        <v>53.728790309602623</v>
      </c>
      <c r="O61" s="354">
        <f>M61/N61-1</f>
        <v>-3.1763194025949848E-2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513"/>
      <c r="K62" s="513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513"/>
      <c r="K63" s="513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'[24]Sch C'!D57</f>
        <v>251521</v>
      </c>
      <c r="D64" s="558">
        <f>'[24]Sch C'!F57</f>
        <v>-251521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514"/>
      <c r="K64" s="513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'[24]Sch C'!D58</f>
        <v>0</v>
      </c>
      <c r="D65" s="558">
        <f>'[24]Sch C'!F58</f>
        <v>67363</v>
      </c>
      <c r="E65" s="171">
        <f t="shared" si="9"/>
        <v>67363</v>
      </c>
      <c r="F65" s="171"/>
      <c r="G65" s="171">
        <f t="shared" si="10"/>
        <v>67363</v>
      </c>
      <c r="H65" s="172">
        <f t="shared" si="11"/>
        <v>1.4054973476080748E-2</v>
      </c>
      <c r="I65" s="336"/>
      <c r="J65" s="514"/>
      <c r="K65" s="513"/>
      <c r="M65" s="359">
        <f t="shared" si="12"/>
        <v>3.0728491925919168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'[24]Sch C'!D59</f>
        <v>0</v>
      </c>
      <c r="D66" s="558">
        <f>'[24]Sch C'!F59</f>
        <v>112632</v>
      </c>
      <c r="E66" s="171">
        <f t="shared" si="9"/>
        <v>112632</v>
      </c>
      <c r="F66" s="171"/>
      <c r="G66" s="171">
        <f t="shared" si="10"/>
        <v>112632</v>
      </c>
      <c r="H66" s="172">
        <f t="shared" si="11"/>
        <v>2.3500137650608297E-2</v>
      </c>
      <c r="I66" s="336"/>
      <c r="J66" s="514"/>
      <c r="K66" s="513"/>
      <c r="M66" s="359">
        <f t="shared" si="12"/>
        <v>5.1378523857312288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'[24]Sch C'!D60</f>
        <v>0</v>
      </c>
      <c r="D67" s="558">
        <f>'[24]Sch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515"/>
      <c r="K67" s="513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'[24]Sch C'!D61</f>
        <v>5890</v>
      </c>
      <c r="D68" s="558">
        <f>'[24]Sch C'!F61</f>
        <v>0</v>
      </c>
      <c r="E68" s="171">
        <f t="shared" si="9"/>
        <v>5890</v>
      </c>
      <c r="F68" s="171"/>
      <c r="G68" s="171">
        <f t="shared" si="10"/>
        <v>5890</v>
      </c>
      <c r="H68" s="172">
        <f t="shared" si="11"/>
        <v>1.2289208285574515E-3</v>
      </c>
      <c r="I68" s="336"/>
      <c r="J68" s="515"/>
      <c r="K68" s="513"/>
      <c r="M68" s="359">
        <f t="shared" si="12"/>
        <v>0.26867986497582336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'[24]Sch C'!D62</f>
        <v>0</v>
      </c>
      <c r="D69" s="558">
        <f>'[24]Sch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516"/>
      <c r="K69" s="513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'[24]Sch C'!D63</f>
        <v>0</v>
      </c>
      <c r="D70" s="558">
        <f>'[24]Sch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516"/>
      <c r="K70" s="513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'[24]Sch C'!D64</f>
        <v>0</v>
      </c>
      <c r="D71" s="558">
        <f>'[24]Sch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516"/>
      <c r="K71" s="513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'[24]Sch C'!D65</f>
        <v>6818</v>
      </c>
      <c r="D72" s="558">
        <f>'[24]Sch C'!F65</f>
        <v>0</v>
      </c>
      <c r="E72" s="171">
        <f t="shared" si="9"/>
        <v>6818</v>
      </c>
      <c r="F72" s="171"/>
      <c r="G72" s="171">
        <f t="shared" si="10"/>
        <v>6818</v>
      </c>
      <c r="H72" s="172">
        <f t="shared" si="11"/>
        <v>1.4225436687783878E-3</v>
      </c>
      <c r="I72" s="336"/>
      <c r="J72" s="516"/>
      <c r="K72" s="513"/>
      <c r="M72" s="359">
        <f t="shared" si="12"/>
        <v>0.31101176899917893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'[24]Sch C'!D66</f>
        <v>0</v>
      </c>
      <c r="D73" s="558">
        <f>'[24]Sch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516"/>
      <c r="K73" s="513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'[24]Sch C'!D67</f>
        <v>219476</v>
      </c>
      <c r="D74" s="558">
        <f>'[24]Sch C'!F67</f>
        <v>0</v>
      </c>
      <c r="E74" s="171">
        <f t="shared" si="9"/>
        <v>219476</v>
      </c>
      <c r="F74" s="171"/>
      <c r="G74" s="171">
        <f t="shared" si="10"/>
        <v>219476</v>
      </c>
      <c r="H74" s="172">
        <f t="shared" si="11"/>
        <v>4.5792636293459289E-2</v>
      </c>
      <c r="I74" s="336"/>
      <c r="J74" s="516"/>
      <c r="K74" s="513"/>
      <c r="M74" s="359">
        <f t="shared" si="12"/>
        <v>10.011677766627132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'[24]Sch C'!D68</f>
        <v>0</v>
      </c>
      <c r="D75" s="558">
        <f>'[24]Sch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516"/>
      <c r="K75" s="513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'[24]Sch C'!D69</f>
        <v>0</v>
      </c>
      <c r="D76" s="558">
        <f>'[24]Sch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516"/>
      <c r="K76" s="513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'[24]Sch C'!D70</f>
        <v>0</v>
      </c>
      <c r="D77" s="558">
        <f>'[24]Sch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516"/>
      <c r="K77" s="513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'[24]Sch C'!D71</f>
        <v>0</v>
      </c>
      <c r="D78" s="558">
        <f>'[24]Sch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516"/>
      <c r="K78" s="513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483705</v>
      </c>
      <c r="D79" s="558">
        <f>SUM(D64:D78)</f>
        <v>-71526</v>
      </c>
      <c r="E79" s="171">
        <f t="shared" ref="E79:F79" si="13">SUM(E64:E78)</f>
        <v>412179</v>
      </c>
      <c r="F79" s="171">
        <f t="shared" si="13"/>
        <v>0</v>
      </c>
      <c r="G79" s="171">
        <f>SUM(G64:G78)</f>
        <v>412179</v>
      </c>
      <c r="H79" s="172">
        <f t="shared" si="11"/>
        <v>8.5999211917484178E-2</v>
      </c>
      <c r="I79" s="336"/>
      <c r="J79" s="516"/>
      <c r="K79" s="513"/>
      <c r="M79" s="359">
        <f t="shared" si="12"/>
        <v>18.802070978925279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513"/>
      <c r="K80" s="513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513"/>
      <c r="K81" s="513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'[24]Sch C'!D75</f>
        <v>36577</v>
      </c>
      <c r="D82" s="558">
        <f>'[24]Sch C'!F75</f>
        <v>2195.9299999999998</v>
      </c>
      <c r="E82" s="171">
        <f t="shared" ref="E82:E92" si="14">C82+D82</f>
        <v>38772.93</v>
      </c>
      <c r="F82" s="171"/>
      <c r="G82" s="171">
        <f t="shared" ref="G82:G92" si="15">E82+F82</f>
        <v>38772.93</v>
      </c>
      <c r="H82" s="172">
        <f t="shared" ref="H82:H93" si="16">IF($G$208=0,0,G82/$G$208)</f>
        <v>8.0897896878098594E-3</v>
      </c>
      <c r="I82" s="336"/>
      <c r="J82" s="482">
        <v>1849.26</v>
      </c>
      <c r="K82" s="482">
        <v>1905.26</v>
      </c>
      <c r="M82" s="359">
        <f t="shared" ref="M82:M92" si="17">G82/G$228</f>
        <v>1.7686766718365112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'[24]Sch C'!D76</f>
        <v>0</v>
      </c>
      <c r="D83" s="558">
        <f>'[24]Sch C'!F76</f>
        <v>5068.8999999999996</v>
      </c>
      <c r="E83" s="171">
        <f t="shared" si="14"/>
        <v>5068.8999999999996</v>
      </c>
      <c r="F83" s="171"/>
      <c r="G83" s="171">
        <f t="shared" si="15"/>
        <v>5068.8999999999996</v>
      </c>
      <c r="H83" s="172">
        <f t="shared" si="16"/>
        <v>1.057602171116276E-3</v>
      </c>
      <c r="I83" s="336"/>
      <c r="J83" s="513"/>
      <c r="K83" s="513"/>
      <c r="M83" s="359">
        <f t="shared" si="17"/>
        <v>0.23122434084481341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'[24]Sch C'!D77</f>
        <v>21786</v>
      </c>
      <c r="D84" s="558">
        <f>'[24]Sch C'!F77</f>
        <v>0</v>
      </c>
      <c r="E84" s="171">
        <f t="shared" si="14"/>
        <v>21786</v>
      </c>
      <c r="F84" s="171"/>
      <c r="G84" s="171">
        <f t="shared" si="15"/>
        <v>21786</v>
      </c>
      <c r="H84" s="172">
        <f t="shared" si="16"/>
        <v>4.545546548548835E-3</v>
      </c>
      <c r="I84" s="336"/>
      <c r="J84" s="513"/>
      <c r="K84" s="513"/>
      <c r="M84" s="359">
        <f t="shared" si="17"/>
        <v>0.99379618647933587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'[24]Sch C'!D78</f>
        <v>0</v>
      </c>
      <c r="D85" s="558">
        <f>'[24]Sch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513"/>
      <c r="K85" s="513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'[24]Sch C'!D79</f>
        <v>6894</v>
      </c>
      <c r="D86" s="558">
        <f>'[24]Sch C'!F79</f>
        <v>0</v>
      </c>
      <c r="E86" s="171">
        <f t="shared" si="14"/>
        <v>6894</v>
      </c>
      <c r="F86" s="171"/>
      <c r="G86" s="171">
        <f>E86+F86</f>
        <v>6894</v>
      </c>
      <c r="H86" s="172">
        <f t="shared" si="16"/>
        <v>1.4384007117275162E-3</v>
      </c>
      <c r="I86" s="336"/>
      <c r="J86" s="513"/>
      <c r="K86" s="513"/>
      <c r="M86" s="359">
        <f t="shared" si="17"/>
        <v>0.31447860596660887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'[24]Sch C'!D80</f>
        <v>30584</v>
      </c>
      <c r="D87" s="558">
        <f>'[24]Sch C'!F80</f>
        <v>0</v>
      </c>
      <c r="E87" s="171">
        <f t="shared" si="14"/>
        <v>30584</v>
      </c>
      <c r="F87" s="171"/>
      <c r="G87" s="171">
        <f t="shared" si="15"/>
        <v>30584</v>
      </c>
      <c r="H87" s="172">
        <f t="shared" si="16"/>
        <v>6.38120791521241E-3</v>
      </c>
      <c r="I87" s="336"/>
      <c r="J87" s="513"/>
      <c r="K87" s="513"/>
      <c r="M87" s="359">
        <f t="shared" si="17"/>
        <v>1.3951281817352432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'[24]Sch C'!D81</f>
        <v>4350</v>
      </c>
      <c r="D88" s="558">
        <f>'[24]Sch C'!F81</f>
        <v>0</v>
      </c>
      <c r="E88" s="171">
        <f t="shared" si="14"/>
        <v>4350</v>
      </c>
      <c r="F88" s="171"/>
      <c r="G88" s="171">
        <f t="shared" si="15"/>
        <v>4350</v>
      </c>
      <c r="H88" s="172">
        <f t="shared" si="16"/>
        <v>9.0760706353563904E-4</v>
      </c>
      <c r="I88" s="336"/>
      <c r="J88" s="513"/>
      <c r="K88" s="513"/>
      <c r="M88" s="359">
        <f t="shared" si="17"/>
        <v>0.19843080010947906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'[24]Sch C'!D82</f>
        <v>0</v>
      </c>
      <c r="D89" s="558">
        <f>'[24]Sch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513"/>
      <c r="K89" s="513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'[24]Sch C'!D83</f>
        <v>0</v>
      </c>
      <c r="D90" s="558">
        <f>'[24]Sch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513"/>
      <c r="K90" s="513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'[24]Sch C'!D84</f>
        <v>66292</v>
      </c>
      <c r="D91" s="558">
        <f>'[24]Sch C'!F84</f>
        <v>0</v>
      </c>
      <c r="E91" s="171">
        <f t="shared" si="14"/>
        <v>66292</v>
      </c>
      <c r="F91" s="171"/>
      <c r="G91" s="171">
        <f t="shared" si="15"/>
        <v>66292</v>
      </c>
      <c r="H91" s="172">
        <f t="shared" si="16"/>
        <v>1.3831514357679214E-2</v>
      </c>
      <c r="I91" s="336"/>
      <c r="J91" s="513"/>
      <c r="K91" s="513"/>
      <c r="M91" s="359">
        <f t="shared" si="17"/>
        <v>3.0239941611166863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'[24]Sch C'!D85</f>
        <v>0</v>
      </c>
      <c r="D92" s="558">
        <f>'[24]Sch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513"/>
      <c r="K92" s="513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166483</v>
      </c>
      <c r="D93" s="558">
        <f>SUM(D82:D92)</f>
        <v>7264.83</v>
      </c>
      <c r="E93" s="171">
        <f t="shared" ref="E93:F93" si="18">SUM(E82:E92)</f>
        <v>173747.83000000002</v>
      </c>
      <c r="F93" s="171">
        <f t="shared" si="18"/>
        <v>0</v>
      </c>
      <c r="G93" s="171">
        <f>SUM(G82:G92)</f>
        <v>173747.83000000002</v>
      </c>
      <c r="H93" s="172">
        <f t="shared" si="16"/>
        <v>3.625166845562975E-2</v>
      </c>
      <c r="I93" s="336"/>
      <c r="J93" s="513"/>
      <c r="K93" s="513"/>
      <c r="M93" s="364">
        <f>G93/G$228</f>
        <v>7.925728948088679</v>
      </c>
      <c r="N93" s="359">
        <f>SUMMARY!J96</f>
        <v>11.458724454710746</v>
      </c>
      <c r="O93" s="354">
        <f>M93/N93-1</f>
        <v>-0.30832362891575005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513"/>
      <c r="K94" s="513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513"/>
      <c r="K95" s="513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'[24]Sch C'!D89</f>
        <v>159303</v>
      </c>
      <c r="D96" s="558">
        <f>'[24]Sch C'!F89</f>
        <v>9563.89</v>
      </c>
      <c r="E96" s="171">
        <f t="shared" ref="E96:E101" si="19">C96+D96</f>
        <v>168866.89</v>
      </c>
      <c r="F96" s="171"/>
      <c r="G96" s="171">
        <f t="shared" ref="G96:G101" si="20">E96+F96</f>
        <v>168866.89</v>
      </c>
      <c r="H96" s="172">
        <f t="shared" ref="H96:H102" si="21">IF($G$208=0,0,G96/$G$208)</f>
        <v>3.5233283255470295E-2</v>
      </c>
      <c r="I96" s="336"/>
      <c r="J96" s="482">
        <v>14152.349999999999</v>
      </c>
      <c r="K96" s="482">
        <v>15095.579999999998</v>
      </c>
      <c r="M96" s="364">
        <f t="shared" ref="M96:M101" si="22">G96/G$228</f>
        <v>7.70307864245963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'[24]Sch C'!D90</f>
        <v>0</v>
      </c>
      <c r="D97" s="558">
        <f>'[24]Sch C'!F90</f>
        <v>22076.49</v>
      </c>
      <c r="E97" s="171">
        <f t="shared" si="19"/>
        <v>22076.49</v>
      </c>
      <c r="F97" s="171"/>
      <c r="G97" s="171">
        <f t="shared" si="20"/>
        <v>22076.49</v>
      </c>
      <c r="H97" s="172">
        <f t="shared" si="21"/>
        <v>4.6061559223158398E-3</v>
      </c>
      <c r="I97" s="336"/>
      <c r="J97" s="513"/>
      <c r="K97" s="513"/>
      <c r="M97" s="364">
        <f t="shared" si="22"/>
        <v>1.0070472584618193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'[24]Sch C'!D91</f>
        <v>0</v>
      </c>
      <c r="D98" s="558">
        <f>'[24]Sch C'!F91</f>
        <v>0</v>
      </c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I98" s="336"/>
      <c r="J98" s="513"/>
      <c r="K98" s="513"/>
      <c r="M98" s="364">
        <f t="shared" si="22"/>
        <v>0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'[24]Sch C'!D92</f>
        <v>144639</v>
      </c>
      <c r="D99" s="558">
        <f>'[24]Sch C'!F92</f>
        <v>-4031</v>
      </c>
      <c r="E99" s="171">
        <f t="shared" si="19"/>
        <v>140608</v>
      </c>
      <c r="F99" s="171"/>
      <c r="G99" s="171">
        <f t="shared" si="20"/>
        <v>140608</v>
      </c>
      <c r="H99" s="172">
        <f t="shared" si="21"/>
        <v>2.9337198618303251E-2</v>
      </c>
      <c r="I99" s="336"/>
      <c r="J99" s="513"/>
      <c r="K99" s="513"/>
      <c r="M99" s="364">
        <f t="shared" si="22"/>
        <v>6.4140133199525593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'[24]Sch C'!D93</f>
        <v>17296</v>
      </c>
      <c r="D100" s="558">
        <f>'[24]Sch C'!F93</f>
        <v>0</v>
      </c>
      <c r="E100" s="171">
        <f t="shared" si="19"/>
        <v>17296</v>
      </c>
      <c r="F100" s="171"/>
      <c r="G100" s="171">
        <f t="shared" si="20"/>
        <v>17296</v>
      </c>
      <c r="H100" s="172">
        <f t="shared" si="21"/>
        <v>3.6087291427384857E-3</v>
      </c>
      <c r="I100" s="336"/>
      <c r="J100" s="513"/>
      <c r="K100" s="513"/>
      <c r="M100" s="364">
        <f t="shared" si="22"/>
        <v>0.78897910774564362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'[24]Sch C'!D94</f>
        <v>140</v>
      </c>
      <c r="D101" s="558">
        <f>'[24]Sch C'!F94</f>
        <v>0</v>
      </c>
      <c r="E101" s="171">
        <f t="shared" si="19"/>
        <v>140</v>
      </c>
      <c r="F101" s="171"/>
      <c r="G101" s="171">
        <f t="shared" si="20"/>
        <v>140</v>
      </c>
      <c r="H101" s="172">
        <f t="shared" si="21"/>
        <v>2.9210342274710222E-5</v>
      </c>
      <c r="I101" s="336"/>
      <c r="J101" s="513"/>
      <c r="K101" s="513"/>
      <c r="M101" s="364">
        <f t="shared" si="22"/>
        <v>6.3862786242131191E-3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321378</v>
      </c>
      <c r="D102" s="558">
        <f>SUM(D96:D101)</f>
        <v>27609.38</v>
      </c>
      <c r="E102" s="171">
        <f t="shared" ref="E102:F102" si="23">SUM(E96:E101)</f>
        <v>348987.38</v>
      </c>
      <c r="F102" s="171">
        <f t="shared" si="23"/>
        <v>0</v>
      </c>
      <c r="G102" s="171">
        <f>SUM(G96:G101)</f>
        <v>348987.38</v>
      </c>
      <c r="H102" s="172">
        <f t="shared" si="21"/>
        <v>7.2814577281102577E-2</v>
      </c>
      <c r="I102" s="336"/>
      <c r="J102" s="513"/>
      <c r="K102" s="513"/>
      <c r="M102" s="364">
        <f>G102/G$228</f>
        <v>15.919504607243864</v>
      </c>
      <c r="N102" s="359">
        <f>SUMMARY!J105</f>
        <v>19.901077037785338</v>
      </c>
      <c r="O102" s="354">
        <f>M102/N102-1</f>
        <v>-0.20006818841924134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513"/>
      <c r="K103" s="513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513"/>
      <c r="K104" s="513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'[24]Sch C'!D98</f>
        <v>0</v>
      </c>
      <c r="D105" s="558">
        <f>'[24]Sch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482">
        <v>0</v>
      </c>
      <c r="K105" s="482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'[24]Sch C'!D99</f>
        <v>0</v>
      </c>
      <c r="D106" s="558">
        <f>'[24]Sch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513"/>
      <c r="K106" s="513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'[24]Sch C'!D100</f>
        <v>0</v>
      </c>
      <c r="D107" s="558">
        <f>'[24]Sch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513"/>
      <c r="K107" s="513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'[24]Sch C'!D101</f>
        <v>32796</v>
      </c>
      <c r="D108" s="558">
        <f>'[24]Sch C'!F101</f>
        <v>0</v>
      </c>
      <c r="E108" s="171">
        <f t="shared" si="24"/>
        <v>32796</v>
      </c>
      <c r="F108" s="171"/>
      <c r="G108" s="171">
        <f t="shared" si="25"/>
        <v>32796</v>
      </c>
      <c r="H108" s="172">
        <f t="shared" si="26"/>
        <v>6.8427313231528321E-3</v>
      </c>
      <c r="I108" s="336"/>
      <c r="J108" s="513"/>
      <c r="K108" s="513"/>
      <c r="M108" s="364">
        <f t="shared" si="27"/>
        <v>1.4960313839978103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'[24]Sch C'!D102</f>
        <v>2954</v>
      </c>
      <c r="D109" s="558">
        <f>'[24]Sch C'!F102</f>
        <v>0</v>
      </c>
      <c r="E109" s="171">
        <f t="shared" si="24"/>
        <v>2954</v>
      </c>
      <c r="F109" s="171"/>
      <c r="G109" s="171">
        <f t="shared" si="25"/>
        <v>2954</v>
      </c>
      <c r="H109" s="172">
        <f t="shared" si="26"/>
        <v>6.163382219963857E-4</v>
      </c>
      <c r="I109" s="336"/>
      <c r="J109" s="513"/>
      <c r="K109" s="513"/>
      <c r="M109" s="364">
        <f t="shared" si="27"/>
        <v>0.13475047897089681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'[24]Sch C'!D103</f>
        <v>0</v>
      </c>
      <c r="D110" s="558">
        <f>'[24]Sch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513"/>
      <c r="K110" s="513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35750</v>
      </c>
      <c r="D111" s="558">
        <f>SUM(D105:D110)</f>
        <v>0</v>
      </c>
      <c r="E111" s="171">
        <f t="shared" ref="E111:F111" si="28">SUM(E105:E110)</f>
        <v>35750</v>
      </c>
      <c r="F111" s="171">
        <f t="shared" si="28"/>
        <v>0</v>
      </c>
      <c r="G111" s="171">
        <f>SUM(G105:G110)</f>
        <v>35750</v>
      </c>
      <c r="H111" s="172">
        <f t="shared" si="26"/>
        <v>7.459069545149217E-3</v>
      </c>
      <c r="I111" s="336"/>
      <c r="J111" s="513"/>
      <c r="K111" s="513"/>
      <c r="M111" s="364">
        <f>G111/G$228</f>
        <v>1.6307818629687072</v>
      </c>
      <c r="N111" s="359">
        <f>SUMMARY!J114</f>
        <v>2.4242384372309496</v>
      </c>
      <c r="O111" s="354">
        <f>M111/N111-1</f>
        <v>-0.32730137517683966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513"/>
      <c r="K112" s="513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513"/>
      <c r="K113" s="513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'[24]Sch C'!D115</f>
        <v>0</v>
      </c>
      <c r="D114" s="558">
        <f>'[24]Sch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482">
        <v>0</v>
      </c>
      <c r="K114" s="482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'[24]Sch C'!D116</f>
        <v>0</v>
      </c>
      <c r="D115" s="558">
        <f>'[24]Sch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513"/>
      <c r="K115" s="513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'[24]Sch C'!D117</f>
        <v>18234</v>
      </c>
      <c r="D116" s="558">
        <f>'[24]Sch C'!F117</f>
        <v>0</v>
      </c>
      <c r="E116" s="171">
        <f t="shared" si="29"/>
        <v>18234</v>
      </c>
      <c r="F116" s="171"/>
      <c r="G116" s="171">
        <f>E116+F116</f>
        <v>18234</v>
      </c>
      <c r="H116" s="172">
        <f t="shared" si="30"/>
        <v>3.8044384359790444E-3</v>
      </c>
      <c r="I116" s="336"/>
      <c r="J116" s="513"/>
      <c r="K116" s="513"/>
      <c r="M116" s="364">
        <f t="shared" si="31"/>
        <v>0.83176717452787152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'[24]Sch C'!D118</f>
        <v>75747</v>
      </c>
      <c r="D117" s="558">
        <f>'[24]Sch C'!F118</f>
        <v>0</v>
      </c>
      <c r="E117" s="171">
        <f t="shared" si="29"/>
        <v>75747</v>
      </c>
      <c r="F117" s="171"/>
      <c r="G117" s="171">
        <f>E117+F117</f>
        <v>75747</v>
      </c>
      <c r="H117" s="172">
        <f t="shared" si="30"/>
        <v>1.5804255687731965E-2</v>
      </c>
      <c r="I117" s="336"/>
      <c r="J117" s="513"/>
      <c r="K117" s="513"/>
      <c r="M117" s="364">
        <f t="shared" si="31"/>
        <v>3.4552960496305083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'[24]Sch C'!D119</f>
        <v>0</v>
      </c>
      <c r="D118" s="558">
        <f>'[24]Sch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513"/>
      <c r="K118" s="513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93981</v>
      </c>
      <c r="D119" s="558">
        <f>SUM(D114:D118)</f>
        <v>0</v>
      </c>
      <c r="E119" s="171">
        <f t="shared" ref="E119:F119" si="32">SUM(E114:E118)</f>
        <v>93981</v>
      </c>
      <c r="F119" s="171">
        <f t="shared" si="32"/>
        <v>0</v>
      </c>
      <c r="G119" s="171">
        <f>SUM(G114:G118)</f>
        <v>93981</v>
      </c>
      <c r="H119" s="172">
        <f t="shared" si="30"/>
        <v>1.960869412371101E-2</v>
      </c>
      <c r="I119" s="336"/>
      <c r="J119" s="513"/>
      <c r="K119" s="513"/>
      <c r="M119" s="364">
        <f t="shared" si="31"/>
        <v>4.2870632241583797</v>
      </c>
      <c r="N119" s="359">
        <f>SUMMARY!J122</f>
        <v>6.0247597205909562</v>
      </c>
      <c r="O119" s="354">
        <f>M119/N119-1</f>
        <v>-0.2884258587929428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483"/>
      <c r="K121" s="483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 t="s">
        <v>665</v>
      </c>
      <c r="G122" s="165"/>
      <c r="H122" s="198"/>
      <c r="I122" s="340"/>
      <c r="J122" s="483"/>
      <c r="K122" s="483"/>
      <c r="M122" s="359"/>
      <c r="N122" s="359"/>
      <c r="P122"/>
      <c r="Q122"/>
    </row>
    <row r="123" spans="1:17" s="167" customFormat="1">
      <c r="B123" s="163" t="s">
        <v>232</v>
      </c>
      <c r="C123" s="558">
        <f>'[24]Sch C'!D124</f>
        <v>43200</v>
      </c>
      <c r="D123" s="558">
        <f>'[24]Sch C'!F124</f>
        <v>0</v>
      </c>
      <c r="E123" s="171">
        <f t="shared" ref="E123:E127" si="33">C123+D123</f>
        <v>43200</v>
      </c>
      <c r="F123" s="171">
        <v>-43200</v>
      </c>
      <c r="G123" s="171">
        <f>E123+F123</f>
        <v>0</v>
      </c>
      <c r="H123" s="172">
        <f>IF($G$208=0,0,G123/$G$208)</f>
        <v>0</v>
      </c>
      <c r="I123" s="336"/>
      <c r="J123" s="482">
        <v>0</v>
      </c>
      <c r="K123" s="482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'[24]Sch C'!D125</f>
        <v>215373</v>
      </c>
      <c r="D124" s="558">
        <f>'[24]Sch C'!F125</f>
        <v>12930.1</v>
      </c>
      <c r="E124" s="171">
        <f t="shared" si="33"/>
        <v>228303.1</v>
      </c>
      <c r="F124" s="171"/>
      <c r="G124" s="171">
        <f>E124+F124</f>
        <v>228303.1</v>
      </c>
      <c r="H124" s="172">
        <f>IF($G$208=0,0,G124/$G$208)</f>
        <v>4.7634369238409968E-2</v>
      </c>
      <c r="I124" s="336"/>
      <c r="J124" s="482">
        <v>5913.11</v>
      </c>
      <c r="K124" s="482">
        <v>6315.89</v>
      </c>
      <c r="M124" s="364">
        <f t="shared" si="34"/>
        <v>10.414337195511358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'[24]Sch C'!D126</f>
        <v>0</v>
      </c>
      <c r="D125" s="558">
        <f>'[24]Sch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482">
        <v>0</v>
      </c>
      <c r="K125" s="482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'[24]Sch C'!D127</f>
        <v>0</v>
      </c>
      <c r="D126" s="558">
        <f>'[24]Sch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482">
        <v>0</v>
      </c>
      <c r="K126" s="482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'[24]Sch C'!D128</f>
        <v>34228</v>
      </c>
      <c r="D127" s="558">
        <f>'[24]Sch C'!F128</f>
        <v>2054.91</v>
      </c>
      <c r="E127" s="171">
        <f t="shared" si="33"/>
        <v>36282.910000000003</v>
      </c>
      <c r="F127" s="171"/>
      <c r="G127" s="171">
        <f>E127+F127</f>
        <v>36282.910000000003</v>
      </c>
      <c r="H127" s="172">
        <f>IF($G$208=0,0,G127/$G$208)</f>
        <v>7.5702587130179024E-3</v>
      </c>
      <c r="I127" s="336"/>
      <c r="J127" s="482">
        <v>2062.4</v>
      </c>
      <c r="K127" s="482">
        <v>2288.4499999999998</v>
      </c>
      <c r="M127" s="364">
        <f t="shared" si="34"/>
        <v>1.6550912325517746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517"/>
      <c r="K128" s="51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'[24]Sch C'!D130</f>
        <v>0</v>
      </c>
      <c r="D129" s="558">
        <f>'[24]Sch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483"/>
      <c r="K129" s="483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'[24]Sch C'!D131</f>
        <v>0</v>
      </c>
      <c r="D130" s="558">
        <f>'[24]Sch C'!F131</f>
        <v>29846.76</v>
      </c>
      <c r="E130" s="171">
        <f t="shared" si="35"/>
        <v>29846.76</v>
      </c>
      <c r="F130" s="171"/>
      <c r="G130" s="171">
        <f>E130+F130</f>
        <v>29846.76</v>
      </c>
      <c r="H130" s="172">
        <f>IF($G$208=0,0,G130/$G$208)</f>
        <v>6.2273862527937856E-3</v>
      </c>
      <c r="I130" s="336"/>
      <c r="J130" s="483"/>
      <c r="K130" s="483"/>
      <c r="M130" s="364">
        <f t="shared" si="34"/>
        <v>1.3614980385001367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'[24]Sch C'!D132</f>
        <v>0</v>
      </c>
      <c r="D131" s="558">
        <f>'[24]Sch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513"/>
      <c r="K131" s="513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'[24]Sch C'!D133</f>
        <v>0</v>
      </c>
      <c r="D132" s="558">
        <f>'[24]Sch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513"/>
      <c r="K132" s="513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'[24]Sch C'!D134</f>
        <v>0</v>
      </c>
      <c r="D133" s="558">
        <f>'[24]Sch C'!F134</f>
        <v>4743.38</v>
      </c>
      <c r="E133" s="171">
        <f t="shared" si="35"/>
        <v>4743.38</v>
      </c>
      <c r="F133" s="171"/>
      <c r="G133" s="171">
        <f>E133+F133</f>
        <v>4743.38</v>
      </c>
      <c r="H133" s="172">
        <f>IF($G$208=0,0,G133/$G$208)</f>
        <v>9.8968395242153562E-4</v>
      </c>
      <c r="I133" s="336"/>
      <c r="J133" s="513"/>
      <c r="K133" s="513"/>
      <c r="M133" s="364">
        <f t="shared" si="34"/>
        <v>0.21637533071800019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483"/>
      <c r="K134" s="483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'[24]Sch C'!D136</f>
        <v>387653</v>
      </c>
      <c r="D135" s="558">
        <f>'[24]Sch C'!F136</f>
        <v>23273.08</v>
      </c>
      <c r="E135" s="171">
        <f t="shared" ref="E135:E138" si="36">C135+D135</f>
        <v>410926.08000000002</v>
      </c>
      <c r="F135" s="171"/>
      <c r="G135" s="171">
        <f>E135+F135</f>
        <v>410926.08000000002</v>
      </c>
      <c r="H135" s="172">
        <f>IF($G$208=0,0,G135/$G$208)</f>
        <v>8.5737796045749673E-2</v>
      </c>
      <c r="I135" s="336"/>
      <c r="J135" s="482">
        <v>13716.949999999999</v>
      </c>
      <c r="K135" s="482">
        <v>14089.77</v>
      </c>
      <c r="M135" s="364">
        <f t="shared" si="34"/>
        <v>18.744917434540646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'[24]Sch C'!D137</f>
        <v>135503</v>
      </c>
      <c r="D136" s="558">
        <f>'[24]Sch C'!F137</f>
        <v>8135.04</v>
      </c>
      <c r="E136" s="171">
        <f t="shared" si="36"/>
        <v>143638.04</v>
      </c>
      <c r="F136" s="171"/>
      <c r="G136" s="171">
        <f>E136+F136</f>
        <v>143638.04</v>
      </c>
      <c r="H136" s="172">
        <f>IF($G$208=0,0,G136/$G$208)</f>
        <v>2.9969402229060842E-2</v>
      </c>
      <c r="I136" s="336"/>
      <c r="J136" s="482">
        <v>5268.2999999999993</v>
      </c>
      <c r="K136" s="482">
        <v>5614.16</v>
      </c>
      <c r="M136" s="364">
        <f t="shared" si="34"/>
        <v>6.552232460541922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'[24]Sch C'!D138</f>
        <v>605176</v>
      </c>
      <c r="D137" s="558">
        <f>'[24]Sch C'!F138</f>
        <v>36332.269999999997</v>
      </c>
      <c r="E137" s="171">
        <f t="shared" si="36"/>
        <v>641508.27</v>
      </c>
      <c r="F137" s="171"/>
      <c r="G137" s="171">
        <f>E137+F137</f>
        <v>641508.27</v>
      </c>
      <c r="H137" s="172">
        <f>IF($G$208=0,0,G137/$G$208)</f>
        <v>0.13384768670540872</v>
      </c>
      <c r="I137" s="336"/>
      <c r="J137" s="482">
        <v>45715.750000000007</v>
      </c>
      <c r="K137" s="482">
        <v>48274.75</v>
      </c>
      <c r="M137" s="364">
        <f t="shared" si="34"/>
        <v>29.263218228263845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'[24]Sch C'!D139</f>
        <v>0</v>
      </c>
      <c r="D138" s="558">
        <f>'[24]Sch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482">
        <v>0</v>
      </c>
      <c r="K138" s="482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518"/>
      <c r="K139" s="51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'[24]Sch C'!D141</f>
        <v>0</v>
      </c>
      <c r="D140" s="558">
        <f>'[24]Sch C'!F141</f>
        <v>53721.63</v>
      </c>
      <c r="E140" s="171">
        <f t="shared" ref="E140:E143" si="37">C140+D140</f>
        <v>53721.63</v>
      </c>
      <c r="F140" s="171"/>
      <c r="G140" s="171">
        <f>E140+F140</f>
        <v>53721.63</v>
      </c>
      <c r="H140" s="172">
        <f>IF($G$208=0,0,G140/$G$208)</f>
        <v>1.1208765713252435E-2</v>
      </c>
      <c r="I140" s="336"/>
      <c r="J140" s="513"/>
      <c r="K140" s="513"/>
      <c r="M140" s="364">
        <f t="shared" si="34"/>
        <v>2.4505806951920444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'[24]Sch C'!D142</f>
        <v>0</v>
      </c>
      <c r="D141" s="558">
        <f>'[24]Sch C'!F142</f>
        <v>18778.240000000002</v>
      </c>
      <c r="E141" s="171">
        <f t="shared" si="37"/>
        <v>18778.240000000002</v>
      </c>
      <c r="F141" s="171"/>
      <c r="G141" s="171">
        <f>E141+F141</f>
        <v>18778.240000000002</v>
      </c>
      <c r="H141" s="172">
        <f>IF($G$208=0,0,G141/$G$208)</f>
        <v>3.9179915551189612E-3</v>
      </c>
      <c r="I141" s="336"/>
      <c r="J141" s="513"/>
      <c r="K141" s="513"/>
      <c r="M141" s="364">
        <f t="shared" si="34"/>
        <v>0.85659337651674128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'[24]Sch C'!D143</f>
        <v>0</v>
      </c>
      <c r="D142" s="558">
        <f>'[24]Sch C'!F143</f>
        <v>83866.350000000006</v>
      </c>
      <c r="E142" s="171">
        <f t="shared" si="37"/>
        <v>83866.350000000006</v>
      </c>
      <c r="F142" s="171"/>
      <c r="G142" s="171">
        <f>E142+F142</f>
        <v>83866.350000000006</v>
      </c>
      <c r="H142" s="172">
        <f>IF($G$208=0,0,G142/$G$208)</f>
        <v>1.7498319920218885E-2</v>
      </c>
      <c r="I142" s="336"/>
      <c r="J142" s="513"/>
      <c r="K142" s="513"/>
      <c r="M142" s="364">
        <f t="shared" si="34"/>
        <v>3.8256705592555424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'[24]Sch C'!D144</f>
        <v>0</v>
      </c>
      <c r="D143" s="558">
        <f>'[24]Sch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513"/>
      <c r="K143" s="513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 t="s">
        <v>662</v>
      </c>
      <c r="G144" s="196"/>
      <c r="H144" s="197"/>
      <c r="I144" s="336"/>
      <c r="J144" s="483"/>
      <c r="K144" s="483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'[24]Sch C'!D146</f>
        <v>0</v>
      </c>
      <c r="D145" s="558">
        <f>'[24]Sch C'!F146</f>
        <v>0</v>
      </c>
      <c r="E145" s="171">
        <f t="shared" ref="E145:E153" si="38">C145+D145</f>
        <v>0</v>
      </c>
      <c r="F145" s="564">
        <v>43200</v>
      </c>
      <c r="G145" s="171">
        <f t="shared" ref="G145:G153" si="39">E145+F145</f>
        <v>43200</v>
      </c>
      <c r="H145" s="172">
        <f t="shared" ref="H145:H153" si="40">IF($G$208=0,0,G145/$G$208)</f>
        <v>9.0134770447677249E-3</v>
      </c>
      <c r="I145" s="336"/>
      <c r="J145" s="482">
        <v>0</v>
      </c>
      <c r="K145" s="482">
        <v>0</v>
      </c>
      <c r="M145" s="364">
        <f t="shared" si="34"/>
        <v>1.9706231183286196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'[24]Sch C'!D147</f>
        <v>30639</v>
      </c>
      <c r="D146" s="558">
        <f>'[24]Sch C'!F147</f>
        <v>0</v>
      </c>
      <c r="E146" s="171">
        <f t="shared" si="38"/>
        <v>30639</v>
      </c>
      <c r="F146" s="171"/>
      <c r="G146" s="171">
        <f t="shared" si="39"/>
        <v>30639</v>
      </c>
      <c r="H146" s="172">
        <f t="shared" si="40"/>
        <v>6.3926834068203323E-3</v>
      </c>
      <c r="I146" s="336"/>
      <c r="J146" s="482">
        <v>566</v>
      </c>
      <c r="K146" s="482">
        <v>566</v>
      </c>
      <c r="M146" s="364">
        <f t="shared" si="34"/>
        <v>1.3976370769090412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'[24]Sch C'!D148</f>
        <v>25484</v>
      </c>
      <c r="D147" s="558">
        <f>'[24]Sch C'!F148</f>
        <v>0</v>
      </c>
      <c r="E147" s="171">
        <f t="shared" si="38"/>
        <v>25484</v>
      </c>
      <c r="F147" s="171"/>
      <c r="G147" s="171">
        <f t="shared" si="39"/>
        <v>25484</v>
      </c>
      <c r="H147" s="172">
        <f t="shared" si="40"/>
        <v>5.3171168752051091E-3</v>
      </c>
      <c r="I147" s="336"/>
      <c r="J147" s="482">
        <v>677</v>
      </c>
      <c r="K147" s="482">
        <v>677</v>
      </c>
      <c r="M147" s="364">
        <f t="shared" si="34"/>
        <v>1.1624851747103366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'[24]Sch C'!D149</f>
        <v>10958</v>
      </c>
      <c r="D148" s="558">
        <f>'[24]Sch C'!F149</f>
        <v>0</v>
      </c>
      <c r="E148" s="171">
        <f t="shared" si="38"/>
        <v>10958</v>
      </c>
      <c r="F148" s="171"/>
      <c r="G148" s="171">
        <f t="shared" si="39"/>
        <v>10958</v>
      </c>
      <c r="H148" s="172">
        <f t="shared" si="40"/>
        <v>2.2863352189019617E-3</v>
      </c>
      <c r="I148" s="336"/>
      <c r="J148" s="482">
        <v>502</v>
      </c>
      <c r="K148" s="482">
        <v>502</v>
      </c>
      <c r="M148" s="364">
        <f t="shared" si="34"/>
        <v>0.49986315117233832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'[24]Sch C'!D150</f>
        <v>6175</v>
      </c>
      <c r="D149" s="558">
        <f>'[24]Sch C'!F150</f>
        <v>0</v>
      </c>
      <c r="E149" s="171">
        <f t="shared" si="38"/>
        <v>6175</v>
      </c>
      <c r="F149" s="171"/>
      <c r="G149" s="171">
        <f t="shared" si="39"/>
        <v>6175</v>
      </c>
      <c r="H149" s="172">
        <f t="shared" si="40"/>
        <v>1.2883847396166831E-3</v>
      </c>
      <c r="I149" s="336"/>
      <c r="J149" s="482">
        <v>0</v>
      </c>
      <c r="K149" s="482">
        <v>0</v>
      </c>
      <c r="M149" s="364">
        <f t="shared" si="34"/>
        <v>0.28168050360368579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'[24]Sch C'!D151</f>
        <v>138388</v>
      </c>
      <c r="D150" s="558">
        <f>'[24]Sch C'!F151</f>
        <v>0</v>
      </c>
      <c r="E150" s="171">
        <f t="shared" si="38"/>
        <v>138388</v>
      </c>
      <c r="F150" s="171"/>
      <c r="G150" s="171">
        <f t="shared" si="39"/>
        <v>138388</v>
      </c>
      <c r="H150" s="172">
        <f t="shared" si="40"/>
        <v>2.887400604794713E-2</v>
      </c>
      <c r="I150" s="336"/>
      <c r="J150" s="513"/>
      <c r="K150" s="513"/>
      <c r="M150" s="364">
        <f t="shared" si="34"/>
        <v>6.3127451874828937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'[24]Sch C'!D152</f>
        <v>0</v>
      </c>
      <c r="D151" s="558">
        <f>'[24]Sch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6"/>
      <c r="J151" s="513"/>
      <c r="K151" s="513"/>
      <c r="M151" s="364">
        <f t="shared" si="34"/>
        <v>0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'[24]Sch C'!D153</f>
        <v>4430</v>
      </c>
      <c r="D152" s="558">
        <f>'[24]Sch C'!F153</f>
        <v>0</v>
      </c>
      <c r="E152" s="171">
        <f t="shared" si="38"/>
        <v>4430</v>
      </c>
      <c r="F152" s="171"/>
      <c r="G152" s="171">
        <f t="shared" si="39"/>
        <v>4430</v>
      </c>
      <c r="H152" s="172">
        <f t="shared" si="40"/>
        <v>9.2429868769261633E-4</v>
      </c>
      <c r="I152" s="336"/>
      <c r="J152" s="513"/>
      <c r="K152" s="513"/>
      <c r="M152" s="364">
        <f t="shared" si="34"/>
        <v>0.20208010218045799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'[24]Sch C'!D154</f>
        <v>0</v>
      </c>
      <c r="D153" s="558">
        <f>'[24]Sch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513"/>
      <c r="K153" s="513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513"/>
      <c r="K154" s="513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'[24]Sch C'!D156</f>
        <v>0</v>
      </c>
      <c r="D155" s="558">
        <f>'[24]Sch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513"/>
      <c r="K155" s="513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'[24]Sch C'!D157</f>
        <v>0</v>
      </c>
      <c r="D156" s="558">
        <f>'[24]Sch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513"/>
      <c r="K156" s="513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'[24]Sch C'!D158</f>
        <v>0</v>
      </c>
      <c r="D157" s="558">
        <f>'[24]Sch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513"/>
      <c r="K157" s="513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'[24]Sch C'!D159</f>
        <v>0</v>
      </c>
      <c r="D158" s="558">
        <f>'[24]Sch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513"/>
      <c r="K158" s="513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'[24]Sch C'!D160</f>
        <v>0</v>
      </c>
      <c r="D159" s="558">
        <f>'[24]Sch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513"/>
      <c r="K159" s="513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'[24]Sch C'!D161</f>
        <v>3755</v>
      </c>
      <c r="D160" s="558">
        <f>'[24]Sch C'!F161</f>
        <v>0</v>
      </c>
      <c r="E160" s="171">
        <f t="shared" si="41"/>
        <v>3755</v>
      </c>
      <c r="F160" s="171"/>
      <c r="G160" s="171">
        <f t="shared" si="42"/>
        <v>3755</v>
      </c>
      <c r="H160" s="172">
        <f t="shared" si="43"/>
        <v>7.8346310886812055E-4</v>
      </c>
      <c r="I160" s="336"/>
      <c r="J160" s="513"/>
      <c r="K160" s="513"/>
      <c r="M160" s="364">
        <f t="shared" si="34"/>
        <v>0.17128911595657331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1640962</v>
      </c>
      <c r="D161" s="558">
        <f>SUM(D123:D160)</f>
        <v>273681.76</v>
      </c>
      <c r="E161" s="171">
        <f t="shared" ref="E161:F161" si="44">SUM(E123:E160)</f>
        <v>1914643.76</v>
      </c>
      <c r="F161" s="171">
        <f t="shared" si="44"/>
        <v>0</v>
      </c>
      <c r="G161" s="171">
        <f>SUM(G123:G160)</f>
        <v>1914643.76</v>
      </c>
      <c r="H161" s="172">
        <f t="shared" si="43"/>
        <v>0.39948142545527238</v>
      </c>
      <c r="I161" s="336"/>
      <c r="J161" s="513"/>
      <c r="K161" s="513"/>
      <c r="M161" s="364">
        <f>G161/G$228</f>
        <v>87.33891798193595</v>
      </c>
      <c r="N161" s="359">
        <f>SUMMARY!J164</f>
        <v>105.56901037202306</v>
      </c>
      <c r="O161" s="354">
        <f>M161/N161-1</f>
        <v>-0.17268412695965063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513"/>
      <c r="K162" s="513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513"/>
      <c r="K163" s="513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'[24]Sch C'!D175</f>
        <v>0</v>
      </c>
      <c r="D164" s="558">
        <f>'[24]Sch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482">
        <v>0</v>
      </c>
      <c r="K164" s="482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'[24]Sch C'!D176</f>
        <v>0</v>
      </c>
      <c r="D165" s="558">
        <f>'[24]Sch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519"/>
      <c r="K165" s="519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'[24]Sch C'!D177</f>
        <v>0</v>
      </c>
      <c r="D166" s="558">
        <f>'[24]Sch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482">
        <v>0</v>
      </c>
      <c r="K166" s="482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'[24]Sch C'!D178</f>
        <v>0</v>
      </c>
      <c r="D167" s="558">
        <f>'[24]Sch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519"/>
      <c r="K167" s="519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'[24]Sch C'!D179</f>
        <v>0</v>
      </c>
      <c r="D168" s="558">
        <f>'[24]Sch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482">
        <v>0</v>
      </c>
      <c r="K168" s="482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'[24]Sch C'!D180</f>
        <v>0</v>
      </c>
      <c r="D169" s="558">
        <f>'[24]Sch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519"/>
      <c r="K169" s="519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'[24]Sch C'!D181</f>
        <v>0</v>
      </c>
      <c r="D170" s="558">
        <f>'[24]Sch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482">
        <v>0</v>
      </c>
      <c r="K170" s="482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'[24]Sch C'!D182</f>
        <v>0</v>
      </c>
      <c r="D171" s="558">
        <f>'[24]Sch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519"/>
      <c r="K171" s="519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'[24]Sch C'!D183</f>
        <v>0</v>
      </c>
      <c r="D172" s="558">
        <f>'[24]Sch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482">
        <v>0</v>
      </c>
      <c r="K172" s="482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'[24]Sch C'!D184</f>
        <v>0</v>
      </c>
      <c r="D173" s="558">
        <f>'[24]Sch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519"/>
      <c r="K173" s="519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'[24]Sch C'!D185</f>
        <v>0</v>
      </c>
      <c r="D174" s="558">
        <f>'[24]Sch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482">
        <v>0</v>
      </c>
      <c r="K174" s="482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'[24]Sch C'!D186</f>
        <v>0</v>
      </c>
      <c r="D175" s="558">
        <f>'[24]Sch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520"/>
      <c r="K175" s="521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'[24]Sch C'!D187</f>
        <v>0</v>
      </c>
      <c r="D176" s="558">
        <f>'[24]Sch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520"/>
      <c r="K176" s="521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'[24]Sch C'!D188</f>
        <v>297</v>
      </c>
      <c r="D177" s="558">
        <f>'[24]Sch C'!F188</f>
        <v>0</v>
      </c>
      <c r="E177" s="171">
        <f t="shared" si="45"/>
        <v>297</v>
      </c>
      <c r="F177" s="216"/>
      <c r="G177" s="171">
        <f t="shared" si="46"/>
        <v>297</v>
      </c>
      <c r="H177" s="172">
        <f t="shared" si="47"/>
        <v>6.1967654682778108E-5</v>
      </c>
      <c r="I177" s="336"/>
      <c r="J177" s="520"/>
      <c r="K177" s="521"/>
      <c r="L177" s="220"/>
      <c r="M177" s="364">
        <f t="shared" si="48"/>
        <v>1.3548033938509261E-2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'[24]Sch C'!D189</f>
        <v>0</v>
      </c>
      <c r="D178" s="558">
        <f>'[24]Sch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520"/>
      <c r="K178" s="521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'[24]Sch C'!D190</f>
        <v>0</v>
      </c>
      <c r="D179" s="558">
        <f>'[24]Sch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520"/>
      <c r="K179" s="521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'[24]Sch C'!D191</f>
        <v>0</v>
      </c>
      <c r="D180" s="558">
        <f>'[24]Sch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520"/>
      <c r="K180" s="521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'[24]Sch C'!D192</f>
        <v>0</v>
      </c>
      <c r="D181" s="558">
        <f>'[24]Sch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520"/>
      <c r="K181" s="521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'[24]Sch C'!D193</f>
        <v>0</v>
      </c>
      <c r="D182" s="558">
        <f>'[24]Sch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520"/>
      <c r="K182" s="521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'[24]Sch C'!D194</f>
        <v>216485</v>
      </c>
      <c r="D183" s="558">
        <f>'[24]Sch C'!F194</f>
        <v>0</v>
      </c>
      <c r="E183" s="171">
        <f t="shared" si="45"/>
        <v>216485</v>
      </c>
      <c r="F183" s="216"/>
      <c r="G183" s="171">
        <f t="shared" si="46"/>
        <v>216485</v>
      </c>
      <c r="H183" s="172">
        <f t="shared" si="47"/>
        <v>4.5168578195290306E-2</v>
      </c>
      <c r="I183" s="336"/>
      <c r="J183" s="520"/>
      <c r="K183" s="521"/>
      <c r="M183" s="364">
        <f t="shared" si="48"/>
        <v>9.8752394854484074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'[24]Sch C'!D195</f>
        <v>32025</v>
      </c>
      <c r="D184" s="558">
        <f>'[24]Sch C'!F195</f>
        <v>0</v>
      </c>
      <c r="E184" s="171">
        <f t="shared" si="45"/>
        <v>32025</v>
      </c>
      <c r="F184" s="216"/>
      <c r="G184" s="171">
        <f t="shared" si="46"/>
        <v>32025</v>
      </c>
      <c r="H184" s="172">
        <f t="shared" si="47"/>
        <v>6.6818657953399635E-3</v>
      </c>
      <c r="I184" s="336"/>
      <c r="J184" s="520"/>
      <c r="K184" s="521"/>
      <c r="M184" s="364">
        <f t="shared" si="48"/>
        <v>1.4608612352887511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'[24]Sch C'!D196</f>
        <v>0</v>
      </c>
      <c r="D185" s="558">
        <f>'[24]Sch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520"/>
      <c r="K185" s="521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'[24]Sch C'!D197</f>
        <v>110213</v>
      </c>
      <c r="D186" s="558">
        <f>'[24]Sch C'!F197</f>
        <v>0</v>
      </c>
      <c r="E186" s="171">
        <f t="shared" si="45"/>
        <v>110213</v>
      </c>
      <c r="F186" s="216"/>
      <c r="G186" s="171">
        <f t="shared" si="46"/>
        <v>110213</v>
      </c>
      <c r="H186" s="172">
        <f t="shared" si="47"/>
        <v>2.2995424665161697E-2</v>
      </c>
      <c r="I186" s="336"/>
      <c r="J186" s="520"/>
      <c r="K186" s="521"/>
      <c r="M186" s="364">
        <f t="shared" si="48"/>
        <v>5.0275066143600036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'[24]Sch C'!D198</f>
        <v>27273</v>
      </c>
      <c r="D187" s="558">
        <f>'[24]Sch C'!F198</f>
        <v>0</v>
      </c>
      <c r="E187" s="171">
        <f t="shared" si="45"/>
        <v>27273</v>
      </c>
      <c r="F187" s="216"/>
      <c r="G187" s="171">
        <f t="shared" si="46"/>
        <v>27273</v>
      </c>
      <c r="H187" s="172">
        <f t="shared" si="47"/>
        <v>5.6903833204155138E-3</v>
      </c>
      <c r="I187" s="336"/>
      <c r="J187" s="520"/>
      <c r="K187" s="521"/>
      <c r="M187" s="364">
        <f t="shared" si="48"/>
        <v>1.2440926922726028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'[24]Sch C'!D199</f>
        <v>0</v>
      </c>
      <c r="D188" s="558">
        <f>'[24]Sch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520"/>
      <c r="K188" s="521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'[24]Sch C'!D200</f>
        <v>0</v>
      </c>
      <c r="D189" s="558">
        <f>'[24]Sch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520"/>
      <c r="K189" s="521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'[24]Sch C'!D201</f>
        <v>0</v>
      </c>
      <c r="D190" s="558">
        <f>'[24]Sch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520"/>
      <c r="K190" s="521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'[24]Sch C'!D202</f>
        <v>0</v>
      </c>
      <c r="D191" s="558">
        <f>'[24]Sch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520"/>
      <c r="K191" s="521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'[24]Sch C'!D203</f>
        <v>0</v>
      </c>
      <c r="D192" s="558">
        <f>'[24]Sch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520"/>
      <c r="K192" s="521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'[24]Sch C'!D204</f>
        <v>0</v>
      </c>
      <c r="D193" s="558">
        <f>'[24]Sch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520"/>
      <c r="K193" s="521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'[24]Sch C'!D205</f>
        <v>192672</v>
      </c>
      <c r="D194" s="558">
        <f>'[24]Sch C'!F205</f>
        <v>0</v>
      </c>
      <c r="E194" s="171">
        <f t="shared" si="45"/>
        <v>192672</v>
      </c>
      <c r="F194" s="216"/>
      <c r="G194" s="171">
        <f t="shared" si="46"/>
        <v>192672</v>
      </c>
      <c r="H194" s="172">
        <f t="shared" si="47"/>
        <v>4.0200107619664055E-2</v>
      </c>
      <c r="I194" s="336"/>
      <c r="J194" s="520"/>
      <c r="K194" s="521"/>
      <c r="M194" s="364">
        <f t="shared" si="48"/>
        <v>8.7889791077456429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'[24]Sch C'!D206</f>
        <v>0</v>
      </c>
      <c r="D195" s="558">
        <f>'[24]Sch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520"/>
      <c r="K195" s="521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'[24]Sch C'!D207</f>
        <v>0</v>
      </c>
      <c r="D196" s="558">
        <f>'[24]Sch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520"/>
      <c r="K196" s="521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578965</v>
      </c>
      <c r="D197" s="558">
        <f>SUM(D164:D196)</f>
        <v>0</v>
      </c>
      <c r="E197" s="171">
        <f t="shared" ref="E197:F197" si="49">SUM(E164:E196)</f>
        <v>578965</v>
      </c>
      <c r="F197" s="171">
        <f t="shared" si="49"/>
        <v>0</v>
      </c>
      <c r="G197" s="171">
        <f>SUM(G164:G196)</f>
        <v>578965</v>
      </c>
      <c r="H197" s="172">
        <f>IF($G$208=0,0,G197/$G$208)</f>
        <v>0.12079832725055431</v>
      </c>
      <c r="I197" s="336"/>
      <c r="J197" s="513"/>
      <c r="K197" s="513"/>
      <c r="M197" s="364">
        <f>G197/G$228</f>
        <v>26.410227169053918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513"/>
      <c r="K198" s="513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513"/>
      <c r="K199" s="513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'[24]Sch C'!D211</f>
        <v>135922</v>
      </c>
      <c r="D200" s="558">
        <f>'[24]Sch C'!F211</f>
        <v>-61179.57</v>
      </c>
      <c r="E200" s="171">
        <f t="shared" ref="E200:E205" si="50">C200+D200</f>
        <v>74742.429999999993</v>
      </c>
      <c r="F200" s="171"/>
      <c r="G200" s="171">
        <f t="shared" ref="G200:G205" si="51">E200+F200</f>
        <v>74742.429999999993</v>
      </c>
      <c r="H200" s="172">
        <f t="shared" ref="H200:H206" si="52">IF($G$208=0,0,G200/$G$208)</f>
        <v>1.5594656876739782E-2</v>
      </c>
      <c r="I200" s="336"/>
      <c r="J200" s="482">
        <v>6582.13</v>
      </c>
      <c r="K200" s="482">
        <v>7017.0599999999995</v>
      </c>
      <c r="M200" s="364">
        <f t="shared" ref="M200:M205" si="53">G200/G$228</f>
        <v>3.4094713073624665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'[24]Sch C'!D212</f>
        <v>0</v>
      </c>
      <c r="D201" s="558">
        <f>'[24]Sch C'!F212</f>
        <v>9772.09</v>
      </c>
      <c r="E201" s="171">
        <f t="shared" si="50"/>
        <v>9772.09</v>
      </c>
      <c r="F201" s="171"/>
      <c r="G201" s="171">
        <f t="shared" si="51"/>
        <v>9772.09</v>
      </c>
      <c r="H201" s="172">
        <f t="shared" si="52"/>
        <v>2.0389006688519501E-3</v>
      </c>
      <c r="I201" s="336"/>
      <c r="J201" s="513"/>
      <c r="K201" s="513"/>
      <c r="M201" s="364">
        <f t="shared" si="53"/>
        <v>0.44576635343490556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'[24]Sch C'!D213</f>
        <v>5346</v>
      </c>
      <c r="D202" s="558">
        <f>'[24]Sch C'!F213</f>
        <v>0</v>
      </c>
      <c r="E202" s="171">
        <f t="shared" si="50"/>
        <v>5346</v>
      </c>
      <c r="F202" s="171"/>
      <c r="G202" s="171">
        <f t="shared" si="51"/>
        <v>5346</v>
      </c>
      <c r="H202" s="172">
        <f t="shared" si="52"/>
        <v>1.115417784290006E-3</v>
      </c>
      <c r="I202" s="336"/>
      <c r="J202" s="513"/>
      <c r="K202" s="513"/>
      <c r="M202" s="364">
        <f t="shared" si="53"/>
        <v>0.24386461089316669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'[24]Sch C'!D214</f>
        <v>0</v>
      </c>
      <c r="D203" s="558">
        <f>'[24]Sch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513"/>
      <c r="K203" s="513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'[24]Sch C'!D215</f>
        <v>0</v>
      </c>
      <c r="D204" s="558">
        <f>'[24]Sch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513"/>
      <c r="K204" s="513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'[24]Sch C'!D216</f>
        <v>8889</v>
      </c>
      <c r="D205" s="558">
        <f>'[24]Sch C'!F216</f>
        <v>-4611</v>
      </c>
      <c r="E205" s="171">
        <f t="shared" si="50"/>
        <v>4278</v>
      </c>
      <c r="F205" s="171"/>
      <c r="G205" s="171">
        <f t="shared" si="51"/>
        <v>4278</v>
      </c>
      <c r="H205" s="172">
        <f t="shared" si="52"/>
        <v>8.9258460179435955E-4</v>
      </c>
      <c r="I205" s="336"/>
      <c r="J205" s="513"/>
      <c r="K205" s="513"/>
      <c r="M205" s="364">
        <f t="shared" si="53"/>
        <v>0.19514642824559802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150157</v>
      </c>
      <c r="D206" s="558">
        <f>SUM(D200:D205)</f>
        <v>-56018.479999999996</v>
      </c>
      <c r="E206" s="171">
        <f t="shared" ref="E206:F206" si="54">SUM(E200:E205)</f>
        <v>94138.51999999999</v>
      </c>
      <c r="F206" s="171">
        <f t="shared" si="54"/>
        <v>0</v>
      </c>
      <c r="G206" s="171">
        <f>SUM(G200:G205)</f>
        <v>94138.51999999999</v>
      </c>
      <c r="H206" s="172">
        <f t="shared" si="52"/>
        <v>1.9641559931676097E-2</v>
      </c>
      <c r="I206" s="336"/>
      <c r="J206" s="513"/>
      <c r="K206" s="513"/>
      <c r="M206" s="364">
        <f>G206/G$228</f>
        <v>4.2942486999361371</v>
      </c>
      <c r="N206" s="359">
        <f>SUMMARY!J209</f>
        <v>7.1515095990067339</v>
      </c>
      <c r="O206" s="354">
        <f>M206/N206-1</f>
        <v>-0.39953255456266734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5266768</v>
      </c>
      <c r="D208" s="558">
        <f>SUM(D25:D206)/2</f>
        <v>-473945.01000000013</v>
      </c>
      <c r="E208" s="171">
        <f t="shared" ref="E208:F208" si="55">SUM(E25:E206)/2</f>
        <v>4792822.9899999984</v>
      </c>
      <c r="F208" s="171">
        <f t="shared" si="55"/>
        <v>0</v>
      </c>
      <c r="G208" s="171">
        <f>SUM(G25:G206)/2</f>
        <v>4792822.9899999984</v>
      </c>
      <c r="H208" s="172">
        <f>IF($G$208=0,0,G208/$G$208)</f>
        <v>1</v>
      </c>
      <c r="I208" s="336"/>
      <c r="J208" s="183">
        <f>SUM(J25:J200)</f>
        <v>104925.56</v>
      </c>
      <c r="K208" s="183">
        <f>SUM(K25:K200)</f>
        <v>110867.12</v>
      </c>
      <c r="M208" s="364">
        <f>G208/G$228</f>
        <v>218.63073579053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-1.7280989268530418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'[24]Sch C'!D221</f>
        <v>5266768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-394469</v>
      </c>
      <c r="D215" s="558">
        <f>D21-D208</f>
        <v>469914.01000000013</v>
      </c>
      <c r="E215" s="171">
        <f t="shared" ref="E215:F215" si="56">E21-E208</f>
        <v>75445.010000001639</v>
      </c>
      <c r="F215" s="171">
        <f t="shared" si="56"/>
        <v>0</v>
      </c>
      <c r="G215" s="171">
        <f>G21-G208</f>
        <v>75445.010000001639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'[24]Sch D'!C9</f>
        <v>13950</v>
      </c>
      <c r="D219" s="592"/>
      <c r="E219" s="235">
        <f t="shared" ref="E219:G227" si="57">C219+D219</f>
        <v>13950</v>
      </c>
      <c r="F219" s="234"/>
      <c r="G219" s="235">
        <f t="shared" si="57"/>
        <v>13950</v>
      </c>
      <c r="H219" s="172">
        <f t="shared" ref="H219:H228" si="58">IF($G$228=0,0,G219/$G$228)</f>
        <v>0.63634704862695013</v>
      </c>
      <c r="I219" s="336"/>
      <c r="J219" s="168"/>
      <c r="K219" s="168"/>
    </row>
    <row r="220" spans="1:17">
      <c r="A220" s="163"/>
      <c r="B220" s="170" t="s">
        <v>217</v>
      </c>
      <c r="C220" s="592">
        <f>'[24]Sch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'[24]Sch D'!E9</f>
        <v>1956</v>
      </c>
      <c r="D221" s="592"/>
      <c r="E221" s="235">
        <f t="shared" si="59"/>
        <v>1956</v>
      </c>
      <c r="F221" s="234"/>
      <c r="G221" s="235">
        <f t="shared" si="57"/>
        <v>1956</v>
      </c>
      <c r="H221" s="172">
        <f t="shared" si="58"/>
        <v>8.9225435635434724E-2</v>
      </c>
      <c r="I221" s="336"/>
      <c r="J221" s="168"/>
      <c r="K221" s="168"/>
    </row>
    <row r="222" spans="1:17">
      <c r="A222" s="163"/>
      <c r="B222" s="202" t="s">
        <v>334</v>
      </c>
      <c r="C222" s="592">
        <f>'[24]Sch D'!F9</f>
        <v>1478</v>
      </c>
      <c r="D222" s="592"/>
      <c r="E222" s="235">
        <f>C222+D222</f>
        <v>1478</v>
      </c>
      <c r="F222" s="234"/>
      <c r="G222" s="235">
        <f>E222+F222</f>
        <v>1478</v>
      </c>
      <c r="H222" s="172">
        <f t="shared" si="58"/>
        <v>6.7420855761335649E-2</v>
      </c>
      <c r="I222" s="336"/>
      <c r="J222" s="168"/>
      <c r="K222" s="168"/>
    </row>
    <row r="223" spans="1:17">
      <c r="A223" s="163"/>
      <c r="B223" s="170" t="s">
        <v>73</v>
      </c>
      <c r="C223" s="592">
        <f>'[24]Sch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'[24]Sch D'!H9</f>
        <v>3037</v>
      </c>
      <c r="D224" s="592"/>
      <c r="E224" s="235">
        <f t="shared" si="59"/>
        <v>3037</v>
      </c>
      <c r="F224" s="234"/>
      <c r="G224" s="235">
        <f t="shared" si="57"/>
        <v>3037</v>
      </c>
      <c r="H224" s="172">
        <f t="shared" si="58"/>
        <v>0.13853662986953746</v>
      </c>
      <c r="I224" s="336"/>
      <c r="J224" s="168"/>
      <c r="K224" s="168"/>
    </row>
    <row r="225" spans="1:11">
      <c r="A225" s="163"/>
      <c r="B225" s="170" t="s">
        <v>236</v>
      </c>
      <c r="C225" s="592">
        <f>'[24]Sch D'!I9</f>
        <v>1501</v>
      </c>
      <c r="D225" s="592"/>
      <c r="E225" s="235">
        <f t="shared" si="59"/>
        <v>1501</v>
      </c>
      <c r="F225" s="234"/>
      <c r="G225" s="235">
        <f t="shared" si="57"/>
        <v>1501</v>
      </c>
      <c r="H225" s="172">
        <f t="shared" si="58"/>
        <v>6.8470030106742089E-2</v>
      </c>
      <c r="I225" s="336"/>
      <c r="J225" s="168"/>
      <c r="K225" s="168"/>
    </row>
    <row r="226" spans="1:11">
      <c r="A226" s="163"/>
      <c r="B226" s="170" t="s">
        <v>235</v>
      </c>
      <c r="C226" s="592">
        <f>'[24]Sch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'[24]Sch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21922</v>
      </c>
      <c r="D228" s="592">
        <f>SUM(D219:D227)</f>
        <v>0</v>
      </c>
      <c r="E228" s="237">
        <f>SUM(E219:E227)</f>
        <v>21922</v>
      </c>
      <c r="F228" s="237">
        <f>SUM(F219:F227)</f>
        <v>0</v>
      </c>
      <c r="G228" s="237">
        <f>SUM(G219:G227)</f>
        <v>21922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'[24]Sch D'!N22</f>
        <v>82</v>
      </c>
      <c r="D231" s="559"/>
      <c r="E231" s="235">
        <f>C231+D231</f>
        <v>82</v>
      </c>
      <c r="F231" s="235"/>
      <c r="G231" s="235">
        <f>E231+F231</f>
        <v>82</v>
      </c>
      <c r="H231" s="167"/>
      <c r="J231" s="168"/>
      <c r="K231" s="168"/>
    </row>
    <row r="232" spans="1:11">
      <c r="A232" s="163"/>
      <c r="B232" s="202" t="s">
        <v>290</v>
      </c>
      <c r="C232" s="593">
        <f>'[24]Sch D'!N24</f>
        <v>82</v>
      </c>
      <c r="D232" s="559"/>
      <c r="E232" s="235">
        <f>C232+D232</f>
        <v>82</v>
      </c>
      <c r="F232" s="235"/>
      <c r="G232" s="235">
        <f>E232+F232</f>
        <v>82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'[24]Sch D'!N28</f>
        <v>30012</v>
      </c>
      <c r="D235" s="483"/>
      <c r="E235" s="234">
        <f>E231*E233</f>
        <v>30012</v>
      </c>
      <c r="F235" s="239"/>
      <c r="G235" s="234">
        <f>G231*G233</f>
        <v>30012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'[24]Sch D'!N30</f>
        <v>0.73044115687058508</v>
      </c>
      <c r="D236" s="239"/>
      <c r="E236" s="244">
        <f>E228/E235</f>
        <v>0.73044115687058508</v>
      </c>
      <c r="F236" s="245"/>
      <c r="G236" s="244">
        <f>G228/G235</f>
        <v>0.73044115687058508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'[24]Sch D'!N32</f>
        <v>0.46481407437025191</v>
      </c>
      <c r="D237" s="239"/>
      <c r="E237" s="244">
        <f>(E219+E220)/E235</f>
        <v>0.46481407437025191</v>
      </c>
      <c r="F237" s="245"/>
      <c r="G237" s="244">
        <f>(G219+G220)/G235</f>
        <v>0.46481407437025191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'[24]Sch D'!N34</f>
        <v>0.63634704862695013</v>
      </c>
      <c r="D238" s="239"/>
      <c r="E238" s="244">
        <f>(E237/E236)</f>
        <v>0.63634704862695013</v>
      </c>
      <c r="F238" s="245"/>
      <c r="G238" s="244">
        <f>(G237/G236)</f>
        <v>0.63634704862695013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'[24]Sch B'!C85</f>
        <v>214.50656167979002</v>
      </c>
    </row>
    <row r="242" spans="2:7">
      <c r="F242" s="142" t="s">
        <v>341</v>
      </c>
      <c r="G242" s="558">
        <f>'[24]Sch B'!E85</f>
        <v>218.44584382871537</v>
      </c>
    </row>
    <row r="243" spans="2:7">
      <c r="F243" s="142" t="s">
        <v>342</v>
      </c>
      <c r="G243" s="558">
        <f>'[24]Sch B'!G85</f>
        <v>278.34464751958222</v>
      </c>
    </row>
    <row r="244" spans="2:7">
      <c r="F244" s="142" t="s">
        <v>343</v>
      </c>
      <c r="G244" s="558">
        <f>'[24]Sch B'!I85</f>
        <v>142.13426573426574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2">
    <tabColor rgb="FFE28CAB"/>
  </sheetPr>
  <dimension ref="A1:T245"/>
  <sheetViews>
    <sheetView showGridLines="0" topLeftCell="A222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357</v>
      </c>
      <c r="D2" s="246"/>
      <c r="E2" s="144"/>
      <c r="F2" s="460" t="s">
        <v>500</v>
      </c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501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502</v>
      </c>
      <c r="G4" s="150"/>
    </row>
    <row r="5" spans="1:17">
      <c r="A5" s="145"/>
      <c r="B5" s="148"/>
      <c r="C5" s="151" t="s">
        <v>504</v>
      </c>
      <c r="D5" s="144"/>
      <c r="F5" s="460" t="s">
        <v>491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5" t="s">
        <v>503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'[25]Sch B'!E10</f>
        <v>1979829</v>
      </c>
      <c r="D11" s="558">
        <f>'[25]Sch B'!G10</f>
        <v>0</v>
      </c>
      <c r="E11" s="171">
        <f>C11+D11</f>
        <v>1979829</v>
      </c>
      <c r="F11" s="490">
        <f>565391-67724.48</f>
        <v>497666.52</v>
      </c>
      <c r="G11" s="171">
        <f t="shared" ref="G11:G20" si="0">E11+F11</f>
        <v>2477495.52</v>
      </c>
      <c r="H11" s="172">
        <f t="shared" ref="H11:H21" si="1">IF($G$21=0,0,G11/$G$21)</f>
        <v>0.33478768791275026</v>
      </c>
      <c r="I11" s="555" t="s">
        <v>420</v>
      </c>
      <c r="J11" s="368" t="s">
        <v>344</v>
      </c>
      <c r="K11" s="369">
        <f>G21</f>
        <v>7400199.0199999996</v>
      </c>
      <c r="M11" s="359">
        <f>IFERROR(G11/G219,0)</f>
        <v>187.81711166704571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'[25]Sch B'!E15</f>
        <v>0</v>
      </c>
      <c r="D12" s="558">
        <f>'[25]Sch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7092523.6199999992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'[25]Sch B'!E21</f>
        <v>1114211</v>
      </c>
      <c r="D13" s="558">
        <f>'[25]Sch B'!G21</f>
        <v>0</v>
      </c>
      <c r="E13" s="171">
        <f t="shared" si="2"/>
        <v>1114211</v>
      </c>
      <c r="F13" s="171">
        <v>217074</v>
      </c>
      <c r="G13" s="171">
        <f t="shared" si="0"/>
        <v>1331285</v>
      </c>
      <c r="H13" s="172">
        <f t="shared" si="1"/>
        <v>0.17989854008007478</v>
      </c>
      <c r="I13" s="336"/>
      <c r="J13" s="370" t="s">
        <v>346</v>
      </c>
      <c r="K13" s="371">
        <f>G228</f>
        <v>29213</v>
      </c>
      <c r="M13" s="359">
        <f t="shared" si="3"/>
        <v>529.33797216699804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'[25]Sch B'!E27</f>
        <v>1292864</v>
      </c>
      <c r="D14" s="558">
        <f>'[25]Sch B'!G27</f>
        <v>0</v>
      </c>
      <c r="E14" s="171">
        <f t="shared" si="2"/>
        <v>1292864</v>
      </c>
      <c r="F14" s="175">
        <v>260419</v>
      </c>
      <c r="G14" s="175">
        <f>E14+F14</f>
        <v>1553283</v>
      </c>
      <c r="H14" s="176">
        <f t="shared" si="1"/>
        <v>0.20989746300093429</v>
      </c>
      <c r="I14" s="337"/>
      <c r="J14" s="370" t="s">
        <v>347</v>
      </c>
      <c r="K14" s="371">
        <f>G231</f>
        <v>120</v>
      </c>
      <c r="M14" s="359">
        <f t="shared" si="3"/>
        <v>412.99734113267749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'[25]Sch B'!E32</f>
        <v>440340</v>
      </c>
      <c r="D15" s="558">
        <f>'[25]Sch B'!G32</f>
        <v>0</v>
      </c>
      <c r="E15" s="171">
        <f t="shared" si="2"/>
        <v>440340</v>
      </c>
      <c r="F15" s="171">
        <v>70258</v>
      </c>
      <c r="G15" s="171">
        <f t="shared" si="0"/>
        <v>510598</v>
      </c>
      <c r="H15" s="172">
        <f t="shared" si="1"/>
        <v>6.8997874059879005E-2</v>
      </c>
      <c r="I15" s="336"/>
      <c r="J15" s="370" t="s">
        <v>348</v>
      </c>
      <c r="K15" s="371">
        <f>G235</f>
        <v>43920</v>
      </c>
      <c r="M15" s="359">
        <f t="shared" si="3"/>
        <v>228.66009852216749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'[25]Sch B'!E37</f>
        <v>611542</v>
      </c>
      <c r="D16" s="558">
        <f>'[25]Sch B'!G37</f>
        <v>0</v>
      </c>
      <c r="E16" s="171">
        <f t="shared" si="2"/>
        <v>611542</v>
      </c>
      <c r="F16" s="171">
        <v>117970</v>
      </c>
      <c r="G16" s="171">
        <f t="shared" si="0"/>
        <v>729512</v>
      </c>
      <c r="H16" s="172">
        <f t="shared" si="1"/>
        <v>9.8580051432184332E-2</v>
      </c>
      <c r="I16" s="336"/>
      <c r="J16" s="372"/>
      <c r="K16" s="371"/>
      <c r="M16" s="359">
        <f t="shared" si="3"/>
        <v>195.73705393077543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'[25]Sch B'!E42</f>
        <v>0</v>
      </c>
      <c r="D17" s="558">
        <f>'[25]Sch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176454.26666666669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'[25]Sch B'!E47</f>
        <v>610768</v>
      </c>
      <c r="D18" s="558">
        <f>'[25]Sch B'!G47</f>
        <v>0</v>
      </c>
      <c r="E18" s="171">
        <f t="shared" si="2"/>
        <v>610768</v>
      </c>
      <c r="F18" s="171">
        <v>115427</v>
      </c>
      <c r="G18" s="171">
        <f>E18+F18</f>
        <v>726195</v>
      </c>
      <c r="H18" s="172">
        <f t="shared" si="1"/>
        <v>9.8131820243937171E-2</v>
      </c>
      <c r="I18" s="336"/>
      <c r="J18" s="373" t="s">
        <v>252</v>
      </c>
      <c r="K18" s="374">
        <f>K208</f>
        <v>185165</v>
      </c>
      <c r="M18" s="359">
        <f t="shared" si="3"/>
        <v>191.81061806656101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'[25]Sch B'!E52</f>
        <v>0</v>
      </c>
      <c r="D19" s="558">
        <f>'[25]Sch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'[25]Sch B'!E67</f>
        <v>3958</v>
      </c>
      <c r="D20" s="558">
        <f>'[25]Sch B'!G67</f>
        <v>0</v>
      </c>
      <c r="E20" s="171">
        <f t="shared" si="2"/>
        <v>3958</v>
      </c>
      <c r="F20" s="490">
        <f>148.020000000018+67724.48</f>
        <v>67872.500000000015</v>
      </c>
      <c r="G20" s="171">
        <f t="shared" si="0"/>
        <v>71830.500000000015</v>
      </c>
      <c r="H20" s="172">
        <f t="shared" si="1"/>
        <v>9.7065632702402673E-3</v>
      </c>
      <c r="I20" s="555" t="s">
        <v>694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6053512</v>
      </c>
      <c r="D21" s="558">
        <f>SUM(D11:D20)</f>
        <v>0</v>
      </c>
      <c r="E21" s="171">
        <f>SUM(E11:E20)</f>
        <v>6053512</v>
      </c>
      <c r="F21" s="171">
        <f>SUM(F11:F20)</f>
        <v>1346687.02</v>
      </c>
      <c r="G21" s="171">
        <f>SUM(G11:G20)</f>
        <v>7400199.0199999996</v>
      </c>
      <c r="H21" s="172">
        <f t="shared" si="1"/>
        <v>1</v>
      </c>
      <c r="I21" s="336"/>
      <c r="J21" s="168"/>
      <c r="K21" s="168"/>
      <c r="M21" s="359">
        <f>IFERROR(G21/G228,0)</f>
        <v>253.31869441686919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'[25]Sch C'!D10</f>
        <v>83601</v>
      </c>
      <c r="D25" s="558">
        <f>'[25]Sch C'!F10</f>
        <v>5225</v>
      </c>
      <c r="E25" s="171">
        <f t="shared" ref="E25:E60" si="4">C25+D25</f>
        <v>88826</v>
      </c>
      <c r="F25" s="171">
        <v>54623</v>
      </c>
      <c r="G25" s="182">
        <f>E25+F25</f>
        <v>143449</v>
      </c>
      <c r="H25" s="172">
        <f>IF($G$208=0,0,G25/$G$208)</f>
        <v>2.0225382062245428E-2</v>
      </c>
      <c r="I25" s="336"/>
      <c r="J25" s="183">
        <f>2174+1339</f>
        <v>3513</v>
      </c>
      <c r="K25" s="183">
        <f>2310+1420</f>
        <v>3730</v>
      </c>
      <c r="M25" s="359">
        <f>G25/G$228</f>
        <v>4.9104508266867493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'[25]Sch C'!D11</f>
        <v>0</v>
      </c>
      <c r="D26" s="558">
        <f>'[25]Sch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'[25]Sch C'!D12</f>
        <v>241594</v>
      </c>
      <c r="D27" s="558">
        <f>'[25]Sch C'!F12</f>
        <v>15096</v>
      </c>
      <c r="E27" s="171">
        <f t="shared" si="4"/>
        <v>256690</v>
      </c>
      <c r="F27" s="171">
        <v>47078</v>
      </c>
      <c r="G27" s="171">
        <f t="shared" si="5"/>
        <v>303768</v>
      </c>
      <c r="H27" s="172">
        <f t="shared" si="6"/>
        <v>4.2829325114041715E-2</v>
      </c>
      <c r="I27" s="336"/>
      <c r="J27" s="185">
        <f>12358+2271</f>
        <v>14629</v>
      </c>
      <c r="K27" s="185">
        <f>13130+2408</f>
        <v>15538</v>
      </c>
      <c r="M27" s="359">
        <f t="shared" si="7"/>
        <v>10.3983842809708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'[25]Sch C'!D13</f>
        <v>616455</v>
      </c>
      <c r="D28" s="558">
        <f>'[25]Sch C'!F13</f>
        <v>-574098</v>
      </c>
      <c r="E28" s="171">
        <f t="shared" si="4"/>
        <v>42357</v>
      </c>
      <c r="F28" s="171">
        <v>12493</v>
      </c>
      <c r="G28" s="171">
        <f t="shared" si="5"/>
        <v>54850</v>
      </c>
      <c r="H28" s="172">
        <f t="shared" si="6"/>
        <v>7.73349557064993E-3</v>
      </c>
      <c r="I28" s="336"/>
      <c r="J28" s="168"/>
      <c r="K28" s="168"/>
      <c r="M28" s="359">
        <f t="shared" si="7"/>
        <v>1.8775887447369322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'[25]Sch C'!D14</f>
        <v>0</v>
      </c>
      <c r="D29" s="558">
        <f>'[25]Sch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'[25]Sch C'!D15</f>
        <v>0</v>
      </c>
      <c r="D30" s="558">
        <f>'[25]Sch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'[25]Sch C'!D16</f>
        <v>299172</v>
      </c>
      <c r="D31" s="558">
        <f>'[25]Sch C'!F16</f>
        <v>164751</v>
      </c>
      <c r="E31" s="171">
        <f t="shared" si="4"/>
        <v>463923</v>
      </c>
      <c r="F31" s="171">
        <v>98354</v>
      </c>
      <c r="G31" s="171">
        <f t="shared" si="5"/>
        <v>562277</v>
      </c>
      <c r="H31" s="172">
        <f t="shared" si="6"/>
        <v>7.9277423682376127E-2</v>
      </c>
      <c r="I31" s="336"/>
      <c r="J31" s="168"/>
      <c r="K31" s="168"/>
      <c r="M31" s="359">
        <f t="shared" si="7"/>
        <v>19.247492554684559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'[25]Sch C'!D17</f>
        <v>0</v>
      </c>
      <c r="D32" s="558">
        <f>'[25]Sch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'[25]Sch C'!D18</f>
        <v>15856</v>
      </c>
      <c r="D33" s="558">
        <f>'[25]Sch C'!F18</f>
        <v>0</v>
      </c>
      <c r="E33" s="171">
        <f t="shared" si="4"/>
        <v>15856</v>
      </c>
      <c r="F33" s="171">
        <v>3032</v>
      </c>
      <c r="G33" s="171">
        <f t="shared" si="5"/>
        <v>18888</v>
      </c>
      <c r="H33" s="172">
        <f t="shared" si="6"/>
        <v>2.6630859496524317E-3</v>
      </c>
      <c r="I33" s="336"/>
      <c r="J33" s="168"/>
      <c r="K33" s="168"/>
      <c r="M33" s="359">
        <f t="shared" si="7"/>
        <v>0.64656146236264678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'[25]Sch C'!D19</f>
        <v>18663</v>
      </c>
      <c r="D34" s="558">
        <f>'[25]Sch C'!F19</f>
        <v>-5778</v>
      </c>
      <c r="E34" s="171">
        <f t="shared" si="4"/>
        <v>12885</v>
      </c>
      <c r="F34" s="171">
        <v>1372</v>
      </c>
      <c r="G34" s="171">
        <f t="shared" si="5"/>
        <v>14257</v>
      </c>
      <c r="H34" s="172">
        <f t="shared" si="6"/>
        <v>2.0101448742161541E-3</v>
      </c>
      <c r="I34" s="336"/>
      <c r="J34" s="168"/>
      <c r="K34" s="168"/>
      <c r="M34" s="359">
        <f t="shared" si="7"/>
        <v>0.4880361482901448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'[25]Sch C'!D20</f>
        <v>25562</v>
      </c>
      <c r="D35" s="558">
        <f>'[25]Sch C'!F20</f>
        <v>0</v>
      </c>
      <c r="E35" s="171">
        <f t="shared" si="4"/>
        <v>25562</v>
      </c>
      <c r="F35" s="171">
        <v>5669</v>
      </c>
      <c r="G35" s="171">
        <f t="shared" si="5"/>
        <v>31231</v>
      </c>
      <c r="H35" s="172">
        <f t="shared" si="6"/>
        <v>4.4033691917405278E-3</v>
      </c>
      <c r="I35" s="336"/>
      <c r="J35" s="168"/>
      <c r="K35" s="168"/>
      <c r="M35" s="359">
        <f t="shared" si="7"/>
        <v>1.0690788347653442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'[25]Sch C'!D21</f>
        <v>2525</v>
      </c>
      <c r="D36" s="558">
        <f>'[25]Sch C'!F21</f>
        <v>0</v>
      </c>
      <c r="E36" s="171">
        <f t="shared" si="4"/>
        <v>2525</v>
      </c>
      <c r="F36" s="171">
        <v>1897</v>
      </c>
      <c r="G36" s="171">
        <f t="shared" si="5"/>
        <v>4422</v>
      </c>
      <c r="H36" s="172">
        <f t="shared" si="6"/>
        <v>6.2347342595102991E-4</v>
      </c>
      <c r="I36" s="336"/>
      <c r="J36" s="168"/>
      <c r="K36" s="168"/>
      <c r="M36" s="359">
        <f t="shared" si="7"/>
        <v>0.15137096498134392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'[25]Sch C'!D22</f>
        <v>0</v>
      </c>
      <c r="D37" s="558">
        <f>'[25]Sch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'[25]Sch C'!D23</f>
        <v>12471</v>
      </c>
      <c r="D38" s="558">
        <f>'[25]Sch C'!F23</f>
        <v>0</v>
      </c>
      <c r="E38" s="171">
        <f t="shared" si="4"/>
        <v>12471</v>
      </c>
      <c r="F38" s="171">
        <v>-95</v>
      </c>
      <c r="G38" s="171">
        <f t="shared" si="5"/>
        <v>12376</v>
      </c>
      <c r="H38" s="172">
        <f t="shared" si="6"/>
        <v>1.7449360288489249E-3</v>
      </c>
      <c r="I38" s="336"/>
      <c r="J38" s="168"/>
      <c r="K38" s="168"/>
      <c r="M38" s="359">
        <f t="shared" si="7"/>
        <v>0.42364700646972236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'[25]Sch C'!D24</f>
        <v>45922</v>
      </c>
      <c r="D39" s="558">
        <f>'[25]Sch C'!F24</f>
        <v>-10500</v>
      </c>
      <c r="E39" s="171">
        <f t="shared" si="4"/>
        <v>35422</v>
      </c>
      <c r="F39" s="171">
        <v>7970</v>
      </c>
      <c r="G39" s="171">
        <f t="shared" si="5"/>
        <v>43392</v>
      </c>
      <c r="H39" s="172">
        <f t="shared" si="6"/>
        <v>6.1179916098749636E-3</v>
      </c>
      <c r="I39" s="336"/>
      <c r="J39" s="168"/>
      <c r="K39" s="168"/>
      <c r="M39" s="359">
        <f t="shared" si="7"/>
        <v>1.4853661041317221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'[25]Sch C'!D25</f>
        <v>0</v>
      </c>
      <c r="D40" s="558">
        <f>'[25]Sch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'[25]Sch C'!D26</f>
        <v>348179</v>
      </c>
      <c r="D41" s="558">
        <f>'[25]Sch C'!F26</f>
        <v>0</v>
      </c>
      <c r="E41" s="171">
        <f t="shared" si="4"/>
        <v>348179</v>
      </c>
      <c r="F41" s="171">
        <v>72144</v>
      </c>
      <c r="G41" s="171">
        <f t="shared" si="5"/>
        <v>420323</v>
      </c>
      <c r="H41" s="172">
        <f t="shared" si="6"/>
        <v>5.9262826959750055E-2</v>
      </c>
      <c r="I41" s="336"/>
      <c r="J41" s="168"/>
      <c r="K41" s="168"/>
      <c r="M41" s="359">
        <f t="shared" si="7"/>
        <v>14.388217574367577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'[25]Sch C'!D27</f>
        <v>0</v>
      </c>
      <c r="D42" s="558">
        <f>'[25]Sch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'[25]Sch C'!D28</f>
        <v>0</v>
      </c>
      <c r="D43" s="558">
        <f>'[25]Sch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'[25]Sch C'!D29</f>
        <v>32634</v>
      </c>
      <c r="D44" s="558">
        <f>'[25]Sch C'!F29</f>
        <v>-32634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'[25]Sch C'!D30</f>
        <v>0</v>
      </c>
      <c r="D45" s="558">
        <f>'[25]Sch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'[25]Sch C'!D31</f>
        <v>71789</v>
      </c>
      <c r="D46" s="558">
        <f>'[25]Sch C'!F31</f>
        <v>0</v>
      </c>
      <c r="E46" s="171">
        <f t="shared" si="4"/>
        <v>71789</v>
      </c>
      <c r="F46" s="171">
        <v>15237</v>
      </c>
      <c r="G46" s="171">
        <f t="shared" si="5"/>
        <v>87026</v>
      </c>
      <c r="H46" s="172">
        <f t="shared" si="6"/>
        <v>1.2270103655996003E-2</v>
      </c>
      <c r="I46" s="336"/>
      <c r="J46" s="168"/>
      <c r="K46" s="168"/>
      <c r="M46" s="359">
        <f t="shared" si="7"/>
        <v>2.9790161914216275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'[25]Sch C'!D32</f>
        <v>65363</v>
      </c>
      <c r="D47" s="558">
        <f>'[25]Sch C'!F32</f>
        <v>-22340</v>
      </c>
      <c r="E47" s="171">
        <f t="shared" si="4"/>
        <v>43023</v>
      </c>
      <c r="F47" s="171">
        <v>17541</v>
      </c>
      <c r="G47" s="171">
        <f t="shared" si="5"/>
        <v>60564</v>
      </c>
      <c r="H47" s="172">
        <f t="shared" si="6"/>
        <v>8.5391326479643086E-3</v>
      </c>
      <c r="I47" s="336"/>
      <c r="J47" s="168"/>
      <c r="K47" s="168"/>
      <c r="M47" s="359">
        <f t="shared" si="7"/>
        <v>2.0731865950090711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'[25]Sch C'!D33</f>
        <v>0</v>
      </c>
      <c r="D48" s="558">
        <f>'[25]Sch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'[25]Sch C'!D34</f>
        <v>0</v>
      </c>
      <c r="D49" s="558">
        <f>'[25]Sch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'[25]Sch C'!D35</f>
        <v>0</v>
      </c>
      <c r="D50" s="558">
        <f>'[25]Sch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'[25]Sch C'!D36</f>
        <v>0</v>
      </c>
      <c r="D51" s="558">
        <f>'[25]Sch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'[25]Sch C'!D37</f>
        <v>0</v>
      </c>
      <c r="D52" s="558">
        <f>'[25]Sch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'[25]Sch C'!D38</f>
        <v>300</v>
      </c>
      <c r="D53" s="558">
        <f>'[25]Sch C'!F38</f>
        <v>-300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'[25]Sch C'!D39</f>
        <v>8620</v>
      </c>
      <c r="D54" s="558">
        <f>'[25]Sch C'!F39</f>
        <v>0</v>
      </c>
      <c r="E54" s="171">
        <f t="shared" si="4"/>
        <v>8620</v>
      </c>
      <c r="F54" s="171">
        <v>915</v>
      </c>
      <c r="G54" s="171">
        <f t="shared" si="5"/>
        <v>9535</v>
      </c>
      <c r="H54" s="172">
        <f t="shared" si="6"/>
        <v>1.3443733868030462E-3</v>
      </c>
      <c r="I54" s="336"/>
      <c r="J54" s="168"/>
      <c r="K54" s="168"/>
      <c r="M54" s="359">
        <f t="shared" si="7"/>
        <v>0.32639578269948311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'[25]Sch C'!D40</f>
        <v>7350</v>
      </c>
      <c r="D55" s="558">
        <f>'[25]Sch C'!F40</f>
        <v>0</v>
      </c>
      <c r="E55" s="171">
        <f t="shared" si="4"/>
        <v>7350</v>
      </c>
      <c r="F55" s="171">
        <v>2272</v>
      </c>
      <c r="G55" s="171">
        <f t="shared" si="5"/>
        <v>9622</v>
      </c>
      <c r="H55" s="172">
        <f t="shared" si="6"/>
        <v>1.3566398246270487E-3</v>
      </c>
      <c r="I55" s="336"/>
      <c r="J55" s="168"/>
      <c r="K55" s="168"/>
      <c r="M55" s="359">
        <f t="shared" si="7"/>
        <v>0.32937390887618528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'[25]Sch C'!D41</f>
        <v>12110</v>
      </c>
      <c r="D56" s="558">
        <f>'[25]Sch C'!F41</f>
        <v>0</v>
      </c>
      <c r="E56" s="171">
        <f t="shared" si="4"/>
        <v>12110</v>
      </c>
      <c r="F56" s="171">
        <v>4848</v>
      </c>
      <c r="G56" s="171">
        <f t="shared" si="5"/>
        <v>16958</v>
      </c>
      <c r="H56" s="172">
        <f t="shared" si="6"/>
        <v>2.3909684209130629E-3</v>
      </c>
      <c r="I56" s="336"/>
      <c r="J56" s="168"/>
      <c r="K56" s="168"/>
      <c r="M56" s="359">
        <f t="shared" si="7"/>
        <v>0.58049498510936914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'[25]Sch C'!D42</f>
        <v>4869</v>
      </c>
      <c r="D57" s="558">
        <f>'[25]Sch C'!F42</f>
        <v>0</v>
      </c>
      <c r="E57" s="171">
        <f t="shared" si="4"/>
        <v>4869</v>
      </c>
      <c r="F57" s="171">
        <v>1296</v>
      </c>
      <c r="G57" s="171">
        <f t="shared" si="5"/>
        <v>6165</v>
      </c>
      <c r="H57" s="172">
        <f t="shared" si="6"/>
        <v>8.6922516304570319E-4</v>
      </c>
      <c r="I57" s="336"/>
      <c r="J57" s="168"/>
      <c r="K57" s="168"/>
      <c r="M57" s="359">
        <f t="shared" si="7"/>
        <v>0.21103618252148015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'[25]Sch C'!D43</f>
        <v>6558</v>
      </c>
      <c r="D58" s="558">
        <f>'[25]Sch C'!F43</f>
        <v>0</v>
      </c>
      <c r="E58" s="171">
        <f t="shared" si="4"/>
        <v>6558</v>
      </c>
      <c r="F58" s="171">
        <v>1375</v>
      </c>
      <c r="G58" s="171">
        <f t="shared" si="5"/>
        <v>7933</v>
      </c>
      <c r="H58" s="172">
        <f t="shared" si="6"/>
        <v>1.1185017385955496E-3</v>
      </c>
      <c r="I58" s="336"/>
      <c r="J58" s="168"/>
      <c r="K58" s="168"/>
      <c r="M58" s="359">
        <f t="shared" si="7"/>
        <v>0.27155718344572621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'[25]Sch C'!D44</f>
        <v>17</v>
      </c>
      <c r="D59" s="558">
        <f>'[25]Sch C'!F44</f>
        <v>0</v>
      </c>
      <c r="E59" s="171">
        <f t="shared" si="4"/>
        <v>17</v>
      </c>
      <c r="F59" s="171">
        <v>0</v>
      </c>
      <c r="G59" s="171">
        <f t="shared" si="5"/>
        <v>17</v>
      </c>
      <c r="H59" s="172">
        <f t="shared" si="6"/>
        <v>2.396890149517754E-6</v>
      </c>
      <c r="I59" s="336"/>
      <c r="J59" s="168"/>
      <c r="K59" s="168"/>
      <c r="M59" s="359">
        <f t="shared" si="7"/>
        <v>5.8193270119467357E-4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'[25]Sch C'!D45</f>
        <v>11796</v>
      </c>
      <c r="D60" s="558">
        <f>'[25]Sch C'!F45</f>
        <v>-3541</v>
      </c>
      <c r="E60" s="171">
        <f t="shared" si="4"/>
        <v>8255</v>
      </c>
      <c r="F60" s="171">
        <v>5677</v>
      </c>
      <c r="G60" s="171">
        <f t="shared" si="5"/>
        <v>13932</v>
      </c>
      <c r="H60" s="172">
        <f t="shared" si="6"/>
        <v>1.9643219742989031E-3</v>
      </c>
      <c r="I60" s="336"/>
      <c r="J60" s="168"/>
      <c r="K60" s="168"/>
      <c r="M60" s="359">
        <f t="shared" si="7"/>
        <v>0.4769109642967172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1931406</v>
      </c>
      <c r="D61" s="558">
        <f>SUM(D25:D60)</f>
        <v>-464119</v>
      </c>
      <c r="E61" s="171">
        <f t="shared" ref="E61:F61" si="8">SUM(E25:E60)</f>
        <v>1467287</v>
      </c>
      <c r="F61" s="171">
        <f t="shared" si="8"/>
        <v>353698</v>
      </c>
      <c r="G61" s="171">
        <f>SUM(G25:G60)</f>
        <v>1820985</v>
      </c>
      <c r="H61" s="186">
        <f t="shared" si="6"/>
        <v>0.25674711817174045</v>
      </c>
      <c r="I61" s="338"/>
      <c r="J61" s="168"/>
      <c r="K61" s="168"/>
      <c r="M61" s="364">
        <f>G61/G$228</f>
        <v>62.334748228528397</v>
      </c>
      <c r="N61" s="359">
        <f>SUMMARY!J64</f>
        <v>53.728790309602623</v>
      </c>
      <c r="O61" s="354">
        <f>M61/N61-1</f>
        <v>0.16017404950559033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'[25]Sch C'!D57</f>
        <v>475000</v>
      </c>
      <c r="D64" s="558">
        <f>'[25]Sch C'!F57</f>
        <v>0</v>
      </c>
      <c r="E64" s="171">
        <f t="shared" ref="E64:E78" si="9">C64+D64</f>
        <v>475000</v>
      </c>
      <c r="F64" s="171">
        <v>116143.18</v>
      </c>
      <c r="G64" s="171">
        <f t="shared" ref="G64:G78" si="10">E64+F64</f>
        <v>591143.17999999993</v>
      </c>
      <c r="H64" s="172">
        <f t="shared" ref="H64:H79" si="11">IF($G$208=0,0,G64/$G$208)</f>
        <v>8.3347368535094141E-2</v>
      </c>
      <c r="I64" s="336"/>
      <c r="J64" s="190"/>
      <c r="K64" s="168"/>
      <c r="M64" s="359">
        <f t="shared" ref="M64:M79" si="12">G64/G$228</f>
        <v>20.235620442953476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'[25]Sch C'!D58</f>
        <v>2522</v>
      </c>
      <c r="D65" s="558">
        <f>'[25]Sch C'!F58</f>
        <v>0</v>
      </c>
      <c r="E65" s="171">
        <f t="shared" si="9"/>
        <v>2522</v>
      </c>
      <c r="F65" s="171">
        <v>524</v>
      </c>
      <c r="G65" s="171">
        <f t="shared" si="10"/>
        <v>3046</v>
      </c>
      <c r="H65" s="172">
        <f t="shared" si="11"/>
        <v>4.2946631737829876E-4</v>
      </c>
      <c r="I65" s="336"/>
      <c r="J65" s="190"/>
      <c r="K65" s="168"/>
      <c r="M65" s="359">
        <f t="shared" si="12"/>
        <v>0.10426864751993975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'[25]Sch C'!D59</f>
        <v>0</v>
      </c>
      <c r="D66" s="558">
        <f>'[25]Sch C'!F59</f>
        <v>155</v>
      </c>
      <c r="E66" s="171">
        <f t="shared" si="9"/>
        <v>155</v>
      </c>
      <c r="F66" s="171">
        <v>0</v>
      </c>
      <c r="G66" s="171">
        <f t="shared" si="10"/>
        <v>155</v>
      </c>
      <c r="H66" s="172">
        <f t="shared" si="11"/>
        <v>2.185399842207364E-5</v>
      </c>
      <c r="I66" s="336"/>
      <c r="J66" s="190"/>
      <c r="K66" s="168"/>
      <c r="M66" s="359">
        <f t="shared" si="12"/>
        <v>5.3058569814808474E-3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'[25]Sch C'!D60</f>
        <v>27832</v>
      </c>
      <c r="D67" s="558">
        <f>'[25]Sch C'!F60</f>
        <v>0</v>
      </c>
      <c r="E67" s="171">
        <f t="shared" si="9"/>
        <v>27832</v>
      </c>
      <c r="F67" s="171">
        <v>5592</v>
      </c>
      <c r="G67" s="171">
        <f t="shared" si="10"/>
        <v>33424</v>
      </c>
      <c r="H67" s="172">
        <f t="shared" si="11"/>
        <v>4.7125680210283183E-3</v>
      </c>
      <c r="I67" s="336"/>
      <c r="J67" s="193"/>
      <c r="K67" s="168"/>
      <c r="M67" s="359">
        <f t="shared" si="12"/>
        <v>1.1441481532194571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'[25]Sch C'!D61</f>
        <v>6364</v>
      </c>
      <c r="D68" s="558">
        <f>'[25]Sch C'!F61</f>
        <v>0</v>
      </c>
      <c r="E68" s="171">
        <f t="shared" si="9"/>
        <v>6364</v>
      </c>
      <c r="F68" s="171">
        <v>1188</v>
      </c>
      <c r="G68" s="171">
        <f t="shared" si="10"/>
        <v>7552</v>
      </c>
      <c r="H68" s="172">
        <f t="shared" si="11"/>
        <v>1.0647832005387106E-3</v>
      </c>
      <c r="I68" s="336"/>
      <c r="J68" s="193"/>
      <c r="K68" s="168"/>
      <c r="M68" s="359">
        <f t="shared" si="12"/>
        <v>0.25851504467189262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'[25]Sch C'!D62</f>
        <v>7838</v>
      </c>
      <c r="D69" s="558">
        <f>'[25]Sch C'!F62</f>
        <v>0</v>
      </c>
      <c r="E69" s="171">
        <f t="shared" si="9"/>
        <v>7838</v>
      </c>
      <c r="F69" s="171">
        <v>2616</v>
      </c>
      <c r="G69" s="171">
        <f t="shared" si="10"/>
        <v>10454</v>
      </c>
      <c r="H69" s="172">
        <f t="shared" si="11"/>
        <v>1.4739464484152117E-3</v>
      </c>
      <c r="I69" s="336"/>
      <c r="J69" s="195"/>
      <c r="K69" s="168"/>
      <c r="M69" s="359">
        <f t="shared" si="12"/>
        <v>0.35785437989935986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'[25]Sch C'!D63</f>
        <v>0</v>
      </c>
      <c r="D70" s="558">
        <f>'[25]Sch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'[25]Sch C'!D64</f>
        <v>0</v>
      </c>
      <c r="D71" s="558">
        <f>'[25]Sch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'[25]Sch C'!D65</f>
        <v>6948</v>
      </c>
      <c r="D72" s="558">
        <f>'[25]Sch C'!F65</f>
        <v>0</v>
      </c>
      <c r="E72" s="171">
        <f t="shared" si="9"/>
        <v>6948</v>
      </c>
      <c r="F72" s="171">
        <v>1393</v>
      </c>
      <c r="G72" s="171">
        <f t="shared" si="10"/>
        <v>8341</v>
      </c>
      <c r="H72" s="172">
        <f t="shared" si="11"/>
        <v>1.1760271021839758E-3</v>
      </c>
      <c r="I72" s="336"/>
      <c r="J72" s="195"/>
      <c r="K72" s="168"/>
      <c r="M72" s="359">
        <f t="shared" si="12"/>
        <v>0.2855235682743984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'[25]Sch C'!D66</f>
        <v>3845</v>
      </c>
      <c r="D73" s="558">
        <f>'[25]Sch C'!F66</f>
        <v>0</v>
      </c>
      <c r="E73" s="171">
        <f t="shared" si="9"/>
        <v>3845</v>
      </c>
      <c r="F73" s="171">
        <v>798</v>
      </c>
      <c r="G73" s="171">
        <f t="shared" si="10"/>
        <v>4643</v>
      </c>
      <c r="H73" s="172">
        <f t="shared" si="11"/>
        <v>6.5463299789476068E-4</v>
      </c>
      <c r="I73" s="336"/>
      <c r="J73" s="195"/>
      <c r="K73" s="168"/>
      <c r="M73" s="359">
        <f t="shared" si="12"/>
        <v>0.15893609009687468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'[25]Sch C'!D67</f>
        <v>34626</v>
      </c>
      <c r="D74" s="558">
        <f>'[25]Sch C'!F67</f>
        <v>155</v>
      </c>
      <c r="E74" s="171">
        <f t="shared" si="9"/>
        <v>34781</v>
      </c>
      <c r="F74" s="171">
        <v>6210</v>
      </c>
      <c r="G74" s="171">
        <f t="shared" si="10"/>
        <v>40991</v>
      </c>
      <c r="H74" s="172">
        <f t="shared" si="11"/>
        <v>5.7794661246401329E-3</v>
      </c>
      <c r="I74" s="336"/>
      <c r="J74" s="195"/>
      <c r="K74" s="168"/>
      <c r="M74" s="359">
        <f t="shared" si="12"/>
        <v>1.4031766679218156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'[25]Sch C'!D68</f>
        <v>0</v>
      </c>
      <c r="D75" s="558">
        <f>'[25]Sch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'[25]Sch C'!D69</f>
        <v>5067</v>
      </c>
      <c r="D76" s="558">
        <f>'[25]Sch C'!F69</f>
        <v>0</v>
      </c>
      <c r="E76" s="171">
        <f t="shared" si="9"/>
        <v>5067</v>
      </c>
      <c r="F76" s="171">
        <v>822</v>
      </c>
      <c r="G76" s="171">
        <f t="shared" si="10"/>
        <v>5889</v>
      </c>
      <c r="H76" s="172">
        <f t="shared" si="11"/>
        <v>8.3031094650059135E-4</v>
      </c>
      <c r="I76" s="336"/>
      <c r="J76" s="195"/>
      <c r="K76" s="168"/>
      <c r="M76" s="359">
        <f t="shared" si="12"/>
        <v>0.20158833396090781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'[25]Sch C'!D70</f>
        <v>0</v>
      </c>
      <c r="D77" s="558">
        <f>'[25]Sch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'[25]Sch C'!D71</f>
        <v>0</v>
      </c>
      <c r="D78" s="558">
        <f>'[25]Sch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570042</v>
      </c>
      <c r="D79" s="558">
        <f>SUM(D64:D78)</f>
        <v>310</v>
      </c>
      <c r="E79" s="171">
        <f t="shared" ref="E79:F79" si="13">SUM(E64:E78)</f>
        <v>570352</v>
      </c>
      <c r="F79" s="171">
        <f t="shared" si="13"/>
        <v>135286.18</v>
      </c>
      <c r="G79" s="171">
        <f>SUM(G64:G78)</f>
        <v>705638.17999999993</v>
      </c>
      <c r="H79" s="172">
        <f t="shared" si="11"/>
        <v>9.9490423692096222E-2</v>
      </c>
      <c r="I79" s="336"/>
      <c r="J79" s="195"/>
      <c r="K79" s="168"/>
      <c r="M79" s="359">
        <f t="shared" si="12"/>
        <v>24.154937185499605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'[25]Sch C'!D75</f>
        <v>63315</v>
      </c>
      <c r="D82" s="558">
        <f>'[25]Sch C'!F75</f>
        <v>3957</v>
      </c>
      <c r="E82" s="171">
        <f t="shared" ref="E82:E92" si="14">C82+D82</f>
        <v>67272</v>
      </c>
      <c r="F82" s="171">
        <v>14169</v>
      </c>
      <c r="G82" s="171">
        <f t="shared" ref="G82:G92" si="15">E82+F82</f>
        <v>81441</v>
      </c>
      <c r="H82" s="172">
        <f t="shared" ref="H82:H93" si="16">IF($G$208=0,0,G82/$G$208)</f>
        <v>1.1482654745110317E-2</v>
      </c>
      <c r="I82" s="336"/>
      <c r="J82" s="183">
        <f>3322+701</f>
        <v>4023</v>
      </c>
      <c r="K82" s="183">
        <f>3530+743</f>
        <v>4273</v>
      </c>
      <c r="M82" s="359">
        <f t="shared" ref="M82:M92" si="17">G82/G$228</f>
        <v>2.787834183411495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'[25]Sch C'!D76</f>
        <v>0</v>
      </c>
      <c r="D83" s="558">
        <f>'[25]Sch C'!F76</f>
        <v>8100</v>
      </c>
      <c r="E83" s="171">
        <f t="shared" si="14"/>
        <v>8100</v>
      </c>
      <c r="F83" s="171">
        <v>1728</v>
      </c>
      <c r="G83" s="171">
        <f t="shared" si="15"/>
        <v>9828</v>
      </c>
      <c r="H83" s="172">
        <f t="shared" si="16"/>
        <v>1.3856844934976758E-3</v>
      </c>
      <c r="I83" s="336"/>
      <c r="J83" s="168"/>
      <c r="K83" s="168"/>
      <c r="M83" s="359">
        <f t="shared" si="17"/>
        <v>0.33642556396125012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'[25]Sch C'!D77</f>
        <v>13588</v>
      </c>
      <c r="D84" s="558">
        <f>'[25]Sch C'!F77</f>
        <v>0</v>
      </c>
      <c r="E84" s="171">
        <f t="shared" si="14"/>
        <v>13588</v>
      </c>
      <c r="F84" s="171">
        <v>1889</v>
      </c>
      <c r="G84" s="171">
        <f t="shared" si="15"/>
        <v>15477</v>
      </c>
      <c r="H84" s="172">
        <f t="shared" si="16"/>
        <v>2.1821569908286047E-3</v>
      </c>
      <c r="I84" s="336"/>
      <c r="J84" s="168"/>
      <c r="K84" s="168"/>
      <c r="M84" s="359">
        <f t="shared" si="17"/>
        <v>0.5297983774347037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'[25]Sch C'!D78</f>
        <v>0</v>
      </c>
      <c r="D85" s="558">
        <f>'[25]Sch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'[25]Sch C'!D79</f>
        <v>9995</v>
      </c>
      <c r="D86" s="558">
        <f>'[25]Sch C'!F79</f>
        <v>0</v>
      </c>
      <c r="E86" s="171">
        <f t="shared" si="14"/>
        <v>9995</v>
      </c>
      <c r="F86" s="171">
        <v>964</v>
      </c>
      <c r="G86" s="171">
        <f>E86+F86</f>
        <v>10959</v>
      </c>
      <c r="H86" s="172">
        <f t="shared" si="16"/>
        <v>1.5451481852097099E-3</v>
      </c>
      <c r="I86" s="336"/>
      <c r="J86" s="168"/>
      <c r="K86" s="168"/>
      <c r="M86" s="359">
        <f t="shared" si="17"/>
        <v>0.3751412042583781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'[25]Sch C'!D80</f>
        <v>16500</v>
      </c>
      <c r="D87" s="558">
        <f>'[25]Sch C'!F80</f>
        <v>0</v>
      </c>
      <c r="E87" s="171">
        <f t="shared" si="14"/>
        <v>16500</v>
      </c>
      <c r="F87" s="171">
        <v>4236</v>
      </c>
      <c r="G87" s="171">
        <f t="shared" si="15"/>
        <v>20736</v>
      </c>
      <c r="H87" s="172">
        <f t="shared" si="16"/>
        <v>2.9236420082588322E-3</v>
      </c>
      <c r="I87" s="336"/>
      <c r="J87" s="168"/>
      <c r="K87" s="168"/>
      <c r="M87" s="359">
        <f t="shared" si="17"/>
        <v>0.70982097011604428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'[25]Sch C'!D81</f>
        <v>5365</v>
      </c>
      <c r="D88" s="558">
        <f>'[25]Sch C'!F81</f>
        <v>0</v>
      </c>
      <c r="E88" s="171">
        <f t="shared" si="14"/>
        <v>5365</v>
      </c>
      <c r="F88" s="171">
        <v>3431</v>
      </c>
      <c r="G88" s="171">
        <f t="shared" si="15"/>
        <v>8796</v>
      </c>
      <c r="H88" s="172">
        <f t="shared" si="16"/>
        <v>1.2401791620681273E-3</v>
      </c>
      <c r="I88" s="336"/>
      <c r="J88" s="168"/>
      <c r="K88" s="168"/>
      <c r="M88" s="359">
        <f t="shared" si="17"/>
        <v>0.30109882586519698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'[25]Sch C'!D82</f>
        <v>1622</v>
      </c>
      <c r="D89" s="558">
        <f>'[25]Sch C'!F82</f>
        <v>0</v>
      </c>
      <c r="E89" s="171">
        <f t="shared" si="14"/>
        <v>1622</v>
      </c>
      <c r="F89" s="171">
        <v>668</v>
      </c>
      <c r="G89" s="171">
        <f t="shared" si="15"/>
        <v>2290</v>
      </c>
      <c r="H89" s="172">
        <f t="shared" si="16"/>
        <v>3.2287520249386215E-4</v>
      </c>
      <c r="I89" s="336"/>
      <c r="J89" s="168"/>
      <c r="K89" s="168"/>
      <c r="M89" s="359">
        <f t="shared" si="17"/>
        <v>7.8389757984458977E-2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'[25]Sch C'!D83</f>
        <v>0</v>
      </c>
      <c r="D90" s="558">
        <f>'[25]Sch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'[25]Sch C'!D84</f>
        <v>76066</v>
      </c>
      <c r="D91" s="558">
        <f>'[25]Sch C'!F84</f>
        <v>0</v>
      </c>
      <c r="E91" s="171">
        <f t="shared" si="14"/>
        <v>76066</v>
      </c>
      <c r="F91" s="171">
        <v>13518</v>
      </c>
      <c r="G91" s="171">
        <f t="shared" si="15"/>
        <v>89584</v>
      </c>
      <c r="H91" s="172">
        <f t="shared" si="16"/>
        <v>1.2630765126729322E-2</v>
      </c>
      <c r="I91" s="336"/>
      <c r="J91" s="168"/>
      <c r="K91" s="168"/>
      <c r="M91" s="359">
        <f t="shared" si="17"/>
        <v>3.0665799472837434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'[25]Sch C'!D85</f>
        <v>0</v>
      </c>
      <c r="D92" s="558">
        <f>'[25]Sch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186451</v>
      </c>
      <c r="D93" s="558">
        <f>SUM(D82:D92)</f>
        <v>12057</v>
      </c>
      <c r="E93" s="171">
        <f t="shared" ref="E93:F93" si="18">SUM(E82:E92)</f>
        <v>198508</v>
      </c>
      <c r="F93" s="171">
        <f t="shared" si="18"/>
        <v>40603</v>
      </c>
      <c r="G93" s="171">
        <f>SUM(G82:G92)</f>
        <v>239111</v>
      </c>
      <c r="H93" s="172">
        <f t="shared" si="16"/>
        <v>3.3713105914196455E-2</v>
      </c>
      <c r="I93" s="336"/>
      <c r="J93" s="168"/>
      <c r="K93" s="168"/>
      <c r="M93" s="364">
        <f>G93/G$228</f>
        <v>8.1850888303152711</v>
      </c>
      <c r="N93" s="359">
        <f>SUMMARY!J96</f>
        <v>11.458724454710746</v>
      </c>
      <c r="O93" s="354">
        <f>M93/N93-1</f>
        <v>-0.28568935725212108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'[25]Sch C'!D89</f>
        <v>172812</v>
      </c>
      <c r="D96" s="558">
        <f>'[25]Sch C'!F89</f>
        <v>10800</v>
      </c>
      <c r="E96" s="171">
        <f t="shared" ref="E96:E101" si="19">C96+D96</f>
        <v>183612</v>
      </c>
      <c r="F96" s="171">
        <v>34031</v>
      </c>
      <c r="G96" s="171">
        <f t="shared" ref="G96:G101" si="20">E96+F96</f>
        <v>217643</v>
      </c>
      <c r="H96" s="172">
        <f t="shared" ref="H96:H102" si="21">IF($G$208=0,0,G96/$G$208)</f>
        <v>3.068625663597015E-2</v>
      </c>
      <c r="I96" s="336"/>
      <c r="J96" s="183">
        <f>14270+2650</f>
        <v>16920</v>
      </c>
      <c r="K96" s="183">
        <f>15162+2810</f>
        <v>17972</v>
      </c>
      <c r="M96" s="364">
        <f t="shared" ref="M96:M101" si="22">G96/G$228</f>
        <v>7.4502105227124913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'[25]Sch C'!D90</f>
        <v>0</v>
      </c>
      <c r="D97" s="558">
        <f>'[25]Sch C'!F90</f>
        <v>22107</v>
      </c>
      <c r="E97" s="171">
        <f t="shared" si="19"/>
        <v>22107</v>
      </c>
      <c r="F97" s="171">
        <v>4151</v>
      </c>
      <c r="G97" s="171">
        <f t="shared" si="20"/>
        <v>26258</v>
      </c>
      <c r="H97" s="172">
        <f t="shared" si="21"/>
        <v>3.7022083262374813E-3</v>
      </c>
      <c r="I97" s="336"/>
      <c r="J97" s="168"/>
      <c r="K97" s="168"/>
      <c r="M97" s="364">
        <f t="shared" si="22"/>
        <v>0.89884640399822002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'[25]Sch C'!D91</f>
        <v>10342</v>
      </c>
      <c r="D98" s="558">
        <f>'[25]Sch C'!F91</f>
        <v>0</v>
      </c>
      <c r="E98" s="171">
        <f t="shared" si="19"/>
        <v>10342</v>
      </c>
      <c r="F98" s="171">
        <v>2037</v>
      </c>
      <c r="G98" s="171">
        <f t="shared" si="20"/>
        <v>12379</v>
      </c>
      <c r="H98" s="172">
        <f t="shared" si="21"/>
        <v>1.7453590094635458E-3</v>
      </c>
      <c r="I98" s="336"/>
      <c r="J98" s="168"/>
      <c r="K98" s="168"/>
      <c r="M98" s="364">
        <f t="shared" si="22"/>
        <v>0.42374970047581556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'[25]Sch C'!D92</f>
        <v>156939</v>
      </c>
      <c r="D99" s="558">
        <f>'[25]Sch C'!F92</f>
        <v>0</v>
      </c>
      <c r="E99" s="171">
        <f t="shared" si="19"/>
        <v>156939</v>
      </c>
      <c r="F99" s="171">
        <v>39060</v>
      </c>
      <c r="G99" s="171">
        <f t="shared" si="20"/>
        <v>195999</v>
      </c>
      <c r="H99" s="172">
        <f t="shared" si="21"/>
        <v>2.7634592495019428E-2</v>
      </c>
      <c r="I99" s="336"/>
      <c r="J99" s="168"/>
      <c r="K99" s="168"/>
      <c r="M99" s="364">
        <f t="shared" si="22"/>
        <v>6.7093075000855782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'[25]Sch C'!D93</f>
        <v>8985</v>
      </c>
      <c r="D100" s="558">
        <f>'[25]Sch C'!F93</f>
        <v>0</v>
      </c>
      <c r="E100" s="171">
        <f t="shared" si="19"/>
        <v>8985</v>
      </c>
      <c r="F100" s="171">
        <v>2309</v>
      </c>
      <c r="G100" s="171">
        <f t="shared" si="20"/>
        <v>11294</v>
      </c>
      <c r="H100" s="172">
        <f t="shared" si="21"/>
        <v>1.5923810205090302E-3</v>
      </c>
      <c r="I100" s="336"/>
      <c r="J100" s="168"/>
      <c r="K100" s="168"/>
      <c r="M100" s="364">
        <f t="shared" si="22"/>
        <v>0.38660870160544963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'[25]Sch C'!D94</f>
        <v>0</v>
      </c>
      <c r="D101" s="558">
        <f>'[25]Sch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349078</v>
      </c>
      <c r="D102" s="558">
        <f>SUM(D96:D101)</f>
        <v>32907</v>
      </c>
      <c r="E102" s="171">
        <f t="shared" ref="E102:F102" si="23">SUM(E96:E101)</f>
        <v>381985</v>
      </c>
      <c r="F102" s="171">
        <f t="shared" si="23"/>
        <v>81588</v>
      </c>
      <c r="G102" s="171">
        <f>SUM(G96:G101)</f>
        <v>463573</v>
      </c>
      <c r="H102" s="172">
        <f t="shared" si="21"/>
        <v>6.536079748719964E-2</v>
      </c>
      <c r="I102" s="336"/>
      <c r="J102" s="168"/>
      <c r="K102" s="168"/>
      <c r="M102" s="364">
        <f>G102/G$228</f>
        <v>15.868722828877555</v>
      </c>
      <c r="N102" s="359">
        <f>SUMMARY!J105</f>
        <v>19.901077037785338</v>
      </c>
      <c r="O102" s="354">
        <f>M102/N102-1</f>
        <v>-0.20261989847342043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'[25]Sch C'!D98</f>
        <v>2470</v>
      </c>
      <c r="D105" s="558">
        <f>'[25]Sch C'!F98</f>
        <v>154</v>
      </c>
      <c r="E105" s="171">
        <f t="shared" ref="E105:E110" si="24">C105+D105</f>
        <v>2624</v>
      </c>
      <c r="F105" s="171">
        <v>0</v>
      </c>
      <c r="G105" s="171">
        <f t="shared" ref="G105:G110" si="25">E105+F105</f>
        <v>2624</v>
      </c>
      <c r="H105" s="172">
        <f t="shared" ref="H105:H111" si="26">IF($G$208=0,0,G105/$G$208)</f>
        <v>3.6996704425497568E-4</v>
      </c>
      <c r="I105" s="336"/>
      <c r="J105" s="183">
        <v>235</v>
      </c>
      <c r="K105" s="183">
        <v>250</v>
      </c>
      <c r="M105" s="364">
        <f t="shared" ref="M105:M110" si="27">G105/G$228</f>
        <v>8.9823023996166096E-2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'[25]Sch C'!D99</f>
        <v>0</v>
      </c>
      <c r="D106" s="558">
        <f>'[25]Sch C'!F99</f>
        <v>316</v>
      </c>
      <c r="E106" s="171">
        <f t="shared" si="24"/>
        <v>316</v>
      </c>
      <c r="F106" s="171">
        <v>0</v>
      </c>
      <c r="G106" s="171">
        <f t="shared" si="25"/>
        <v>316</v>
      </c>
      <c r="H106" s="172">
        <f t="shared" si="26"/>
        <v>4.4553958073388838E-5</v>
      </c>
      <c r="I106" s="336"/>
      <c r="J106" s="168"/>
      <c r="K106" s="168"/>
      <c r="M106" s="364">
        <f t="shared" si="27"/>
        <v>1.081710197514805E-2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'[25]Sch C'!D100</f>
        <v>892</v>
      </c>
      <c r="D107" s="558">
        <f>'[25]Sch C'!F100</f>
        <v>0</v>
      </c>
      <c r="E107" s="171">
        <f t="shared" si="24"/>
        <v>892</v>
      </c>
      <c r="F107" s="171">
        <v>436</v>
      </c>
      <c r="G107" s="171">
        <f t="shared" si="25"/>
        <v>1328</v>
      </c>
      <c r="H107" s="172">
        <f t="shared" si="26"/>
        <v>1.8723941873879867E-4</v>
      </c>
      <c r="I107" s="336"/>
      <c r="J107" s="168"/>
      <c r="K107" s="168"/>
      <c r="M107" s="364">
        <f t="shared" si="27"/>
        <v>4.5459213363913328E-2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'[25]Sch C'!D101</f>
        <v>163</v>
      </c>
      <c r="D108" s="558">
        <f>'[25]Sch C'!F101</f>
        <v>0</v>
      </c>
      <c r="E108" s="171">
        <f t="shared" si="24"/>
        <v>163</v>
      </c>
      <c r="F108" s="171">
        <v>122</v>
      </c>
      <c r="G108" s="171">
        <f t="shared" si="25"/>
        <v>285</v>
      </c>
      <c r="H108" s="172">
        <f t="shared" si="26"/>
        <v>4.0183158388974114E-5</v>
      </c>
      <c r="I108" s="336"/>
      <c r="J108" s="168"/>
      <c r="K108" s="168"/>
      <c r="M108" s="364">
        <f t="shared" si="27"/>
        <v>9.7559305788518808E-3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'[25]Sch C'!D102</f>
        <v>3648</v>
      </c>
      <c r="D109" s="558">
        <f>'[25]Sch C'!F102</f>
        <v>0</v>
      </c>
      <c r="E109" s="171">
        <f t="shared" si="24"/>
        <v>3648</v>
      </c>
      <c r="F109" s="171">
        <v>864</v>
      </c>
      <c r="G109" s="171">
        <f t="shared" si="25"/>
        <v>4512</v>
      </c>
      <c r="H109" s="172">
        <f t="shared" si="26"/>
        <v>6.3616284438965326E-4</v>
      </c>
      <c r="I109" s="336"/>
      <c r="J109" s="168"/>
      <c r="K109" s="168"/>
      <c r="M109" s="364">
        <f t="shared" si="27"/>
        <v>0.15445178516413927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'[25]Sch C'!D103</f>
        <v>1848</v>
      </c>
      <c r="D110" s="558">
        <f>'[25]Sch C'!F103</f>
        <v>0</v>
      </c>
      <c r="E110" s="171">
        <f t="shared" si="24"/>
        <v>1848</v>
      </c>
      <c r="F110" s="171">
        <v>390</v>
      </c>
      <c r="G110" s="171">
        <f t="shared" si="25"/>
        <v>2238</v>
      </c>
      <c r="H110" s="172">
        <f t="shared" si="26"/>
        <v>3.1554353850710197E-4</v>
      </c>
      <c r="I110" s="336"/>
      <c r="J110" s="168"/>
      <c r="K110" s="168"/>
      <c r="M110" s="364">
        <f t="shared" si="27"/>
        <v>7.6609728545510555E-2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9021</v>
      </c>
      <c r="D111" s="558">
        <f>SUM(D105:D110)</f>
        <v>470</v>
      </c>
      <c r="E111" s="171">
        <f t="shared" ref="E111:F111" si="28">SUM(E105:E110)</f>
        <v>9491</v>
      </c>
      <c r="F111" s="171">
        <f t="shared" si="28"/>
        <v>1812</v>
      </c>
      <c r="G111" s="171">
        <f>SUM(G105:G110)</f>
        <v>11303</v>
      </c>
      <c r="H111" s="172">
        <f t="shared" si="26"/>
        <v>1.5936499623528926E-3</v>
      </c>
      <c r="I111" s="336"/>
      <c r="J111" s="168"/>
      <c r="K111" s="168"/>
      <c r="M111" s="364">
        <f>G111/G$228</f>
        <v>0.38691678362372917</v>
      </c>
      <c r="N111" s="359">
        <f>SUMMARY!J114</f>
        <v>2.4242384372309496</v>
      </c>
      <c r="O111" s="354">
        <f>M111/N111-1</f>
        <v>-0.84039656426466069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'[25]Sch C'!D115</f>
        <v>92550</v>
      </c>
      <c r="D114" s="558">
        <f>'[25]Sch C'!F115</f>
        <v>5784</v>
      </c>
      <c r="E114" s="171">
        <f t="shared" ref="E114:E118" si="29">C114+D114</f>
        <v>98334</v>
      </c>
      <c r="F114" s="171">
        <v>20602</v>
      </c>
      <c r="G114" s="171">
        <f>E114+F114</f>
        <v>118936</v>
      </c>
      <c r="H114" s="172">
        <f t="shared" ref="H114:H119" si="30">IF($G$208=0,0,G114/$G$208)</f>
        <v>1.6769207460179035E-2</v>
      </c>
      <c r="I114" s="336"/>
      <c r="J114" s="183">
        <f>9358+1965</f>
        <v>11323</v>
      </c>
      <c r="K114" s="183">
        <f>9943+2083</f>
        <v>12026</v>
      </c>
      <c r="M114" s="364">
        <f t="shared" ref="M114:M119" si="31">G114/G$228</f>
        <v>4.0713381028993938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'[25]Sch C'!D116</f>
        <v>0</v>
      </c>
      <c r="D115" s="558">
        <f>'[25]Sch C'!F116</f>
        <v>11839</v>
      </c>
      <c r="E115" s="171">
        <f t="shared" si="29"/>
        <v>11839</v>
      </c>
      <c r="F115" s="171">
        <v>2513</v>
      </c>
      <c r="G115" s="171">
        <f>E115+F115</f>
        <v>14352</v>
      </c>
      <c r="H115" s="172">
        <f t="shared" si="30"/>
        <v>2.0235392603458122E-3</v>
      </c>
      <c r="I115" s="336"/>
      <c r="J115" s="168"/>
      <c r="K115" s="168"/>
      <c r="M115" s="364">
        <f t="shared" si="31"/>
        <v>0.49128812514976211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'[25]Sch C'!D117</f>
        <v>19221</v>
      </c>
      <c r="D116" s="558">
        <f>'[25]Sch C'!F117</f>
        <v>0</v>
      </c>
      <c r="E116" s="171">
        <f t="shared" si="29"/>
        <v>19221</v>
      </c>
      <c r="F116" s="171">
        <v>4733</v>
      </c>
      <c r="G116" s="171">
        <f>E116+F116</f>
        <v>23954</v>
      </c>
      <c r="H116" s="172">
        <f t="shared" si="30"/>
        <v>3.3773592142087223E-3</v>
      </c>
      <c r="I116" s="336"/>
      <c r="J116" s="168"/>
      <c r="K116" s="168"/>
      <c r="M116" s="364">
        <f t="shared" si="31"/>
        <v>0.81997740731865953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'[25]Sch C'!D118</f>
        <v>2827</v>
      </c>
      <c r="D117" s="558">
        <f>'[25]Sch C'!F118</f>
        <v>0</v>
      </c>
      <c r="E117" s="171">
        <f t="shared" si="29"/>
        <v>2827</v>
      </c>
      <c r="F117" s="171">
        <v>1050</v>
      </c>
      <c r="G117" s="171">
        <f>E117+F117</f>
        <v>3877</v>
      </c>
      <c r="H117" s="172">
        <f t="shared" si="30"/>
        <v>5.4663194762825484E-4</v>
      </c>
      <c r="I117" s="336"/>
      <c r="J117" s="168"/>
      <c r="K117" s="168"/>
      <c r="M117" s="364">
        <f t="shared" si="31"/>
        <v>0.13271488720774999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'[25]Sch C'!D119</f>
        <v>258</v>
      </c>
      <c r="D118" s="558">
        <f>'[25]Sch C'!F119</f>
        <v>0</v>
      </c>
      <c r="E118" s="171">
        <f t="shared" si="29"/>
        <v>258</v>
      </c>
      <c r="F118" s="171">
        <v>120</v>
      </c>
      <c r="G118" s="171">
        <f>E118+F118</f>
        <v>378</v>
      </c>
      <c r="H118" s="172">
        <f t="shared" si="30"/>
        <v>5.3295557442218298E-5</v>
      </c>
      <c r="I118" s="336"/>
      <c r="J118" s="168"/>
      <c r="K118" s="168"/>
      <c r="M118" s="364">
        <f t="shared" si="31"/>
        <v>1.293944476774039E-2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114856</v>
      </c>
      <c r="D119" s="558">
        <f>SUM(D114:D118)</f>
        <v>17623</v>
      </c>
      <c r="E119" s="171">
        <f t="shared" ref="E119:F119" si="32">SUM(E114:E118)</f>
        <v>132479</v>
      </c>
      <c r="F119" s="171">
        <f t="shared" si="32"/>
        <v>29018</v>
      </c>
      <c r="G119" s="171">
        <f>SUM(G114:G118)</f>
        <v>161497</v>
      </c>
      <c r="H119" s="172">
        <f t="shared" si="30"/>
        <v>2.2770033439804042E-2</v>
      </c>
      <c r="I119" s="336"/>
      <c r="J119" s="168"/>
      <c r="K119" s="168"/>
      <c r="M119" s="364">
        <f t="shared" si="31"/>
        <v>5.5282579673433059</v>
      </c>
      <c r="N119" s="359">
        <f>SUMMARY!J122</f>
        <v>6.0247597205909562</v>
      </c>
      <c r="O119" s="354">
        <f>M119/N119-1</f>
        <v>-8.2410216551997095E-2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'[25]Sch C'!D124</f>
        <v>0</v>
      </c>
      <c r="D123" s="558">
        <f>'[25]Sch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'[25]Sch C'!D125</f>
        <v>160020</v>
      </c>
      <c r="D124" s="558">
        <f>'[25]Sch C'!F125</f>
        <v>10001</v>
      </c>
      <c r="E124" s="171">
        <f t="shared" si="33"/>
        <v>170021</v>
      </c>
      <c r="F124" s="171">
        <v>29595</v>
      </c>
      <c r="G124" s="171">
        <f>E124+F124</f>
        <v>199616</v>
      </c>
      <c r="H124" s="172">
        <f>IF($G$208=0,0,G124/$G$208)</f>
        <v>2.814456612271388E-2</v>
      </c>
      <c r="I124" s="336"/>
      <c r="J124" s="183">
        <f>3450+602</f>
        <v>4052</v>
      </c>
      <c r="K124" s="183">
        <f>3666+638</f>
        <v>4304</v>
      </c>
      <c r="M124" s="364">
        <f t="shared" si="34"/>
        <v>6.8331222400985858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'[25]Sch C'!D126</f>
        <v>54149</v>
      </c>
      <c r="D125" s="558">
        <f>'[25]Sch C'!F126</f>
        <v>3384</v>
      </c>
      <c r="E125" s="171">
        <f t="shared" si="33"/>
        <v>57533</v>
      </c>
      <c r="F125" s="171">
        <v>11635</v>
      </c>
      <c r="G125" s="171">
        <f>E125+F125</f>
        <v>69168</v>
      </c>
      <c r="H125" s="172">
        <f>IF($G$208=0,0,G125/$G$208)</f>
        <v>9.7522410506967073E-3</v>
      </c>
      <c r="I125" s="336"/>
      <c r="J125" s="183">
        <f>1635+331</f>
        <v>1966</v>
      </c>
      <c r="K125" s="183">
        <f>1737+351</f>
        <v>2088</v>
      </c>
      <c r="M125" s="364">
        <f t="shared" si="34"/>
        <v>2.3677130044843051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'[25]Sch C'!D127</f>
        <v>0</v>
      </c>
      <c r="D126" s="558">
        <f>'[25]Sch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'[25]Sch C'!D128</f>
        <v>60902</v>
      </c>
      <c r="D127" s="558">
        <f>'[25]Sch C'!F128</f>
        <v>3806</v>
      </c>
      <c r="E127" s="171">
        <f t="shared" si="33"/>
        <v>64708</v>
      </c>
      <c r="F127" s="171">
        <v>6935</v>
      </c>
      <c r="G127" s="171">
        <f>E127+F127</f>
        <v>71643</v>
      </c>
      <c r="H127" s="172">
        <f>IF($G$208=0,0,G127/$G$208)</f>
        <v>1.0101200057758849E-2</v>
      </c>
      <c r="I127" s="336"/>
      <c r="J127" s="183">
        <v>436</v>
      </c>
      <c r="K127" s="183">
        <v>462</v>
      </c>
      <c r="M127" s="364">
        <f t="shared" si="34"/>
        <v>2.4524355595111764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'[25]Sch C'!D130</f>
        <v>0</v>
      </c>
      <c r="D129" s="558">
        <f>'[25]Sch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'[25]Sch C'!D131</f>
        <v>0</v>
      </c>
      <c r="D130" s="558">
        <f>'[25]Sch C'!F131</f>
        <v>20471</v>
      </c>
      <c r="E130" s="171">
        <f t="shared" si="35"/>
        <v>20471</v>
      </c>
      <c r="F130" s="171">
        <v>3610</v>
      </c>
      <c r="G130" s="171">
        <f>E130+F130</f>
        <v>24081</v>
      </c>
      <c r="H130" s="172">
        <f>IF($G$208=0,0,G130/$G$208)</f>
        <v>3.3952653935610021E-3</v>
      </c>
      <c r="I130" s="336"/>
      <c r="J130" s="204"/>
      <c r="K130" s="204"/>
      <c r="M130" s="364">
        <f t="shared" si="34"/>
        <v>0.82432478690993738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'[25]Sch C'!D132</f>
        <v>0</v>
      </c>
      <c r="D131" s="558">
        <f>'[25]Sch C'!F132</f>
        <v>6927</v>
      </c>
      <c r="E131" s="171">
        <f t="shared" si="35"/>
        <v>6927</v>
      </c>
      <c r="F131" s="171">
        <v>1419</v>
      </c>
      <c r="G131" s="171">
        <f>E131+F131</f>
        <v>8346</v>
      </c>
      <c r="H131" s="172">
        <f>IF($G$208=0,0,G131/$G$208)</f>
        <v>1.1767320698750103E-3</v>
      </c>
      <c r="I131" s="336"/>
      <c r="J131" s="168"/>
      <c r="K131" s="168"/>
      <c r="M131" s="364">
        <f t="shared" si="34"/>
        <v>0.28569472495122034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'[25]Sch C'!D133</f>
        <v>0</v>
      </c>
      <c r="D132" s="558">
        <f>'[25]Sch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'[25]Sch C'!D134</f>
        <v>0</v>
      </c>
      <c r="D133" s="558">
        <f>'[25]Sch C'!F134</f>
        <v>7791</v>
      </c>
      <c r="E133" s="171">
        <f t="shared" si="35"/>
        <v>7791</v>
      </c>
      <c r="F133" s="171">
        <v>846</v>
      </c>
      <c r="G133" s="171">
        <f>E133+F133</f>
        <v>8637</v>
      </c>
      <c r="H133" s="172">
        <f>IF($G$208=0,0,G133/$G$208)</f>
        <v>1.2177611894932259E-3</v>
      </c>
      <c r="I133" s="336"/>
      <c r="J133" s="168"/>
      <c r="K133" s="168"/>
      <c r="M133" s="364">
        <f t="shared" si="34"/>
        <v>0.29565604354225861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'[25]Sch C'!D136</f>
        <v>605686</v>
      </c>
      <c r="D135" s="558">
        <f>'[25]Sch C'!F136</f>
        <v>37853</v>
      </c>
      <c r="E135" s="171">
        <f t="shared" ref="E135:E138" si="36">C135+D135</f>
        <v>643539</v>
      </c>
      <c r="F135" s="171">
        <v>113753</v>
      </c>
      <c r="G135" s="171">
        <f>E135+F135</f>
        <v>757292</v>
      </c>
      <c r="H135" s="172">
        <f>IF($G$208=0,0,G135/$G$208)</f>
        <v>0.10677327853579995</v>
      </c>
      <c r="I135" s="336"/>
      <c r="J135" s="183">
        <f>20857+3694</f>
        <v>24551</v>
      </c>
      <c r="K135" s="183">
        <f>22160+3917</f>
        <v>26077</v>
      </c>
      <c r="M135" s="364">
        <f t="shared" si="34"/>
        <v>25.923116420771574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'[25]Sch C'!D137</f>
        <v>142463</v>
      </c>
      <c r="D136" s="558">
        <f>'[25]Sch C'!F137</f>
        <v>8903</v>
      </c>
      <c r="E136" s="171">
        <f t="shared" si="36"/>
        <v>151366</v>
      </c>
      <c r="F136" s="171">
        <v>40864</v>
      </c>
      <c r="G136" s="171">
        <f>E136+F136</f>
        <v>192230</v>
      </c>
      <c r="H136" s="172">
        <f>IF($G$208=0,0,G136/$G$208)</f>
        <v>2.710318784951752E-2</v>
      </c>
      <c r="I136" s="336"/>
      <c r="J136" s="183">
        <f>5794+1567</f>
        <v>7361</v>
      </c>
      <c r="K136" s="183">
        <f>6156+1662</f>
        <v>7818</v>
      </c>
      <c r="M136" s="364">
        <f t="shared" si="34"/>
        <v>6.5802895970971829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'[25]Sch C'!D138</f>
        <v>608094</v>
      </c>
      <c r="D137" s="558">
        <f>'[25]Sch C'!F138</f>
        <v>38003</v>
      </c>
      <c r="E137" s="171">
        <f t="shared" si="36"/>
        <v>646097</v>
      </c>
      <c r="F137" s="171">
        <v>134552</v>
      </c>
      <c r="G137" s="171">
        <f>E137+F137</f>
        <v>780649</v>
      </c>
      <c r="H137" s="172">
        <f>IF($G$208=0,0,G137/$G$208)</f>
        <v>0.11006646460769913</v>
      </c>
      <c r="I137" s="336"/>
      <c r="J137" s="183">
        <f>46313+9664</f>
        <v>55977</v>
      </c>
      <c r="K137" s="183">
        <f>49207+10248</f>
        <v>59455</v>
      </c>
      <c r="M137" s="364">
        <f t="shared" si="34"/>
        <v>26.722657720877692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'[25]Sch C'!D139</f>
        <v>88815</v>
      </c>
      <c r="D138" s="558">
        <f>'[25]Sch C'!F139</f>
        <v>5551</v>
      </c>
      <c r="E138" s="171">
        <f t="shared" si="36"/>
        <v>94366</v>
      </c>
      <c r="F138" s="171">
        <v>23203</v>
      </c>
      <c r="G138" s="171">
        <f>E138+F138</f>
        <v>117569</v>
      </c>
      <c r="H138" s="172">
        <f>IF($G$208=0,0,G138/$G$208)</f>
        <v>1.6576469293450167E-2</v>
      </c>
      <c r="I138" s="336"/>
      <c r="J138" s="183">
        <v>1692</v>
      </c>
      <c r="K138" s="183">
        <v>1795</v>
      </c>
      <c r="M138" s="364">
        <f t="shared" si="34"/>
        <v>4.0245438674562699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'[25]Sch C'!D141</f>
        <v>0</v>
      </c>
      <c r="D140" s="558">
        <f>'[25]Sch C'!F141</f>
        <v>77485</v>
      </c>
      <c r="E140" s="171">
        <f t="shared" ref="E140:E143" si="37">C140+D140</f>
        <v>77485</v>
      </c>
      <c r="F140" s="171">
        <v>13876</v>
      </c>
      <c r="G140" s="171">
        <f>E140+F140</f>
        <v>91361</v>
      </c>
      <c r="H140" s="172">
        <f>IF($G$208=0,0,G140/$G$208)</f>
        <v>1.2881310644123031E-2</v>
      </c>
      <c r="I140" s="336"/>
      <c r="J140" s="168"/>
      <c r="K140" s="168"/>
      <c r="M140" s="364">
        <f t="shared" si="34"/>
        <v>3.1274090302262691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'[25]Sch C'!D142</f>
        <v>0</v>
      </c>
      <c r="D141" s="558">
        <f>'[25]Sch C'!F142</f>
        <v>18225</v>
      </c>
      <c r="E141" s="171">
        <f t="shared" si="37"/>
        <v>18225</v>
      </c>
      <c r="F141" s="171">
        <v>4985</v>
      </c>
      <c r="G141" s="171">
        <f>E141+F141</f>
        <v>23210</v>
      </c>
      <c r="H141" s="172">
        <f>IF($G$208=0,0,G141/$G$208)</f>
        <v>3.2724600217827688E-3</v>
      </c>
      <c r="I141" s="336"/>
      <c r="J141" s="168"/>
      <c r="K141" s="168"/>
      <c r="M141" s="364">
        <f t="shared" si="34"/>
        <v>0.79450929380755142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'[25]Sch C'!D143</f>
        <v>0</v>
      </c>
      <c r="D142" s="558">
        <f>'[25]Sch C'!F143</f>
        <v>77792</v>
      </c>
      <c r="E142" s="171">
        <f t="shared" si="37"/>
        <v>77792</v>
      </c>
      <c r="F142" s="171">
        <v>16412</v>
      </c>
      <c r="G142" s="171">
        <f>E142+F142</f>
        <v>94204</v>
      </c>
      <c r="H142" s="172">
        <f>IF($G$208=0,0,G142/$G$208)</f>
        <v>1.3282155273245324E-2</v>
      </c>
      <c r="I142" s="336"/>
      <c r="J142" s="168"/>
      <c r="K142" s="168"/>
      <c r="M142" s="364">
        <f t="shared" si="34"/>
        <v>3.2247287166672374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'[25]Sch C'!D144</f>
        <v>0</v>
      </c>
      <c r="D143" s="558">
        <f>'[25]Sch C'!F144</f>
        <v>11362</v>
      </c>
      <c r="E143" s="171">
        <f t="shared" si="37"/>
        <v>11362</v>
      </c>
      <c r="F143" s="171">
        <v>2830</v>
      </c>
      <c r="G143" s="171">
        <f>E143+F143</f>
        <v>14192</v>
      </c>
      <c r="H143" s="172">
        <f>IF($G$208=0,0,G143/$G$208)</f>
        <v>2.000980294232704E-3</v>
      </c>
      <c r="I143" s="336"/>
      <c r="J143" s="168"/>
      <c r="K143" s="168"/>
      <c r="M143" s="364">
        <f t="shared" si="34"/>
        <v>0.48581111149145928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'[25]Sch C'!D146</f>
        <v>40000</v>
      </c>
      <c r="D145" s="558">
        <f>'[25]Sch C'!F146</f>
        <v>0</v>
      </c>
      <c r="E145" s="171">
        <f t="shared" ref="E145:E153" si="38">C145+D145</f>
        <v>40000</v>
      </c>
      <c r="F145" s="171">
        <v>8000</v>
      </c>
      <c r="G145" s="171">
        <f t="shared" ref="G145:G153" si="39">E145+F145</f>
        <v>48000</v>
      </c>
      <c r="H145" s="172">
        <f t="shared" ref="H145:H153" si="40">IF($G$208=0,0,G145/$G$208)</f>
        <v>6.7676898339324816E-3</v>
      </c>
      <c r="I145" s="336"/>
      <c r="J145" s="183">
        <v>100</v>
      </c>
      <c r="K145" s="183">
        <v>100</v>
      </c>
      <c r="M145" s="364">
        <f t="shared" si="34"/>
        <v>1.6431040974908431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'[25]Sch C'!D147</f>
        <v>0</v>
      </c>
      <c r="D146" s="558">
        <f>'[25]Sch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'[25]Sch C'!D148</f>
        <v>0</v>
      </c>
      <c r="D147" s="558">
        <f>'[25]Sch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'[25]Sch C'!D149</f>
        <v>16488</v>
      </c>
      <c r="D148" s="558">
        <f>'[25]Sch C'!F149</f>
        <v>0</v>
      </c>
      <c r="E148" s="171">
        <f t="shared" si="38"/>
        <v>16488</v>
      </c>
      <c r="F148" s="171">
        <v>5298</v>
      </c>
      <c r="G148" s="171">
        <f t="shared" si="39"/>
        <v>21786</v>
      </c>
      <c r="H148" s="172">
        <f t="shared" si="40"/>
        <v>3.0716852233761052E-3</v>
      </c>
      <c r="I148" s="336"/>
      <c r="J148" s="183">
        <f>1099.2+353</f>
        <v>1452.2</v>
      </c>
      <c r="K148" s="183">
        <v>353</v>
      </c>
      <c r="M148" s="364">
        <f t="shared" si="34"/>
        <v>0.74576387224865637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'[25]Sch C'!D150</f>
        <v>14806</v>
      </c>
      <c r="D149" s="558">
        <f>'[25]Sch C'!F150</f>
        <v>0</v>
      </c>
      <c r="E149" s="171">
        <f t="shared" si="38"/>
        <v>14806</v>
      </c>
      <c r="F149" s="171">
        <v>1638</v>
      </c>
      <c r="G149" s="171">
        <f t="shared" si="39"/>
        <v>16444</v>
      </c>
      <c r="H149" s="172">
        <f t="shared" si="40"/>
        <v>2.3184977422747027E-3</v>
      </c>
      <c r="I149" s="336"/>
      <c r="J149" s="183">
        <f>987.066666666667+86</f>
        <v>1073.0666666666671</v>
      </c>
      <c r="K149" s="183">
        <v>86</v>
      </c>
      <c r="M149" s="364">
        <f t="shared" si="34"/>
        <v>0.56290007873207137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'[25]Sch C'!D151</f>
        <v>79329</v>
      </c>
      <c r="D150" s="558">
        <f>'[25]Sch C'!F151</f>
        <v>0</v>
      </c>
      <c r="E150" s="171">
        <f t="shared" si="38"/>
        <v>79329</v>
      </c>
      <c r="F150" s="171">
        <v>14830</v>
      </c>
      <c r="G150" s="171">
        <f t="shared" si="39"/>
        <v>94159</v>
      </c>
      <c r="H150" s="172">
        <f t="shared" si="40"/>
        <v>1.3275810564026012E-2</v>
      </c>
      <c r="I150" s="336"/>
      <c r="J150" s="168"/>
      <c r="K150" s="168"/>
      <c r="M150" s="364">
        <f t="shared" si="34"/>
        <v>3.2231883065758393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'[25]Sch C'!D152</f>
        <v>3364</v>
      </c>
      <c r="D151" s="558">
        <f>'[25]Sch C'!F152</f>
        <v>0</v>
      </c>
      <c r="E151" s="171">
        <f t="shared" si="38"/>
        <v>3364</v>
      </c>
      <c r="F151" s="171">
        <v>101</v>
      </c>
      <c r="G151" s="171">
        <f t="shared" si="39"/>
        <v>3465</v>
      </c>
      <c r="H151" s="172">
        <f t="shared" si="40"/>
        <v>4.8854260988700105E-4</v>
      </c>
      <c r="I151" s="336"/>
      <c r="J151" s="168"/>
      <c r="K151" s="168"/>
      <c r="M151" s="364">
        <f t="shared" si="34"/>
        <v>0.11861157703762024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'[25]Sch C'!D153</f>
        <v>0</v>
      </c>
      <c r="D152" s="558">
        <f>'[25]Sch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'[25]Sch C'!D154</f>
        <v>0</v>
      </c>
      <c r="D153" s="558">
        <f>'[25]Sch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'[25]Sch C'!D156</f>
        <v>0</v>
      </c>
      <c r="D155" s="558">
        <f>'[25]Sch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'[25]Sch C'!D157</f>
        <v>0</v>
      </c>
      <c r="D156" s="558">
        <f>'[25]Sch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'[25]Sch C'!D158</f>
        <v>0</v>
      </c>
      <c r="D157" s="558">
        <f>'[25]Sch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'[25]Sch C'!D159</f>
        <v>0</v>
      </c>
      <c r="D158" s="558">
        <f>'[25]Sch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'[25]Sch C'!D160</f>
        <v>0</v>
      </c>
      <c r="D159" s="558">
        <f>'[25]Sch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'[25]Sch C'!D161</f>
        <v>2427</v>
      </c>
      <c r="D160" s="558">
        <f>'[25]Sch C'!F161</f>
        <v>0</v>
      </c>
      <c r="E160" s="171">
        <f t="shared" si="41"/>
        <v>2427</v>
      </c>
      <c r="F160" s="171">
        <v>2925</v>
      </c>
      <c r="G160" s="171">
        <f t="shared" si="42"/>
        <v>5352</v>
      </c>
      <c r="H160" s="172">
        <f t="shared" si="43"/>
        <v>7.5459741648347171E-4</v>
      </c>
      <c r="I160" s="336"/>
      <c r="J160" s="168"/>
      <c r="K160" s="168"/>
      <c r="M160" s="364">
        <f t="shared" si="34"/>
        <v>0.18320610687022901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1876543</v>
      </c>
      <c r="D161" s="558">
        <f>SUM(D123:D160)</f>
        <v>327554</v>
      </c>
      <c r="E161" s="171">
        <f t="shared" ref="E161:F161" si="44">SUM(E123:E160)</f>
        <v>2204097</v>
      </c>
      <c r="F161" s="171">
        <f t="shared" si="44"/>
        <v>437307</v>
      </c>
      <c r="G161" s="171">
        <f>SUM(G123:G160)</f>
        <v>2641404</v>
      </c>
      <c r="H161" s="172">
        <f t="shared" si="43"/>
        <v>0.37242089579392901</v>
      </c>
      <c r="I161" s="336"/>
      <c r="J161" s="168"/>
      <c r="K161" s="168"/>
      <c r="M161" s="364">
        <f>G161/G$228</f>
        <v>90.418786156847972</v>
      </c>
      <c r="N161" s="359">
        <f>SUMMARY!J164</f>
        <v>105.56901037202306</v>
      </c>
      <c r="O161" s="354">
        <f>M161/N161-1</f>
        <v>-0.14351014717089805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'[25]Sch C'!D175</f>
        <v>0</v>
      </c>
      <c r="D164" s="558">
        <f>'[25]Sch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'[25]Sch C'!D176</f>
        <v>0</v>
      </c>
      <c r="D165" s="558">
        <f>'[25]Sch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'[25]Sch C'!D177</f>
        <v>233445</v>
      </c>
      <c r="D166" s="558">
        <f>'[25]Sch C'!F177</f>
        <v>14589</v>
      </c>
      <c r="E166" s="171">
        <f t="shared" si="45"/>
        <v>248034</v>
      </c>
      <c r="F166" s="216">
        <v>42171</v>
      </c>
      <c r="G166" s="171">
        <f t="shared" si="46"/>
        <v>290205</v>
      </c>
      <c r="H166" s="172">
        <f t="shared" si="47"/>
        <v>4.0917029755341165E-2</v>
      </c>
      <c r="I166" s="342"/>
      <c r="J166" s="217">
        <f>8461+1441</f>
        <v>9902</v>
      </c>
      <c r="K166" s="217">
        <f>8990+1528</f>
        <v>10518</v>
      </c>
      <c r="L166" s="218"/>
      <c r="M166" s="364">
        <f t="shared" si="48"/>
        <v>9.9341046794235446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'[25]Sch C'!D178</f>
        <v>0</v>
      </c>
      <c r="D167" s="558">
        <f>'[25]Sch C'!F178</f>
        <v>29864</v>
      </c>
      <c r="E167" s="171">
        <f t="shared" si="45"/>
        <v>29864</v>
      </c>
      <c r="F167" s="216">
        <v>5144</v>
      </c>
      <c r="G167" s="171">
        <f t="shared" si="46"/>
        <v>35008</v>
      </c>
      <c r="H167" s="172">
        <f t="shared" si="47"/>
        <v>4.9359017855480905E-3</v>
      </c>
      <c r="I167" s="343"/>
      <c r="J167" s="222"/>
      <c r="K167" s="222"/>
      <c r="L167" s="218"/>
      <c r="M167" s="364">
        <f t="shared" si="48"/>
        <v>1.1983705884366549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'[25]Sch C'!D179</f>
        <v>57115</v>
      </c>
      <c r="D168" s="558">
        <f>'[25]Sch C'!F179</f>
        <v>3569</v>
      </c>
      <c r="E168" s="171">
        <f t="shared" si="45"/>
        <v>60684</v>
      </c>
      <c r="F168" s="216">
        <v>11527</v>
      </c>
      <c r="G168" s="171">
        <f t="shared" si="46"/>
        <v>72211</v>
      </c>
      <c r="H168" s="172">
        <f t="shared" si="47"/>
        <v>1.0181284387460384E-2</v>
      </c>
      <c r="I168" s="342"/>
      <c r="J168" s="217">
        <f>1344+256</f>
        <v>1600</v>
      </c>
      <c r="K168" s="217">
        <f>1428+271</f>
        <v>1699</v>
      </c>
      <c r="L168" s="218"/>
      <c r="M168" s="364">
        <f t="shared" si="48"/>
        <v>2.4718789579981517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'[25]Sch C'!D180</f>
        <v>0</v>
      </c>
      <c r="D169" s="558">
        <f>'[25]Sch C'!F180</f>
        <v>7307</v>
      </c>
      <c r="E169" s="171">
        <f t="shared" si="45"/>
        <v>7307</v>
      </c>
      <c r="F169" s="216">
        <v>1406</v>
      </c>
      <c r="G169" s="171">
        <f t="shared" si="46"/>
        <v>8713</v>
      </c>
      <c r="H169" s="172">
        <f t="shared" si="47"/>
        <v>1.2284766983969523E-3</v>
      </c>
      <c r="I169" s="343"/>
      <c r="J169" s="222"/>
      <c r="K169" s="222"/>
      <c r="L169" s="218"/>
      <c r="M169" s="364">
        <f t="shared" si="48"/>
        <v>0.2982576250299524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'[25]Sch C'!D181</f>
        <v>0</v>
      </c>
      <c r="D170" s="558">
        <f>'[25]Sch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'[25]Sch C'!D182</f>
        <v>0</v>
      </c>
      <c r="D171" s="558">
        <f>'[25]Sch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'[25]Sch C'!D183</f>
        <v>141666</v>
      </c>
      <c r="D172" s="558">
        <f>'[25]Sch C'!F183</f>
        <v>8854</v>
      </c>
      <c r="E172" s="171">
        <f t="shared" si="45"/>
        <v>150520</v>
      </c>
      <c r="F172" s="216">
        <v>30092</v>
      </c>
      <c r="G172" s="171">
        <f t="shared" si="46"/>
        <v>180612</v>
      </c>
      <c r="H172" s="172">
        <f t="shared" si="47"/>
        <v>2.5465124922629447E-2</v>
      </c>
      <c r="I172" s="342"/>
      <c r="J172" s="217">
        <f>4539+909</f>
        <v>5448</v>
      </c>
      <c r="K172" s="217">
        <f>4823+964</f>
        <v>5787</v>
      </c>
      <c r="L172" s="218"/>
      <c r="M172" s="364">
        <f t="shared" si="48"/>
        <v>6.1825899428336699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'[25]Sch C'!D184</f>
        <v>0</v>
      </c>
      <c r="D173" s="558">
        <f>'[25]Sch C'!F184</f>
        <v>18123</v>
      </c>
      <c r="E173" s="171">
        <f t="shared" si="45"/>
        <v>18123</v>
      </c>
      <c r="F173" s="216">
        <v>3671</v>
      </c>
      <c r="G173" s="171">
        <f t="shared" si="46"/>
        <v>21794</v>
      </c>
      <c r="H173" s="172">
        <f t="shared" si="47"/>
        <v>3.0728131716817606E-3</v>
      </c>
      <c r="I173" s="343"/>
      <c r="J173" s="222"/>
      <c r="K173" s="222"/>
      <c r="L173" s="218"/>
      <c r="M173" s="364">
        <f t="shared" si="48"/>
        <v>0.74603772293157156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'[25]Sch C'!D185</f>
        <v>0</v>
      </c>
      <c r="D174" s="558">
        <f>'[25]Sch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'[25]Sch C'!D186</f>
        <v>0</v>
      </c>
      <c r="D175" s="558">
        <f>'[25]Sch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'[25]Sch C'!D187</f>
        <v>0</v>
      </c>
      <c r="D176" s="558">
        <f>'[25]Sch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'[25]Sch C'!D188</f>
        <v>796</v>
      </c>
      <c r="D177" s="558">
        <f>'[25]Sch C'!F188</f>
        <v>0</v>
      </c>
      <c r="E177" s="171">
        <f t="shared" si="45"/>
        <v>796</v>
      </c>
      <c r="F177" s="216">
        <v>9</v>
      </c>
      <c r="G177" s="171">
        <f t="shared" si="46"/>
        <v>805</v>
      </c>
      <c r="H177" s="172">
        <f t="shared" si="47"/>
        <v>1.13499798256576E-4</v>
      </c>
      <c r="I177" s="336"/>
      <c r="J177" s="223"/>
      <c r="K177" s="218"/>
      <c r="L177" s="220"/>
      <c r="M177" s="364">
        <f t="shared" si="48"/>
        <v>2.7556224968336016E-2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'[25]Sch C'!D189</f>
        <v>0</v>
      </c>
      <c r="D178" s="558">
        <f>'[25]Sch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'[25]Sch C'!D190</f>
        <v>0</v>
      </c>
      <c r="D179" s="558">
        <f>'[25]Sch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'[25]Sch C'!D191</f>
        <v>0</v>
      </c>
      <c r="D180" s="558">
        <f>'[25]Sch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'[25]Sch C'!D192</f>
        <v>0</v>
      </c>
      <c r="D181" s="558">
        <f>'[25]Sch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'[25]Sch C'!D193</f>
        <v>0</v>
      </c>
      <c r="D182" s="558">
        <f>'[25]Sch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'[25]Sch C'!D194</f>
        <v>0</v>
      </c>
      <c r="D183" s="558">
        <f>'[25]Sch C'!F194</f>
        <v>0</v>
      </c>
      <c r="E183" s="171">
        <f t="shared" si="45"/>
        <v>0</v>
      </c>
      <c r="F183" s="216">
        <v>0</v>
      </c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'[25]Sch C'!D195</f>
        <v>0</v>
      </c>
      <c r="D184" s="558">
        <f>'[25]Sch C'!F195</f>
        <v>0</v>
      </c>
      <c r="E184" s="171">
        <f t="shared" si="45"/>
        <v>0</v>
      </c>
      <c r="F184" s="216">
        <v>664</v>
      </c>
      <c r="G184" s="171">
        <f t="shared" si="46"/>
        <v>664</v>
      </c>
      <c r="H184" s="172">
        <f t="shared" si="47"/>
        <v>9.3619709369399334E-5</v>
      </c>
      <c r="I184" s="336"/>
      <c r="J184" s="223"/>
      <c r="K184" s="218"/>
      <c r="M184" s="364">
        <f t="shared" si="48"/>
        <v>2.2729606681956664E-2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'[25]Sch C'!D196</f>
        <v>0</v>
      </c>
      <c r="D185" s="558">
        <f>'[25]Sch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'[25]Sch C'!D197</f>
        <v>0</v>
      </c>
      <c r="D186" s="558">
        <f>'[25]Sch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'[25]Sch C'!D198</f>
        <v>23531</v>
      </c>
      <c r="D187" s="558">
        <f>'[25]Sch C'!F198</f>
        <v>0</v>
      </c>
      <c r="E187" s="171">
        <f t="shared" si="45"/>
        <v>23531</v>
      </c>
      <c r="F187" s="216">
        <v>3152</v>
      </c>
      <c r="G187" s="171">
        <f t="shared" si="46"/>
        <v>26683</v>
      </c>
      <c r="H187" s="172">
        <f t="shared" si="47"/>
        <v>3.7621305799754251E-3</v>
      </c>
      <c r="I187" s="336"/>
      <c r="J187" s="223"/>
      <c r="K187" s="218"/>
      <c r="M187" s="364">
        <f t="shared" si="48"/>
        <v>0.91339472152808676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'[25]Sch C'!D199</f>
        <v>0</v>
      </c>
      <c r="D188" s="558">
        <f>'[25]Sch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'[25]Sch C'!D200</f>
        <v>0</v>
      </c>
      <c r="D189" s="558">
        <f>'[25]Sch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'[25]Sch C'!D201</f>
        <v>0</v>
      </c>
      <c r="D190" s="558">
        <f>'[25]Sch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'[25]Sch C'!D202</f>
        <v>0</v>
      </c>
      <c r="D191" s="558">
        <f>'[25]Sch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'[25]Sch C'!D203</f>
        <v>0</v>
      </c>
      <c r="D192" s="558">
        <f>'[25]Sch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'[25]Sch C'!D204</f>
        <v>0</v>
      </c>
      <c r="D193" s="558">
        <f>'[25]Sch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'[25]Sch C'!D205</f>
        <v>160925</v>
      </c>
      <c r="D194" s="558">
        <f>'[25]Sch C'!F205</f>
        <v>0</v>
      </c>
      <c r="E194" s="171">
        <f t="shared" si="45"/>
        <v>160925</v>
      </c>
      <c r="F194" s="216">
        <v>25846</v>
      </c>
      <c r="G194" s="171">
        <f t="shared" si="46"/>
        <v>186771</v>
      </c>
      <c r="H194" s="172">
        <f t="shared" si="47"/>
        <v>2.6333504124445909E-2</v>
      </c>
      <c r="I194" s="336"/>
      <c r="J194" s="223"/>
      <c r="K194" s="218"/>
      <c r="M194" s="364">
        <f t="shared" si="48"/>
        <v>6.3934207373429635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'[25]Sch C'!D206</f>
        <v>2747</v>
      </c>
      <c r="D195" s="558">
        <f>'[25]Sch C'!F206</f>
        <v>0</v>
      </c>
      <c r="E195" s="171">
        <f t="shared" si="45"/>
        <v>2747</v>
      </c>
      <c r="F195" s="216">
        <v>677</v>
      </c>
      <c r="G195" s="171">
        <f t="shared" si="46"/>
        <v>3424</v>
      </c>
      <c r="H195" s="172">
        <f t="shared" si="47"/>
        <v>4.8276187482051703E-4</v>
      </c>
      <c r="I195" s="336"/>
      <c r="J195" s="223"/>
      <c r="K195" s="218"/>
      <c r="M195" s="364">
        <f t="shared" si="48"/>
        <v>0.11720809228768014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'[25]Sch C'!D207</f>
        <v>27134</v>
      </c>
      <c r="D196" s="558">
        <f>'[25]Sch C'!F207</f>
        <v>-84</v>
      </c>
      <c r="E196" s="171">
        <f t="shared" si="45"/>
        <v>27050</v>
      </c>
      <c r="F196" s="216">
        <v>3032</v>
      </c>
      <c r="G196" s="171">
        <f t="shared" si="46"/>
        <v>30082</v>
      </c>
      <c r="H196" s="172">
        <f t="shared" si="47"/>
        <v>4.2413676163407694E-3</v>
      </c>
      <c r="I196" s="336"/>
      <c r="J196" s="223"/>
      <c r="K196" s="218"/>
      <c r="M196" s="364">
        <f t="shared" si="48"/>
        <v>1.0297470304316572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647359</v>
      </c>
      <c r="D197" s="558">
        <f>SUM(D164:D196)</f>
        <v>82222</v>
      </c>
      <c r="E197" s="171">
        <f t="shared" ref="E197:F197" si="49">SUM(E164:E196)</f>
        <v>729581</v>
      </c>
      <c r="F197" s="171">
        <f t="shared" si="49"/>
        <v>127391</v>
      </c>
      <c r="G197" s="171">
        <f>SUM(G164:G196)</f>
        <v>856972</v>
      </c>
      <c r="H197" s="172">
        <f>IF($G$208=0,0,G197/$G$208)</f>
        <v>0.1208275144242664</v>
      </c>
      <c r="I197" s="336"/>
      <c r="J197" s="168"/>
      <c r="K197" s="168"/>
      <c r="M197" s="364">
        <f>G197/G$228</f>
        <v>29.335295929894226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'[25]Sch C'!D211</f>
        <v>125657</v>
      </c>
      <c r="D200" s="558">
        <f>'[25]Sch C'!F211</f>
        <v>7853</v>
      </c>
      <c r="E200" s="171">
        <f t="shared" ref="E200:E205" si="50">C200+D200</f>
        <v>133510</v>
      </c>
      <c r="F200" s="171">
        <v>27930</v>
      </c>
      <c r="G200" s="171">
        <f t="shared" ref="G200:G205" si="51">E200+F200</f>
        <v>161440</v>
      </c>
      <c r="H200" s="172">
        <f t="shared" ref="H200:H206" si="52">IF($G$208=0,0,G200/$G$208)</f>
        <v>2.2761996808126246E-2</v>
      </c>
      <c r="I200" s="336"/>
      <c r="J200" s="183">
        <f>8433+1768</f>
        <v>10201</v>
      </c>
      <c r="K200" s="183">
        <f>8960+1874</f>
        <v>10834</v>
      </c>
      <c r="M200" s="364">
        <f t="shared" ref="M200:M205" si="53">G200/G$228</f>
        <v>5.5263067812275359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'[25]Sch C'!D212</f>
        <v>0</v>
      </c>
      <c r="D201" s="558">
        <f>'[25]Sch C'!F212</f>
        <v>16075</v>
      </c>
      <c r="E201" s="171">
        <f t="shared" si="50"/>
        <v>16075</v>
      </c>
      <c r="F201" s="171">
        <v>3407</v>
      </c>
      <c r="G201" s="171">
        <f t="shared" si="51"/>
        <v>19482</v>
      </c>
      <c r="H201" s="172">
        <f t="shared" si="52"/>
        <v>2.7468361113473462E-3</v>
      </c>
      <c r="I201" s="336"/>
      <c r="J201" s="168"/>
      <c r="K201" s="168"/>
      <c r="M201" s="364">
        <f t="shared" si="53"/>
        <v>0.66689487556909599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'[25]Sch C'!D213</f>
        <v>4109</v>
      </c>
      <c r="D202" s="558">
        <f>'[25]Sch C'!F213</f>
        <v>0</v>
      </c>
      <c r="E202" s="171">
        <f t="shared" si="50"/>
        <v>4109</v>
      </c>
      <c r="F202" s="171">
        <v>1176</v>
      </c>
      <c r="G202" s="171">
        <f t="shared" si="51"/>
        <v>5285</v>
      </c>
      <c r="H202" s="172">
        <f t="shared" si="52"/>
        <v>7.451508494236076E-4</v>
      </c>
      <c r="I202" s="336"/>
      <c r="J202" s="168"/>
      <c r="K202" s="168"/>
      <c r="M202" s="364">
        <f t="shared" si="53"/>
        <v>0.18091260740081472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'[25]Sch C'!D214</f>
        <v>0</v>
      </c>
      <c r="D203" s="558">
        <f>'[25]Sch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'[25]Sch C'!D215</f>
        <v>0</v>
      </c>
      <c r="D204" s="558">
        <f>'[25]Sch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'[25]Sch C'!D216</f>
        <v>4995</v>
      </c>
      <c r="D205" s="558">
        <f>'[25]Sch C'!F216</f>
        <v>0</v>
      </c>
      <c r="E205" s="171">
        <f t="shared" si="50"/>
        <v>4995</v>
      </c>
      <c r="F205" s="171">
        <v>838.44000000017695</v>
      </c>
      <c r="G205" s="171">
        <f t="shared" si="51"/>
        <v>5833.440000000177</v>
      </c>
      <c r="H205" s="172">
        <f t="shared" si="52"/>
        <v>8.2247734551783944E-4</v>
      </c>
      <c r="I205" s="336"/>
      <c r="J205" s="168"/>
      <c r="K205" s="168"/>
      <c r="M205" s="364">
        <f t="shared" si="53"/>
        <v>0.19968644096806823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134761</v>
      </c>
      <c r="D206" s="558">
        <f>SUM(D200:D205)</f>
        <v>23928</v>
      </c>
      <c r="E206" s="171">
        <f t="shared" ref="E206:F206" si="54">SUM(E200:E205)</f>
        <v>158689</v>
      </c>
      <c r="F206" s="171">
        <f t="shared" si="54"/>
        <v>33351.440000000177</v>
      </c>
      <c r="G206" s="171">
        <f>SUM(G200:G205)</f>
        <v>192040.44000000018</v>
      </c>
      <c r="H206" s="172">
        <f t="shared" si="52"/>
        <v>2.707646111441504E-2</v>
      </c>
      <c r="I206" s="336"/>
      <c r="J206" s="168"/>
      <c r="K206" s="168"/>
      <c r="M206" s="364">
        <f>G206/G$228</f>
        <v>6.5738007051655147</v>
      </c>
      <c r="N206" s="359">
        <f>SUMMARY!J209</f>
        <v>7.1515095990067339</v>
      </c>
      <c r="O206" s="354">
        <f>M206/N206-1</f>
        <v>-8.0781391095588573E-2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5819517</v>
      </c>
      <c r="D208" s="558">
        <f>SUM(D25:D206)/2</f>
        <v>32952</v>
      </c>
      <c r="E208" s="171">
        <f t="shared" ref="E208:F208" si="55">SUM(E25:E206)/2</f>
        <v>5852469</v>
      </c>
      <c r="F208" s="171">
        <f t="shared" si="55"/>
        <v>1240054.6200000001</v>
      </c>
      <c r="G208" s="171">
        <f>SUM(G25:G206)/2</f>
        <v>7092523.6199999992</v>
      </c>
      <c r="H208" s="172">
        <f>IF($G$208=0,0,G208/$G$208)</f>
        <v>1</v>
      </c>
      <c r="I208" s="336"/>
      <c r="J208" s="183">
        <f>SUM(J25:J200)</f>
        <v>176454.26666666669</v>
      </c>
      <c r="K208" s="183">
        <f>SUM(K25:K200)</f>
        <v>185165</v>
      </c>
      <c r="M208" s="364">
        <f>G208/G$228</f>
        <v>242.78655461609554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-1.4752335253030957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'[25]Sch C'!D221</f>
        <v>5819517.3199999994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-0.31999999936670065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233995</v>
      </c>
      <c r="D215" s="558">
        <f>D21-D208</f>
        <v>-32952</v>
      </c>
      <c r="E215" s="171">
        <f t="shared" ref="E215:F215" si="56">E21-E208</f>
        <v>201043</v>
      </c>
      <c r="F215" s="171">
        <f t="shared" si="56"/>
        <v>106632.39999999991</v>
      </c>
      <c r="G215" s="171">
        <f>G21-G208</f>
        <v>307675.40000000037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'[25]Sch D'!C9</f>
        <v>10752</v>
      </c>
      <c r="D219" s="592"/>
      <c r="E219" s="235">
        <f t="shared" ref="E219:G227" si="57">C219+D219</f>
        <v>10752</v>
      </c>
      <c r="F219" s="234">
        <v>2439</v>
      </c>
      <c r="G219" s="235">
        <f t="shared" si="57"/>
        <v>13191</v>
      </c>
      <c r="H219" s="172">
        <f t="shared" ref="H219:H228" si="58">IF($G$228=0,0,G219/$G$228)</f>
        <v>0.45154554479170234</v>
      </c>
      <c r="I219" s="336"/>
      <c r="J219" s="168"/>
      <c r="K219" s="168"/>
    </row>
    <row r="220" spans="1:17">
      <c r="A220" s="163"/>
      <c r="B220" s="170" t="s">
        <v>217</v>
      </c>
      <c r="C220" s="592">
        <f>'[25]Sch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'[25]Sch D'!E9</f>
        <v>2121</v>
      </c>
      <c r="D221" s="592"/>
      <c r="E221" s="235">
        <f t="shared" si="59"/>
        <v>2121</v>
      </c>
      <c r="F221" s="234">
        <v>394</v>
      </c>
      <c r="G221" s="235">
        <f t="shared" si="57"/>
        <v>2515</v>
      </c>
      <c r="H221" s="172">
        <f t="shared" si="58"/>
        <v>8.6091808441447301E-2</v>
      </c>
      <c r="I221" s="336"/>
      <c r="J221" s="168"/>
      <c r="K221" s="168"/>
    </row>
    <row r="222" spans="1:17">
      <c r="A222" s="163"/>
      <c r="B222" s="202" t="s">
        <v>334</v>
      </c>
      <c r="C222" s="592">
        <f>'[25]Sch D'!F9</f>
        <v>3211</v>
      </c>
      <c r="D222" s="592"/>
      <c r="E222" s="235">
        <f>C222+D222</f>
        <v>3211</v>
      </c>
      <c r="F222" s="234">
        <v>550</v>
      </c>
      <c r="G222" s="235">
        <f>E222+F222</f>
        <v>3761</v>
      </c>
      <c r="H222" s="172">
        <f t="shared" si="58"/>
        <v>0.12874405230548044</v>
      </c>
      <c r="I222" s="336"/>
      <c r="J222" s="168"/>
      <c r="K222" s="168"/>
    </row>
    <row r="223" spans="1:17">
      <c r="A223" s="163"/>
      <c r="B223" s="170" t="s">
        <v>73</v>
      </c>
      <c r="C223" s="592">
        <f>'[25]Sch D'!G9</f>
        <v>1902</v>
      </c>
      <c r="D223" s="592"/>
      <c r="E223" s="235">
        <f t="shared" si="59"/>
        <v>1902</v>
      </c>
      <c r="F223" s="234">
        <v>331</v>
      </c>
      <c r="G223" s="235">
        <f t="shared" si="57"/>
        <v>2233</v>
      </c>
      <c r="H223" s="172">
        <f t="shared" si="58"/>
        <v>7.6438571868688604E-2</v>
      </c>
      <c r="I223" s="336"/>
      <c r="J223" s="168"/>
      <c r="K223" s="168"/>
    </row>
    <row r="224" spans="1:17">
      <c r="A224" s="163"/>
      <c r="B224" s="170" t="s">
        <v>74</v>
      </c>
      <c r="C224" s="592">
        <f>'[25]Sch D'!H9</f>
        <v>3157</v>
      </c>
      <c r="D224" s="592"/>
      <c r="E224" s="235">
        <f t="shared" si="59"/>
        <v>3157</v>
      </c>
      <c r="F224" s="234">
        <v>570</v>
      </c>
      <c r="G224" s="235">
        <f t="shared" si="57"/>
        <v>3727</v>
      </c>
      <c r="H224" s="172">
        <f t="shared" si="58"/>
        <v>0.12758018690309109</v>
      </c>
      <c r="I224" s="336"/>
      <c r="J224" s="168"/>
      <c r="K224" s="168"/>
    </row>
    <row r="225" spans="1:11">
      <c r="A225" s="163"/>
      <c r="B225" s="170" t="s">
        <v>236</v>
      </c>
      <c r="C225" s="592">
        <f>'[25]Sch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'[25]Sch D'!J9</f>
        <v>3188</v>
      </c>
      <c r="D226" s="592"/>
      <c r="E226" s="235">
        <f>C226+D226</f>
        <v>3188</v>
      </c>
      <c r="F226" s="234">
        <v>598</v>
      </c>
      <c r="G226" s="235">
        <f>E226+F226</f>
        <v>3786</v>
      </c>
      <c r="H226" s="172">
        <f t="shared" si="58"/>
        <v>0.12959983568959024</v>
      </c>
      <c r="I226" s="336"/>
      <c r="J226" s="168"/>
      <c r="K226" s="168"/>
    </row>
    <row r="227" spans="1:11">
      <c r="A227" s="163"/>
      <c r="B227" s="170" t="s">
        <v>179</v>
      </c>
      <c r="C227" s="592">
        <f>'[25]Sch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24331</v>
      </c>
      <c r="D228" s="592">
        <f>SUM(D219:D227)</f>
        <v>0</v>
      </c>
      <c r="E228" s="237">
        <f>SUM(E219:E227)</f>
        <v>24331</v>
      </c>
      <c r="F228" s="237">
        <f>SUM(F219:F227)</f>
        <v>4882</v>
      </c>
      <c r="G228" s="237">
        <f>SUM(G219:G227)</f>
        <v>29213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'[25]Sch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'[25]Sch D'!N24</f>
        <v>120</v>
      </c>
      <c r="D232" s="559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'[25]Sch D'!N28</f>
        <v>36600</v>
      </c>
      <c r="D235" s="483"/>
      <c r="E235" s="234">
        <f>E231*E233</f>
        <v>36600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'[25]Sch D'!N30</f>
        <v>0.66478142076502733</v>
      </c>
      <c r="D236" s="239"/>
      <c r="E236" s="244">
        <f>E228/E235</f>
        <v>0.66478142076502733</v>
      </c>
      <c r="F236" s="245"/>
      <c r="G236" s="244">
        <f>G228/G235</f>
        <v>0.66514116575591986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'[25]Sch D'!N32</f>
        <v>0.29377049180327869</v>
      </c>
      <c r="D237" s="239"/>
      <c r="E237" s="244">
        <f>(E219+E220)/E235</f>
        <v>0.29377049180327869</v>
      </c>
      <c r="F237" s="245"/>
      <c r="G237" s="244">
        <f>(G219+G220)/G235</f>
        <v>0.30034153005464481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'[25]Sch D'!N34</f>
        <v>0.44190538818790842</v>
      </c>
      <c r="D238" s="239"/>
      <c r="E238" s="244">
        <f>(E237/E236)</f>
        <v>0.44190538818790842</v>
      </c>
      <c r="F238" s="245"/>
      <c r="G238" s="244">
        <f>(G237/G236)</f>
        <v>0.45154554479170234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'[25]Sch B'!C85</f>
        <v>195.26934984520125</v>
      </c>
    </row>
    <row r="242" spans="2:7">
      <c r="F242" s="142" t="s">
        <v>341</v>
      </c>
      <c r="G242" s="558">
        <f>'[25]Sch B'!E85</f>
        <v>187.375</v>
      </c>
    </row>
    <row r="243" spans="2:7">
      <c r="F243" s="142" t="s">
        <v>342</v>
      </c>
      <c r="G243" s="558">
        <f>'[25]Sch B'!G85</f>
        <v>200.06728971962616</v>
      </c>
    </row>
    <row r="244" spans="2:7">
      <c r="F244" s="142" t="s">
        <v>343</v>
      </c>
      <c r="G244" s="558">
        <f>'[25]Sch B'!I85*1/3+207*2/3</f>
        <v>201.97923875432525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3">
    <tabColor rgb="FFE28CAB"/>
  </sheetPr>
  <dimension ref="A1:T245"/>
  <sheetViews>
    <sheetView showGridLines="0" zoomScale="125" zoomScaleNormal="125" workbookViewId="0">
      <pane xSplit="2" ySplit="10" topLeftCell="C22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368</v>
      </c>
      <c r="D2" s="144"/>
      <c r="E2" s="144"/>
      <c r="F2" s="460" t="s">
        <v>505</v>
      </c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506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507</v>
      </c>
      <c r="G4" s="150"/>
    </row>
    <row r="5" spans="1:17">
      <c r="A5" s="145"/>
      <c r="B5" s="148"/>
      <c r="C5" s="151"/>
      <c r="D5" s="144"/>
      <c r="F5" s="460" t="s">
        <v>491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84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87" t="s">
        <v>503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'[26]Sch B'!E10</f>
        <v>1307312</v>
      </c>
      <c r="D11" s="558">
        <f>'[26]Sch B'!G10</f>
        <v>0</v>
      </c>
      <c r="E11" s="171">
        <f>C11+D11</f>
        <v>1307312</v>
      </c>
      <c r="F11" s="563">
        <f>350521-12722-22327</f>
        <v>315472</v>
      </c>
      <c r="G11" s="171">
        <f t="shared" ref="G11:G20" si="0">E11+F11</f>
        <v>1622784</v>
      </c>
      <c r="H11" s="172">
        <f t="shared" ref="H11:H21" si="1">IF($G$21=0,0,G11/$G$21)</f>
        <v>0.48880523172542295</v>
      </c>
      <c r="I11" s="336"/>
      <c r="J11" s="368" t="s">
        <v>344</v>
      </c>
      <c r="K11" s="369">
        <f>G21</f>
        <v>3319899</v>
      </c>
      <c r="M11" s="359">
        <f>IFERROR(G11/G219,0)</f>
        <v>173.50411632631241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'[26]Sch B'!E15</f>
        <v>0</v>
      </c>
      <c r="D12" s="558">
        <f>'[26]Sch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2751159.8178212983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'[26]Sch B'!E21</f>
        <v>1079786</v>
      </c>
      <c r="D13" s="558">
        <f>'[26]Sch B'!G21</f>
        <v>0</v>
      </c>
      <c r="E13" s="171">
        <f t="shared" si="2"/>
        <v>1079786</v>
      </c>
      <c r="F13" s="171">
        <v>156430</v>
      </c>
      <c r="G13" s="171">
        <f t="shared" si="0"/>
        <v>1236216</v>
      </c>
      <c r="H13" s="172">
        <f t="shared" si="1"/>
        <v>0.37236554485543083</v>
      </c>
      <c r="I13" s="336"/>
      <c r="J13" s="370" t="s">
        <v>346</v>
      </c>
      <c r="K13" s="371">
        <f>G228</f>
        <v>13573</v>
      </c>
      <c r="M13" s="359">
        <f t="shared" si="3"/>
        <v>496.2729827378563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'[26]Sch B'!E27</f>
        <v>177221</v>
      </c>
      <c r="D14" s="558">
        <f>'[26]Sch B'!G27</f>
        <v>0</v>
      </c>
      <c r="E14" s="171">
        <f t="shared" si="2"/>
        <v>177221</v>
      </c>
      <c r="F14" s="175">
        <v>34795</v>
      </c>
      <c r="G14" s="175">
        <f>E14+F14</f>
        <v>212016</v>
      </c>
      <c r="H14" s="176">
        <f t="shared" si="1"/>
        <v>6.3862183759204716E-2</v>
      </c>
      <c r="I14" s="337"/>
      <c r="J14" s="370" t="s">
        <v>347</v>
      </c>
      <c r="K14" s="371">
        <f>G231</f>
        <v>60</v>
      </c>
      <c r="M14" s="359">
        <f t="shared" si="3"/>
        <v>419.00395256916994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'[26]Sch B'!E32</f>
        <v>0</v>
      </c>
      <c r="D15" s="558">
        <f>'[26]Sch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25620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'[26]Sch B'!E37</f>
        <v>83648</v>
      </c>
      <c r="D16" s="558">
        <f>'[26]Sch B'!G37</f>
        <v>0</v>
      </c>
      <c r="E16" s="171">
        <f t="shared" si="2"/>
        <v>83648</v>
      </c>
      <c r="F16" s="171">
        <v>23210</v>
      </c>
      <c r="G16" s="171">
        <f t="shared" si="0"/>
        <v>106858</v>
      </c>
      <c r="H16" s="172">
        <f t="shared" si="1"/>
        <v>3.2187123764909717E-2</v>
      </c>
      <c r="I16" s="336"/>
      <c r="J16" s="372"/>
      <c r="K16" s="371"/>
      <c r="M16" s="359">
        <f t="shared" si="3"/>
        <v>178.09666666666666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'[26]Sch B'!E42</f>
        <v>0</v>
      </c>
      <c r="D17" s="558">
        <f>'[26]Sch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86504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'[26]Sch B'!E47</f>
        <v>85155</v>
      </c>
      <c r="D18" s="558">
        <f>'[26]Sch B'!G47</f>
        <v>0</v>
      </c>
      <c r="E18" s="171">
        <f t="shared" si="2"/>
        <v>85155</v>
      </c>
      <c r="F18" s="171">
        <v>19859</v>
      </c>
      <c r="G18" s="171">
        <f>E18+F18</f>
        <v>105014</v>
      </c>
      <c r="H18" s="172">
        <f t="shared" si="1"/>
        <v>3.1631685180784117E-2</v>
      </c>
      <c r="I18" s="336"/>
      <c r="J18" s="373" t="s">
        <v>252</v>
      </c>
      <c r="K18" s="374">
        <f>K208</f>
        <v>90259</v>
      </c>
      <c r="M18" s="359">
        <f t="shared" si="3"/>
        <v>168.56179775280899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'[26]Sch B'!E52</f>
        <v>0</v>
      </c>
      <c r="D19" s="558">
        <f>'[26]Sch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'[26]Sch B'!E67</f>
        <v>1752</v>
      </c>
      <c r="D20" s="558">
        <f>'[26]Sch B'!G67</f>
        <v>0</v>
      </c>
      <c r="E20" s="171">
        <f t="shared" si="2"/>
        <v>1752</v>
      </c>
      <c r="F20" s="563">
        <f>210+12722+22327</f>
        <v>35259</v>
      </c>
      <c r="G20" s="171">
        <f t="shared" si="0"/>
        <v>37011</v>
      </c>
      <c r="H20" s="172">
        <f t="shared" si="1"/>
        <v>1.1148230714247632E-2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2734874</v>
      </c>
      <c r="D21" s="558">
        <f>SUM(D11:D20)</f>
        <v>0</v>
      </c>
      <c r="E21" s="171">
        <f>SUM(E11:E20)</f>
        <v>2734874</v>
      </c>
      <c r="F21" s="171">
        <f>SUM(F11:F20)</f>
        <v>585025</v>
      </c>
      <c r="G21" s="171">
        <f>SUM(G11:G20)</f>
        <v>3319899</v>
      </c>
      <c r="H21" s="172">
        <f t="shared" si="1"/>
        <v>1</v>
      </c>
      <c r="I21" s="336"/>
      <c r="J21" s="168"/>
      <c r="K21" s="168"/>
      <c r="M21" s="359">
        <f>IFERROR(G21/G228,0)</f>
        <v>244.59581522139541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'[26]Sch C'!D10</f>
        <v>110104</v>
      </c>
      <c r="D25" s="558">
        <f>'[26]Sch C'!F10</f>
        <v>4922</v>
      </c>
      <c r="E25" s="171">
        <f t="shared" ref="E25:E60" si="4">C25+D25</f>
        <v>115026</v>
      </c>
      <c r="F25" s="558">
        <v>32564</v>
      </c>
      <c r="G25" s="182">
        <f>E25+F25</f>
        <v>147590</v>
      </c>
      <c r="H25" s="172">
        <f>IF($G$208=0,0,G25/$G$208)</f>
        <v>5.3646465408498024E-2</v>
      </c>
      <c r="I25" s="336"/>
      <c r="J25" s="183">
        <f>2979+850</f>
        <v>3829</v>
      </c>
      <c r="K25" s="183">
        <f>3112+881</f>
        <v>3993</v>
      </c>
      <c r="M25" s="359">
        <f>G25/G$228</f>
        <v>10.873793560745598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'[26]Sch C'!D11</f>
        <v>0</v>
      </c>
      <c r="D26" s="558">
        <f>'[26]Sch C'!F11</f>
        <v>0</v>
      </c>
      <c r="E26" s="171">
        <f t="shared" si="4"/>
        <v>0</v>
      </c>
      <c r="F26" s="558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'[26]Sch C'!D12</f>
        <v>49977</v>
      </c>
      <c r="D27" s="558">
        <f>'[26]Sch C'!F12</f>
        <v>2231</v>
      </c>
      <c r="E27" s="171">
        <f t="shared" si="4"/>
        <v>52208</v>
      </c>
      <c r="F27" s="558">
        <v>7168</v>
      </c>
      <c r="G27" s="171">
        <f t="shared" si="5"/>
        <v>59376</v>
      </c>
      <c r="H27" s="172">
        <f t="shared" si="6"/>
        <v>2.158217040514248E-2</v>
      </c>
      <c r="I27" s="336"/>
      <c r="J27" s="185">
        <f>4290+594</f>
        <v>4884</v>
      </c>
      <c r="K27" s="185">
        <f>4482+616</f>
        <v>5098</v>
      </c>
      <c r="M27" s="359">
        <f t="shared" si="7"/>
        <v>4.3745671553820085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'[26]Sch C'!D13</f>
        <v>248522</v>
      </c>
      <c r="D28" s="558">
        <f>'[26]Sch C'!F13</f>
        <v>-226441</v>
      </c>
      <c r="E28" s="171">
        <f t="shared" si="4"/>
        <v>22081</v>
      </c>
      <c r="F28" s="558">
        <v>6444</v>
      </c>
      <c r="G28" s="171">
        <f t="shared" si="5"/>
        <v>28525</v>
      </c>
      <c r="H28" s="172">
        <f t="shared" si="6"/>
        <v>1.0368354399196464E-2</v>
      </c>
      <c r="I28" s="336"/>
      <c r="J28" s="168"/>
      <c r="K28" s="168"/>
      <c r="M28" s="359">
        <f t="shared" si="7"/>
        <v>2.1015987622485817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'[26]Sch C'!D14</f>
        <v>0</v>
      </c>
      <c r="D29" s="558">
        <f>'[26]Sch C'!F14</f>
        <v>0</v>
      </c>
      <c r="E29" s="171">
        <f t="shared" si="4"/>
        <v>0</v>
      </c>
      <c r="F29" s="558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'[26]Sch C'!D15</f>
        <v>0</v>
      </c>
      <c r="D30" s="558">
        <f>'[26]Sch C'!F15</f>
        <v>0</v>
      </c>
      <c r="E30" s="171">
        <f t="shared" si="4"/>
        <v>0</v>
      </c>
      <c r="F30" s="558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'[26]Sch C'!D16</f>
        <v>137091</v>
      </c>
      <c r="D31" s="558">
        <f>'[26]Sch C'!F16</f>
        <v>50897.526154631283</v>
      </c>
      <c r="E31" s="171">
        <f t="shared" si="4"/>
        <v>187988.52615463128</v>
      </c>
      <c r="F31" s="558">
        <v>39787</v>
      </c>
      <c r="G31" s="171">
        <f t="shared" si="5"/>
        <v>227775.52615463128</v>
      </c>
      <c r="H31" s="172">
        <f t="shared" si="6"/>
        <v>8.2792546139690115E-2</v>
      </c>
      <c r="I31" s="336"/>
      <c r="J31" s="168"/>
      <c r="K31" s="168"/>
      <c r="M31" s="359">
        <f t="shared" si="7"/>
        <v>16.781516698934009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'[26]Sch C'!D17</f>
        <v>0</v>
      </c>
      <c r="D32" s="558">
        <f>'[26]Sch C'!F17</f>
        <v>0</v>
      </c>
      <c r="E32" s="171">
        <f t="shared" si="4"/>
        <v>0</v>
      </c>
      <c r="F32" s="558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'[26]Sch C'!D18</f>
        <v>6517</v>
      </c>
      <c r="D33" s="558">
        <f>'[26]Sch C'!F18</f>
        <v>0</v>
      </c>
      <c r="E33" s="171">
        <f t="shared" si="4"/>
        <v>6517</v>
      </c>
      <c r="F33" s="558">
        <v>2021</v>
      </c>
      <c r="G33" s="171">
        <f t="shared" si="5"/>
        <v>8538</v>
      </c>
      <c r="H33" s="172">
        <f t="shared" si="6"/>
        <v>3.1034184000118988E-3</v>
      </c>
      <c r="I33" s="336"/>
      <c r="J33" s="168"/>
      <c r="K33" s="168"/>
      <c r="M33" s="359">
        <f t="shared" si="7"/>
        <v>0.62904295292124068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'[26]Sch C'!D19</f>
        <v>5733</v>
      </c>
      <c r="D34" s="558">
        <f>'[26]Sch C'!F19</f>
        <v>-503</v>
      </c>
      <c r="E34" s="171">
        <f t="shared" si="4"/>
        <v>5230</v>
      </c>
      <c r="F34" s="558">
        <v>899</v>
      </c>
      <c r="G34" s="171">
        <f t="shared" si="5"/>
        <v>6129</v>
      </c>
      <c r="H34" s="172">
        <f t="shared" si="6"/>
        <v>2.2277876989544305E-3</v>
      </c>
      <c r="I34" s="336"/>
      <c r="J34" s="168"/>
      <c r="K34" s="168"/>
      <c r="M34" s="359">
        <f t="shared" si="7"/>
        <v>0.45155824062476979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'[26]Sch C'!D20</f>
        <v>10288</v>
      </c>
      <c r="D35" s="558">
        <f>'[26]Sch C'!F20</f>
        <v>0</v>
      </c>
      <c r="E35" s="171">
        <f t="shared" si="4"/>
        <v>10288</v>
      </c>
      <c r="F35" s="558">
        <v>1840</v>
      </c>
      <c r="G35" s="171">
        <f t="shared" si="5"/>
        <v>12128</v>
      </c>
      <c r="H35" s="172">
        <f t="shared" si="6"/>
        <v>4.4083225995952572E-3</v>
      </c>
      <c r="I35" s="336"/>
      <c r="J35" s="168"/>
      <c r="K35" s="168"/>
      <c r="M35" s="359">
        <f t="shared" si="7"/>
        <v>0.89353864289398066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'[26]Sch C'!D21</f>
        <v>1047</v>
      </c>
      <c r="D36" s="558">
        <f>'[26]Sch C'!F21</f>
        <v>0</v>
      </c>
      <c r="E36" s="171">
        <f t="shared" si="4"/>
        <v>1047</v>
      </c>
      <c r="F36" s="558">
        <v>709</v>
      </c>
      <c r="G36" s="171">
        <f t="shared" si="5"/>
        <v>1756</v>
      </c>
      <c r="H36" s="172">
        <f t="shared" si="6"/>
        <v>6.3827626029759827E-4</v>
      </c>
      <c r="I36" s="336"/>
      <c r="J36" s="168"/>
      <c r="K36" s="168"/>
      <c r="M36" s="359">
        <f t="shared" si="7"/>
        <v>0.12937449347970234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'[26]Sch C'!D22</f>
        <v>0</v>
      </c>
      <c r="D37" s="558">
        <f>'[26]Sch C'!F22</f>
        <v>0</v>
      </c>
      <c r="E37" s="171">
        <f t="shared" si="4"/>
        <v>0</v>
      </c>
      <c r="F37" s="558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'[26]Sch C'!D23</f>
        <v>5012</v>
      </c>
      <c r="D38" s="558">
        <f>'[26]Sch C'!F23</f>
        <v>0</v>
      </c>
      <c r="E38" s="171">
        <f t="shared" si="4"/>
        <v>5012</v>
      </c>
      <c r="F38" s="558">
        <v>619</v>
      </c>
      <c r="G38" s="171">
        <f t="shared" si="5"/>
        <v>5631</v>
      </c>
      <c r="H38" s="172">
        <f t="shared" si="6"/>
        <v>2.0467731331069339E-3</v>
      </c>
      <c r="I38" s="336"/>
      <c r="J38" s="168"/>
      <c r="K38" s="168"/>
      <c r="M38" s="359">
        <f t="shared" si="7"/>
        <v>0.41486775215501365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'[26]Sch C'!D24</f>
        <v>30048</v>
      </c>
      <c r="D39" s="558">
        <f>'[26]Sch C'!F24</f>
        <v>-4800</v>
      </c>
      <c r="E39" s="171">
        <f t="shared" si="4"/>
        <v>25248</v>
      </c>
      <c r="F39" s="558">
        <v>4915</v>
      </c>
      <c r="G39" s="171">
        <f t="shared" si="5"/>
        <v>30163</v>
      </c>
      <c r="H39" s="172">
        <f t="shared" si="6"/>
        <v>1.0963739657947868E-2</v>
      </c>
      <c r="I39" s="336"/>
      <c r="J39" s="168"/>
      <c r="K39" s="168"/>
      <c r="M39" s="359">
        <f t="shared" si="7"/>
        <v>2.2222795255286232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'[26]Sch C'!D25</f>
        <v>0</v>
      </c>
      <c r="D40" s="558">
        <f>'[26]Sch C'!F25</f>
        <v>0</v>
      </c>
      <c r="E40" s="171">
        <f t="shared" si="4"/>
        <v>0</v>
      </c>
      <c r="F40" s="558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'[26]Sch C'!D26</f>
        <v>161656</v>
      </c>
      <c r="D41" s="558">
        <f>'[26]Sch C'!F26</f>
        <v>0</v>
      </c>
      <c r="E41" s="171">
        <f t="shared" si="4"/>
        <v>161656</v>
      </c>
      <c r="F41" s="558">
        <v>32097</v>
      </c>
      <c r="G41" s="171">
        <f t="shared" si="5"/>
        <v>193753</v>
      </c>
      <c r="H41" s="172">
        <f t="shared" si="6"/>
        <v>7.0425934089658637E-2</v>
      </c>
      <c r="I41" s="336"/>
      <c r="J41" s="168"/>
      <c r="K41" s="168"/>
      <c r="M41" s="359">
        <f t="shared" si="7"/>
        <v>14.274883960804539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'[26]Sch C'!D27</f>
        <v>0</v>
      </c>
      <c r="D42" s="558">
        <f>'[26]Sch C'!F27</f>
        <v>0</v>
      </c>
      <c r="E42" s="171">
        <f t="shared" si="4"/>
        <v>0</v>
      </c>
      <c r="F42" s="558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'[26]Sch C'!D28</f>
        <v>0</v>
      </c>
      <c r="D43" s="558">
        <f>'[26]Sch C'!F28</f>
        <v>0</v>
      </c>
      <c r="E43" s="171">
        <f t="shared" si="4"/>
        <v>0</v>
      </c>
      <c r="F43" s="558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'[26]Sch C'!D29</f>
        <v>73913</v>
      </c>
      <c r="D44" s="558">
        <f>'[26]Sch C'!F29</f>
        <v>-73913</v>
      </c>
      <c r="E44" s="171">
        <f t="shared" si="4"/>
        <v>0</v>
      </c>
      <c r="F44" s="558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'[26]Sch C'!D30</f>
        <v>0</v>
      </c>
      <c r="D45" s="558">
        <f>'[26]Sch C'!F30</f>
        <v>0</v>
      </c>
      <c r="E45" s="171">
        <f t="shared" si="4"/>
        <v>0</v>
      </c>
      <c r="F45" s="558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'[26]Sch C'!D31</f>
        <v>35083</v>
      </c>
      <c r="D46" s="558">
        <f>'[26]Sch C'!F31</f>
        <v>0</v>
      </c>
      <c r="E46" s="171">
        <f t="shared" si="4"/>
        <v>35083</v>
      </c>
      <c r="F46" s="688">
        <f>4102-13280-1553</f>
        <v>-10731</v>
      </c>
      <c r="G46" s="171">
        <f t="shared" si="5"/>
        <v>24352</v>
      </c>
      <c r="H46" s="172">
        <f t="shared" si="6"/>
        <v>8.8515395733297902E-3</v>
      </c>
      <c r="I46" s="336"/>
      <c r="J46" s="168"/>
      <c r="K46" s="168"/>
      <c r="M46" s="359">
        <f t="shared" si="7"/>
        <v>1.7941501510351432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'[26]Sch C'!D32</f>
        <v>27720</v>
      </c>
      <c r="D47" s="558">
        <f>'[26]Sch C'!F32</f>
        <v>-9474.5166666666664</v>
      </c>
      <c r="E47" s="171">
        <f t="shared" si="4"/>
        <v>18245.483333333334</v>
      </c>
      <c r="F47" s="558">
        <v>3649</v>
      </c>
      <c r="G47" s="171">
        <f t="shared" si="5"/>
        <v>21894.483333333334</v>
      </c>
      <c r="H47" s="172">
        <f t="shared" si="6"/>
        <v>7.9582738856196437E-3</v>
      </c>
      <c r="I47" s="336"/>
      <c r="J47" s="168"/>
      <c r="K47" s="168"/>
      <c r="M47" s="359">
        <f t="shared" si="7"/>
        <v>1.613090940347258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'[26]Sch C'!D33</f>
        <v>0</v>
      </c>
      <c r="D48" s="558">
        <f>'[26]Sch C'!F33</f>
        <v>0</v>
      </c>
      <c r="E48" s="171">
        <f t="shared" si="4"/>
        <v>0</v>
      </c>
      <c r="F48" s="558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'[26]Sch C'!D34</f>
        <v>0</v>
      </c>
      <c r="D49" s="558">
        <f>'[26]Sch C'!F34</f>
        <v>0</v>
      </c>
      <c r="E49" s="171">
        <f t="shared" si="4"/>
        <v>0</v>
      </c>
      <c r="F49" s="558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'[26]Sch C'!D35</f>
        <v>139</v>
      </c>
      <c r="D50" s="558">
        <f>'[26]Sch C'!F35</f>
        <v>-139</v>
      </c>
      <c r="E50" s="171">
        <f t="shared" si="4"/>
        <v>0</v>
      </c>
      <c r="F50" s="558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'[26]Sch C'!D36</f>
        <v>0</v>
      </c>
      <c r="D51" s="558">
        <f>'[26]Sch C'!F36</f>
        <v>0</v>
      </c>
      <c r="E51" s="171">
        <f t="shared" si="4"/>
        <v>0</v>
      </c>
      <c r="F51" s="558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'[26]Sch C'!D37</f>
        <v>0</v>
      </c>
      <c r="D52" s="558">
        <f>'[26]Sch C'!F37</f>
        <v>0</v>
      </c>
      <c r="E52" s="171">
        <f t="shared" si="4"/>
        <v>0</v>
      </c>
      <c r="F52" s="558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'[26]Sch C'!D38</f>
        <v>0</v>
      </c>
      <c r="D53" s="558">
        <f>'[26]Sch C'!F38</f>
        <v>0</v>
      </c>
      <c r="E53" s="171">
        <f t="shared" si="4"/>
        <v>0</v>
      </c>
      <c r="F53" s="558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'[26]Sch C'!D39</f>
        <v>1930</v>
      </c>
      <c r="D54" s="558">
        <f>'[26]Sch C'!F39</f>
        <v>0</v>
      </c>
      <c r="E54" s="171">
        <f t="shared" si="4"/>
        <v>1930</v>
      </c>
      <c r="F54" s="558">
        <v>801</v>
      </c>
      <c r="G54" s="171">
        <f t="shared" si="5"/>
        <v>2731</v>
      </c>
      <c r="H54" s="172">
        <f t="shared" si="6"/>
        <v>9.9267224764962455E-4</v>
      </c>
      <c r="I54" s="336"/>
      <c r="J54" s="168"/>
      <c r="K54" s="168"/>
      <c r="M54" s="359">
        <f t="shared" si="7"/>
        <v>0.20120828114639358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'[26]Sch C'!D40</f>
        <v>4878</v>
      </c>
      <c r="D55" s="558">
        <f>'[26]Sch C'!F40</f>
        <v>0</v>
      </c>
      <c r="E55" s="171">
        <f t="shared" si="4"/>
        <v>4878</v>
      </c>
      <c r="F55" s="558">
        <v>184</v>
      </c>
      <c r="G55" s="171">
        <f t="shared" si="5"/>
        <v>5062</v>
      </c>
      <c r="H55" s="172">
        <f t="shared" si="6"/>
        <v>1.8399512697189308E-3</v>
      </c>
      <c r="I55" s="336"/>
      <c r="J55" s="168"/>
      <c r="K55" s="168"/>
      <c r="M55" s="359">
        <f t="shared" si="7"/>
        <v>0.3729462904295292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'[26]Sch C'!D41</f>
        <v>6854</v>
      </c>
      <c r="D56" s="558">
        <f>'[26]Sch C'!F41</f>
        <v>0</v>
      </c>
      <c r="E56" s="171">
        <f t="shared" si="4"/>
        <v>6854</v>
      </c>
      <c r="F56" s="558">
        <v>1888</v>
      </c>
      <c r="G56" s="171">
        <f t="shared" si="5"/>
        <v>8742</v>
      </c>
      <c r="H56" s="172">
        <f t="shared" si="6"/>
        <v>3.1775689450578609E-3</v>
      </c>
      <c r="I56" s="336"/>
      <c r="J56" s="168"/>
      <c r="K56" s="168"/>
      <c r="M56" s="359">
        <f t="shared" si="7"/>
        <v>0.64407279157150221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'[26]Sch C'!D42</f>
        <v>1417</v>
      </c>
      <c r="D57" s="558">
        <f>'[26]Sch C'!F42</f>
        <v>0</v>
      </c>
      <c r="E57" s="171">
        <f t="shared" si="4"/>
        <v>1417</v>
      </c>
      <c r="F57" s="558">
        <v>329</v>
      </c>
      <c r="G57" s="171">
        <f t="shared" si="5"/>
        <v>1746</v>
      </c>
      <c r="H57" s="172">
        <f t="shared" si="6"/>
        <v>6.3464142965809027E-4</v>
      </c>
      <c r="I57" s="336"/>
      <c r="J57" s="168"/>
      <c r="K57" s="168"/>
      <c r="M57" s="359">
        <f t="shared" si="7"/>
        <v>0.1286377366831209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'[26]Sch C'!D43</f>
        <v>4969</v>
      </c>
      <c r="D58" s="558">
        <f>'[26]Sch C'!F43</f>
        <v>0</v>
      </c>
      <c r="E58" s="171">
        <f t="shared" si="4"/>
        <v>4969</v>
      </c>
      <c r="F58" s="558">
        <v>2473</v>
      </c>
      <c r="G58" s="171">
        <f t="shared" si="5"/>
        <v>7442</v>
      </c>
      <c r="H58" s="172">
        <f t="shared" si="6"/>
        <v>2.7050409619218257E-3</v>
      </c>
      <c r="I58" s="336"/>
      <c r="J58" s="168"/>
      <c r="K58" s="168"/>
      <c r="M58" s="359">
        <f t="shared" si="7"/>
        <v>0.54829440801591389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'[26]Sch C'!D44</f>
        <v>0</v>
      </c>
      <c r="D59" s="558">
        <f>'[26]Sch C'!F44</f>
        <v>0</v>
      </c>
      <c r="E59" s="171">
        <f t="shared" si="4"/>
        <v>0</v>
      </c>
      <c r="F59" s="558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'[26]Sch C'!D45</f>
        <v>2474</v>
      </c>
      <c r="D60" s="558">
        <f>'[26]Sch C'!F45</f>
        <v>-1729</v>
      </c>
      <c r="E60" s="171">
        <f t="shared" si="4"/>
        <v>745</v>
      </c>
      <c r="F60" s="558">
        <v>-14</v>
      </c>
      <c r="G60" s="171">
        <f t="shared" si="5"/>
        <v>731</v>
      </c>
      <c r="H60" s="172">
        <f t="shared" si="6"/>
        <v>2.6570611974803207E-4</v>
      </c>
      <c r="I60" s="336"/>
      <c r="J60" s="168"/>
      <c r="K60" s="168"/>
      <c r="M60" s="359">
        <f t="shared" si="7"/>
        <v>5.3856921830103884E-2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925372</v>
      </c>
      <c r="D61" s="558">
        <f>SUM(D25:D60)</f>
        <v>-258948.99051203538</v>
      </c>
      <c r="E61" s="171">
        <f t="shared" ref="E61" si="8">SUM(E25:E60)</f>
        <v>666423.00948796456</v>
      </c>
      <c r="F61" s="558">
        <f>SUM(F25:F60)</f>
        <v>127642</v>
      </c>
      <c r="G61" s="171">
        <f>SUM(G25:G60)</f>
        <v>794065.00948796456</v>
      </c>
      <c r="H61" s="186">
        <f t="shared" si="6"/>
        <v>0.28862918262480347</v>
      </c>
      <c r="I61" s="338"/>
      <c r="J61" s="168"/>
      <c r="K61" s="168"/>
      <c r="M61" s="364">
        <f>G61/G$228</f>
        <v>58.503279266777028</v>
      </c>
      <c r="N61" s="359">
        <f>SUMMARY!J64</f>
        <v>53.728790309602623</v>
      </c>
      <c r="O61" s="354">
        <f>M61/N61-1</f>
        <v>8.8862766678018623E-2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'[26]Sch C'!D57</f>
        <v>230000</v>
      </c>
      <c r="D64" s="558">
        <f>'[26]Sch C'!F57</f>
        <v>0</v>
      </c>
      <c r="E64" s="171">
        <f t="shared" ref="E64:E78" si="9">C64+D64</f>
        <v>230000</v>
      </c>
      <c r="F64" s="688">
        <f>31722-230000-31722</f>
        <v>-230000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'[26]Sch C'!D58</f>
        <v>4360</v>
      </c>
      <c r="D65" s="558">
        <f>'[26]Sch C'!F58</f>
        <v>0</v>
      </c>
      <c r="E65" s="171">
        <f t="shared" si="9"/>
        <v>4360</v>
      </c>
      <c r="F65" s="688">
        <f>1377+45656+9131</f>
        <v>56164</v>
      </c>
      <c r="G65" s="171">
        <f t="shared" si="10"/>
        <v>60524</v>
      </c>
      <c r="H65" s="172">
        <f t="shared" si="11"/>
        <v>2.1999448962557993E-2</v>
      </c>
      <c r="I65" s="336"/>
      <c r="J65" s="190"/>
      <c r="K65" s="168"/>
      <c r="M65" s="359">
        <f t="shared" si="12"/>
        <v>4.4591468356295589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'[26]Sch C'!D59</f>
        <v>0</v>
      </c>
      <c r="D66" s="558">
        <f>'[26]Sch C'!F59</f>
        <v>0</v>
      </c>
      <c r="E66" s="171">
        <f t="shared" si="9"/>
        <v>0</v>
      </c>
      <c r="F66" s="558">
        <v>0</v>
      </c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'[26]Sch C'!D60</f>
        <v>11272</v>
      </c>
      <c r="D67" s="558">
        <f>'[26]Sch C'!F60</f>
        <v>0</v>
      </c>
      <c r="E67" s="171">
        <f t="shared" si="9"/>
        <v>11272</v>
      </c>
      <c r="F67" s="558">
        <v>2447</v>
      </c>
      <c r="G67" s="171">
        <f t="shared" si="10"/>
        <v>13719</v>
      </c>
      <c r="H67" s="172">
        <f t="shared" si="11"/>
        <v>4.9866241543409743E-3</v>
      </c>
      <c r="I67" s="336"/>
      <c r="J67" s="193"/>
      <c r="K67" s="168"/>
      <c r="M67" s="359">
        <f t="shared" si="12"/>
        <v>1.0107566492300892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'[26]Sch C'!D61</f>
        <v>3477</v>
      </c>
      <c r="D68" s="558">
        <f>'[26]Sch C'!F61</f>
        <v>0</v>
      </c>
      <c r="E68" s="171">
        <f t="shared" si="9"/>
        <v>3477</v>
      </c>
      <c r="F68" s="558">
        <v>670</v>
      </c>
      <c r="G68" s="171">
        <f t="shared" si="10"/>
        <v>4147</v>
      </c>
      <c r="H68" s="172">
        <f t="shared" si="11"/>
        <v>1.5073642662039521E-3</v>
      </c>
      <c r="I68" s="336"/>
      <c r="J68" s="193"/>
      <c r="K68" s="168"/>
      <c r="M68" s="359">
        <f t="shared" si="12"/>
        <v>0.30553304354232669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'[26]Sch C'!D62</f>
        <v>722</v>
      </c>
      <c r="D69" s="558">
        <f>'[26]Sch C'!F62</f>
        <v>0</v>
      </c>
      <c r="E69" s="171">
        <f t="shared" si="9"/>
        <v>722</v>
      </c>
      <c r="F69" s="558">
        <v>1443</v>
      </c>
      <c r="G69" s="171">
        <f t="shared" si="10"/>
        <v>2165</v>
      </c>
      <c r="H69" s="172">
        <f t="shared" si="11"/>
        <v>7.8694083345347396E-4</v>
      </c>
      <c r="I69" s="336"/>
      <c r="J69" s="195"/>
      <c r="K69" s="168"/>
      <c r="M69" s="359">
        <f t="shared" si="12"/>
        <v>0.15950784645988358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'[26]Sch C'!D63</f>
        <v>0</v>
      </c>
      <c r="D70" s="558">
        <f>'[26]Sch C'!F63</f>
        <v>0</v>
      </c>
      <c r="E70" s="171">
        <f t="shared" si="9"/>
        <v>0</v>
      </c>
      <c r="F70" s="558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'[26]Sch C'!D64</f>
        <v>0</v>
      </c>
      <c r="D71" s="558">
        <f>'[26]Sch C'!F64</f>
        <v>0</v>
      </c>
      <c r="E71" s="171">
        <f t="shared" si="9"/>
        <v>0</v>
      </c>
      <c r="F71" s="558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'[26]Sch C'!D65</f>
        <v>5656</v>
      </c>
      <c r="D72" s="558">
        <f>'[26]Sch C'!F65</f>
        <v>0</v>
      </c>
      <c r="E72" s="171">
        <f t="shared" si="9"/>
        <v>5656</v>
      </c>
      <c r="F72" s="558">
        <v>1034</v>
      </c>
      <c r="G72" s="171">
        <f t="shared" si="10"/>
        <v>6690</v>
      </c>
      <c r="H72" s="172">
        <f t="shared" si="11"/>
        <v>2.4317016978308271E-3</v>
      </c>
      <c r="I72" s="336"/>
      <c r="J72" s="195"/>
      <c r="K72" s="168"/>
      <c r="M72" s="359">
        <f t="shared" si="12"/>
        <v>0.49289029691298902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'[26]Sch C'!D66</f>
        <v>0</v>
      </c>
      <c r="D73" s="558">
        <f>'[26]Sch C'!F66</f>
        <v>0</v>
      </c>
      <c r="E73" s="171">
        <f t="shared" si="9"/>
        <v>0</v>
      </c>
      <c r="F73" s="558">
        <v>189</v>
      </c>
      <c r="G73" s="171">
        <f t="shared" si="10"/>
        <v>189</v>
      </c>
      <c r="H73" s="172">
        <f t="shared" si="11"/>
        <v>6.86982990867005E-5</v>
      </c>
      <c r="I73" s="336"/>
      <c r="J73" s="195"/>
      <c r="K73" s="168"/>
      <c r="M73" s="359">
        <f t="shared" si="12"/>
        <v>1.3924703455389376E-2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'[26]Sch C'!D67</f>
        <v>19786</v>
      </c>
      <c r="D74" s="558">
        <f>'[26]Sch C'!F67</f>
        <v>0</v>
      </c>
      <c r="E74" s="171">
        <f t="shared" si="9"/>
        <v>19786</v>
      </c>
      <c r="F74" s="558">
        <v>3985</v>
      </c>
      <c r="G74" s="171">
        <f t="shared" si="10"/>
        <v>23771</v>
      </c>
      <c r="H74" s="172">
        <f t="shared" si="11"/>
        <v>8.6403559131743787E-3</v>
      </c>
      <c r="I74" s="336"/>
      <c r="J74" s="195"/>
      <c r="K74" s="168"/>
      <c r="M74" s="359">
        <f t="shared" si="12"/>
        <v>1.7513445811537611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'[26]Sch C'!D68</f>
        <v>0</v>
      </c>
      <c r="D75" s="558">
        <f>'[26]Sch C'!F68</f>
        <v>0</v>
      </c>
      <c r="E75" s="171">
        <f t="shared" si="9"/>
        <v>0</v>
      </c>
      <c r="F75" s="558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'[26]Sch C'!D69</f>
        <v>1919</v>
      </c>
      <c r="D76" s="558">
        <f>'[26]Sch C'!F69</f>
        <v>0</v>
      </c>
      <c r="E76" s="171">
        <f t="shared" si="9"/>
        <v>1919</v>
      </c>
      <c r="F76" s="558">
        <v>384</v>
      </c>
      <c r="G76" s="171">
        <f t="shared" si="10"/>
        <v>2303</v>
      </c>
      <c r="H76" s="172">
        <f t="shared" si="11"/>
        <v>8.3710149627868387E-4</v>
      </c>
      <c r="I76" s="336"/>
      <c r="J76" s="195"/>
      <c r="K76" s="168"/>
      <c r="M76" s="359">
        <f t="shared" si="12"/>
        <v>0.16967509025270758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'[26]Sch C'!D70</f>
        <v>0</v>
      </c>
      <c r="D77" s="558">
        <f>'[26]Sch C'!F70</f>
        <v>0</v>
      </c>
      <c r="E77" s="171">
        <f t="shared" si="9"/>
        <v>0</v>
      </c>
      <c r="F77" s="558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'[26]Sch C'!D71</f>
        <v>0</v>
      </c>
      <c r="D78" s="558">
        <f>'[26]Sch C'!F71</f>
        <v>0</v>
      </c>
      <c r="E78" s="171">
        <f t="shared" si="9"/>
        <v>0</v>
      </c>
      <c r="F78" s="558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277192</v>
      </c>
      <c r="D79" s="558">
        <f>SUM(D64:D78)</f>
        <v>0</v>
      </c>
      <c r="E79" s="171">
        <f t="shared" ref="E79" si="13">SUM(E64:E78)</f>
        <v>277192</v>
      </c>
      <c r="F79" s="558">
        <f>SUM(F64:F78)</f>
        <v>-163684</v>
      </c>
      <c r="G79" s="171">
        <f>SUM(G64:G78)</f>
        <v>113508</v>
      </c>
      <c r="H79" s="172">
        <f t="shared" si="11"/>
        <v>4.1258235622926985E-2</v>
      </c>
      <c r="I79" s="336"/>
      <c r="J79" s="195"/>
      <c r="K79" s="168"/>
      <c r="M79" s="359">
        <f t="shared" si="12"/>
        <v>8.3627790466367049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'[26]Sch C'!D75</f>
        <v>34663</v>
      </c>
      <c r="D82" s="558">
        <f>'[26]Sch C'!F75</f>
        <v>1550</v>
      </c>
      <c r="E82" s="171">
        <f t="shared" ref="E82:E92" si="14">C82+D82</f>
        <v>36213</v>
      </c>
      <c r="F82" s="558">
        <v>8154</v>
      </c>
      <c r="G82" s="171">
        <f t="shared" ref="G82:G92" si="15">E82+F82</f>
        <v>44367</v>
      </c>
      <c r="H82" s="172">
        <f t="shared" ref="H82:H93" si="16">IF($G$208=0,0,G82/$G$208)</f>
        <v>1.612665309830498E-2</v>
      </c>
      <c r="I82" s="336"/>
      <c r="J82" s="183">
        <f>2141+486</f>
        <v>2627</v>
      </c>
      <c r="K82" s="183">
        <f>2237+504</f>
        <v>2741</v>
      </c>
      <c r="M82" s="359">
        <f t="shared" ref="M82:M92" si="17">G82/G$228</f>
        <v>3.2687688793929124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'[26]Sch C'!D76</f>
        <v>0</v>
      </c>
      <c r="D83" s="558">
        <f>'[26]Sch C'!F76</f>
        <v>4762</v>
      </c>
      <c r="E83" s="171">
        <f t="shared" si="14"/>
        <v>4762</v>
      </c>
      <c r="F83" s="558">
        <v>1320</v>
      </c>
      <c r="G83" s="171">
        <f t="shared" si="15"/>
        <v>6082</v>
      </c>
      <c r="H83" s="172">
        <f t="shared" si="16"/>
        <v>2.2107039949487428E-3</v>
      </c>
      <c r="I83" s="336"/>
      <c r="J83" s="168"/>
      <c r="K83" s="168"/>
      <c r="M83" s="359">
        <f t="shared" si="17"/>
        <v>0.44809548368083696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'[26]Sch C'!D77</f>
        <v>7614</v>
      </c>
      <c r="D84" s="558">
        <f>'[26]Sch C'!F77</f>
        <v>0</v>
      </c>
      <c r="E84" s="171">
        <f t="shared" si="14"/>
        <v>7614</v>
      </c>
      <c r="F84" s="558">
        <v>675</v>
      </c>
      <c r="G84" s="171">
        <f t="shared" si="15"/>
        <v>8289</v>
      </c>
      <c r="H84" s="172">
        <f t="shared" si="16"/>
        <v>3.0129111170881504E-3</v>
      </c>
      <c r="I84" s="336"/>
      <c r="J84" s="168"/>
      <c r="K84" s="168"/>
      <c r="M84" s="359">
        <f t="shared" si="17"/>
        <v>0.61069770868636264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'[26]Sch C'!D78</f>
        <v>0</v>
      </c>
      <c r="D85" s="558">
        <f>'[26]Sch C'!F78</f>
        <v>0</v>
      </c>
      <c r="E85" s="171">
        <f t="shared" si="14"/>
        <v>0</v>
      </c>
      <c r="F85" s="558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'[26]Sch C'!D79</f>
        <v>1927</v>
      </c>
      <c r="D86" s="558">
        <f>'[26]Sch C'!F79</f>
        <v>0</v>
      </c>
      <c r="E86" s="171">
        <f t="shared" si="14"/>
        <v>1927</v>
      </c>
      <c r="F86" s="558">
        <v>634</v>
      </c>
      <c r="G86" s="171">
        <f>E86+F86</f>
        <v>2561</v>
      </c>
      <c r="H86" s="172">
        <f t="shared" si="16"/>
        <v>9.3088012677798929E-4</v>
      </c>
      <c r="I86" s="336"/>
      <c r="J86" s="168"/>
      <c r="K86" s="168"/>
      <c r="M86" s="359">
        <f t="shared" si="17"/>
        <v>0.18868341560450896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'[26]Sch C'!D80</f>
        <v>3105</v>
      </c>
      <c r="D87" s="558">
        <f>'[26]Sch C'!F80</f>
        <v>0</v>
      </c>
      <c r="E87" s="171">
        <f t="shared" si="14"/>
        <v>3105</v>
      </c>
      <c r="F87" s="558">
        <v>120</v>
      </c>
      <c r="G87" s="171">
        <f t="shared" si="15"/>
        <v>3225</v>
      </c>
      <c r="H87" s="172">
        <f t="shared" si="16"/>
        <v>1.172232881241318E-3</v>
      </c>
      <c r="I87" s="336"/>
      <c r="J87" s="168"/>
      <c r="K87" s="168"/>
      <c r="M87" s="359">
        <f t="shared" si="17"/>
        <v>0.23760406689751712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'[26]Sch C'!D81</f>
        <v>9962</v>
      </c>
      <c r="D88" s="558">
        <f>'[26]Sch C'!F81</f>
        <v>0</v>
      </c>
      <c r="E88" s="171">
        <f t="shared" si="14"/>
        <v>9962</v>
      </c>
      <c r="F88" s="688">
        <f>2071-568</f>
        <v>1503</v>
      </c>
      <c r="G88" s="171">
        <f t="shared" si="15"/>
        <v>11465</v>
      </c>
      <c r="H88" s="172">
        <f t="shared" si="16"/>
        <v>4.167333328195879E-3</v>
      </c>
      <c r="I88" s="336"/>
      <c r="J88" s="168"/>
      <c r="K88" s="168"/>
      <c r="M88" s="359">
        <f t="shared" si="17"/>
        <v>0.84469166728063061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'[26]Sch C'!D82</f>
        <v>1555</v>
      </c>
      <c r="D89" s="558">
        <f>'[26]Sch C'!F82</f>
        <v>0</v>
      </c>
      <c r="E89" s="171">
        <f t="shared" si="14"/>
        <v>1555</v>
      </c>
      <c r="F89" s="558">
        <v>18</v>
      </c>
      <c r="G89" s="171">
        <f t="shared" si="15"/>
        <v>1573</v>
      </c>
      <c r="H89" s="172">
        <f t="shared" si="16"/>
        <v>5.7175885959460254E-4</v>
      </c>
      <c r="I89" s="336"/>
      <c r="J89" s="168"/>
      <c r="K89" s="168"/>
      <c r="M89" s="359">
        <f t="shared" si="17"/>
        <v>0.11589184410226185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'[26]Sch C'!D83</f>
        <v>0</v>
      </c>
      <c r="D90" s="558">
        <f>'[26]Sch C'!F83</f>
        <v>0</v>
      </c>
      <c r="E90" s="171">
        <f t="shared" si="14"/>
        <v>0</v>
      </c>
      <c r="F90" s="688">
        <f>0+568</f>
        <v>568</v>
      </c>
      <c r="G90" s="171">
        <f t="shared" si="15"/>
        <v>568</v>
      </c>
      <c r="H90" s="172">
        <f t="shared" si="16"/>
        <v>2.0645838032405227E-4</v>
      </c>
      <c r="I90" s="336"/>
      <c r="J90" s="168"/>
      <c r="K90" s="168"/>
      <c r="M90" s="359">
        <f t="shared" si="17"/>
        <v>4.1847786045826271E-2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'[26]Sch C'!D84</f>
        <v>42410</v>
      </c>
      <c r="D91" s="558">
        <f>'[26]Sch C'!F84</f>
        <v>0</v>
      </c>
      <c r="E91" s="171">
        <f t="shared" si="14"/>
        <v>42410</v>
      </c>
      <c r="F91" s="558">
        <v>7269</v>
      </c>
      <c r="G91" s="171">
        <f t="shared" si="15"/>
        <v>49679</v>
      </c>
      <c r="H91" s="172">
        <f t="shared" si="16"/>
        <v>1.8057475134011607E-2</v>
      </c>
      <c r="I91" s="336"/>
      <c r="J91" s="168"/>
      <c r="K91" s="168"/>
      <c r="M91" s="359">
        <f t="shared" si="17"/>
        <v>3.6601340897369776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'[26]Sch C'!D85</f>
        <v>0</v>
      </c>
      <c r="D92" s="558">
        <f>'[26]Sch C'!F85</f>
        <v>0</v>
      </c>
      <c r="E92" s="171">
        <f t="shared" si="14"/>
        <v>0</v>
      </c>
      <c r="F92" s="558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101236</v>
      </c>
      <c r="D93" s="558">
        <f>SUM(D82:D92)</f>
        <v>6312</v>
      </c>
      <c r="E93" s="171">
        <f t="shared" ref="E93" si="18">SUM(E82:E92)</f>
        <v>107548</v>
      </c>
      <c r="F93" s="558">
        <f>SUM(F82:F92)</f>
        <v>20261</v>
      </c>
      <c r="G93" s="171">
        <f>SUM(G82:G92)</f>
        <v>127809</v>
      </c>
      <c r="H93" s="172">
        <f t="shared" si="16"/>
        <v>4.6456406920487324E-2</v>
      </c>
      <c r="I93" s="336"/>
      <c r="J93" s="168"/>
      <c r="K93" s="168"/>
      <c r="M93" s="364">
        <f>G93/G$228</f>
        <v>9.4164149414278349</v>
      </c>
      <c r="N93" s="359">
        <f>SUMMARY!J96</f>
        <v>11.458724454710746</v>
      </c>
      <c r="O93" s="354">
        <f>M93/N93-1</f>
        <v>-0.17823183735283088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'[26]Sch C'!D89</f>
        <v>72002</v>
      </c>
      <c r="D96" s="558">
        <f>'[26]Sch C'!F89</f>
        <v>3219</v>
      </c>
      <c r="E96" s="171">
        <f t="shared" ref="E96:E101" si="19">C96+D96</f>
        <v>75221</v>
      </c>
      <c r="F96" s="558">
        <v>15041</v>
      </c>
      <c r="G96" s="171">
        <f t="shared" ref="G96:G101" si="20">E96+F96</f>
        <v>90262</v>
      </c>
      <c r="H96" s="172">
        <f t="shared" ref="H96:H102" si="21">IF($G$208=0,0,G96/$G$208)</f>
        <v>3.2808708318326774E-2</v>
      </c>
      <c r="I96" s="336"/>
      <c r="J96" s="183">
        <f>6546+1319</f>
        <v>7865</v>
      </c>
      <c r="K96" s="183">
        <f>6839+1368</f>
        <v>8207</v>
      </c>
      <c r="M96" s="364">
        <f t="shared" ref="M96:M101" si="22">G96/G$228</f>
        <v>6.6501141973034699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'[26]Sch C'!D90</f>
        <v>0</v>
      </c>
      <c r="D97" s="558">
        <f>'[26]Sch C'!F90</f>
        <v>9892</v>
      </c>
      <c r="E97" s="171">
        <f t="shared" si="19"/>
        <v>9892</v>
      </c>
      <c r="F97" s="558">
        <v>2435</v>
      </c>
      <c r="G97" s="171">
        <f t="shared" si="20"/>
        <v>12327</v>
      </c>
      <c r="H97" s="172">
        <f t="shared" si="21"/>
        <v>4.4806557293214661E-3</v>
      </c>
      <c r="I97" s="336"/>
      <c r="J97" s="168"/>
      <c r="K97" s="168"/>
      <c r="M97" s="364">
        <f t="shared" si="22"/>
        <v>0.90820010314595156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'[26]Sch C'!D91</f>
        <v>4910</v>
      </c>
      <c r="D98" s="558">
        <f>'[26]Sch C'!F91</f>
        <v>0</v>
      </c>
      <c r="E98" s="171">
        <f t="shared" si="19"/>
        <v>4910</v>
      </c>
      <c r="F98" s="558">
        <v>1120</v>
      </c>
      <c r="G98" s="171">
        <f t="shared" si="20"/>
        <v>6030</v>
      </c>
      <c r="H98" s="172">
        <f t="shared" si="21"/>
        <v>2.1918028756233014E-3</v>
      </c>
      <c r="I98" s="336"/>
      <c r="J98" s="168"/>
      <c r="K98" s="168"/>
      <c r="M98" s="364">
        <f t="shared" si="22"/>
        <v>0.44426434833861345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'[26]Sch C'!D92</f>
        <v>62113</v>
      </c>
      <c r="D99" s="558">
        <f>'[26]Sch C'!F92</f>
        <v>0</v>
      </c>
      <c r="E99" s="171">
        <f t="shared" si="19"/>
        <v>62113</v>
      </c>
      <c r="F99" s="558">
        <v>13858</v>
      </c>
      <c r="G99" s="171">
        <f t="shared" si="20"/>
        <v>75971</v>
      </c>
      <c r="H99" s="172">
        <f t="shared" si="21"/>
        <v>2.7614171851405946E-2</v>
      </c>
      <c r="I99" s="336"/>
      <c r="J99" s="168"/>
      <c r="K99" s="168"/>
      <c r="M99" s="364">
        <f t="shared" si="22"/>
        <v>5.5972150593089225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'[26]Sch C'!D93</f>
        <v>7378</v>
      </c>
      <c r="D100" s="558">
        <f>'[26]Sch C'!F93</f>
        <v>0</v>
      </c>
      <c r="E100" s="171">
        <f t="shared" si="19"/>
        <v>7378</v>
      </c>
      <c r="F100" s="558">
        <v>1278</v>
      </c>
      <c r="G100" s="171">
        <f t="shared" si="20"/>
        <v>8656</v>
      </c>
      <c r="H100" s="172">
        <f t="shared" si="21"/>
        <v>3.1463094015580927E-3</v>
      </c>
      <c r="I100" s="336"/>
      <c r="J100" s="168"/>
      <c r="K100" s="168"/>
      <c r="M100" s="364">
        <f t="shared" si="22"/>
        <v>0.63773668312090181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'[26]Sch C'!D94</f>
        <v>0</v>
      </c>
      <c r="D101" s="558">
        <f>'[26]Sch C'!F94</f>
        <v>0</v>
      </c>
      <c r="E101" s="171">
        <f t="shared" si="19"/>
        <v>0</v>
      </c>
      <c r="F101" s="558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146403</v>
      </c>
      <c r="D102" s="558">
        <f>SUM(D96:D101)</f>
        <v>13111</v>
      </c>
      <c r="E102" s="171">
        <f t="shared" ref="E102" si="23">SUM(E96:E101)</f>
        <v>159514</v>
      </c>
      <c r="F102" s="558">
        <f>SUM(F96:F101)</f>
        <v>33732</v>
      </c>
      <c r="G102" s="171">
        <f>SUM(G96:G101)</f>
        <v>193246</v>
      </c>
      <c r="H102" s="172">
        <f t="shared" si="21"/>
        <v>7.0241648176235572E-2</v>
      </c>
      <c r="I102" s="336"/>
      <c r="J102" s="168"/>
      <c r="K102" s="168"/>
      <c r="M102" s="364">
        <f>G102/G$228</f>
        <v>14.237530391217859</v>
      </c>
      <c r="N102" s="359">
        <f>SUMMARY!J105</f>
        <v>19.901077037785338</v>
      </c>
      <c r="O102" s="354">
        <f>M102/N102-1</f>
        <v>-0.28458493154990261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'[26]Sch C'!D98</f>
        <v>14859</v>
      </c>
      <c r="D105" s="558">
        <f>'[26]Sch C'!F98</f>
        <v>664</v>
      </c>
      <c r="E105" s="171">
        <f t="shared" ref="E105:E110" si="24">C105+D105</f>
        <v>15523</v>
      </c>
      <c r="F105" s="558">
        <v>2844</v>
      </c>
      <c r="G105" s="171">
        <f t="shared" ref="G105:G110" si="25">E105+F105</f>
        <v>18367</v>
      </c>
      <c r="H105" s="172">
        <f t="shared" ref="H105:H111" si="26">IF($G$208=0,0,G105/$G$208)</f>
        <v>6.6760934355842754E-3</v>
      </c>
      <c r="I105" s="336"/>
      <c r="J105" s="183">
        <f>1714+316</f>
        <v>2030</v>
      </c>
      <c r="K105" s="183">
        <f>1791+328</f>
        <v>2119</v>
      </c>
      <c r="M105" s="364">
        <f t="shared" ref="M105:M110" si="27">G105/G$228</f>
        <v>1.3532012082811464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'[26]Sch C'!D99</f>
        <v>0</v>
      </c>
      <c r="D106" s="558">
        <f>'[26]Sch C'!F99</f>
        <v>2042</v>
      </c>
      <c r="E106" s="171">
        <f t="shared" si="24"/>
        <v>2042</v>
      </c>
      <c r="F106" s="558">
        <v>460</v>
      </c>
      <c r="G106" s="171">
        <f t="shared" si="25"/>
        <v>2502</v>
      </c>
      <c r="H106" s="172">
        <f t="shared" si="26"/>
        <v>9.0943462600489233E-4</v>
      </c>
      <c r="I106" s="336"/>
      <c r="J106" s="168"/>
      <c r="K106" s="168"/>
      <c r="M106" s="364">
        <f t="shared" si="27"/>
        <v>0.1843365505046784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'[26]Sch C'!D100</f>
        <v>3335</v>
      </c>
      <c r="D107" s="558">
        <f>'[26]Sch C'!F100</f>
        <v>0</v>
      </c>
      <c r="E107" s="171">
        <f t="shared" si="24"/>
        <v>3335</v>
      </c>
      <c r="F107" s="558">
        <v>204</v>
      </c>
      <c r="G107" s="171">
        <f t="shared" si="25"/>
        <v>3539</v>
      </c>
      <c r="H107" s="172">
        <f t="shared" si="26"/>
        <v>1.286366563321868E-3</v>
      </c>
      <c r="I107" s="336"/>
      <c r="J107" s="168"/>
      <c r="K107" s="168"/>
      <c r="M107" s="364">
        <f t="shared" si="27"/>
        <v>0.26073823031017462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'[26]Sch C'!D101</f>
        <v>0</v>
      </c>
      <c r="D108" s="558">
        <f>'[26]Sch C'!F101</f>
        <v>0</v>
      </c>
      <c r="E108" s="171">
        <f t="shared" si="24"/>
        <v>0</v>
      </c>
      <c r="F108" s="558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'[26]Sch C'!D102</f>
        <v>1091</v>
      </c>
      <c r="D109" s="558">
        <f>'[26]Sch C'!F102</f>
        <v>0</v>
      </c>
      <c r="E109" s="171">
        <f t="shared" si="24"/>
        <v>1091</v>
      </c>
      <c r="F109" s="558">
        <v>179</v>
      </c>
      <c r="G109" s="171">
        <f t="shared" si="25"/>
        <v>1270</v>
      </c>
      <c r="H109" s="172">
        <f t="shared" si="26"/>
        <v>4.6162349121751126E-4</v>
      </c>
      <c r="I109" s="336"/>
      <c r="J109" s="168"/>
      <c r="K109" s="168"/>
      <c r="M109" s="364">
        <f t="shared" si="27"/>
        <v>9.3568113165843958E-2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'[26]Sch C'!D103</f>
        <v>0</v>
      </c>
      <c r="D110" s="558">
        <f>'[26]Sch C'!F103</f>
        <v>0</v>
      </c>
      <c r="E110" s="171">
        <f t="shared" si="24"/>
        <v>0</v>
      </c>
      <c r="F110" s="558"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19285</v>
      </c>
      <c r="D111" s="558">
        <f>SUM(D105:D110)</f>
        <v>2706</v>
      </c>
      <c r="E111" s="171">
        <f t="shared" ref="E111" si="28">SUM(E105:E110)</f>
        <v>21991</v>
      </c>
      <c r="F111" s="558">
        <f>SUM(F105:F110)</f>
        <v>3687</v>
      </c>
      <c r="G111" s="171">
        <f>SUM(G105:G110)</f>
        <v>25678</v>
      </c>
      <c r="H111" s="172">
        <f t="shared" si="26"/>
        <v>9.3335181161285467E-3</v>
      </c>
      <c r="I111" s="336"/>
      <c r="J111" s="168"/>
      <c r="K111" s="168"/>
      <c r="M111" s="364">
        <f>G111/G$228</f>
        <v>1.8918441022618433</v>
      </c>
      <c r="N111" s="359">
        <f>SUMMARY!J114</f>
        <v>2.4242384372309496</v>
      </c>
      <c r="O111" s="354">
        <f>M111/N111-1</f>
        <v>-0.21961302435961116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'[26]Sch C'!D115</f>
        <v>32106</v>
      </c>
      <c r="D114" s="558">
        <f>'[26]Sch C'!F115</f>
        <v>1435</v>
      </c>
      <c r="E114" s="171">
        <f t="shared" ref="E114:E118" si="29">C114+D114</f>
        <v>33541</v>
      </c>
      <c r="F114" s="558">
        <v>8374</v>
      </c>
      <c r="G114" s="171">
        <f>E114+F114</f>
        <v>41915</v>
      </c>
      <c r="H114" s="172">
        <f t="shared" ref="H114:H119" si="30">IF($G$208=0,0,G114/$G$208)</f>
        <v>1.5235392625497626E-2</v>
      </c>
      <c r="I114" s="336"/>
      <c r="J114" s="183">
        <f>3532+888</f>
        <v>4420</v>
      </c>
      <c r="K114" s="183">
        <f>3690+921</f>
        <v>4611</v>
      </c>
      <c r="M114" s="364">
        <f t="shared" ref="M114:M119" si="31">G114/G$228</f>
        <v>3.0881161128711412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'[26]Sch C'!D116</f>
        <v>0</v>
      </c>
      <c r="D115" s="558">
        <f>'[26]Sch C'!F116</f>
        <v>4410</v>
      </c>
      <c r="E115" s="171">
        <f t="shared" si="29"/>
        <v>4410</v>
      </c>
      <c r="F115" s="558">
        <v>1355</v>
      </c>
      <c r="G115" s="171">
        <f>E115+F115</f>
        <v>5765</v>
      </c>
      <c r="H115" s="172">
        <f t="shared" si="30"/>
        <v>2.0954798636763404E-3</v>
      </c>
      <c r="I115" s="336"/>
      <c r="J115" s="168"/>
      <c r="K115" s="168"/>
      <c r="M115" s="364">
        <f t="shared" si="31"/>
        <v>0.42474029322920503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'[26]Sch C'!D117</f>
        <v>7822</v>
      </c>
      <c r="D116" s="558">
        <f>'[26]Sch C'!F117</f>
        <v>0</v>
      </c>
      <c r="E116" s="171">
        <f t="shared" si="29"/>
        <v>7822</v>
      </c>
      <c r="F116" s="558">
        <v>1171</v>
      </c>
      <c r="G116" s="171">
        <f>E116+F116</f>
        <v>8993</v>
      </c>
      <c r="H116" s="172">
        <f t="shared" si="30"/>
        <v>3.2688031941095108E-3</v>
      </c>
      <c r="I116" s="336"/>
      <c r="J116" s="168"/>
      <c r="K116" s="168"/>
      <c r="M116" s="364">
        <f t="shared" si="31"/>
        <v>0.66256538716569657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'[26]Sch C'!D118</f>
        <v>1512</v>
      </c>
      <c r="D117" s="558">
        <f>'[26]Sch C'!F118</f>
        <v>0</v>
      </c>
      <c r="E117" s="171">
        <f t="shared" si="29"/>
        <v>1512</v>
      </c>
      <c r="F117" s="558">
        <v>168</v>
      </c>
      <c r="G117" s="171">
        <f>E117+F117</f>
        <v>1680</v>
      </c>
      <c r="H117" s="172">
        <f t="shared" si="30"/>
        <v>6.1065154743733779E-4</v>
      </c>
      <c r="I117" s="336"/>
      <c r="J117" s="168"/>
      <c r="K117" s="168"/>
      <c r="M117" s="364">
        <f t="shared" si="31"/>
        <v>0.12377514182568335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'[26]Sch C'!D119</f>
        <v>0</v>
      </c>
      <c r="D118" s="558">
        <f>'[26]Sch C'!F119</f>
        <v>0</v>
      </c>
      <c r="E118" s="171">
        <f t="shared" si="29"/>
        <v>0</v>
      </c>
      <c r="F118" s="558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41440</v>
      </c>
      <c r="D119" s="558">
        <f>SUM(D114:D118)</f>
        <v>5845</v>
      </c>
      <c r="E119" s="171">
        <f t="shared" ref="E119" si="32">SUM(E114:E118)</f>
        <v>47285</v>
      </c>
      <c r="F119" s="558">
        <f>SUM(F114:F118)</f>
        <v>11068</v>
      </c>
      <c r="G119" s="171">
        <f>SUM(G114:G118)</f>
        <v>58353</v>
      </c>
      <c r="H119" s="172">
        <f t="shared" si="30"/>
        <v>2.1210327230720815E-2</v>
      </c>
      <c r="I119" s="336"/>
      <c r="J119" s="168"/>
      <c r="K119" s="168"/>
      <c r="M119" s="364">
        <f t="shared" si="31"/>
        <v>4.2991969350917261</v>
      </c>
      <c r="N119" s="359">
        <f>SUMMARY!J122</f>
        <v>6.0247597205909562</v>
      </c>
      <c r="O119" s="354">
        <f>M119/N119-1</f>
        <v>-0.28641188454399857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'[26]Sch C'!D124</f>
        <v>0</v>
      </c>
      <c r="D123" s="558">
        <f>'[26]Sch C'!F124</f>
        <v>0</v>
      </c>
      <c r="E123" s="171">
        <f t="shared" ref="E123:E127" si="33">C123+D123</f>
        <v>0</v>
      </c>
      <c r="F123" s="558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'[26]Sch C'!D125</f>
        <v>58005</v>
      </c>
      <c r="D124" s="558">
        <f>'[26]Sch C'!F125</f>
        <v>2593</v>
      </c>
      <c r="E124" s="171">
        <f t="shared" si="33"/>
        <v>60598</v>
      </c>
      <c r="F124" s="558">
        <v>11074</v>
      </c>
      <c r="G124" s="171">
        <f>E124+F124</f>
        <v>71672</v>
      </c>
      <c r="H124" s="172">
        <f>IF($G$208=0,0,G124/$G$208)</f>
        <v>2.6051558159481472E-2</v>
      </c>
      <c r="I124" s="336"/>
      <c r="J124" s="183">
        <f>1733+319</f>
        <v>2052</v>
      </c>
      <c r="K124" s="183">
        <f>1810+331</f>
        <v>2141</v>
      </c>
      <c r="M124" s="364">
        <f t="shared" si="34"/>
        <v>5.2804833124585571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'[26]Sch C'!D126</f>
        <v>44828</v>
      </c>
      <c r="D125" s="558">
        <f>'[26]Sch C'!F126</f>
        <v>2004</v>
      </c>
      <c r="E125" s="171">
        <f t="shared" si="33"/>
        <v>46832</v>
      </c>
      <c r="F125" s="558">
        <v>6550</v>
      </c>
      <c r="G125" s="171">
        <f>E125+F125</f>
        <v>53382</v>
      </c>
      <c r="H125" s="172">
        <f>IF($G$208=0,0,G125/$G$208)</f>
        <v>1.9403452919821408E-2</v>
      </c>
      <c r="I125" s="336"/>
      <c r="J125" s="183">
        <f>1688+238</f>
        <v>1926</v>
      </c>
      <c r="K125" s="183">
        <f>1763+247</f>
        <v>2010</v>
      </c>
      <c r="M125" s="364">
        <f t="shared" si="34"/>
        <v>3.932955131511088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'[26]Sch C'!D127</f>
        <v>0</v>
      </c>
      <c r="D126" s="558">
        <f>'[26]Sch C'!F127</f>
        <v>0</v>
      </c>
      <c r="E126" s="171">
        <f t="shared" si="33"/>
        <v>0</v>
      </c>
      <c r="F126" s="558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'[26]Sch C'!D128</f>
        <v>23367</v>
      </c>
      <c r="D127" s="558">
        <f>'[26]Sch C'!F128</f>
        <v>1045</v>
      </c>
      <c r="E127" s="171">
        <f t="shared" si="33"/>
        <v>24412</v>
      </c>
      <c r="F127" s="558">
        <v>5344</v>
      </c>
      <c r="G127" s="171">
        <f>E127+F127</f>
        <v>29756</v>
      </c>
      <c r="H127" s="172">
        <f>IF($G$208=0,0,G127/$G$208)</f>
        <v>1.0815802050919894E-2</v>
      </c>
      <c r="I127" s="336"/>
      <c r="J127" s="183">
        <f>1797+396</f>
        <v>2193</v>
      </c>
      <c r="K127" s="183">
        <f>1877+411</f>
        <v>2288</v>
      </c>
      <c r="M127" s="364">
        <f t="shared" si="34"/>
        <v>2.1922935239077579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558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'[26]Sch C'!D130</f>
        <v>0</v>
      </c>
      <c r="D129" s="558">
        <f>'[26]Sch C'!F130</f>
        <v>0</v>
      </c>
      <c r="E129" s="171">
        <f t="shared" ref="E129:E133" si="35">C129+D129</f>
        <v>0</v>
      </c>
      <c r="F129" s="558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'[26]Sch C'!D131</f>
        <v>0</v>
      </c>
      <c r="D130" s="558">
        <f>'[26]Sch C'!F131</f>
        <v>7969</v>
      </c>
      <c r="E130" s="171">
        <f t="shared" si="35"/>
        <v>7969</v>
      </c>
      <c r="F130" s="558">
        <v>1792</v>
      </c>
      <c r="G130" s="171">
        <f>E130+F130</f>
        <v>9761</v>
      </c>
      <c r="H130" s="172">
        <f>IF($G$208=0,0,G130/$G$208)</f>
        <v>3.5479581872237226E-3</v>
      </c>
      <c r="I130" s="336"/>
      <c r="J130" s="204"/>
      <c r="K130" s="204"/>
      <c r="M130" s="364">
        <f t="shared" si="34"/>
        <v>0.71914830914315186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'[26]Sch C'!D132</f>
        <v>0</v>
      </c>
      <c r="D131" s="558">
        <f>'[26]Sch C'!F132</f>
        <v>6159</v>
      </c>
      <c r="E131" s="171">
        <f t="shared" si="35"/>
        <v>6159</v>
      </c>
      <c r="F131" s="558">
        <v>1061</v>
      </c>
      <c r="G131" s="171">
        <f>E131+F131</f>
        <v>7220</v>
      </c>
      <c r="H131" s="172">
        <f>IF($G$208=0,0,G131/$G$208)</f>
        <v>2.6243477217247489E-3</v>
      </c>
      <c r="I131" s="336"/>
      <c r="J131" s="168"/>
      <c r="K131" s="168"/>
      <c r="M131" s="364">
        <f t="shared" si="34"/>
        <v>0.53193840713180585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'[26]Sch C'!D133</f>
        <v>0</v>
      </c>
      <c r="D132" s="558">
        <f>'[26]Sch C'!F133</f>
        <v>0</v>
      </c>
      <c r="E132" s="171">
        <f t="shared" si="35"/>
        <v>0</v>
      </c>
      <c r="F132" s="558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'[26]Sch C'!D134</f>
        <v>0</v>
      </c>
      <c r="D133" s="558">
        <f>'[26]Sch C'!F134</f>
        <v>3210</v>
      </c>
      <c r="E133" s="171">
        <f t="shared" si="35"/>
        <v>3210</v>
      </c>
      <c r="F133" s="558">
        <v>865</v>
      </c>
      <c r="G133" s="171">
        <f>E133+F133</f>
        <v>4075</v>
      </c>
      <c r="H133" s="172">
        <f>IF($G$208=0,0,G133/$G$208)</f>
        <v>1.4811934855994949E-3</v>
      </c>
      <c r="I133" s="336"/>
      <c r="J133" s="168"/>
      <c r="K133" s="168"/>
      <c r="M133" s="364">
        <f t="shared" si="34"/>
        <v>0.30022839460694023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'[26]Sch C'!D136</f>
        <v>160339</v>
      </c>
      <c r="D135" s="558">
        <f>'[26]Sch C'!F136</f>
        <v>7168</v>
      </c>
      <c r="E135" s="171">
        <f t="shared" ref="E135:E138" si="36">C135+D135</f>
        <v>167507</v>
      </c>
      <c r="F135" s="558">
        <v>30315</v>
      </c>
      <c r="G135" s="171">
        <f>E135+F135</f>
        <v>197822</v>
      </c>
      <c r="H135" s="172">
        <f>IF($G$208=0,0,G135/$G$208)</f>
        <v>7.1904946676874415E-2</v>
      </c>
      <c r="I135" s="336"/>
      <c r="J135" s="183">
        <f>7011+1278</f>
        <v>8289</v>
      </c>
      <c r="K135" s="183">
        <f>7324+1325</f>
        <v>8649</v>
      </c>
      <c r="M135" s="364">
        <f t="shared" si="34"/>
        <v>14.57467030133353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'[26]Sch C'!D137</f>
        <v>88669</v>
      </c>
      <c r="D136" s="558">
        <f>'[26]Sch C'!F137</f>
        <v>3964</v>
      </c>
      <c r="E136" s="171">
        <f t="shared" si="36"/>
        <v>92633</v>
      </c>
      <c r="F136" s="558">
        <v>23437</v>
      </c>
      <c r="G136" s="171">
        <f>E136+F136</f>
        <v>116070</v>
      </c>
      <c r="H136" s="172">
        <f>IF($G$208=0,0,G136/$G$208)</f>
        <v>4.2189479232768924E-2</v>
      </c>
      <c r="I136" s="336"/>
      <c r="J136" s="183">
        <f>4251+1083</f>
        <v>5334</v>
      </c>
      <c r="K136" s="183">
        <f>4441+1123</f>
        <v>5564</v>
      </c>
      <c r="M136" s="364">
        <f t="shared" si="34"/>
        <v>8.5515361379208716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'[26]Sch C'!D138</f>
        <v>194887</v>
      </c>
      <c r="D137" s="558">
        <f>'[26]Sch C'!F138</f>
        <v>8712</v>
      </c>
      <c r="E137" s="171">
        <f t="shared" si="36"/>
        <v>203599</v>
      </c>
      <c r="F137" s="558">
        <v>45739</v>
      </c>
      <c r="G137" s="171">
        <f>E137+F137</f>
        <v>249338</v>
      </c>
      <c r="H137" s="172">
        <f>IF($G$208=0,0,G137/$G$208)</f>
        <v>9.0630140199363649E-2</v>
      </c>
      <c r="I137" s="336"/>
      <c r="J137" s="183">
        <f>19258+4358</f>
        <v>23616</v>
      </c>
      <c r="K137" s="183">
        <f>20119+4519</f>
        <v>24638</v>
      </c>
      <c r="M137" s="364">
        <f t="shared" si="34"/>
        <v>18.370146614602518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'[26]Sch C'!D139</f>
        <v>55552</v>
      </c>
      <c r="D138" s="558">
        <f>'[26]Sch C'!F139</f>
        <v>2483</v>
      </c>
      <c r="E138" s="171">
        <f t="shared" si="36"/>
        <v>58035</v>
      </c>
      <c r="F138" s="558">
        <v>6627</v>
      </c>
      <c r="G138" s="171">
        <f>E138+F138</f>
        <v>64662</v>
      </c>
      <c r="H138" s="172">
        <f>IF($G$208=0,0,G138/$G$208)</f>
        <v>2.3503541881186391E-2</v>
      </c>
      <c r="I138" s="336"/>
      <c r="J138" s="183">
        <f>4688+539</f>
        <v>5227</v>
      </c>
      <c r="K138" s="183">
        <f>4898+559</f>
        <v>5457</v>
      </c>
      <c r="M138" s="364">
        <f t="shared" si="34"/>
        <v>4.7640167980549624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'[26]Sch C'!D141</f>
        <v>0</v>
      </c>
      <c r="D140" s="558">
        <f>'[26]Sch C'!F141</f>
        <v>22027</v>
      </c>
      <c r="E140" s="171">
        <f t="shared" ref="E140:E143" si="37">C140+D140</f>
        <v>22027</v>
      </c>
      <c r="F140" s="558">
        <v>4908</v>
      </c>
      <c r="G140" s="171">
        <f>E140+F140</f>
        <v>26935</v>
      </c>
      <c r="H140" s="172">
        <f>IF($G$208=0,0,G140/$G$208)</f>
        <v>9.7904163275146974E-3</v>
      </c>
      <c r="I140" s="336"/>
      <c r="J140" s="168"/>
      <c r="K140" s="168"/>
      <c r="M140" s="364">
        <f t="shared" si="34"/>
        <v>1.9844544315921315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'[26]Sch C'!D142</f>
        <v>0</v>
      </c>
      <c r="D141" s="558">
        <f>'[26]Sch C'!F142</f>
        <v>12181</v>
      </c>
      <c r="E141" s="171">
        <f t="shared" si="37"/>
        <v>12181</v>
      </c>
      <c r="F141" s="558">
        <v>3795</v>
      </c>
      <c r="G141" s="171">
        <f>E141+F141</f>
        <v>15976</v>
      </c>
      <c r="H141" s="172">
        <f>IF($G$208=0,0,G141/$G$208)</f>
        <v>5.8070054296779213E-3</v>
      </c>
      <c r="I141" s="336"/>
      <c r="J141" s="168"/>
      <c r="K141" s="168"/>
      <c r="M141" s="364">
        <f t="shared" si="34"/>
        <v>1.1770426582185221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'[26]Sch C'!D143</f>
        <v>0</v>
      </c>
      <c r="D142" s="558">
        <f>'[26]Sch C'!F143</f>
        <v>26773</v>
      </c>
      <c r="E142" s="171">
        <f t="shared" si="37"/>
        <v>26773</v>
      </c>
      <c r="F142" s="558">
        <v>7405</v>
      </c>
      <c r="G142" s="171">
        <f>E142+F142</f>
        <v>34178</v>
      </c>
      <c r="H142" s="172">
        <f>IF($G$208=0,0,G142/$G$208)</f>
        <v>1.2423124159710315E-2</v>
      </c>
      <c r="I142" s="336"/>
      <c r="J142" s="168"/>
      <c r="K142" s="168"/>
      <c r="M142" s="364">
        <f t="shared" si="34"/>
        <v>2.5180873793560745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'[26]Sch C'!D144</f>
        <v>0</v>
      </c>
      <c r="D143" s="558">
        <f>'[26]Sch C'!F144</f>
        <v>7631</v>
      </c>
      <c r="E143" s="171">
        <f t="shared" si="37"/>
        <v>7631</v>
      </c>
      <c r="F143" s="558">
        <v>1072</v>
      </c>
      <c r="G143" s="171">
        <f>E143+F143</f>
        <v>8703</v>
      </c>
      <c r="H143" s="172">
        <f>IF($G$208=0,0,G143/$G$208)</f>
        <v>3.16339310556378E-3</v>
      </c>
      <c r="I143" s="336"/>
      <c r="J143" s="168"/>
      <c r="K143" s="168"/>
      <c r="M143" s="364">
        <f t="shared" si="34"/>
        <v>0.64119944006483465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'[26]Sch C'!D146</f>
        <v>12000</v>
      </c>
      <c r="D145" s="558">
        <f>'[26]Sch C'!F146</f>
        <v>0</v>
      </c>
      <c r="E145" s="171">
        <f t="shared" ref="E145:E153" si="38">C145+D145</f>
        <v>12000</v>
      </c>
      <c r="F145" s="558">
        <v>2400</v>
      </c>
      <c r="G145" s="171">
        <f t="shared" ref="G145:G153" si="39">E145+F145</f>
        <v>14400</v>
      </c>
      <c r="H145" s="172">
        <f t="shared" ref="H145:H153" si="40">IF($G$208=0,0,G145/$G$208)</f>
        <v>5.2341561208914663E-3</v>
      </c>
      <c r="I145" s="336"/>
      <c r="J145" s="183">
        <v>0</v>
      </c>
      <c r="K145" s="183">
        <v>0</v>
      </c>
      <c r="M145" s="364">
        <f t="shared" si="34"/>
        <v>1.0609297870772858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'[26]Sch C'!D147</f>
        <v>0</v>
      </c>
      <c r="D146" s="558">
        <f>'[26]Sch C'!F147</f>
        <v>0</v>
      </c>
      <c r="E146" s="171">
        <f t="shared" si="38"/>
        <v>0</v>
      </c>
      <c r="F146" s="558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'[26]Sch C'!D148</f>
        <v>0</v>
      </c>
      <c r="D147" s="558">
        <f>'[26]Sch C'!F148</f>
        <v>0</v>
      </c>
      <c r="E147" s="171">
        <f t="shared" si="38"/>
        <v>0</v>
      </c>
      <c r="F147" s="558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'[26]Sch C'!D149</f>
        <v>0</v>
      </c>
      <c r="D148" s="558">
        <f>'[26]Sch C'!F149</f>
        <v>0</v>
      </c>
      <c r="E148" s="171">
        <f t="shared" si="38"/>
        <v>0</v>
      </c>
      <c r="F148" s="558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'[26]Sch C'!D150</f>
        <v>0</v>
      </c>
      <c r="D149" s="558">
        <f>'[26]Sch C'!F150</f>
        <v>0</v>
      </c>
      <c r="E149" s="171">
        <f t="shared" si="38"/>
        <v>0</v>
      </c>
      <c r="F149" s="558">
        <v>0</v>
      </c>
      <c r="G149" s="171">
        <f t="shared" si="39"/>
        <v>0</v>
      </c>
      <c r="H149" s="172">
        <f t="shared" si="40"/>
        <v>0</v>
      </c>
      <c r="I149" s="336"/>
      <c r="J149" s="183">
        <v>0</v>
      </c>
      <c r="K149" s="183">
        <v>0</v>
      </c>
      <c r="M149" s="364">
        <f t="shared" si="34"/>
        <v>0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'[26]Sch C'!D151</f>
        <v>38122</v>
      </c>
      <c r="D150" s="558">
        <f>'[26]Sch C'!F151</f>
        <v>0</v>
      </c>
      <c r="E150" s="171">
        <f t="shared" si="38"/>
        <v>38122</v>
      </c>
      <c r="F150" s="558">
        <v>5694</v>
      </c>
      <c r="G150" s="171">
        <f t="shared" si="39"/>
        <v>43816</v>
      </c>
      <c r="H150" s="172">
        <f t="shared" si="40"/>
        <v>1.5926373930068089E-2</v>
      </c>
      <c r="I150" s="336"/>
      <c r="J150" s="168"/>
      <c r="K150" s="168"/>
      <c r="M150" s="364">
        <f t="shared" si="34"/>
        <v>3.2281735799012745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'[26]Sch C'!D152</f>
        <v>637</v>
      </c>
      <c r="D151" s="558">
        <f>'[26]Sch C'!F152</f>
        <v>0</v>
      </c>
      <c r="E151" s="171">
        <f t="shared" si="38"/>
        <v>637</v>
      </c>
      <c r="F151" s="558">
        <v>132</v>
      </c>
      <c r="G151" s="171">
        <f t="shared" si="39"/>
        <v>769</v>
      </c>
      <c r="H151" s="172">
        <f t="shared" si="40"/>
        <v>2.7951847617816236E-4</v>
      </c>
      <c r="I151" s="336"/>
      <c r="J151" s="168"/>
      <c r="K151" s="168"/>
      <c r="M151" s="364">
        <f t="shared" si="34"/>
        <v>5.6656597657113388E-2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'[26]Sch C'!D153</f>
        <v>0</v>
      </c>
      <c r="D152" s="558">
        <f>'[26]Sch C'!F153</f>
        <v>0</v>
      </c>
      <c r="E152" s="171">
        <f t="shared" si="38"/>
        <v>0</v>
      </c>
      <c r="F152" s="558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'[26]Sch C'!D154</f>
        <v>0</v>
      </c>
      <c r="D153" s="558">
        <f>'[26]Sch C'!F154</f>
        <v>0</v>
      </c>
      <c r="E153" s="171">
        <f t="shared" si="38"/>
        <v>0</v>
      </c>
      <c r="F153" s="558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557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'[26]Sch C'!D156</f>
        <v>0</v>
      </c>
      <c r="D155" s="558">
        <f>'[26]Sch C'!F156</f>
        <v>0</v>
      </c>
      <c r="E155" s="171">
        <f t="shared" ref="E155:E160" si="41">C155+D155</f>
        <v>0</v>
      </c>
      <c r="F155" s="558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'[26]Sch C'!D157</f>
        <v>0</v>
      </c>
      <c r="D156" s="558">
        <f>'[26]Sch C'!F157</f>
        <v>0</v>
      </c>
      <c r="E156" s="171">
        <f t="shared" si="41"/>
        <v>0</v>
      </c>
      <c r="F156" s="558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'[26]Sch C'!D158</f>
        <v>0</v>
      </c>
      <c r="D157" s="558">
        <f>'[26]Sch C'!F158</f>
        <v>0</v>
      </c>
      <c r="E157" s="171">
        <f t="shared" si="41"/>
        <v>0</v>
      </c>
      <c r="F157" s="558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'[26]Sch C'!D159</f>
        <v>0</v>
      </c>
      <c r="D158" s="558">
        <f>'[26]Sch C'!F159</f>
        <v>0</v>
      </c>
      <c r="E158" s="171">
        <f t="shared" si="41"/>
        <v>0</v>
      </c>
      <c r="F158" s="558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'[26]Sch C'!D160</f>
        <v>0</v>
      </c>
      <c r="D159" s="558">
        <f>'[26]Sch C'!F160</f>
        <v>0</v>
      </c>
      <c r="E159" s="171">
        <f t="shared" si="41"/>
        <v>0</v>
      </c>
      <c r="F159" s="558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'[26]Sch C'!D161</f>
        <v>1040</v>
      </c>
      <c r="D160" s="558">
        <f>'[26]Sch C'!F161</f>
        <v>0</v>
      </c>
      <c r="E160" s="171">
        <f t="shared" si="41"/>
        <v>1040</v>
      </c>
      <c r="F160" s="558">
        <v>400</v>
      </c>
      <c r="G160" s="171">
        <f t="shared" si="42"/>
        <v>1440</v>
      </c>
      <c r="H160" s="172">
        <f t="shared" si="43"/>
        <v>5.2341561208914668E-4</v>
      </c>
      <c r="I160" s="336"/>
      <c r="J160" s="168"/>
      <c r="K160" s="168"/>
      <c r="M160" s="364">
        <f t="shared" si="34"/>
        <v>0.10609297870772857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677446</v>
      </c>
      <c r="D161" s="558">
        <f>SUM(D123:D160)</f>
        <v>113919</v>
      </c>
      <c r="E161" s="171">
        <f t="shared" ref="E161" si="44">SUM(E123:E160)</f>
        <v>791365</v>
      </c>
      <c r="F161" s="558">
        <f>SUM(F123:F160)</f>
        <v>158610</v>
      </c>
      <c r="G161" s="171">
        <f>SUM(G123:G160)</f>
        <v>949975</v>
      </c>
      <c r="H161" s="172">
        <f t="shared" si="43"/>
        <v>0.34529982367665768</v>
      </c>
      <c r="I161" s="336"/>
      <c r="J161" s="168"/>
      <c r="K161" s="168"/>
      <c r="M161" s="364">
        <f>G161/G$228</f>
        <v>69.990053783246154</v>
      </c>
      <c r="N161" s="359">
        <f>SUMMARY!J164</f>
        <v>105.56901037202306</v>
      </c>
      <c r="O161" s="354">
        <f>M161/N161-1</f>
        <v>-0.33702084033370572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'[26]Sch C'!D175</f>
        <v>0</v>
      </c>
      <c r="D164" s="558">
        <f>'[26]Sch C'!F175</f>
        <v>0</v>
      </c>
      <c r="E164" s="171">
        <f t="shared" ref="E164:E196" si="45">C164+D164</f>
        <v>0</v>
      </c>
      <c r="F164" s="558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'[26]Sch C'!D176</f>
        <v>0</v>
      </c>
      <c r="D165" s="558">
        <f>'[26]Sch C'!F176</f>
        <v>0</v>
      </c>
      <c r="E165" s="171">
        <f t="shared" si="45"/>
        <v>0</v>
      </c>
      <c r="F165" s="558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'[26]Sch C'!D177</f>
        <v>127750</v>
      </c>
      <c r="D166" s="558">
        <f>'[26]Sch C'!F177</f>
        <v>5711</v>
      </c>
      <c r="E166" s="171">
        <f t="shared" si="45"/>
        <v>133461</v>
      </c>
      <c r="F166" s="558">
        <v>25528</v>
      </c>
      <c r="G166" s="171">
        <f t="shared" si="46"/>
        <v>158989</v>
      </c>
      <c r="H166" s="172">
        <f t="shared" si="47"/>
        <v>5.778980885447315E-2</v>
      </c>
      <c r="I166" s="342"/>
      <c r="J166" s="217">
        <f>3680+709</f>
        <v>4389</v>
      </c>
      <c r="K166" s="217">
        <f>3845+735</f>
        <v>4580</v>
      </c>
      <c r="L166" s="218"/>
      <c r="M166" s="364">
        <f t="shared" si="48"/>
        <v>11.713622633168791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'[26]Sch C'!D178</f>
        <v>0</v>
      </c>
      <c r="D167" s="558">
        <f>'[26]Sch C'!F178</f>
        <v>17551</v>
      </c>
      <c r="E167" s="171">
        <f t="shared" si="45"/>
        <v>17551</v>
      </c>
      <c r="F167" s="558">
        <v>4133</v>
      </c>
      <c r="G167" s="171">
        <f t="shared" si="46"/>
        <v>21684</v>
      </c>
      <c r="H167" s="172">
        <f t="shared" si="47"/>
        <v>7.8817667587090662E-3</v>
      </c>
      <c r="I167" s="343"/>
      <c r="J167" s="222"/>
      <c r="K167" s="222"/>
      <c r="L167" s="218"/>
      <c r="M167" s="364">
        <f t="shared" si="48"/>
        <v>1.5975834377072129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'[26]Sch C'!D179</f>
        <v>9983</v>
      </c>
      <c r="D168" s="558">
        <f>'[26]Sch C'!F179</f>
        <v>446</v>
      </c>
      <c r="E168" s="171">
        <f t="shared" si="45"/>
        <v>10429</v>
      </c>
      <c r="F168" s="558">
        <v>2421</v>
      </c>
      <c r="G168" s="171">
        <f t="shared" si="46"/>
        <v>12850</v>
      </c>
      <c r="H168" s="172">
        <f t="shared" si="47"/>
        <v>4.6707573717677323E-3</v>
      </c>
      <c r="I168" s="342"/>
      <c r="J168" s="217">
        <f>222+52</f>
        <v>274</v>
      </c>
      <c r="K168" s="217">
        <f>232+54</f>
        <v>286</v>
      </c>
      <c r="L168" s="218"/>
      <c r="M168" s="364">
        <f t="shared" si="48"/>
        <v>0.94673248360716122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'[26]Sch C'!D180</f>
        <v>0</v>
      </c>
      <c r="D169" s="558">
        <f>'[26]Sch C'!F180</f>
        <v>1372</v>
      </c>
      <c r="E169" s="171">
        <f t="shared" si="45"/>
        <v>1372</v>
      </c>
      <c r="F169" s="558">
        <v>392</v>
      </c>
      <c r="G169" s="171">
        <f t="shared" si="46"/>
        <v>1764</v>
      </c>
      <c r="H169" s="172">
        <f t="shared" si="47"/>
        <v>6.4118412480920468E-4</v>
      </c>
      <c r="I169" s="343"/>
      <c r="J169" s="222"/>
      <c r="K169" s="222"/>
      <c r="L169" s="218"/>
      <c r="M169" s="364">
        <f t="shared" si="48"/>
        <v>0.1299638989169675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'[26]Sch C'!D181</f>
        <v>0</v>
      </c>
      <c r="D170" s="558">
        <f>'[26]Sch C'!F181</f>
        <v>0</v>
      </c>
      <c r="E170" s="171">
        <f t="shared" si="45"/>
        <v>0</v>
      </c>
      <c r="F170" s="558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'[26]Sch C'!D182</f>
        <v>0</v>
      </c>
      <c r="D171" s="558">
        <f>'[26]Sch C'!F182</f>
        <v>0</v>
      </c>
      <c r="E171" s="171">
        <f t="shared" si="45"/>
        <v>0</v>
      </c>
      <c r="F171" s="558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'[26]Sch C'!D183</f>
        <v>76316</v>
      </c>
      <c r="D172" s="558">
        <f>'[26]Sch C'!F183</f>
        <v>3412</v>
      </c>
      <c r="E172" s="171">
        <f t="shared" si="45"/>
        <v>79728</v>
      </c>
      <c r="F172" s="558">
        <v>12681</v>
      </c>
      <c r="G172" s="171">
        <f t="shared" si="46"/>
        <v>92409</v>
      </c>
      <c r="H172" s="172">
        <f t="shared" si="47"/>
        <v>3.3589106456629131E-2</v>
      </c>
      <c r="I172" s="342"/>
      <c r="J172" s="217">
        <f>2246+360</f>
        <v>2606</v>
      </c>
      <c r="K172" s="217">
        <f>2346+373</f>
        <v>2719</v>
      </c>
      <c r="L172" s="218"/>
      <c r="M172" s="364">
        <f t="shared" si="48"/>
        <v>6.8082958815295074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'[26]Sch C'!D184</f>
        <v>0</v>
      </c>
      <c r="D173" s="558">
        <f>'[26]Sch C'!F184</f>
        <v>10485</v>
      </c>
      <c r="E173" s="171">
        <f t="shared" si="45"/>
        <v>10485</v>
      </c>
      <c r="F173" s="558">
        <v>2053</v>
      </c>
      <c r="G173" s="171">
        <f t="shared" si="46"/>
        <v>12538</v>
      </c>
      <c r="H173" s="172">
        <f t="shared" si="47"/>
        <v>4.5573506558150836E-3</v>
      </c>
      <c r="I173" s="343"/>
      <c r="J173" s="222"/>
      <c r="K173" s="222"/>
      <c r="L173" s="218"/>
      <c r="M173" s="364">
        <f t="shared" si="48"/>
        <v>0.92374567155382004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'[26]Sch C'!D185</f>
        <v>0</v>
      </c>
      <c r="D174" s="558">
        <f>'[26]Sch C'!F185</f>
        <v>0</v>
      </c>
      <c r="E174" s="171">
        <f t="shared" si="45"/>
        <v>0</v>
      </c>
      <c r="F174" s="558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'[26]Sch C'!D186</f>
        <v>0</v>
      </c>
      <c r="D175" s="558">
        <f>'[26]Sch C'!F186</f>
        <v>0</v>
      </c>
      <c r="E175" s="171">
        <f t="shared" si="45"/>
        <v>0</v>
      </c>
      <c r="F175" s="558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'[26]Sch C'!D187</f>
        <v>0</v>
      </c>
      <c r="D176" s="558">
        <f>'[26]Sch C'!F187</f>
        <v>0</v>
      </c>
      <c r="E176" s="171">
        <f t="shared" si="45"/>
        <v>0</v>
      </c>
      <c r="F176" s="558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'[26]Sch C'!D188</f>
        <v>846</v>
      </c>
      <c r="D177" s="558">
        <f>'[26]Sch C'!F188</f>
        <v>0</v>
      </c>
      <c r="E177" s="171">
        <f t="shared" si="45"/>
        <v>846</v>
      </c>
      <c r="F177" s="558">
        <v>217</v>
      </c>
      <c r="G177" s="171">
        <f t="shared" si="46"/>
        <v>1063</v>
      </c>
      <c r="H177" s="172">
        <f t="shared" si="47"/>
        <v>3.8638249697969644E-4</v>
      </c>
      <c r="I177" s="336"/>
      <c r="J177" s="223"/>
      <c r="K177" s="218"/>
      <c r="L177" s="220"/>
      <c r="M177" s="364">
        <f t="shared" si="48"/>
        <v>7.8317247476607968E-2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'[26]Sch C'!D189</f>
        <v>0</v>
      </c>
      <c r="D178" s="558">
        <f>'[26]Sch C'!F189</f>
        <v>0</v>
      </c>
      <c r="E178" s="171">
        <f t="shared" si="45"/>
        <v>0</v>
      </c>
      <c r="F178" s="558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'[26]Sch C'!D190</f>
        <v>0</v>
      </c>
      <c r="D179" s="558">
        <f>'[26]Sch C'!F190</f>
        <v>0</v>
      </c>
      <c r="E179" s="171">
        <f t="shared" si="45"/>
        <v>0</v>
      </c>
      <c r="F179" s="558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'[26]Sch C'!D191</f>
        <v>0</v>
      </c>
      <c r="D180" s="558">
        <f>'[26]Sch C'!F191</f>
        <v>0</v>
      </c>
      <c r="E180" s="171">
        <f t="shared" si="45"/>
        <v>0</v>
      </c>
      <c r="F180" s="558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'[26]Sch C'!D192</f>
        <v>0</v>
      </c>
      <c r="D181" s="558">
        <f>'[26]Sch C'!F192</f>
        <v>0</v>
      </c>
      <c r="E181" s="171">
        <f t="shared" si="45"/>
        <v>0</v>
      </c>
      <c r="F181" s="558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'[26]Sch C'!D193</f>
        <v>0</v>
      </c>
      <c r="D182" s="558">
        <f>'[26]Sch C'!F193</f>
        <v>0</v>
      </c>
      <c r="E182" s="171">
        <f t="shared" si="45"/>
        <v>0</v>
      </c>
      <c r="F182" s="558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'[26]Sch C'!D194</f>
        <v>0</v>
      </c>
      <c r="D183" s="558">
        <f>'[26]Sch C'!F194</f>
        <v>0</v>
      </c>
      <c r="E183" s="171">
        <f t="shared" si="45"/>
        <v>0</v>
      </c>
      <c r="F183" s="558">
        <v>0</v>
      </c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'[26]Sch C'!D195</f>
        <v>0</v>
      </c>
      <c r="D184" s="558">
        <f>'[26]Sch C'!F195</f>
        <v>0</v>
      </c>
      <c r="E184" s="171">
        <f t="shared" si="45"/>
        <v>0</v>
      </c>
      <c r="F184" s="558">
        <v>0</v>
      </c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'[26]Sch C'!D196</f>
        <v>0</v>
      </c>
      <c r="D185" s="558">
        <f>'[26]Sch C'!F196</f>
        <v>0</v>
      </c>
      <c r="E185" s="171">
        <f t="shared" si="45"/>
        <v>0</v>
      </c>
      <c r="F185" s="558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'[26]Sch C'!D197</f>
        <v>0</v>
      </c>
      <c r="D186" s="558">
        <f>'[26]Sch C'!F197</f>
        <v>0</v>
      </c>
      <c r="E186" s="171">
        <f t="shared" si="45"/>
        <v>0</v>
      </c>
      <c r="F186" s="558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'[26]Sch C'!D198</f>
        <v>9089</v>
      </c>
      <c r="D187" s="558">
        <f>'[26]Sch C'!F198</f>
        <v>0</v>
      </c>
      <c r="E187" s="171">
        <f t="shared" si="45"/>
        <v>9089</v>
      </c>
      <c r="F187" s="558">
        <v>354</v>
      </c>
      <c r="G187" s="171">
        <f t="shared" si="46"/>
        <v>9443</v>
      </c>
      <c r="H187" s="172">
        <f t="shared" si="47"/>
        <v>3.4323705728873692E-3</v>
      </c>
      <c r="I187" s="336"/>
      <c r="J187" s="223"/>
      <c r="K187" s="218"/>
      <c r="M187" s="364">
        <f t="shared" si="48"/>
        <v>0.69571944301186184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'[26]Sch C'!D199</f>
        <v>0</v>
      </c>
      <c r="D188" s="558">
        <f>'[26]Sch C'!F199</f>
        <v>0</v>
      </c>
      <c r="E188" s="171">
        <f t="shared" si="45"/>
        <v>0</v>
      </c>
      <c r="F188" s="558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'[26]Sch C'!D200</f>
        <v>0</v>
      </c>
      <c r="D189" s="558">
        <f>'[26]Sch C'!F200</f>
        <v>0</v>
      </c>
      <c r="E189" s="171">
        <f t="shared" si="45"/>
        <v>0</v>
      </c>
      <c r="F189" s="558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'[26]Sch C'!D201</f>
        <v>0</v>
      </c>
      <c r="D190" s="558">
        <f>'[26]Sch C'!F201</f>
        <v>0</v>
      </c>
      <c r="E190" s="171">
        <f t="shared" si="45"/>
        <v>0</v>
      </c>
      <c r="F190" s="558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'[26]Sch C'!D202</f>
        <v>0</v>
      </c>
      <c r="D191" s="558">
        <f>'[26]Sch C'!F202</f>
        <v>0</v>
      </c>
      <c r="E191" s="171">
        <f t="shared" si="45"/>
        <v>0</v>
      </c>
      <c r="F191" s="558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'[26]Sch C'!D203</f>
        <v>0</v>
      </c>
      <c r="D192" s="558">
        <f>'[26]Sch C'!F203</f>
        <v>0</v>
      </c>
      <c r="E192" s="171">
        <f t="shared" si="45"/>
        <v>0</v>
      </c>
      <c r="F192" s="558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'[26]Sch C'!D204</f>
        <v>0</v>
      </c>
      <c r="D193" s="558">
        <f>'[26]Sch C'!F204</f>
        <v>0</v>
      </c>
      <c r="E193" s="171">
        <f t="shared" si="45"/>
        <v>0</v>
      </c>
      <c r="F193" s="558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'[26]Sch C'!D205</f>
        <v>79905</v>
      </c>
      <c r="D194" s="558">
        <f>'[26]Sch C'!F205</f>
        <v>0</v>
      </c>
      <c r="E194" s="171">
        <f t="shared" si="45"/>
        <v>79905</v>
      </c>
      <c r="F194" s="558">
        <v>10889</v>
      </c>
      <c r="G194" s="171">
        <f t="shared" si="46"/>
        <v>90794</v>
      </c>
      <c r="H194" s="172">
        <f t="shared" si="47"/>
        <v>3.3002081308348599E-2</v>
      </c>
      <c r="I194" s="336"/>
      <c r="J194" s="223"/>
      <c r="K194" s="218"/>
      <c r="M194" s="364">
        <f t="shared" si="48"/>
        <v>6.6893096588816032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'[26]Sch C'!D206</f>
        <v>1021</v>
      </c>
      <c r="D195" s="558">
        <f>'[26]Sch C'!F206</f>
        <v>0</v>
      </c>
      <c r="E195" s="171">
        <f t="shared" si="45"/>
        <v>1021</v>
      </c>
      <c r="F195" s="558">
        <v>0</v>
      </c>
      <c r="G195" s="171">
        <f t="shared" si="46"/>
        <v>1021</v>
      </c>
      <c r="H195" s="172">
        <f t="shared" si="47"/>
        <v>3.7111620829376299E-4</v>
      </c>
      <c r="I195" s="336"/>
      <c r="J195" s="223"/>
      <c r="K195" s="218"/>
      <c r="M195" s="364">
        <f t="shared" si="48"/>
        <v>7.5222868930965886E-2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'[26]Sch C'!D207</f>
        <v>2419</v>
      </c>
      <c r="D196" s="558">
        <f>'[26]Sch C'!F207</f>
        <v>-288.19166666666661</v>
      </c>
      <c r="E196" s="171">
        <f t="shared" si="45"/>
        <v>2130.8083333333334</v>
      </c>
      <c r="F196" s="558">
        <v>770</v>
      </c>
      <c r="G196" s="171">
        <f t="shared" si="46"/>
        <v>2900.8083333333334</v>
      </c>
      <c r="H196" s="172">
        <f t="shared" si="47"/>
        <v>1.0543947009340028E-3</v>
      </c>
      <c r="I196" s="336"/>
      <c r="J196" s="223"/>
      <c r="K196" s="218"/>
      <c r="M196" s="364">
        <f t="shared" si="48"/>
        <v>0.21371902551634372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307329</v>
      </c>
      <c r="D197" s="558">
        <f>SUM(D164:D196)</f>
        <v>38688.808333333334</v>
      </c>
      <c r="E197" s="171">
        <f t="shared" ref="E197" si="49">SUM(E164:E196)</f>
        <v>346017.80833333335</v>
      </c>
      <c r="F197" s="558">
        <f>SUM(F164:F196)</f>
        <v>59438</v>
      </c>
      <c r="G197" s="171">
        <f>SUM(G164:G196)</f>
        <v>405455.80833333335</v>
      </c>
      <c r="H197" s="172">
        <f>IF($G$208=0,0,G197/$G$208)</f>
        <v>0.1473763195096468</v>
      </c>
      <c r="I197" s="336"/>
      <c r="J197" s="168"/>
      <c r="K197" s="168"/>
      <c r="M197" s="364">
        <f>G197/G$228</f>
        <v>29.872232250300844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'[26]Sch C'!D211</f>
        <v>55332</v>
      </c>
      <c r="D200" s="558">
        <f>'[26]Sch C'!F211</f>
        <v>2474</v>
      </c>
      <c r="E200" s="171">
        <f t="shared" ref="E200:E205" si="50">C200+D200</f>
        <v>57806</v>
      </c>
      <c r="F200" s="558">
        <v>10804</v>
      </c>
      <c r="G200" s="171">
        <f t="shared" ref="G200:G205" si="51">E200+F200</f>
        <v>68610</v>
      </c>
      <c r="H200" s="172">
        <f t="shared" ref="H200:H206" si="52">IF($G$208=0,0,G200/$G$208)</f>
        <v>2.4938573017664133E-2</v>
      </c>
      <c r="I200" s="336"/>
      <c r="J200" s="183">
        <f>4160+783</f>
        <v>4943</v>
      </c>
      <c r="K200" s="183">
        <f>4346+812</f>
        <v>5158</v>
      </c>
      <c r="M200" s="364">
        <f t="shared" ref="M200:M205" si="53">G200/G$228</f>
        <v>5.054888381345318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'[26]Sch C'!D212</f>
        <v>0</v>
      </c>
      <c r="D201" s="558">
        <f>'[26]Sch C'!F212</f>
        <v>7602</v>
      </c>
      <c r="E201" s="171">
        <f t="shared" si="50"/>
        <v>7602</v>
      </c>
      <c r="F201" s="558">
        <v>1749</v>
      </c>
      <c r="G201" s="171">
        <f t="shared" si="51"/>
        <v>9351</v>
      </c>
      <c r="H201" s="172">
        <f t="shared" si="52"/>
        <v>3.3989301310038962E-3</v>
      </c>
      <c r="I201" s="336"/>
      <c r="J201" s="168"/>
      <c r="K201" s="168"/>
      <c r="M201" s="364">
        <f t="shared" si="53"/>
        <v>0.68894128048331249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'[26]Sch C'!D213</f>
        <v>1263</v>
      </c>
      <c r="D202" s="558">
        <f>'[26]Sch C'!F213</f>
        <v>0</v>
      </c>
      <c r="E202" s="171">
        <f t="shared" si="50"/>
        <v>1263</v>
      </c>
      <c r="F202" s="558">
        <v>480</v>
      </c>
      <c r="G202" s="171">
        <f t="shared" si="51"/>
        <v>1743</v>
      </c>
      <c r="H202" s="172">
        <f t="shared" si="52"/>
        <v>6.3355098046623791E-4</v>
      </c>
      <c r="I202" s="336"/>
      <c r="J202" s="168"/>
      <c r="K202" s="168"/>
      <c r="M202" s="364">
        <f t="shared" si="53"/>
        <v>0.12841670964414648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'[26]Sch C'!D214</f>
        <v>0</v>
      </c>
      <c r="D203" s="558">
        <f>'[26]Sch C'!F214</f>
        <v>0</v>
      </c>
      <c r="E203" s="171">
        <f t="shared" si="50"/>
        <v>0</v>
      </c>
      <c r="F203" s="558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'[26]Sch C'!D215</f>
        <v>0</v>
      </c>
      <c r="D204" s="558">
        <f>'[26]Sch C'!F215</f>
        <v>0</v>
      </c>
      <c r="E204" s="171">
        <f t="shared" si="50"/>
        <v>0</v>
      </c>
      <c r="F204" s="558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'[26]Sch C'!D216</f>
        <v>3286</v>
      </c>
      <c r="D205" s="558">
        <f>'[26]Sch C'!F216</f>
        <v>0</v>
      </c>
      <c r="E205" s="171">
        <f t="shared" si="50"/>
        <v>3286</v>
      </c>
      <c r="F205" s="171">
        <v>80</v>
      </c>
      <c r="G205" s="171">
        <f t="shared" si="51"/>
        <v>3366</v>
      </c>
      <c r="H205" s="172">
        <f t="shared" si="52"/>
        <v>1.2234839932583803E-3</v>
      </c>
      <c r="I205" s="336"/>
      <c r="J205" s="168"/>
      <c r="K205" s="168"/>
      <c r="M205" s="364">
        <f t="shared" si="53"/>
        <v>0.24799233772931556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59881</v>
      </c>
      <c r="D206" s="558">
        <f>SUM(D200:D205)</f>
        <v>10076</v>
      </c>
      <c r="E206" s="171">
        <f t="shared" ref="E206:F206" si="54">SUM(E200:E205)</f>
        <v>69957</v>
      </c>
      <c r="F206" s="171">
        <f t="shared" si="54"/>
        <v>13113</v>
      </c>
      <c r="G206" s="171">
        <f>SUM(G200:G205)</f>
        <v>83070</v>
      </c>
      <c r="H206" s="172">
        <f t="shared" si="52"/>
        <v>3.0194538122392648E-2</v>
      </c>
      <c r="I206" s="336"/>
      <c r="J206" s="168"/>
      <c r="K206" s="168"/>
      <c r="M206" s="364">
        <f>G206/G$228</f>
        <v>6.1202387092020922</v>
      </c>
      <c r="N206" s="359">
        <f>SUMMARY!J209</f>
        <v>7.1515095990067339</v>
      </c>
      <c r="O206" s="354">
        <f>M206/N206-1</f>
        <v>-0.14420324485726399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2555584</v>
      </c>
      <c r="D208" s="558">
        <f>SUM(D25:D206)/2</f>
        <v>-68291.18217870206</v>
      </c>
      <c r="E208" s="171">
        <f t="shared" ref="E208:F208" si="55">SUM(E25:E206)/2</f>
        <v>2487292.8178212983</v>
      </c>
      <c r="F208" s="171">
        <f t="shared" si="55"/>
        <v>263867</v>
      </c>
      <c r="G208" s="171">
        <f>SUM(G25:G206)/2</f>
        <v>2751159.8178212983</v>
      </c>
      <c r="H208" s="172">
        <f>IF($G$208=0,0,G208/$G$208)</f>
        <v>1</v>
      </c>
      <c r="I208" s="336"/>
      <c r="J208" s="183">
        <f>SUM(J25:J200)</f>
        <v>86504</v>
      </c>
      <c r="K208" s="183">
        <f>SUM(K25:K200)</f>
        <v>90259</v>
      </c>
      <c r="M208" s="364">
        <f>G208/G$228</f>
        <v>202.6935694261621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-1.3612029963192942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 s="460" t="s">
        <v>505</v>
      </c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'[26]Sch C'!D221</f>
        <v>2555584</v>
      </c>
      <c r="D211" s="196"/>
      <c r="E211" s="165"/>
      <c r="F211" s="445" t="s">
        <v>506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45" t="s">
        <v>507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491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179290</v>
      </c>
      <c r="D215" s="558">
        <f>D21-D208</f>
        <v>68291.18217870206</v>
      </c>
      <c r="E215" s="171">
        <f t="shared" ref="E215:F215" si="56">E21-E208</f>
        <v>247581.18217870174</v>
      </c>
      <c r="F215" s="171">
        <f t="shared" si="56"/>
        <v>321158</v>
      </c>
      <c r="G215" s="171">
        <f>G21-G208</f>
        <v>568739.18217870174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'[26]Sch D'!C9</f>
        <v>7851</v>
      </c>
      <c r="D219" s="592"/>
      <c r="E219" s="235">
        <f t="shared" ref="E219:G227" si="57">C219+D219</f>
        <v>7851</v>
      </c>
      <c r="F219" s="234">
        <v>1502</v>
      </c>
      <c r="G219" s="235">
        <f t="shared" si="57"/>
        <v>9353</v>
      </c>
      <c r="H219" s="172">
        <f t="shared" ref="H219:H228" si="58">IF($G$228=0,0,G219/$G$228)</f>
        <v>0.6890886318426287</v>
      </c>
      <c r="I219" s="336"/>
      <c r="J219" s="168"/>
      <c r="K219" s="168"/>
    </row>
    <row r="220" spans="1:17">
      <c r="A220" s="163"/>
      <c r="B220" s="170" t="s">
        <v>217</v>
      </c>
      <c r="C220" s="592">
        <f>'[26]Sch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'[26]Sch D'!E9</f>
        <v>2198</v>
      </c>
      <c r="D221" s="592"/>
      <c r="E221" s="235">
        <f t="shared" si="59"/>
        <v>2198</v>
      </c>
      <c r="F221" s="234">
        <v>293</v>
      </c>
      <c r="G221" s="235">
        <f t="shared" si="57"/>
        <v>2491</v>
      </c>
      <c r="H221" s="172">
        <f t="shared" si="58"/>
        <v>0.18352611802843882</v>
      </c>
      <c r="I221" s="336"/>
      <c r="J221" s="168"/>
      <c r="K221" s="168"/>
    </row>
    <row r="222" spans="1:17">
      <c r="A222" s="163"/>
      <c r="B222" s="202" t="s">
        <v>334</v>
      </c>
      <c r="C222" s="592">
        <f>'[26]Sch D'!F9</f>
        <v>424</v>
      </c>
      <c r="D222" s="592"/>
      <c r="E222" s="235">
        <f>C222+D222</f>
        <v>424</v>
      </c>
      <c r="F222" s="234">
        <v>82</v>
      </c>
      <c r="G222" s="235">
        <f>E222+F222</f>
        <v>506</v>
      </c>
      <c r="H222" s="172">
        <f t="shared" si="58"/>
        <v>3.7279893907021293E-2</v>
      </c>
      <c r="I222" s="336"/>
      <c r="J222" s="168"/>
      <c r="K222" s="168"/>
    </row>
    <row r="223" spans="1:17">
      <c r="A223" s="163"/>
      <c r="B223" s="170" t="s">
        <v>73</v>
      </c>
      <c r="C223" s="592">
        <f>'[26]Sch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'[26]Sch D'!H9</f>
        <v>471</v>
      </c>
      <c r="D224" s="592"/>
      <c r="E224" s="235">
        <f t="shared" si="59"/>
        <v>471</v>
      </c>
      <c r="F224" s="234">
        <v>129</v>
      </c>
      <c r="G224" s="235">
        <f t="shared" si="57"/>
        <v>600</v>
      </c>
      <c r="H224" s="172">
        <f t="shared" si="58"/>
        <v>4.4205407794886908E-2</v>
      </c>
      <c r="I224" s="336"/>
      <c r="J224" s="168"/>
      <c r="K224" s="168"/>
    </row>
    <row r="225" spans="1:11">
      <c r="A225" s="163"/>
      <c r="B225" s="170" t="s">
        <v>236</v>
      </c>
      <c r="C225" s="592">
        <f>'[26]Sch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'[26]Sch D'!J9</f>
        <v>502</v>
      </c>
      <c r="D226" s="592"/>
      <c r="E226" s="235">
        <f>C226+D226</f>
        <v>502</v>
      </c>
      <c r="F226" s="234">
        <v>121</v>
      </c>
      <c r="G226" s="235">
        <f>E226+F226</f>
        <v>623</v>
      </c>
      <c r="H226" s="172">
        <f t="shared" si="58"/>
        <v>4.5899948427024238E-2</v>
      </c>
      <c r="I226" s="336"/>
      <c r="J226" s="168"/>
      <c r="K226" s="168"/>
    </row>
    <row r="227" spans="1:11">
      <c r="A227" s="163"/>
      <c r="B227" s="170" t="s">
        <v>179</v>
      </c>
      <c r="C227" s="592">
        <f>'[26]Sch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11446</v>
      </c>
      <c r="D228" s="592">
        <f>SUM(D219:D227)</f>
        <v>0</v>
      </c>
      <c r="E228" s="237">
        <f>SUM(E219:E227)</f>
        <v>11446</v>
      </c>
      <c r="F228" s="237">
        <f>SUM(F219:F227)</f>
        <v>2127</v>
      </c>
      <c r="G228" s="237">
        <f>SUM(G219:G227)</f>
        <v>13573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'[26]Sch D'!N22</f>
        <v>60</v>
      </c>
      <c r="D231" s="559"/>
      <c r="E231" s="235">
        <f>C231+D231</f>
        <v>60</v>
      </c>
      <c r="F231" s="235"/>
      <c r="G231" s="235">
        <f>E231+F231</f>
        <v>60</v>
      </c>
      <c r="H231" s="167"/>
      <c r="J231" s="168"/>
      <c r="K231" s="168"/>
    </row>
    <row r="232" spans="1:11">
      <c r="A232" s="163"/>
      <c r="B232" s="202" t="s">
        <v>290</v>
      </c>
      <c r="C232" s="593">
        <f>'[26]Sch D'!N24</f>
        <v>60</v>
      </c>
      <c r="D232" s="559"/>
      <c r="E232" s="235">
        <f>C232+D232</f>
        <v>60</v>
      </c>
      <c r="F232" s="235"/>
      <c r="G232" s="235">
        <f>E232+F232</f>
        <v>60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>
        <v>61</v>
      </c>
      <c r="G233" s="235">
        <f>E233+F233</f>
        <v>427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'[26]Sch D'!N28</f>
        <v>18300</v>
      </c>
      <c r="D235" s="483"/>
      <c r="E235" s="234">
        <f>E231*E233</f>
        <v>21960</v>
      </c>
      <c r="F235" s="239"/>
      <c r="G235" s="234">
        <f>G231*G233</f>
        <v>25620</v>
      </c>
      <c r="H235" s="167"/>
      <c r="J235" s="168"/>
      <c r="K235" s="168"/>
    </row>
    <row r="236" spans="1:11" ht="33" customHeight="1">
      <c r="A236" s="163"/>
      <c r="B236" s="243" t="s">
        <v>336</v>
      </c>
      <c r="C236" s="594">
        <f>'[26]Sch D'!N30</f>
        <v>0.62546448087431694</v>
      </c>
      <c r="D236" s="239"/>
      <c r="E236" s="244">
        <f>E228/E235</f>
        <v>0.52122040072859743</v>
      </c>
      <c r="F236" s="245"/>
      <c r="G236" s="244">
        <f>G228/G235</f>
        <v>0.52978142076502732</v>
      </c>
      <c r="H236" s="167"/>
      <c r="J236" s="168"/>
      <c r="K236" s="168"/>
    </row>
    <row r="237" spans="1:11" ht="34.5" customHeight="1">
      <c r="A237" s="163"/>
      <c r="B237" s="243" t="s">
        <v>337</v>
      </c>
      <c r="C237" s="594">
        <f>'[26]Sch D'!N32</f>
        <v>0.42901639344262293</v>
      </c>
      <c r="D237" s="239"/>
      <c r="E237" s="244">
        <f>(E219+E220)/E235</f>
        <v>0.35751366120218581</v>
      </c>
      <c r="F237" s="245"/>
      <c r="G237" s="244">
        <f>(G219+G220)/G235</f>
        <v>0.36506635441061669</v>
      </c>
      <c r="H237" s="167"/>
      <c r="J237" s="168"/>
      <c r="K237" s="168"/>
    </row>
    <row r="238" spans="1:11" ht="33" customHeight="1">
      <c r="A238" s="163"/>
      <c r="B238" s="243" t="s">
        <v>338</v>
      </c>
      <c r="C238" s="594">
        <f>'[26]Sch D'!N34</f>
        <v>0.68591647737200767</v>
      </c>
      <c r="D238" s="239"/>
      <c r="E238" s="244">
        <f>(E237/E236)</f>
        <v>0.68591647737200778</v>
      </c>
      <c r="F238" s="245"/>
      <c r="G238" s="244">
        <f>(G237/G236)</f>
        <v>0.6890886318426287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190.9368932038835</v>
      </c>
    </row>
    <row r="242" spans="2:7">
      <c r="D242"/>
      <c r="E242"/>
      <c r="F242" s="142" t="s">
        <v>341</v>
      </c>
      <c r="G242" s="558">
        <v>152.92079207920793</v>
      </c>
    </row>
    <row r="243" spans="2:7">
      <c r="D243"/>
      <c r="E243"/>
      <c r="F243" s="142" t="s">
        <v>342</v>
      </c>
      <c r="G243" s="558">
        <v>175.66878980891721</v>
      </c>
    </row>
    <row r="244" spans="2:7">
      <c r="D244"/>
      <c r="E244"/>
      <c r="F244" s="142" t="s">
        <v>343</v>
      </c>
      <c r="G244" s="558">
        <f>184*1/3+180*2/3</f>
        <v>181.33333333333334</v>
      </c>
    </row>
    <row r="245" spans="2:7">
      <c r="D245"/>
      <c r="E245"/>
      <c r="F245" s="142"/>
    </row>
  </sheetData>
  <customSheetViews>
    <customSheetView guid="{00D6F160-3E2B-11D5-8BE5-C1A1C12816BD}" showPageBreaks="1" showGridLines="0" showRuler="0">
      <selection activeCell="F11" sqref="F11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  <customSheetView guid="{8B6AA640-12E9-11D5-ABB1-E7A21A3D4A14}" showGridLines="0" showRuler="0">
      <pageMargins left="0.75" right="0.75" top="1" bottom="1" header="0.5" footer="0.5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2"/>
  <headerFooter alignWithMargins="0">
    <oddFooter>&amp;R&amp;D
&amp;T
&amp;F</oddFooter>
  </headerFooter>
  <ignoredErrors>
    <ignoredError sqref="F64:F65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7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28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G1" s="472"/>
      <c r="H1" s="472"/>
      <c r="I1" s="527"/>
    </row>
    <row r="2" spans="1:17" ht="23">
      <c r="B2" s="143" t="s">
        <v>189</v>
      </c>
      <c r="C2" s="246" t="s">
        <v>362</v>
      </c>
      <c r="D2" s="246"/>
      <c r="E2" s="144"/>
      <c r="F2" s="565"/>
    </row>
    <row r="3" spans="1:17">
      <c r="A3" s="145"/>
      <c r="B3" s="140" t="s">
        <v>79</v>
      </c>
      <c r="C3" s="489">
        <v>42186</v>
      </c>
      <c r="D3" s="144"/>
      <c r="E3" s="147"/>
      <c r="F3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29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30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30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31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'[27]Sch B'!E10</f>
        <v>896983.82</v>
      </c>
      <c r="D11" s="558">
        <f>'[27]Sch B'!G10</f>
        <v>0</v>
      </c>
      <c r="E11" s="171">
        <f>C11+D11</f>
        <v>896983.82</v>
      </c>
      <c r="F11" s="171"/>
      <c r="G11" s="171">
        <f t="shared" ref="G11:G20" si="0">E11+F11</f>
        <v>896983.82</v>
      </c>
      <c r="H11" s="172">
        <f t="shared" ref="H11:H21" si="1">IF($G$21=0,0,G11/$G$21)</f>
        <v>0.59640522467315871</v>
      </c>
      <c r="I11" s="526"/>
      <c r="J11" s="368" t="s">
        <v>344</v>
      </c>
      <c r="K11" s="369">
        <f>G21</f>
        <v>1503983.8399999999</v>
      </c>
      <c r="M11" s="359">
        <f>IFERROR(G11/G219,0)</f>
        <v>165.15997422205854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'[27]Sch B'!E15</f>
        <v>0</v>
      </c>
      <c r="D12" s="558">
        <f>'[27]Sch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26"/>
      <c r="J12" s="370" t="s">
        <v>345</v>
      </c>
      <c r="K12" s="371">
        <f>G208</f>
        <v>1462240.7900000003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'[27]Sch B'!E21</f>
        <v>230712.27000000002</v>
      </c>
      <c r="D13" s="558">
        <f>'[27]Sch B'!G21</f>
        <v>0</v>
      </c>
      <c r="E13" s="171">
        <f t="shared" si="2"/>
        <v>230712.27000000002</v>
      </c>
      <c r="F13" s="171"/>
      <c r="G13" s="171">
        <f t="shared" si="0"/>
        <v>230712.27000000002</v>
      </c>
      <c r="H13" s="172">
        <f t="shared" si="1"/>
        <v>0.15340076393374016</v>
      </c>
      <c r="I13" s="526"/>
      <c r="J13" s="370" t="s">
        <v>346</v>
      </c>
      <c r="K13" s="371">
        <f>G228</f>
        <v>8829</v>
      </c>
      <c r="M13" s="359">
        <f t="shared" si="3"/>
        <v>444.53231213872834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'[27]Sch B'!E27</f>
        <v>2538.4399999999996</v>
      </c>
      <c r="D14" s="558">
        <f>'[27]Sch B'!G27</f>
        <v>0</v>
      </c>
      <c r="E14" s="171">
        <f t="shared" si="2"/>
        <v>2538.4399999999996</v>
      </c>
      <c r="F14" s="175"/>
      <c r="G14" s="175">
        <f>E14+F14</f>
        <v>2538.4399999999996</v>
      </c>
      <c r="H14" s="176">
        <f t="shared" si="1"/>
        <v>1.6878106881786708E-3</v>
      </c>
      <c r="I14" s="532"/>
      <c r="J14" s="370" t="s">
        <v>347</v>
      </c>
      <c r="K14" s="371">
        <f>G231</f>
        <v>44</v>
      </c>
      <c r="M14" s="359">
        <f t="shared" si="3"/>
        <v>362.63428571428568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'[27]Sch B'!E32</f>
        <v>0</v>
      </c>
      <c r="D15" s="558">
        <f>'[27]Sch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26"/>
      <c r="J15" s="370" t="s">
        <v>348</v>
      </c>
      <c r="K15" s="371">
        <f>G235</f>
        <v>16104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'[27]Sch B'!E37</f>
        <v>277719.7</v>
      </c>
      <c r="D16" s="558">
        <f>'[27]Sch B'!G37</f>
        <v>0</v>
      </c>
      <c r="E16" s="171">
        <f t="shared" si="2"/>
        <v>277719.7</v>
      </c>
      <c r="F16" s="171"/>
      <c r="G16" s="171">
        <f t="shared" si="0"/>
        <v>277719.7</v>
      </c>
      <c r="H16" s="172">
        <f t="shared" si="1"/>
        <v>0.18465603992128002</v>
      </c>
      <c r="I16" s="526"/>
      <c r="J16" s="372"/>
      <c r="K16" s="371"/>
      <c r="M16" s="359">
        <f t="shared" si="3"/>
        <v>131.62071090047394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'[27]Sch B'!E42</f>
        <v>30899.11</v>
      </c>
      <c r="D17" s="558">
        <f>'[27]Sch B'!G42</f>
        <v>0</v>
      </c>
      <c r="E17" s="171">
        <f t="shared" si="2"/>
        <v>30899.11</v>
      </c>
      <c r="F17" s="171"/>
      <c r="G17" s="171">
        <f>E17+F17</f>
        <v>30899.11</v>
      </c>
      <c r="H17" s="172">
        <f t="shared" si="1"/>
        <v>2.0544841758406131E-2</v>
      </c>
      <c r="I17" s="526"/>
      <c r="J17" s="370" t="s">
        <v>156</v>
      </c>
      <c r="K17" s="371">
        <f>J208</f>
        <v>56898.63</v>
      </c>
      <c r="M17" s="359">
        <f t="shared" si="3"/>
        <v>163.48735449735449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'[27]Sch B'!E47</f>
        <v>72214</v>
      </c>
      <c r="D18" s="558">
        <f>'[27]Sch B'!G47</f>
        <v>0</v>
      </c>
      <c r="E18" s="171">
        <f t="shared" si="2"/>
        <v>72214</v>
      </c>
      <c r="F18" s="171"/>
      <c r="G18" s="171">
        <f>E18+F18</f>
        <v>72214</v>
      </c>
      <c r="H18" s="172">
        <f t="shared" si="1"/>
        <v>4.8015143566968115E-2</v>
      </c>
      <c r="I18" s="526"/>
      <c r="J18" s="373" t="s">
        <v>252</v>
      </c>
      <c r="K18" s="374">
        <f>K208</f>
        <v>59982.270000000004</v>
      </c>
      <c r="M18" s="359">
        <f t="shared" si="3"/>
        <v>126.02792321116928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'[27]Sch B'!E52</f>
        <v>0</v>
      </c>
      <c r="D19" s="558">
        <f>'[27]Sch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2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'[27]Sch B'!E67</f>
        <v>-7083.5</v>
      </c>
      <c r="D20" s="558">
        <f>'[27]Sch B'!G67</f>
        <v>0</v>
      </c>
      <c r="E20" s="171">
        <f t="shared" si="2"/>
        <v>-7083.5</v>
      </c>
      <c r="F20" s="171"/>
      <c r="G20" s="171">
        <f t="shared" si="0"/>
        <v>-7083.5</v>
      </c>
      <c r="H20" s="172">
        <f t="shared" si="1"/>
        <v>-4.7098245417317788E-3</v>
      </c>
      <c r="I20" s="52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1503983.8399999999</v>
      </c>
      <c r="D21" s="558">
        <f>SUM(D11:D20)</f>
        <v>0</v>
      </c>
      <c r="E21" s="171">
        <f>SUM(E11:E20)</f>
        <v>1503983.8399999999</v>
      </c>
      <c r="F21" s="171">
        <f>SUM(F11:F20)</f>
        <v>0</v>
      </c>
      <c r="G21" s="171">
        <f>SUM(G11:G20)</f>
        <v>1503983.8399999999</v>
      </c>
      <c r="H21" s="172">
        <f t="shared" si="1"/>
        <v>1</v>
      </c>
      <c r="I21" s="526"/>
      <c r="J21" s="168"/>
      <c r="K21" s="168"/>
      <c r="M21" s="359">
        <f>IFERROR(G21/G228,0)</f>
        <v>170.34588741646843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'[27]Sch C'!D10</f>
        <v>0</v>
      </c>
      <c r="D25" s="558">
        <f>'[27]Sch C'!F10</f>
        <v>0</v>
      </c>
      <c r="E25" s="171">
        <f t="shared" ref="E25:E60" si="4">C25+D25</f>
        <v>0</v>
      </c>
      <c r="F25" s="171"/>
      <c r="G25" s="182">
        <f>E25+F25</f>
        <v>0</v>
      </c>
      <c r="H25" s="172">
        <f>IF($G$208=0,0,G25/$G$208)</f>
        <v>0</v>
      </c>
      <c r="I25" s="526"/>
      <c r="J25" s="183">
        <v>0</v>
      </c>
      <c r="K25" s="183">
        <v>0</v>
      </c>
      <c r="M25" s="359">
        <f>G25/G$228</f>
        <v>0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'[27]Sch C'!D11</f>
        <v>0</v>
      </c>
      <c r="D26" s="558">
        <f>'[27]Sch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2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'[27]Sch C'!D12</f>
        <v>20771.45</v>
      </c>
      <c r="D27" s="558">
        <f>'[27]Sch C'!F12</f>
        <v>0</v>
      </c>
      <c r="E27" s="171">
        <f t="shared" si="4"/>
        <v>20771.45</v>
      </c>
      <c r="F27" s="171"/>
      <c r="G27" s="171">
        <f t="shared" si="5"/>
        <v>20771.45</v>
      </c>
      <c r="H27" s="172">
        <f t="shared" si="6"/>
        <v>1.4205218553641905E-2</v>
      </c>
      <c r="I27" s="526"/>
      <c r="J27" s="185">
        <v>1231.94</v>
      </c>
      <c r="K27" s="185">
        <v>1434.94</v>
      </c>
      <c r="M27" s="359">
        <f t="shared" si="7"/>
        <v>2.3526390304677767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'[27]Sch C'!D13</f>
        <v>68068.72</v>
      </c>
      <c r="D28" s="558">
        <f>'[27]Sch C'!F13</f>
        <v>-66172.330836272566</v>
      </c>
      <c r="E28" s="171">
        <f t="shared" si="4"/>
        <v>1896.3891637274355</v>
      </c>
      <c r="F28" s="171"/>
      <c r="G28" s="171">
        <f t="shared" si="5"/>
        <v>1896.3891637274355</v>
      </c>
      <c r="H28" s="172">
        <f t="shared" si="6"/>
        <v>1.2969062118198982E-3</v>
      </c>
      <c r="I28" s="526"/>
      <c r="J28" s="168"/>
      <c r="K28" s="168"/>
      <c r="M28" s="359">
        <f t="shared" si="7"/>
        <v>0.21479093484284012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'[27]Sch C'!D14</f>
        <v>0</v>
      </c>
      <c r="D29" s="558">
        <f>'[27]Sch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52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'[27]Sch C'!D15</f>
        <v>4500</v>
      </c>
      <c r="D30" s="558">
        <f>'[27]Sch C'!F15</f>
        <v>-4500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52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'[27]Sch C'!D16</f>
        <v>0</v>
      </c>
      <c r="D31" s="558">
        <f>'[27]Sch C'!F16</f>
        <v>57577</v>
      </c>
      <c r="E31" s="171">
        <f t="shared" si="4"/>
        <v>57577</v>
      </c>
      <c r="F31" s="171"/>
      <c r="G31" s="171">
        <f t="shared" si="5"/>
        <v>57577</v>
      </c>
      <c r="H31" s="172">
        <f t="shared" si="6"/>
        <v>3.9375867773460201E-2</v>
      </c>
      <c r="I31" s="526"/>
      <c r="J31" s="168"/>
      <c r="K31" s="168"/>
      <c r="M31" s="359">
        <f t="shared" si="7"/>
        <v>6.5213500962736433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'[27]Sch C'!D17</f>
        <v>196.72</v>
      </c>
      <c r="D32" s="558">
        <f>'[27]Sch C'!F17</f>
        <v>-197</v>
      </c>
      <c r="E32" s="171">
        <f t="shared" si="4"/>
        <v>-0.28000000000000114</v>
      </c>
      <c r="F32" s="171"/>
      <c r="G32" s="171">
        <f t="shared" si="5"/>
        <v>-0.28000000000000114</v>
      </c>
      <c r="H32" s="172">
        <f t="shared" si="6"/>
        <v>-1.9148693013823057E-7</v>
      </c>
      <c r="I32" s="526"/>
      <c r="J32" s="168"/>
      <c r="K32" s="168"/>
      <c r="M32" s="359">
        <f t="shared" si="7"/>
        <v>-3.1713670857401876E-5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'[27]Sch C'!D18</f>
        <v>9173.39</v>
      </c>
      <c r="D33" s="558">
        <f>'[27]Sch C'!F18</f>
        <v>0</v>
      </c>
      <c r="E33" s="171">
        <f t="shared" si="4"/>
        <v>9173.39</v>
      </c>
      <c r="F33" s="171"/>
      <c r="G33" s="171">
        <f t="shared" si="5"/>
        <v>9173.39</v>
      </c>
      <c r="H33" s="172">
        <f t="shared" si="6"/>
        <v>6.2735153216454849E-3</v>
      </c>
      <c r="I33" s="526"/>
      <c r="J33" s="168"/>
      <c r="K33" s="168"/>
      <c r="M33" s="359">
        <f t="shared" si="7"/>
        <v>1.039006682523502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'[27]Sch C'!D19</f>
        <v>5084.76</v>
      </c>
      <c r="D34" s="558">
        <f>'[27]Sch C'!F19</f>
        <v>0</v>
      </c>
      <c r="E34" s="171">
        <f t="shared" si="4"/>
        <v>5084.76</v>
      </c>
      <c r="F34" s="171"/>
      <c r="G34" s="171">
        <f t="shared" si="5"/>
        <v>5084.76</v>
      </c>
      <c r="H34" s="172">
        <f t="shared" si="6"/>
        <v>3.4773752960345194E-3</v>
      </c>
      <c r="I34" s="526"/>
      <c r="J34" s="168"/>
      <c r="K34" s="168"/>
      <c r="M34" s="359">
        <f t="shared" si="7"/>
        <v>0.57591573224600745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'[27]Sch C'!D20</f>
        <v>3524.99</v>
      </c>
      <c r="D35" s="558">
        <f>'[27]Sch C'!F20</f>
        <v>0</v>
      </c>
      <c r="E35" s="171">
        <f t="shared" si="4"/>
        <v>3524.99</v>
      </c>
      <c r="F35" s="171"/>
      <c r="G35" s="171">
        <f t="shared" si="5"/>
        <v>3524.99</v>
      </c>
      <c r="H35" s="172">
        <f t="shared" si="6"/>
        <v>2.4106768352427092E-3</v>
      </c>
      <c r="I35" s="526"/>
      <c r="J35" s="168"/>
      <c r="K35" s="168"/>
      <c r="M35" s="359">
        <f t="shared" si="7"/>
        <v>0.3992513308415449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'[27]Sch C'!D21</f>
        <v>4972.6899999999996</v>
      </c>
      <c r="D36" s="558">
        <f>'[27]Sch C'!F21</f>
        <v>0</v>
      </c>
      <c r="E36" s="171">
        <f t="shared" si="4"/>
        <v>4972.6899999999996</v>
      </c>
      <c r="F36" s="171"/>
      <c r="G36" s="171">
        <f t="shared" si="5"/>
        <v>4972.6899999999996</v>
      </c>
      <c r="H36" s="172">
        <f t="shared" si="6"/>
        <v>3.4007326522466925E-3</v>
      </c>
      <c r="I36" s="526"/>
      <c r="J36" s="168"/>
      <c r="K36" s="168"/>
      <c r="M36" s="359">
        <f t="shared" si="7"/>
        <v>0.5632223354853324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'[27]Sch C'!D22</f>
        <v>0</v>
      </c>
      <c r="D37" s="558">
        <f>'[27]Sch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2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'[27]Sch C'!D23</f>
        <v>8018.73</v>
      </c>
      <c r="D38" s="558">
        <f>'[27]Sch C'!F23</f>
        <v>0</v>
      </c>
      <c r="E38" s="171">
        <f t="shared" si="4"/>
        <v>8018.73</v>
      </c>
      <c r="F38" s="171"/>
      <c r="G38" s="171">
        <f t="shared" si="5"/>
        <v>8018.73</v>
      </c>
      <c r="H38" s="172">
        <f t="shared" si="6"/>
        <v>5.4838642546690261E-3</v>
      </c>
      <c r="I38" s="526"/>
      <c r="J38" s="168"/>
      <c r="K38" s="168"/>
      <c r="M38" s="359">
        <f t="shared" si="7"/>
        <v>0.90822629969418955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'[27]Sch C'!D24</f>
        <v>31407.89</v>
      </c>
      <c r="D39" s="558">
        <f>'[27]Sch C'!F24</f>
        <v>0</v>
      </c>
      <c r="E39" s="171">
        <f t="shared" si="4"/>
        <v>31407.89</v>
      </c>
      <c r="F39" s="171"/>
      <c r="G39" s="171">
        <f t="shared" si="5"/>
        <v>31407.89</v>
      </c>
      <c r="H39" s="172">
        <f t="shared" si="6"/>
        <v>2.1479287279354307E-2</v>
      </c>
      <c r="I39" s="526"/>
      <c r="J39" s="168"/>
      <c r="K39" s="168"/>
      <c r="M39" s="359">
        <f t="shared" si="7"/>
        <v>3.5573553063767132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'[27]Sch C'!D25</f>
        <v>0</v>
      </c>
      <c r="D40" s="558">
        <f>'[27]Sch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2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'[27]Sch C'!D26</f>
        <v>148166.89000000001</v>
      </c>
      <c r="D41" s="558">
        <f>'[27]Sch C'!F26</f>
        <v>0</v>
      </c>
      <c r="E41" s="171">
        <f t="shared" si="4"/>
        <v>148166.89000000001</v>
      </c>
      <c r="F41" s="171"/>
      <c r="G41" s="171">
        <f t="shared" si="5"/>
        <v>148166.89000000001</v>
      </c>
      <c r="H41" s="172">
        <f t="shared" si="6"/>
        <v>0.10132865326510279</v>
      </c>
      <c r="I41" s="526"/>
      <c r="J41" s="168"/>
      <c r="K41" s="168"/>
      <c r="M41" s="359">
        <f t="shared" si="7"/>
        <v>16.781842790803037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'[27]Sch C'!D27</f>
        <v>0</v>
      </c>
      <c r="D42" s="558">
        <f>'[27]Sch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52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'[27]Sch C'!D28</f>
        <v>0</v>
      </c>
      <c r="D43" s="558">
        <f>'[27]Sch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2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'[27]Sch C'!D29</f>
        <v>64393.98</v>
      </c>
      <c r="D44" s="558">
        <f>'[27]Sch C'!F29</f>
        <v>-64393.98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2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'[27]Sch C'!D30</f>
        <v>0</v>
      </c>
      <c r="D45" s="558">
        <f>'[27]Sch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2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'[27]Sch C'!D31</f>
        <v>10560.52</v>
      </c>
      <c r="D46" s="558">
        <f>'[27]Sch C'!F31</f>
        <v>0</v>
      </c>
      <c r="E46" s="171">
        <f t="shared" si="4"/>
        <v>10560.52</v>
      </c>
      <c r="F46" s="171"/>
      <c r="G46" s="171">
        <f t="shared" si="5"/>
        <v>10560.52</v>
      </c>
      <c r="H46" s="172">
        <f t="shared" si="6"/>
        <v>7.2221484123692094E-3</v>
      </c>
      <c r="I46" s="526"/>
      <c r="J46" s="168"/>
      <c r="K46" s="168"/>
      <c r="M46" s="359">
        <f t="shared" si="7"/>
        <v>1.1961173405821723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'[27]Sch C'!D32</f>
        <v>13674.49</v>
      </c>
      <c r="D47" s="558">
        <f>'[27]Sch C'!F32</f>
        <v>100</v>
      </c>
      <c r="E47" s="171">
        <f t="shared" si="4"/>
        <v>13774.49</v>
      </c>
      <c r="F47" s="171"/>
      <c r="G47" s="171">
        <f t="shared" si="5"/>
        <v>13774.49</v>
      </c>
      <c r="H47" s="172">
        <f t="shared" si="6"/>
        <v>9.4201243011419467E-3</v>
      </c>
      <c r="I47" s="526"/>
      <c r="J47" s="168"/>
      <c r="K47" s="168"/>
      <c r="M47" s="359">
        <f t="shared" si="7"/>
        <v>1.5601415788877562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'[27]Sch C'!D33</f>
        <v>0</v>
      </c>
      <c r="D48" s="558">
        <f>'[27]Sch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2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'[27]Sch C'!D34</f>
        <v>0</v>
      </c>
      <c r="D49" s="558">
        <f>'[27]Sch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2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'[27]Sch C'!D35</f>
        <v>0</v>
      </c>
      <c r="D50" s="558">
        <f>'[27]Sch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2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'[27]Sch C'!D36</f>
        <v>0</v>
      </c>
      <c r="D51" s="558">
        <f>'[27]Sch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52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'[27]Sch C'!D37</f>
        <v>0</v>
      </c>
      <c r="D52" s="558">
        <f>'[27]Sch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52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'[27]Sch C'!D38</f>
        <v>292.08999999999997</v>
      </c>
      <c r="D53" s="558">
        <f>'[27]Sch C'!F38</f>
        <v>0</v>
      </c>
      <c r="E53" s="171">
        <f t="shared" si="4"/>
        <v>292.08999999999997</v>
      </c>
      <c r="F53" s="171"/>
      <c r="G53" s="171">
        <f t="shared" si="5"/>
        <v>292.08999999999997</v>
      </c>
      <c r="H53" s="172">
        <f t="shared" si="6"/>
        <v>1.9975506222884119E-4</v>
      </c>
      <c r="I53" s="526"/>
      <c r="J53" s="168"/>
      <c r="K53" s="168"/>
      <c r="M53" s="359">
        <f t="shared" si="7"/>
        <v>3.3083021859780265E-2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'[27]Sch C'!D39</f>
        <v>6690.1</v>
      </c>
      <c r="D54" s="558">
        <f>'[27]Sch C'!F39</f>
        <v>0</v>
      </c>
      <c r="E54" s="171">
        <f t="shared" si="4"/>
        <v>6690.1</v>
      </c>
      <c r="F54" s="171"/>
      <c r="G54" s="171">
        <f t="shared" si="5"/>
        <v>6690.1</v>
      </c>
      <c r="H54" s="172">
        <f t="shared" si="6"/>
        <v>4.575238254706326E-3</v>
      </c>
      <c r="I54" s="526"/>
      <c r="J54" s="168"/>
      <c r="K54" s="168"/>
      <c r="M54" s="359">
        <f t="shared" si="7"/>
        <v>0.75774153358251217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'[27]Sch C'!D40</f>
        <v>6094.41</v>
      </c>
      <c r="D55" s="558">
        <f>'[27]Sch C'!F40</f>
        <v>-6094</v>
      </c>
      <c r="E55" s="171">
        <f t="shared" si="4"/>
        <v>0.40999999999985448</v>
      </c>
      <c r="F55" s="171"/>
      <c r="G55" s="171">
        <f t="shared" si="5"/>
        <v>0.40999999999985448</v>
      </c>
      <c r="H55" s="172">
        <f t="shared" si="6"/>
        <v>2.8039157627373695E-7</v>
      </c>
      <c r="I55" s="526"/>
      <c r="J55" s="168"/>
      <c r="K55" s="168"/>
      <c r="M55" s="359">
        <f t="shared" si="7"/>
        <v>4.6437875184036071E-5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'[27]Sch C'!D41</f>
        <v>0</v>
      </c>
      <c r="D56" s="558">
        <f>'[27]Sch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52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'[27]Sch C'!D42</f>
        <v>1523.5</v>
      </c>
      <c r="D57" s="558">
        <f>'[27]Sch C'!F42</f>
        <v>0</v>
      </c>
      <c r="E57" s="171">
        <f t="shared" si="4"/>
        <v>1523.5</v>
      </c>
      <c r="F57" s="171"/>
      <c r="G57" s="171">
        <f t="shared" si="5"/>
        <v>1523.5</v>
      </c>
      <c r="H57" s="172">
        <f t="shared" si="6"/>
        <v>1.0418940645199753E-3</v>
      </c>
      <c r="I57" s="526"/>
      <c r="J57" s="168"/>
      <c r="K57" s="168"/>
      <c r="M57" s="359">
        <f t="shared" si="7"/>
        <v>0.172556348397327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'[27]Sch C'!D43</f>
        <v>4488.33</v>
      </c>
      <c r="D58" s="558">
        <f>'[27]Sch C'!F43</f>
        <v>0</v>
      </c>
      <c r="E58" s="171">
        <f t="shared" si="4"/>
        <v>4488.33</v>
      </c>
      <c r="F58" s="171"/>
      <c r="G58" s="171">
        <f t="shared" si="5"/>
        <v>4488.33</v>
      </c>
      <c r="H58" s="172">
        <f t="shared" si="6"/>
        <v>3.0694876183832891E-3</v>
      </c>
      <c r="I58" s="526"/>
      <c r="J58" s="168"/>
      <c r="K58" s="168"/>
      <c r="M58" s="359">
        <f t="shared" si="7"/>
        <v>0.50836221542643556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'[27]Sch C'!D44</f>
        <v>142.66999999999999</v>
      </c>
      <c r="D59" s="558">
        <f>'[27]Sch C'!F44</f>
        <v>0</v>
      </c>
      <c r="E59" s="171">
        <f t="shared" si="4"/>
        <v>142.66999999999999</v>
      </c>
      <c r="F59" s="171"/>
      <c r="G59" s="171">
        <f t="shared" si="5"/>
        <v>142.66999999999999</v>
      </c>
      <c r="H59" s="172">
        <f t="shared" si="6"/>
        <v>9.7569429724361578E-5</v>
      </c>
      <c r="I59" s="526"/>
      <c r="J59" s="168"/>
      <c r="K59" s="168"/>
      <c r="M59" s="359">
        <f t="shared" si="7"/>
        <v>1.6159247932948238E-2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'[27]Sch C'!D45</f>
        <v>30488.45</v>
      </c>
      <c r="D60" s="558">
        <f>'[27]Sch C'!F45</f>
        <v>-30488</v>
      </c>
      <c r="E60" s="171">
        <f t="shared" si="4"/>
        <v>0.4500000000007276</v>
      </c>
      <c r="F60" s="171"/>
      <c r="G60" s="171">
        <f t="shared" si="5"/>
        <v>0.4500000000007276</v>
      </c>
      <c r="H60" s="172">
        <f t="shared" si="6"/>
        <v>3.0774685200836689E-7</v>
      </c>
      <c r="I60" s="526"/>
      <c r="J60" s="168"/>
      <c r="K60" s="168"/>
      <c r="M60" s="359">
        <f t="shared" si="7"/>
        <v>5.0968399592335211E-5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442234.76999999996</v>
      </c>
      <c r="D61" s="558">
        <f>SUM(D25:D60)</f>
        <v>-114168.31083627258</v>
      </c>
      <c r="E61" s="171">
        <f t="shared" ref="E61" si="8">SUM(E25:E60)</f>
        <v>328066.45916372741</v>
      </c>
      <c r="F61" s="171">
        <f>SUM(F25:F60)</f>
        <v>0</v>
      </c>
      <c r="G61" s="171">
        <f>SUM(G25:G60)</f>
        <v>328066.45916372741</v>
      </c>
      <c r="H61" s="186">
        <f t="shared" si="6"/>
        <v>0.22435871123778961</v>
      </c>
      <c r="I61" s="533"/>
      <c r="J61" s="168"/>
      <c r="K61" s="168"/>
      <c r="M61" s="364">
        <f>G61/G$228</f>
        <v>37.157827518827432</v>
      </c>
      <c r="N61" s="359">
        <f>SUMMARY!J64</f>
        <v>53.728790309602623</v>
      </c>
      <c r="O61" s="354">
        <f>M61/N61-1</f>
        <v>-0.30841868382459303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534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34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'[27]Sch C'!D57</f>
        <v>37500</v>
      </c>
      <c r="D64" s="558">
        <f>'[27]Sch C'!F57</f>
        <v>-37500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52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'[27]Sch C'!D58</f>
        <v>0</v>
      </c>
      <c r="D65" s="558">
        <f>'[27]Sch C'!F58</f>
        <v>7564</v>
      </c>
      <c r="E65" s="171">
        <f t="shared" si="9"/>
        <v>7564</v>
      </c>
      <c r="F65" s="171"/>
      <c r="G65" s="171">
        <f t="shared" si="10"/>
        <v>7564</v>
      </c>
      <c r="H65" s="172">
        <f t="shared" si="11"/>
        <v>5.1728826413056078E-3</v>
      </c>
      <c r="I65" s="526"/>
      <c r="J65" s="190"/>
      <c r="K65" s="168"/>
      <c r="M65" s="359">
        <f t="shared" si="12"/>
        <v>0.85672216559066716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'[27]Sch C'!D59</f>
        <v>0</v>
      </c>
      <c r="D66" s="558">
        <f>'[27]Sch C'!F59</f>
        <v>8533</v>
      </c>
      <c r="E66" s="171">
        <f t="shared" si="9"/>
        <v>8533</v>
      </c>
      <c r="F66" s="171"/>
      <c r="G66" s="171">
        <f t="shared" si="10"/>
        <v>8533</v>
      </c>
      <c r="H66" s="172">
        <f t="shared" si="11"/>
        <v>5.8355641959625532E-3</v>
      </c>
      <c r="I66" s="526"/>
      <c r="J66" s="190"/>
      <c r="K66" s="168"/>
      <c r="M66" s="359">
        <f t="shared" si="12"/>
        <v>0.96647411937931815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'[27]Sch C'!D60</f>
        <v>0</v>
      </c>
      <c r="D67" s="558">
        <f>'[27]Sch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52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'[27]Sch C'!D61</f>
        <v>100</v>
      </c>
      <c r="D68" s="558">
        <f>'[27]Sch C'!F61</f>
        <v>1522</v>
      </c>
      <c r="E68" s="171">
        <f t="shared" si="9"/>
        <v>1622</v>
      </c>
      <c r="F68" s="171"/>
      <c r="G68" s="171">
        <f t="shared" si="10"/>
        <v>1622</v>
      </c>
      <c r="H68" s="172">
        <f t="shared" si="11"/>
        <v>1.1092564310150313E-3</v>
      </c>
      <c r="I68" s="526"/>
      <c r="J68" s="193"/>
      <c r="K68" s="168"/>
      <c r="M68" s="359">
        <f t="shared" si="12"/>
        <v>0.1837127647525201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'[27]Sch C'!D62</f>
        <v>0</v>
      </c>
      <c r="D69" s="558">
        <f>'[27]Sch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52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'[27]Sch C'!D63</f>
        <v>1808.82</v>
      </c>
      <c r="D70" s="558">
        <f>'[27]Sch C'!F63</f>
        <v>0</v>
      </c>
      <c r="E70" s="171">
        <f t="shared" si="9"/>
        <v>1808.82</v>
      </c>
      <c r="F70" s="171"/>
      <c r="G70" s="171">
        <f t="shared" si="10"/>
        <v>1808.82</v>
      </c>
      <c r="H70" s="172">
        <f t="shared" si="11"/>
        <v>1.2370192463308314E-3</v>
      </c>
      <c r="I70" s="526"/>
      <c r="J70" s="195"/>
      <c r="K70" s="168"/>
      <c r="M70" s="359">
        <f t="shared" si="12"/>
        <v>0.20487257900101935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'[27]Sch C'!D64</f>
        <v>0</v>
      </c>
      <c r="D71" s="558">
        <f>'[27]Sch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2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'[27]Sch C'!D65</f>
        <v>4618</v>
      </c>
      <c r="D72" s="558">
        <f>'[27]Sch C'!F65</f>
        <v>0</v>
      </c>
      <c r="E72" s="171">
        <f t="shared" si="9"/>
        <v>4618</v>
      </c>
      <c r="F72" s="171"/>
      <c r="G72" s="171">
        <f t="shared" si="10"/>
        <v>4618</v>
      </c>
      <c r="H72" s="172">
        <f t="shared" si="11"/>
        <v>3.1581665834940899E-3</v>
      </c>
      <c r="I72" s="526"/>
      <c r="J72" s="195"/>
      <c r="K72" s="168"/>
      <c r="M72" s="359">
        <f t="shared" si="12"/>
        <v>0.52304904292671872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'[27]Sch C'!D66</f>
        <v>6488.04</v>
      </c>
      <c r="D73" s="558">
        <f>'[27]Sch C'!F66</f>
        <v>0</v>
      </c>
      <c r="E73" s="171">
        <f t="shared" si="9"/>
        <v>6488.04</v>
      </c>
      <c r="F73" s="171"/>
      <c r="G73" s="171">
        <f t="shared" si="10"/>
        <v>6488.04</v>
      </c>
      <c r="H73" s="172">
        <f t="shared" si="11"/>
        <v>4.4370530793358589E-3</v>
      </c>
      <c r="I73" s="526"/>
      <c r="J73" s="195"/>
      <c r="K73" s="168"/>
      <c r="M73" s="359">
        <f t="shared" si="12"/>
        <v>0.7348555895344886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'[27]Sch C'!D67</f>
        <v>0</v>
      </c>
      <c r="D74" s="558">
        <f>'[27]Sch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52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'[27]Sch C'!D68</f>
        <v>0</v>
      </c>
      <c r="D75" s="558">
        <f>'[27]Sch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2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'[27]Sch C'!D69</f>
        <v>5500.68</v>
      </c>
      <c r="D76" s="558">
        <f>'[27]Sch C'!F69</f>
        <v>0</v>
      </c>
      <c r="E76" s="171">
        <f t="shared" si="9"/>
        <v>5500.68</v>
      </c>
      <c r="F76" s="171"/>
      <c r="G76" s="171">
        <f t="shared" si="10"/>
        <v>5500.68</v>
      </c>
      <c r="H76" s="172">
        <f t="shared" si="11"/>
        <v>3.7618154531169927E-3</v>
      </c>
      <c r="I76" s="526"/>
      <c r="J76" s="195"/>
      <c r="K76" s="168"/>
      <c r="M76" s="359">
        <f t="shared" si="12"/>
        <v>0.62302412504247373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'[27]Sch C'!D70</f>
        <v>0</v>
      </c>
      <c r="D77" s="558">
        <f>'[27]Sch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52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'[27]Sch C'!D71</f>
        <v>0</v>
      </c>
      <c r="D78" s="558">
        <f>'[27]Sch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2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56015.54</v>
      </c>
      <c r="D79" s="558">
        <f>SUM(D64:D78)</f>
        <v>-19881</v>
      </c>
      <c r="E79" s="171">
        <f t="shared" ref="E79" si="13">SUM(E64:E78)</f>
        <v>36134.54</v>
      </c>
      <c r="F79" s="171">
        <f>SUM(F64:F78)</f>
        <v>0</v>
      </c>
      <c r="G79" s="171">
        <f>SUM(G64:G78)</f>
        <v>36134.54</v>
      </c>
      <c r="H79" s="172">
        <f t="shared" si="11"/>
        <v>2.4711757630560965E-2</v>
      </c>
      <c r="I79" s="526"/>
      <c r="J79" s="195"/>
      <c r="K79" s="168"/>
      <c r="M79" s="359">
        <f t="shared" si="12"/>
        <v>4.0927103862272061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52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2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'[27]Sch C'!D75</f>
        <v>27244.03</v>
      </c>
      <c r="D82" s="558">
        <f>'[27]Sch C'!F75</f>
        <v>0</v>
      </c>
      <c r="E82" s="171">
        <f t="shared" ref="E82:E92" si="14">C82+D82</f>
        <v>27244.03</v>
      </c>
      <c r="F82" s="171"/>
      <c r="G82" s="171">
        <f t="shared" ref="G82:G92" si="15">E82+F82</f>
        <v>27244.03</v>
      </c>
      <c r="H82" s="172">
        <f t="shared" ref="H82:H93" si="16">IF($G$208=0,0,G82/$G$208)</f>
        <v>1.8631698818906559E-2</v>
      </c>
      <c r="I82" s="526"/>
      <c r="J82" s="183">
        <v>2065.3200000000002</v>
      </c>
      <c r="K82" s="183">
        <v>2117.25</v>
      </c>
      <c r="M82" s="359">
        <f t="shared" ref="M82:M92" si="17">G82/G$228</f>
        <v>3.0857435723184956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'[27]Sch C'!D76</f>
        <v>0</v>
      </c>
      <c r="D83" s="558">
        <f>'[27]Sch C'!F76</f>
        <v>2487.3219379612397</v>
      </c>
      <c r="E83" s="171">
        <f t="shared" si="14"/>
        <v>2487.3219379612397</v>
      </c>
      <c r="F83" s="171"/>
      <c r="G83" s="171">
        <f t="shared" si="15"/>
        <v>2487.3219379612397</v>
      </c>
      <c r="H83" s="172">
        <f t="shared" si="16"/>
        <v>1.7010344363059652E-3</v>
      </c>
      <c r="I83" s="526"/>
      <c r="J83" s="168"/>
      <c r="K83" s="168"/>
      <c r="M83" s="359">
        <f t="shared" si="17"/>
        <v>0.28172181877463354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'[27]Sch C'!D77</f>
        <v>6937.63</v>
      </c>
      <c r="D84" s="558">
        <f>'[27]Sch C'!F77</f>
        <v>0</v>
      </c>
      <c r="E84" s="171">
        <f t="shared" si="14"/>
        <v>6937.63</v>
      </c>
      <c r="F84" s="171"/>
      <c r="G84" s="171">
        <f t="shared" si="15"/>
        <v>6937.63</v>
      </c>
      <c r="H84" s="172">
        <f t="shared" si="16"/>
        <v>4.7445195397674547E-3</v>
      </c>
      <c r="I84" s="526"/>
      <c r="J84" s="168"/>
      <c r="K84" s="168"/>
      <c r="M84" s="359">
        <f t="shared" si="17"/>
        <v>0.78577755125155735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'[27]Sch C'!D78</f>
        <v>378.19</v>
      </c>
      <c r="D85" s="558">
        <f>'[27]Sch C'!F78</f>
        <v>0</v>
      </c>
      <c r="E85" s="171">
        <f t="shared" si="14"/>
        <v>378.19</v>
      </c>
      <c r="F85" s="171"/>
      <c r="G85" s="171">
        <f t="shared" si="15"/>
        <v>378.19</v>
      </c>
      <c r="H85" s="172">
        <f t="shared" si="16"/>
        <v>2.5863729324634689E-4</v>
      </c>
      <c r="I85" s="526"/>
      <c r="J85" s="168"/>
      <c r="K85" s="168"/>
      <c r="M85" s="359">
        <f t="shared" si="17"/>
        <v>4.2834975648431306E-2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'[27]Sch C'!D79</f>
        <v>210</v>
      </c>
      <c r="D86" s="558">
        <f>'[27]Sch C'!F79</f>
        <v>0</v>
      </c>
      <c r="E86" s="171">
        <f t="shared" si="14"/>
        <v>210</v>
      </c>
      <c r="F86" s="171"/>
      <c r="G86" s="171">
        <f>E86+F86</f>
        <v>210</v>
      </c>
      <c r="H86" s="172">
        <f t="shared" si="16"/>
        <v>1.4361519760367234E-4</v>
      </c>
      <c r="I86" s="526"/>
      <c r="J86" s="168"/>
      <c r="K86" s="168"/>
      <c r="M86" s="359">
        <f t="shared" si="17"/>
        <v>2.378525314305131E-2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'[27]Sch C'!D80</f>
        <v>4205.6499999999996</v>
      </c>
      <c r="D87" s="558">
        <f>'[27]Sch C'!F80</f>
        <v>0</v>
      </c>
      <c r="E87" s="171">
        <f t="shared" si="14"/>
        <v>4205.6499999999996</v>
      </c>
      <c r="F87" s="171"/>
      <c r="G87" s="171">
        <f t="shared" si="15"/>
        <v>4205.6499999999996</v>
      </c>
      <c r="H87" s="172">
        <f t="shared" si="16"/>
        <v>2.8761678847708787E-3</v>
      </c>
      <c r="I87" s="526"/>
      <c r="J87" s="168"/>
      <c r="K87" s="168"/>
      <c r="M87" s="359">
        <f t="shared" si="17"/>
        <v>0.47634499943368441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'[27]Sch C'!D81</f>
        <v>15022.28</v>
      </c>
      <c r="D88" s="558">
        <f>'[27]Sch C'!F81</f>
        <v>0</v>
      </c>
      <c r="E88" s="171">
        <f t="shared" si="14"/>
        <v>15022.28</v>
      </c>
      <c r="F88" s="171"/>
      <c r="G88" s="171">
        <f t="shared" si="15"/>
        <v>15022.28</v>
      </c>
      <c r="H88" s="172">
        <f t="shared" si="16"/>
        <v>1.0273465288846166E-2</v>
      </c>
      <c r="I88" s="526"/>
      <c r="J88" s="168"/>
      <c r="K88" s="168"/>
      <c r="M88" s="359">
        <f t="shared" si="17"/>
        <v>1.701470155170461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'[27]Sch C'!D82</f>
        <v>7163.21</v>
      </c>
      <c r="D89" s="558">
        <f>'[27]Sch C'!F82</f>
        <v>0</v>
      </c>
      <c r="E89" s="171">
        <f t="shared" si="14"/>
        <v>7163.21</v>
      </c>
      <c r="F89" s="171"/>
      <c r="G89" s="171">
        <f t="shared" si="15"/>
        <v>7163.21</v>
      </c>
      <c r="H89" s="172">
        <f t="shared" si="16"/>
        <v>4.8987896172695321E-3</v>
      </c>
      <c r="I89" s="526"/>
      <c r="J89" s="168"/>
      <c r="K89" s="168"/>
      <c r="M89" s="359">
        <f t="shared" si="17"/>
        <v>0.8113274436516027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'[27]Sch C'!D83</f>
        <v>15201.77</v>
      </c>
      <c r="D90" s="558">
        <f>'[27]Sch C'!F83</f>
        <v>0</v>
      </c>
      <c r="E90" s="171">
        <f t="shared" si="14"/>
        <v>15201.77</v>
      </c>
      <c r="F90" s="171"/>
      <c r="G90" s="171">
        <f t="shared" si="15"/>
        <v>15201.77</v>
      </c>
      <c r="H90" s="172">
        <f t="shared" si="16"/>
        <v>1.0396215249883706E-2</v>
      </c>
      <c r="I90" s="526"/>
      <c r="J90" s="168"/>
      <c r="K90" s="168"/>
      <c r="M90" s="359">
        <f t="shared" si="17"/>
        <v>1.7217997508211575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'[27]Sch C'!D84</f>
        <v>27054.880000000001</v>
      </c>
      <c r="D91" s="558">
        <f>'[27]Sch C'!F84</f>
        <v>0</v>
      </c>
      <c r="E91" s="171">
        <f t="shared" si="14"/>
        <v>27054.880000000001</v>
      </c>
      <c r="F91" s="171"/>
      <c r="G91" s="171">
        <f t="shared" si="15"/>
        <v>27054.880000000001</v>
      </c>
      <c r="H91" s="172">
        <f t="shared" si="16"/>
        <v>1.8502342558779254E-2</v>
      </c>
      <c r="I91" s="526"/>
      <c r="J91" s="168"/>
      <c r="K91" s="168"/>
      <c r="M91" s="359">
        <f t="shared" si="17"/>
        <v>3.0643198550232191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'[27]Sch C'!D85</f>
        <v>0</v>
      </c>
      <c r="D92" s="558">
        <f>'[27]Sch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52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103417.64</v>
      </c>
      <c r="D93" s="558">
        <f>SUM(D82:D92)</f>
        <v>2487.3219379612397</v>
      </c>
      <c r="E93" s="171">
        <f t="shared" ref="E93" si="18">SUM(E82:E92)</f>
        <v>105904.96193796124</v>
      </c>
      <c r="F93" s="171">
        <f>SUM(F82:F92)</f>
        <v>0</v>
      </c>
      <c r="G93" s="171">
        <f>SUM(G82:G92)</f>
        <v>105904.96193796124</v>
      </c>
      <c r="H93" s="172">
        <f t="shared" si="16"/>
        <v>7.2426485885379532E-2</v>
      </c>
      <c r="I93" s="526"/>
      <c r="J93" s="168"/>
      <c r="K93" s="168"/>
      <c r="M93" s="364">
        <f>G93/G$228</f>
        <v>11.995125375236293</v>
      </c>
      <c r="N93" s="359">
        <f>SUMMARY!J96</f>
        <v>11.458724454710746</v>
      </c>
      <c r="O93" s="354">
        <f>M93/N93-1</f>
        <v>4.681157336888675E-2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52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2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'[27]Sch C'!D89</f>
        <v>112678.39</v>
      </c>
      <c r="D96" s="558">
        <f>'[27]Sch C'!F89</f>
        <v>0</v>
      </c>
      <c r="E96" s="171">
        <f t="shared" ref="E96:E101" si="19">C96+D96</f>
        <v>112678.39</v>
      </c>
      <c r="F96" s="171"/>
      <c r="G96" s="171">
        <f t="shared" ref="G96:G101" si="20">E96+F96</f>
        <v>112678.39</v>
      </c>
      <c r="H96" s="172">
        <f t="shared" ref="H96:H102" si="21">IF($G$208=0,0,G96/$G$208)</f>
        <v>7.705871069292218E-2</v>
      </c>
      <c r="I96" s="526"/>
      <c r="J96" s="183">
        <v>12213.06</v>
      </c>
      <c r="K96" s="183">
        <v>12852.52</v>
      </c>
      <c r="M96" s="364">
        <f t="shared" ref="M96:M101" si="22">G96/G$228</f>
        <v>12.762304904292671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'[27]Sch C'!D90</f>
        <v>0</v>
      </c>
      <c r="D97" s="558">
        <f>'[27]Sch C'!F90</f>
        <v>10287.297120916119</v>
      </c>
      <c r="E97" s="171">
        <f t="shared" si="19"/>
        <v>10287.297120916119</v>
      </c>
      <c r="F97" s="171"/>
      <c r="G97" s="171">
        <f t="shared" si="20"/>
        <v>10287.297120916119</v>
      </c>
      <c r="H97" s="172">
        <f t="shared" si="21"/>
        <v>7.0352962325145622E-3</v>
      </c>
      <c r="I97" s="526"/>
      <c r="J97" s="168"/>
      <c r="K97" s="168"/>
      <c r="M97" s="364">
        <f t="shared" si="22"/>
        <v>1.1651712675179657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'[27]Sch C'!D91</f>
        <v>3870</v>
      </c>
      <c r="D98" s="558">
        <f>'[27]Sch C'!F91</f>
        <v>0</v>
      </c>
      <c r="E98" s="171">
        <f t="shared" si="19"/>
        <v>3870</v>
      </c>
      <c r="F98" s="171"/>
      <c r="G98" s="171">
        <f t="shared" si="20"/>
        <v>3870</v>
      </c>
      <c r="H98" s="172">
        <f t="shared" si="21"/>
        <v>2.6466229272676762E-3</v>
      </c>
      <c r="I98" s="526"/>
      <c r="J98" s="168"/>
      <c r="K98" s="168"/>
      <c r="M98" s="364">
        <f t="shared" si="22"/>
        <v>0.4383282364933741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'[27]Sch C'!D92</f>
        <v>96200.63</v>
      </c>
      <c r="D99" s="558">
        <f>'[27]Sch C'!F92</f>
        <v>0</v>
      </c>
      <c r="E99" s="171">
        <f t="shared" si="19"/>
        <v>96200.63</v>
      </c>
      <c r="F99" s="171"/>
      <c r="G99" s="171">
        <f t="shared" si="20"/>
        <v>96200.63</v>
      </c>
      <c r="H99" s="172">
        <f t="shared" si="21"/>
        <v>6.578986898594176E-2</v>
      </c>
      <c r="I99" s="526"/>
      <c r="J99" s="168"/>
      <c r="K99" s="168"/>
      <c r="M99" s="364">
        <f t="shared" si="22"/>
        <v>10.895982557481029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'[27]Sch C'!D93</f>
        <v>11244.97</v>
      </c>
      <c r="D100" s="558">
        <f>'[27]Sch C'!F93</f>
        <v>0</v>
      </c>
      <c r="E100" s="171">
        <f t="shared" si="19"/>
        <v>11244.97</v>
      </c>
      <c r="F100" s="171"/>
      <c r="G100" s="171">
        <f t="shared" si="20"/>
        <v>11244.97</v>
      </c>
      <c r="H100" s="172">
        <f t="shared" si="21"/>
        <v>7.6902313742731781E-3</v>
      </c>
      <c r="I100" s="526"/>
      <c r="J100" s="168"/>
      <c r="K100" s="168"/>
      <c r="M100" s="364">
        <f t="shared" si="22"/>
        <v>1.2736402763619887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'[27]Sch C'!D94</f>
        <v>0</v>
      </c>
      <c r="D101" s="558">
        <f>'[27]Sch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2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223993.99000000002</v>
      </c>
      <c r="D102" s="558">
        <f>SUM(D96:D101)</f>
        <v>10287.297120916119</v>
      </c>
      <c r="E102" s="171">
        <f t="shared" ref="E102" si="23">SUM(E96:E101)</f>
        <v>234281.28712091612</v>
      </c>
      <c r="F102" s="171">
        <f>SUM(F96:F101)</f>
        <v>0</v>
      </c>
      <c r="G102" s="171">
        <f>SUM(G96:G101)</f>
        <v>234281.28712091612</v>
      </c>
      <c r="H102" s="172">
        <f t="shared" si="21"/>
        <v>0.16022073021291935</v>
      </c>
      <c r="I102" s="526"/>
      <c r="J102" s="168"/>
      <c r="K102" s="168"/>
      <c r="M102" s="364">
        <f>G102/G$228</f>
        <v>26.53542724214703</v>
      </c>
      <c r="N102" s="359">
        <f>SUMMARY!J105</f>
        <v>19.901077037785338</v>
      </c>
      <c r="O102" s="354">
        <f>M102/N102-1</f>
        <v>0.33336638975696298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52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2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'[27]Sch C'!D98</f>
        <v>21561.68</v>
      </c>
      <c r="D105" s="558">
        <f>'[27]Sch C'!F98</f>
        <v>0</v>
      </c>
      <c r="E105" s="171">
        <f t="shared" ref="E105:E110" si="24">C105+D105</f>
        <v>21561.68</v>
      </c>
      <c r="F105" s="171"/>
      <c r="G105" s="171">
        <f t="shared" ref="G105:G110" si="25">E105+F105</f>
        <v>21561.68</v>
      </c>
      <c r="H105" s="172">
        <f t="shared" ref="H105:H111" si="26">IF($G$208=0,0,G105/$G$208)</f>
        <v>1.4745642542224524E-2</v>
      </c>
      <c r="I105" s="526"/>
      <c r="J105" s="183">
        <v>2198.81</v>
      </c>
      <c r="K105" s="183">
        <v>2312.81</v>
      </c>
      <c r="M105" s="364">
        <f t="shared" ref="M105:M110" si="27">G105/G$228</f>
        <v>2.4421429380450785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'[27]Sch C'!D99</f>
        <v>0</v>
      </c>
      <c r="D106" s="558">
        <f>'[27]Sch C'!F99</f>
        <v>1968.5354803712996</v>
      </c>
      <c r="E106" s="171">
        <f t="shared" si="24"/>
        <v>1968.5354803712996</v>
      </c>
      <c r="F106" s="171"/>
      <c r="G106" s="171">
        <f t="shared" si="25"/>
        <v>1968.5354803712996</v>
      </c>
      <c r="H106" s="172">
        <f t="shared" si="26"/>
        <v>1.3462457714445918E-3</v>
      </c>
      <c r="I106" s="526"/>
      <c r="J106" s="168"/>
      <c r="K106" s="168"/>
      <c r="M106" s="364">
        <f t="shared" si="27"/>
        <v>0.22296245105575938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'[27]Sch C'!D100</f>
        <v>672.24</v>
      </c>
      <c r="D107" s="558">
        <f>'[27]Sch C'!F100</f>
        <v>0</v>
      </c>
      <c r="E107" s="171">
        <f t="shared" si="24"/>
        <v>672.24</v>
      </c>
      <c r="F107" s="171"/>
      <c r="G107" s="171">
        <f t="shared" si="25"/>
        <v>672.24</v>
      </c>
      <c r="H107" s="172">
        <f t="shared" si="26"/>
        <v>4.5973276398615572E-4</v>
      </c>
      <c r="I107" s="526"/>
      <c r="J107" s="168"/>
      <c r="K107" s="168"/>
      <c r="M107" s="364">
        <f t="shared" si="27"/>
        <v>7.6139993204213385E-2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'[27]Sch C'!D101</f>
        <v>500</v>
      </c>
      <c r="D108" s="558">
        <f>'[27]Sch C'!F101</f>
        <v>0</v>
      </c>
      <c r="E108" s="171">
        <f t="shared" si="24"/>
        <v>500</v>
      </c>
      <c r="F108" s="171"/>
      <c r="G108" s="171">
        <f t="shared" si="25"/>
        <v>500</v>
      </c>
      <c r="H108" s="172">
        <f t="shared" si="26"/>
        <v>3.4194094667541037E-4</v>
      </c>
      <c r="I108" s="526"/>
      <c r="J108" s="168"/>
      <c r="K108" s="168"/>
      <c r="M108" s="364">
        <f t="shared" si="27"/>
        <v>5.6631555102503117E-2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'[27]Sch C'!D102</f>
        <v>1222.33</v>
      </c>
      <c r="D109" s="558">
        <f>'[27]Sch C'!F102</f>
        <v>0</v>
      </c>
      <c r="E109" s="171">
        <f t="shared" si="24"/>
        <v>1222.33</v>
      </c>
      <c r="F109" s="171"/>
      <c r="G109" s="171">
        <f t="shared" si="25"/>
        <v>1222.33</v>
      </c>
      <c r="H109" s="172">
        <f t="shared" si="26"/>
        <v>8.359293546995086E-4</v>
      </c>
      <c r="I109" s="526"/>
      <c r="J109" s="168"/>
      <c r="K109" s="168"/>
      <c r="M109" s="364">
        <f t="shared" si="27"/>
        <v>0.13844489749688527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'[27]Sch C'!D103</f>
        <v>50</v>
      </c>
      <c r="D110" s="558">
        <f>'[27]Sch C'!F103</f>
        <v>0</v>
      </c>
      <c r="E110" s="171">
        <f t="shared" si="24"/>
        <v>50</v>
      </c>
      <c r="F110" s="171"/>
      <c r="G110" s="171">
        <f t="shared" si="25"/>
        <v>50</v>
      </c>
      <c r="H110" s="172">
        <f t="shared" si="26"/>
        <v>3.4194094667541037E-5</v>
      </c>
      <c r="I110" s="526"/>
      <c r="J110" s="168"/>
      <c r="K110" s="168"/>
      <c r="M110" s="364">
        <f t="shared" si="27"/>
        <v>5.6631555102503112E-3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24006.25</v>
      </c>
      <c r="D111" s="558">
        <f>SUM(D105:D110)</f>
        <v>1968.5354803712996</v>
      </c>
      <c r="E111" s="171">
        <f t="shared" ref="E111" si="28">SUM(E105:E110)</f>
        <v>25974.785480371298</v>
      </c>
      <c r="F111" s="171">
        <f>SUM(F105:F110)</f>
        <v>0</v>
      </c>
      <c r="G111" s="171">
        <f>SUM(G105:G110)</f>
        <v>25974.785480371298</v>
      </c>
      <c r="H111" s="172">
        <f t="shared" si="26"/>
        <v>1.7763685473697732E-2</v>
      </c>
      <c r="I111" s="526"/>
      <c r="J111" s="168"/>
      <c r="K111" s="168"/>
      <c r="M111" s="364">
        <f>G111/G$228</f>
        <v>2.94198499041469</v>
      </c>
      <c r="N111" s="359">
        <f>SUMMARY!J114</f>
        <v>2.4242384372309496</v>
      </c>
      <c r="O111" s="354">
        <f>M111/N111-1</f>
        <v>0.21357080443585774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52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2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'[27]Sch C'!D115</f>
        <v>23786.34</v>
      </c>
      <c r="D114" s="558">
        <f>'[27]Sch C'!F115</f>
        <v>0</v>
      </c>
      <c r="E114" s="171">
        <f t="shared" ref="E114:E118" si="29">C114+D114</f>
        <v>23786.34</v>
      </c>
      <c r="F114" s="171"/>
      <c r="G114" s="171">
        <f>E114+F114</f>
        <v>23786.34</v>
      </c>
      <c r="H114" s="172">
        <f t="shared" ref="H114:H119" si="30">IF($G$208=0,0,G114/$G$208)</f>
        <v>1.626704723508636E-2</v>
      </c>
      <c r="I114" s="526"/>
      <c r="J114" s="183">
        <v>2851.24</v>
      </c>
      <c r="K114" s="183">
        <v>2994.69</v>
      </c>
      <c r="M114" s="364">
        <f t="shared" ref="M114:M119" si="31">G114/G$228</f>
        <v>2.6941148487937481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'[27]Sch C'!D116</f>
        <v>0</v>
      </c>
      <c r="D115" s="558">
        <f>'[27]Sch C'!F116</f>
        <v>2171.6422021927356</v>
      </c>
      <c r="E115" s="171">
        <f t="shared" si="29"/>
        <v>2171.6422021927356</v>
      </c>
      <c r="F115" s="171"/>
      <c r="G115" s="171">
        <f>E115+F115</f>
        <v>2171.6422021927356</v>
      </c>
      <c r="H115" s="172">
        <f t="shared" si="30"/>
        <v>1.4851467809161138E-3</v>
      </c>
      <c r="I115" s="526"/>
      <c r="J115" s="168"/>
      <c r="K115" s="168"/>
      <c r="M115" s="364">
        <f t="shared" si="31"/>
        <v>0.24596695007279823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'[27]Sch C'!D117</f>
        <v>5166.58</v>
      </c>
      <c r="D116" s="558">
        <f>'[27]Sch C'!F117</f>
        <v>0</v>
      </c>
      <c r="E116" s="171">
        <f t="shared" si="29"/>
        <v>5166.58</v>
      </c>
      <c r="F116" s="171"/>
      <c r="G116" s="171">
        <f>E116+F116</f>
        <v>5166.58</v>
      </c>
      <c r="H116" s="172">
        <f t="shared" si="30"/>
        <v>3.5333305125484831E-3</v>
      </c>
      <c r="I116" s="526"/>
      <c r="J116" s="168"/>
      <c r="K116" s="168"/>
      <c r="M116" s="364">
        <f t="shared" si="31"/>
        <v>0.5851829199229811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'[27]Sch C'!D118</f>
        <v>0</v>
      </c>
      <c r="D117" s="558">
        <f>'[27]Sch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2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'[27]Sch C'!D119</f>
        <v>0</v>
      </c>
      <c r="D118" s="558">
        <f>'[27]Sch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2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28952.92</v>
      </c>
      <c r="D119" s="558">
        <f>SUM(D114:D118)</f>
        <v>2171.6422021927356</v>
      </c>
      <c r="E119" s="171">
        <f t="shared" ref="E119" si="32">SUM(E114:E118)</f>
        <v>31124.562202192734</v>
      </c>
      <c r="F119" s="171">
        <f>SUM(F114:F118)</f>
        <v>0</v>
      </c>
      <c r="G119" s="171">
        <f>SUM(G114:G118)</f>
        <v>31124.562202192734</v>
      </c>
      <c r="H119" s="172">
        <f t="shared" si="30"/>
        <v>2.1285524528550957E-2</v>
      </c>
      <c r="I119" s="526"/>
      <c r="J119" s="168"/>
      <c r="K119" s="168"/>
      <c r="M119" s="364">
        <f t="shared" si="31"/>
        <v>3.525264718789527</v>
      </c>
      <c r="N119" s="359">
        <f>SUMMARY!J122</f>
        <v>6.0247597205909562</v>
      </c>
      <c r="O119" s="354">
        <f>M119/N119-1</f>
        <v>-0.41487048740862631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52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2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2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'[27]Sch C'!D124</f>
        <v>0</v>
      </c>
      <c r="D123" s="558">
        <f>'[27]Sch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2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'[27]Sch C'!D125</f>
        <v>54405.08</v>
      </c>
      <c r="D124" s="558">
        <f>'[27]Sch C'!F125</f>
        <v>0</v>
      </c>
      <c r="E124" s="171">
        <f t="shared" si="33"/>
        <v>54405.08</v>
      </c>
      <c r="F124" s="171"/>
      <c r="G124" s="171">
        <f>E124+F124</f>
        <v>54405.08</v>
      </c>
      <c r="H124" s="172">
        <f>IF($G$208=0,0,G124/$G$208)</f>
        <v>3.7206649118302869E-2</v>
      </c>
      <c r="I124" s="526"/>
      <c r="J124" s="183">
        <v>2126.75</v>
      </c>
      <c r="K124" s="183">
        <v>2231.75</v>
      </c>
      <c r="M124" s="364">
        <f t="shared" si="34"/>
        <v>6.1620885717521805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'[27]Sch C'!D126</f>
        <v>0</v>
      </c>
      <c r="D125" s="558">
        <f>'[27]Sch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2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'[27]Sch C'!D127</f>
        <v>0</v>
      </c>
      <c r="D126" s="558">
        <f>'[27]Sch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52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'[27]Sch C'!D128</f>
        <v>3269.31</v>
      </c>
      <c r="D127" s="558">
        <f>'[27]Sch C'!F128</f>
        <v>0</v>
      </c>
      <c r="E127" s="171">
        <f t="shared" si="33"/>
        <v>3269.31</v>
      </c>
      <c r="F127" s="171"/>
      <c r="G127" s="171">
        <f>E127+F127</f>
        <v>3269.31</v>
      </c>
      <c r="H127" s="172">
        <f>IF($G$208=0,0,G127/$G$208)</f>
        <v>2.2358219127507715E-3</v>
      </c>
      <c r="I127" s="526"/>
      <c r="J127" s="183">
        <v>243.4</v>
      </c>
      <c r="K127" s="183">
        <v>251.4</v>
      </c>
      <c r="M127" s="364">
        <f t="shared" si="34"/>
        <v>0.37029221882432889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53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'[27]Sch C'!D130</f>
        <v>0</v>
      </c>
      <c r="D129" s="558">
        <f>'[27]Sch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2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'[27]Sch C'!D131</f>
        <v>0</v>
      </c>
      <c r="D130" s="558">
        <f>'[27]Sch C'!F131</f>
        <v>4967.0679785823268</v>
      </c>
      <c r="E130" s="171">
        <f t="shared" si="35"/>
        <v>4967.0679785823268</v>
      </c>
      <c r="F130" s="171"/>
      <c r="G130" s="171">
        <f>E130+F130</f>
        <v>4967.0679785823268</v>
      </c>
      <c r="H130" s="172">
        <f>IF($G$208=0,0,G130/$G$208)</f>
        <v>3.3968878535951155E-3</v>
      </c>
      <c r="I130" s="526"/>
      <c r="J130" s="204"/>
      <c r="K130" s="204"/>
      <c r="M130" s="364">
        <f t="shared" si="34"/>
        <v>0.56258556785392755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'[27]Sch C'!D132</f>
        <v>0</v>
      </c>
      <c r="D131" s="558">
        <f>'[27]Sch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2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'[27]Sch C'!D133</f>
        <v>0</v>
      </c>
      <c r="D132" s="558">
        <f>'[27]Sch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52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'[27]Sch C'!D134</f>
        <v>0</v>
      </c>
      <c r="D133" s="558">
        <f>'[27]Sch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52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2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'[27]Sch C'!D136</f>
        <v>162377.57999999999</v>
      </c>
      <c r="D135" s="558">
        <f>'[27]Sch C'!F136</f>
        <v>0</v>
      </c>
      <c r="E135" s="171">
        <f t="shared" ref="E135:E138" si="36">C135+D135</f>
        <v>162377.57999999999</v>
      </c>
      <c r="F135" s="171"/>
      <c r="G135" s="171">
        <f>E135+F135</f>
        <v>162377.57999999999</v>
      </c>
      <c r="H135" s="172">
        <f>IF($G$208=0,0,G135/$G$208)</f>
        <v>0.11104708684812435</v>
      </c>
      <c r="I135" s="526"/>
      <c r="J135" s="183">
        <v>6885.91</v>
      </c>
      <c r="K135" s="183">
        <v>7339.27</v>
      </c>
      <c r="M135" s="364">
        <f t="shared" si="34"/>
        <v>18.391389738362214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'[27]Sch C'!D137</f>
        <v>88271.55</v>
      </c>
      <c r="D136" s="558">
        <f>'[27]Sch C'!F137</f>
        <v>0</v>
      </c>
      <c r="E136" s="171">
        <f t="shared" si="36"/>
        <v>88271.55</v>
      </c>
      <c r="F136" s="171"/>
      <c r="G136" s="171">
        <f>E136+F136</f>
        <v>88271.55</v>
      </c>
      <c r="H136" s="172">
        <f>IF($G$208=0,0,G136/$G$208)</f>
        <v>6.0367314743011637E-2</v>
      </c>
      <c r="I136" s="526"/>
      <c r="J136" s="183">
        <v>4079.26</v>
      </c>
      <c r="K136" s="183">
        <v>4270.8500000000004</v>
      </c>
      <c r="M136" s="364">
        <f t="shared" si="34"/>
        <v>9.9979102956167178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'[27]Sch C'!D138</f>
        <v>206088.44</v>
      </c>
      <c r="D137" s="558">
        <f>'[27]Sch C'!F138</f>
        <v>0</v>
      </c>
      <c r="E137" s="171">
        <f t="shared" si="36"/>
        <v>206088.44</v>
      </c>
      <c r="F137" s="171"/>
      <c r="G137" s="171">
        <f>E137+F137</f>
        <v>206088.44</v>
      </c>
      <c r="H137" s="172">
        <f>IF($G$208=0,0,G137/$G$208)</f>
        <v>0.14094015254491701</v>
      </c>
      <c r="I137" s="526"/>
      <c r="J137" s="183">
        <v>20768.87</v>
      </c>
      <c r="K137" s="183">
        <v>21818.720000000001</v>
      </c>
      <c r="M137" s="364">
        <f t="shared" si="34"/>
        <v>23.342217691697815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'[27]Sch C'!D139</f>
        <v>0</v>
      </c>
      <c r="D138" s="558">
        <f>'[27]Sch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2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2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'[27]Sch C'!D141</f>
        <v>0</v>
      </c>
      <c r="D140" s="558">
        <f>'[27]Sch C'!F141</f>
        <v>14824.727361078967</v>
      </c>
      <c r="E140" s="171">
        <f t="shared" ref="E140:E143" si="37">C140+D140</f>
        <v>14824.727361078967</v>
      </c>
      <c r="F140" s="171"/>
      <c r="G140" s="171">
        <f>E140+F140</f>
        <v>14824.727361078967</v>
      </c>
      <c r="H140" s="172">
        <f>IF($G$208=0,0,G140/$G$208)</f>
        <v>1.01383626161044E-2</v>
      </c>
      <c r="I140" s="526"/>
      <c r="J140" s="168"/>
      <c r="K140" s="168"/>
      <c r="M140" s="364">
        <f t="shared" si="34"/>
        <v>1.6790947288570581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'[27]Sch C'!D142</f>
        <v>0</v>
      </c>
      <c r="D141" s="558">
        <f>'[27]Sch C'!F142</f>
        <v>8059.004589733694</v>
      </c>
      <c r="E141" s="171">
        <f t="shared" si="37"/>
        <v>8059.004589733694</v>
      </c>
      <c r="F141" s="171"/>
      <c r="G141" s="171">
        <f>E141+F141</f>
        <v>8059.004589733694</v>
      </c>
      <c r="H141" s="172">
        <f>IF($G$208=0,0,G141/$G$208)</f>
        <v>5.5114073173500328E-3</v>
      </c>
      <c r="I141" s="526"/>
      <c r="J141" s="168"/>
      <c r="K141" s="168"/>
      <c r="M141" s="364">
        <f t="shared" si="34"/>
        <v>0.91278792498965844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'[27]Sch C'!D143</f>
        <v>0</v>
      </c>
      <c r="D142" s="558">
        <f>'[27]Sch C'!F143</f>
        <v>18815.435821066436</v>
      </c>
      <c r="E142" s="171">
        <f t="shared" si="37"/>
        <v>18815.435821066436</v>
      </c>
      <c r="F142" s="171"/>
      <c r="G142" s="171">
        <f>E142+F142</f>
        <v>18815.435821066436</v>
      </c>
      <c r="H142" s="172">
        <f>IF($G$208=0,0,G142/$G$208)</f>
        <v>1.2867535873531767E-2</v>
      </c>
      <c r="I142" s="526"/>
      <c r="J142" s="168"/>
      <c r="K142" s="168"/>
      <c r="M142" s="364">
        <f t="shared" si="34"/>
        <v>2.1310947809566696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'[27]Sch C'!D144</f>
        <v>0</v>
      </c>
      <c r="D143" s="558">
        <f>'[27]Sch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2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2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'[27]Sch C'!D146</f>
        <v>0</v>
      </c>
      <c r="D145" s="558">
        <f>'[27]Sch C'!F146</f>
        <v>0</v>
      </c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526"/>
      <c r="J145" s="183">
        <v>0</v>
      </c>
      <c r="K145" s="183">
        <v>0</v>
      </c>
      <c r="M145" s="364">
        <f t="shared" si="34"/>
        <v>0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'[27]Sch C'!D147</f>
        <v>0</v>
      </c>
      <c r="D146" s="558">
        <f>'[27]Sch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2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'[27]Sch C'!D148</f>
        <v>0</v>
      </c>
      <c r="D147" s="558">
        <f>'[27]Sch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2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'[27]Sch C'!D149</f>
        <v>0</v>
      </c>
      <c r="D148" s="558">
        <f>'[27]Sch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2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'[27]Sch C'!D150</f>
        <v>2644.48</v>
      </c>
      <c r="D149" s="558">
        <f>'[27]Sch C'!F150</f>
        <v>0</v>
      </c>
      <c r="E149" s="171">
        <f t="shared" si="38"/>
        <v>2644.48</v>
      </c>
      <c r="F149" s="171"/>
      <c r="G149" s="171">
        <f t="shared" si="39"/>
        <v>2644.48</v>
      </c>
      <c r="H149" s="172">
        <f t="shared" si="40"/>
        <v>1.8085119893283784E-3</v>
      </c>
      <c r="I149" s="526"/>
      <c r="J149" s="183">
        <v>0</v>
      </c>
      <c r="K149" s="183">
        <v>0</v>
      </c>
      <c r="M149" s="364">
        <f t="shared" si="34"/>
        <v>0.29952202967493485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'[27]Sch C'!D151</f>
        <v>41455.11</v>
      </c>
      <c r="D150" s="558">
        <f>'[27]Sch C'!F151</f>
        <v>0</v>
      </c>
      <c r="E150" s="171">
        <f t="shared" si="38"/>
        <v>41455.11</v>
      </c>
      <c r="F150" s="171">
        <v>-3226.5</v>
      </c>
      <c r="G150" s="171">
        <f t="shared" si="39"/>
        <v>38228.61</v>
      </c>
      <c r="H150" s="172">
        <f t="shared" si="40"/>
        <v>2.6143854186970118E-2</v>
      </c>
      <c r="I150" s="525" t="s">
        <v>688</v>
      </c>
      <c r="J150" s="168"/>
      <c r="K150" s="168"/>
      <c r="M150" s="364">
        <f t="shared" si="34"/>
        <v>4.3298912674142036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'[27]Sch C'!D152</f>
        <v>69.34</v>
      </c>
      <c r="D151" s="558">
        <f>'[27]Sch C'!F152</f>
        <v>0</v>
      </c>
      <c r="E151" s="171">
        <f t="shared" si="38"/>
        <v>69.34</v>
      </c>
      <c r="F151" s="171"/>
      <c r="G151" s="171">
        <f t="shared" si="39"/>
        <v>69.34</v>
      </c>
      <c r="H151" s="172">
        <f t="shared" si="40"/>
        <v>4.7420370484945907E-5</v>
      </c>
      <c r="I151" s="526"/>
      <c r="J151" s="168"/>
      <c r="K151" s="168"/>
      <c r="M151" s="364">
        <f t="shared" si="34"/>
        <v>7.8536640616151329E-3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'[27]Sch C'!D153</f>
        <v>3215.41</v>
      </c>
      <c r="D152" s="558">
        <f>'[27]Sch C'!F153</f>
        <v>0</v>
      </c>
      <c r="E152" s="171">
        <f t="shared" si="38"/>
        <v>3215.41</v>
      </c>
      <c r="F152" s="171"/>
      <c r="G152" s="171">
        <f t="shared" si="39"/>
        <v>3215.41</v>
      </c>
      <c r="H152" s="172">
        <f t="shared" si="40"/>
        <v>2.1989606786991622E-3</v>
      </c>
      <c r="I152" s="526"/>
      <c r="J152" s="168"/>
      <c r="K152" s="168"/>
      <c r="M152" s="364">
        <f t="shared" si="34"/>
        <v>0.36418733718427904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'[27]Sch C'!D154</f>
        <v>0</v>
      </c>
      <c r="D153" s="558">
        <f>'[27]Sch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2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52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'[27]Sch C'!D156</f>
        <v>0</v>
      </c>
      <c r="D155" s="558">
        <f>'[27]Sch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2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'[27]Sch C'!D157</f>
        <v>922</v>
      </c>
      <c r="D156" s="558">
        <f>'[27]Sch C'!F157</f>
        <v>0</v>
      </c>
      <c r="E156" s="171">
        <f t="shared" si="41"/>
        <v>922</v>
      </c>
      <c r="F156" s="171"/>
      <c r="G156" s="171">
        <f t="shared" si="42"/>
        <v>922</v>
      </c>
      <c r="H156" s="172">
        <f t="shared" si="43"/>
        <v>6.3053910566945664E-4</v>
      </c>
      <c r="I156" s="526"/>
      <c r="J156" s="168"/>
      <c r="K156" s="168"/>
      <c r="M156" s="364">
        <f t="shared" si="34"/>
        <v>0.10442858760901574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'[27]Sch C'!D158</f>
        <v>441</v>
      </c>
      <c r="D157" s="558">
        <f>'[27]Sch C'!F158</f>
        <v>0</v>
      </c>
      <c r="E157" s="171">
        <f t="shared" si="41"/>
        <v>441</v>
      </c>
      <c r="F157" s="171"/>
      <c r="G157" s="171">
        <f t="shared" si="42"/>
        <v>441</v>
      </c>
      <c r="H157" s="172">
        <f t="shared" si="43"/>
        <v>3.0159191496771193E-4</v>
      </c>
      <c r="I157" s="526"/>
      <c r="J157" s="168"/>
      <c r="K157" s="168"/>
      <c r="M157" s="364">
        <f t="shared" si="34"/>
        <v>4.9949031600407749E-2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'[27]Sch C'!D159</f>
        <v>20</v>
      </c>
      <c r="D158" s="558">
        <f>'[27]Sch C'!F159</f>
        <v>0</v>
      </c>
      <c r="E158" s="171">
        <f t="shared" si="41"/>
        <v>20</v>
      </c>
      <c r="F158" s="171"/>
      <c r="G158" s="171">
        <f t="shared" si="42"/>
        <v>20</v>
      </c>
      <c r="H158" s="172">
        <f t="shared" si="43"/>
        <v>1.3677637867016413E-5</v>
      </c>
      <c r="I158" s="526"/>
      <c r="J158" s="168"/>
      <c r="K158" s="168"/>
      <c r="M158" s="364">
        <f t="shared" si="34"/>
        <v>2.2652622041001245E-3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'[27]Sch C'!D160</f>
        <v>0</v>
      </c>
      <c r="D159" s="558">
        <f>'[27]Sch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2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'[27]Sch C'!D161</f>
        <v>0</v>
      </c>
      <c r="D160" s="558">
        <f>'[27]Sch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2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563179.29999999993</v>
      </c>
      <c r="D161" s="558">
        <f>SUM(D123:D160)</f>
        <v>46666.235750461419</v>
      </c>
      <c r="E161" s="171">
        <f t="shared" ref="E161" si="44">SUM(E123:E160)</f>
        <v>609845.53575046139</v>
      </c>
      <c r="F161" s="171">
        <f>SUM(F123:F160)</f>
        <v>-3226.5</v>
      </c>
      <c r="G161" s="171">
        <f>SUM(G123:G160)</f>
        <v>606619.03575046139</v>
      </c>
      <c r="H161" s="172">
        <f t="shared" si="43"/>
        <v>0.41485577471167473</v>
      </c>
      <c r="I161" s="526"/>
      <c r="J161" s="168"/>
      <c r="K161" s="168"/>
      <c r="M161" s="364">
        <f>G161/G$228</f>
        <v>68.707558698659128</v>
      </c>
      <c r="N161" s="359">
        <f>SUMMARY!J164</f>
        <v>105.56901037202306</v>
      </c>
      <c r="O161" s="354">
        <f>M161/N161-1</f>
        <v>-0.34916924524976523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52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2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'[27]Sch C'!D175</f>
        <v>0</v>
      </c>
      <c r="D164" s="558">
        <f>'[27]Sch C'!F175</f>
        <v>0</v>
      </c>
      <c r="E164" s="171">
        <f t="shared" ref="E164:E196" si="45">C164+D164</f>
        <v>0</v>
      </c>
      <c r="F164" s="171"/>
      <c r="G164" s="171">
        <f t="shared" ref="G164:G196" si="46">E164+F164</f>
        <v>0</v>
      </c>
      <c r="H164" s="172">
        <f t="shared" ref="H164:H196" si="47">IF($G$208=0,0,G164/$G$208)</f>
        <v>0</v>
      </c>
      <c r="I164" s="536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'[27]Sch C'!D176</f>
        <v>0</v>
      </c>
      <c r="D165" s="558">
        <f>'[27]Sch C'!F176</f>
        <v>0</v>
      </c>
      <c r="E165" s="171">
        <f t="shared" si="45"/>
        <v>0</v>
      </c>
      <c r="F165" s="171"/>
      <c r="G165" s="171">
        <f t="shared" si="46"/>
        <v>0</v>
      </c>
      <c r="H165" s="172">
        <f t="shared" si="47"/>
        <v>0</v>
      </c>
      <c r="I165" s="537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'[27]Sch C'!D177</f>
        <v>0</v>
      </c>
      <c r="D166" s="558">
        <f>'[27]Sch C'!F177</f>
        <v>0</v>
      </c>
      <c r="E166" s="171">
        <f t="shared" si="45"/>
        <v>0</v>
      </c>
      <c r="F166" s="171"/>
      <c r="G166" s="171">
        <f t="shared" si="46"/>
        <v>0</v>
      </c>
      <c r="H166" s="172">
        <f t="shared" si="47"/>
        <v>0</v>
      </c>
      <c r="I166" s="536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'[27]Sch C'!D178</f>
        <v>0</v>
      </c>
      <c r="D167" s="558">
        <f>'[27]Sch C'!F178</f>
        <v>0</v>
      </c>
      <c r="E167" s="171">
        <f t="shared" si="45"/>
        <v>0</v>
      </c>
      <c r="F167" s="171"/>
      <c r="G167" s="171">
        <f t="shared" si="46"/>
        <v>0</v>
      </c>
      <c r="H167" s="172">
        <f t="shared" si="47"/>
        <v>0</v>
      </c>
      <c r="I167" s="537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'[27]Sch C'!D179</f>
        <v>0</v>
      </c>
      <c r="D168" s="558">
        <f>'[27]Sch C'!F179</f>
        <v>0</v>
      </c>
      <c r="E168" s="171">
        <f t="shared" si="45"/>
        <v>0</v>
      </c>
      <c r="F168" s="171"/>
      <c r="G168" s="171">
        <f t="shared" si="46"/>
        <v>0</v>
      </c>
      <c r="H168" s="172">
        <f t="shared" si="47"/>
        <v>0</v>
      </c>
      <c r="I168" s="536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'[27]Sch C'!D180</f>
        <v>0</v>
      </c>
      <c r="D169" s="558">
        <f>'[27]Sch C'!F180</f>
        <v>0</v>
      </c>
      <c r="E169" s="171">
        <f t="shared" si="45"/>
        <v>0</v>
      </c>
      <c r="F169" s="171"/>
      <c r="G169" s="171">
        <f t="shared" si="46"/>
        <v>0</v>
      </c>
      <c r="H169" s="172">
        <f t="shared" si="47"/>
        <v>0</v>
      </c>
      <c r="I169" s="537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'[27]Sch C'!D181</f>
        <v>0</v>
      </c>
      <c r="D170" s="558">
        <f>'[27]Sch C'!F181</f>
        <v>0</v>
      </c>
      <c r="E170" s="171">
        <f t="shared" si="45"/>
        <v>0</v>
      </c>
      <c r="F170" s="171"/>
      <c r="G170" s="171">
        <f t="shared" si="46"/>
        <v>0</v>
      </c>
      <c r="H170" s="172">
        <f t="shared" si="47"/>
        <v>0</v>
      </c>
      <c r="I170" s="536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'[27]Sch C'!D182</f>
        <v>0</v>
      </c>
      <c r="D171" s="558">
        <f>'[27]Sch C'!F182</f>
        <v>0</v>
      </c>
      <c r="E171" s="171">
        <f t="shared" si="45"/>
        <v>0</v>
      </c>
      <c r="F171" s="171"/>
      <c r="G171" s="171">
        <f t="shared" si="46"/>
        <v>0</v>
      </c>
      <c r="H171" s="172">
        <f t="shared" si="47"/>
        <v>0</v>
      </c>
      <c r="I171" s="537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'[27]Sch C'!D183</f>
        <v>0</v>
      </c>
      <c r="D172" s="558">
        <f>'[27]Sch C'!F183</f>
        <v>0</v>
      </c>
      <c r="E172" s="171">
        <f t="shared" si="45"/>
        <v>0</v>
      </c>
      <c r="F172" s="171"/>
      <c r="G172" s="171">
        <f t="shared" si="46"/>
        <v>0</v>
      </c>
      <c r="H172" s="172">
        <f t="shared" si="47"/>
        <v>0</v>
      </c>
      <c r="I172" s="536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'[27]Sch C'!D184</f>
        <v>0</v>
      </c>
      <c r="D173" s="558">
        <f>'[27]Sch C'!F184</f>
        <v>0</v>
      </c>
      <c r="E173" s="171">
        <f t="shared" si="45"/>
        <v>0</v>
      </c>
      <c r="F173" s="171"/>
      <c r="G173" s="171">
        <f t="shared" si="46"/>
        <v>0</v>
      </c>
      <c r="H173" s="172">
        <f t="shared" si="47"/>
        <v>0</v>
      </c>
      <c r="I173" s="537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'[27]Sch C'!D185</f>
        <v>0</v>
      </c>
      <c r="D174" s="558">
        <f>'[27]Sch C'!F185</f>
        <v>0</v>
      </c>
      <c r="E174" s="171">
        <f t="shared" si="45"/>
        <v>0</v>
      </c>
      <c r="F174" s="171"/>
      <c r="G174" s="171">
        <f t="shared" si="46"/>
        <v>0</v>
      </c>
      <c r="H174" s="172">
        <f t="shared" si="47"/>
        <v>0</v>
      </c>
      <c r="I174" s="536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'[27]Sch C'!D186</f>
        <v>0</v>
      </c>
      <c r="D175" s="558">
        <f>'[27]Sch C'!F186</f>
        <v>0</v>
      </c>
      <c r="E175" s="171">
        <f t="shared" si="45"/>
        <v>0</v>
      </c>
      <c r="F175" s="171"/>
      <c r="G175" s="171">
        <f t="shared" si="46"/>
        <v>0</v>
      </c>
      <c r="H175" s="172">
        <f t="shared" si="47"/>
        <v>0</v>
      </c>
      <c r="I175" s="52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'[27]Sch C'!D187</f>
        <v>0</v>
      </c>
      <c r="D176" s="558">
        <f>'[27]Sch C'!F187</f>
        <v>0</v>
      </c>
      <c r="E176" s="171">
        <f t="shared" si="45"/>
        <v>0</v>
      </c>
      <c r="F176" s="171"/>
      <c r="G176" s="171">
        <f t="shared" si="46"/>
        <v>0</v>
      </c>
      <c r="H176" s="172">
        <f t="shared" si="47"/>
        <v>0</v>
      </c>
      <c r="I176" s="52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'[27]Sch C'!D188</f>
        <v>0</v>
      </c>
      <c r="D177" s="558">
        <f>'[27]Sch C'!F188</f>
        <v>0</v>
      </c>
      <c r="E177" s="171">
        <f t="shared" si="45"/>
        <v>0</v>
      </c>
      <c r="F177" s="171"/>
      <c r="G177" s="171">
        <f t="shared" si="46"/>
        <v>0</v>
      </c>
      <c r="H177" s="172">
        <f t="shared" si="47"/>
        <v>0</v>
      </c>
      <c r="I177" s="52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'[27]Sch C'!D189</f>
        <v>0</v>
      </c>
      <c r="D178" s="558">
        <f>'[27]Sch C'!F189</f>
        <v>0</v>
      </c>
      <c r="E178" s="171">
        <f t="shared" si="45"/>
        <v>0</v>
      </c>
      <c r="F178" s="171"/>
      <c r="G178" s="171">
        <f t="shared" si="46"/>
        <v>0</v>
      </c>
      <c r="H178" s="172">
        <f t="shared" si="47"/>
        <v>0</v>
      </c>
      <c r="I178" s="52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'[27]Sch C'!D190</f>
        <v>0</v>
      </c>
      <c r="D179" s="558">
        <f>'[27]Sch C'!F190</f>
        <v>0</v>
      </c>
      <c r="E179" s="171">
        <f t="shared" si="45"/>
        <v>0</v>
      </c>
      <c r="F179" s="171"/>
      <c r="G179" s="171">
        <f t="shared" si="46"/>
        <v>0</v>
      </c>
      <c r="H179" s="172">
        <f t="shared" si="47"/>
        <v>0</v>
      </c>
      <c r="I179" s="52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'[27]Sch C'!D191</f>
        <v>0</v>
      </c>
      <c r="D180" s="558">
        <f>'[27]Sch C'!F191</f>
        <v>0</v>
      </c>
      <c r="E180" s="171">
        <f t="shared" si="45"/>
        <v>0</v>
      </c>
      <c r="F180" s="171"/>
      <c r="G180" s="171">
        <f t="shared" si="46"/>
        <v>0</v>
      </c>
      <c r="H180" s="172">
        <f t="shared" si="47"/>
        <v>0</v>
      </c>
      <c r="I180" s="52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'[27]Sch C'!D192</f>
        <v>0</v>
      </c>
      <c r="D181" s="558">
        <f>'[27]Sch C'!F192</f>
        <v>0</v>
      </c>
      <c r="E181" s="171">
        <f t="shared" si="45"/>
        <v>0</v>
      </c>
      <c r="F181" s="171"/>
      <c r="G181" s="171">
        <f t="shared" si="46"/>
        <v>0</v>
      </c>
      <c r="H181" s="172">
        <f t="shared" si="47"/>
        <v>0</v>
      </c>
      <c r="I181" s="52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'[27]Sch C'!D193</f>
        <v>1334</v>
      </c>
      <c r="D182" s="558">
        <f>'[27]Sch C'!F193</f>
        <v>0</v>
      </c>
      <c r="E182" s="171">
        <f t="shared" si="45"/>
        <v>1334</v>
      </c>
      <c r="F182" s="171"/>
      <c r="G182" s="171">
        <f t="shared" si="46"/>
        <v>1334</v>
      </c>
      <c r="H182" s="172">
        <f t="shared" si="47"/>
        <v>9.1229844572999477E-4</v>
      </c>
      <c r="I182" s="526"/>
      <c r="J182" s="223"/>
      <c r="K182" s="218"/>
      <c r="L182" s="220"/>
      <c r="M182" s="364">
        <f t="shared" si="48"/>
        <v>0.15109298901347831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'[27]Sch C'!D194</f>
        <v>37688.85</v>
      </c>
      <c r="D183" s="558">
        <f>'[27]Sch C'!F194</f>
        <v>-18844</v>
      </c>
      <c r="E183" s="171">
        <f t="shared" si="45"/>
        <v>18844.849999999999</v>
      </c>
      <c r="F183" s="171"/>
      <c r="G183" s="171">
        <f t="shared" si="46"/>
        <v>18844.849999999999</v>
      </c>
      <c r="H183" s="172">
        <f t="shared" si="47"/>
        <v>1.2887651697912212E-2</v>
      </c>
      <c r="I183" s="526"/>
      <c r="J183" s="223"/>
      <c r="K183" s="218"/>
      <c r="M183" s="364">
        <f t="shared" si="48"/>
        <v>2.1344263223468114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'[27]Sch C'!D195</f>
        <v>1812.25</v>
      </c>
      <c r="D184" s="558">
        <f>'[27]Sch C'!F195</f>
        <v>0</v>
      </c>
      <c r="E184" s="171">
        <f t="shared" si="45"/>
        <v>1812.25</v>
      </c>
      <c r="F184" s="171"/>
      <c r="G184" s="171">
        <f t="shared" si="46"/>
        <v>1812.25</v>
      </c>
      <c r="H184" s="172">
        <f t="shared" si="47"/>
        <v>1.2393649612250249E-3</v>
      </c>
      <c r="I184" s="526"/>
      <c r="J184" s="223"/>
      <c r="K184" s="218"/>
      <c r="M184" s="364">
        <f t="shared" si="48"/>
        <v>0.20526107146902253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'[27]Sch C'!D196</f>
        <v>0</v>
      </c>
      <c r="D185" s="558">
        <f>'[27]Sch C'!F196</f>
        <v>0</v>
      </c>
      <c r="E185" s="171">
        <f t="shared" si="45"/>
        <v>0</v>
      </c>
      <c r="F185" s="171"/>
      <c r="G185" s="171">
        <f t="shared" si="46"/>
        <v>0</v>
      </c>
      <c r="H185" s="172">
        <f t="shared" si="47"/>
        <v>0</v>
      </c>
      <c r="I185" s="52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'[27]Sch C'!D197</f>
        <v>29373.119999999999</v>
      </c>
      <c r="D186" s="558">
        <f>'[27]Sch C'!F197</f>
        <v>-14687</v>
      </c>
      <c r="E186" s="171">
        <f t="shared" si="45"/>
        <v>14686.119999999999</v>
      </c>
      <c r="F186" s="171"/>
      <c r="G186" s="171">
        <f t="shared" si="46"/>
        <v>14686.119999999999</v>
      </c>
      <c r="H186" s="172">
        <f t="shared" si="47"/>
        <v>1.0043571551577354E-2</v>
      </c>
      <c r="I186" s="526"/>
      <c r="J186" s="223"/>
      <c r="K186" s="218"/>
      <c r="M186" s="364">
        <f t="shared" si="48"/>
        <v>1.6633956280439459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'[27]Sch C'!D198</f>
        <v>5812.48</v>
      </c>
      <c r="D187" s="558">
        <f>'[27]Sch C'!F198</f>
        <v>0</v>
      </c>
      <c r="E187" s="171">
        <f t="shared" si="45"/>
        <v>5812.48</v>
      </c>
      <c r="F187" s="171"/>
      <c r="G187" s="171">
        <f t="shared" si="46"/>
        <v>5812.48</v>
      </c>
      <c r="H187" s="172">
        <f t="shared" si="47"/>
        <v>3.9750498274637776E-3</v>
      </c>
      <c r="I187" s="526"/>
      <c r="J187" s="223"/>
      <c r="K187" s="218"/>
      <c r="M187" s="364">
        <f t="shared" si="48"/>
        <v>0.65833956280439454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'[27]Sch C'!D199</f>
        <v>0</v>
      </c>
      <c r="D188" s="558">
        <f>'[27]Sch C'!F199</f>
        <v>0</v>
      </c>
      <c r="E188" s="171">
        <f t="shared" si="45"/>
        <v>0</v>
      </c>
      <c r="F188" s="171"/>
      <c r="G188" s="171">
        <f t="shared" si="46"/>
        <v>0</v>
      </c>
      <c r="H188" s="172">
        <f t="shared" si="47"/>
        <v>0</v>
      </c>
      <c r="I188" s="52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'[27]Sch C'!D200</f>
        <v>102</v>
      </c>
      <c r="D189" s="558">
        <f>'[27]Sch C'!F200</f>
        <v>0</v>
      </c>
      <c r="E189" s="171">
        <f t="shared" si="45"/>
        <v>102</v>
      </c>
      <c r="F189" s="171"/>
      <c r="G189" s="171">
        <f t="shared" si="46"/>
        <v>102</v>
      </c>
      <c r="H189" s="172">
        <f t="shared" si="47"/>
        <v>6.9755953121783713E-5</v>
      </c>
      <c r="I189" s="526"/>
      <c r="J189" s="223"/>
      <c r="K189" s="218"/>
      <c r="M189" s="364">
        <f t="shared" si="48"/>
        <v>1.1552837240910635E-2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'[27]Sch C'!D201</f>
        <v>0</v>
      </c>
      <c r="D190" s="558">
        <f>'[27]Sch C'!F201</f>
        <v>0</v>
      </c>
      <c r="E190" s="171">
        <f t="shared" si="45"/>
        <v>0</v>
      </c>
      <c r="F190" s="171"/>
      <c r="G190" s="171">
        <f t="shared" si="46"/>
        <v>0</v>
      </c>
      <c r="H190" s="172">
        <f t="shared" si="47"/>
        <v>0</v>
      </c>
      <c r="I190" s="52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'[27]Sch C'!D202</f>
        <v>0</v>
      </c>
      <c r="D191" s="558">
        <f>'[27]Sch C'!F202</f>
        <v>0</v>
      </c>
      <c r="E191" s="171">
        <f t="shared" si="45"/>
        <v>0</v>
      </c>
      <c r="F191" s="171"/>
      <c r="G191" s="171">
        <f t="shared" si="46"/>
        <v>0</v>
      </c>
      <c r="H191" s="172">
        <f t="shared" si="47"/>
        <v>0</v>
      </c>
      <c r="I191" s="52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'[27]Sch C'!D203</f>
        <v>0</v>
      </c>
      <c r="D192" s="558">
        <f>'[27]Sch C'!F203</f>
        <v>0</v>
      </c>
      <c r="E192" s="171">
        <f t="shared" si="45"/>
        <v>0</v>
      </c>
      <c r="F192" s="171"/>
      <c r="G192" s="171">
        <f t="shared" si="46"/>
        <v>0</v>
      </c>
      <c r="H192" s="172">
        <f t="shared" si="47"/>
        <v>0</v>
      </c>
      <c r="I192" s="52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'[27]Sch C'!D204</f>
        <v>0</v>
      </c>
      <c r="D193" s="558">
        <f>'[27]Sch C'!F204</f>
        <v>0</v>
      </c>
      <c r="E193" s="171">
        <f t="shared" si="45"/>
        <v>0</v>
      </c>
      <c r="F193" s="171"/>
      <c r="G193" s="171">
        <f t="shared" si="46"/>
        <v>0</v>
      </c>
      <c r="H193" s="172">
        <f t="shared" si="47"/>
        <v>0</v>
      </c>
      <c r="I193" s="52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'[27]Sch C'!D205</f>
        <v>13162.01</v>
      </c>
      <c r="D194" s="558">
        <f>'[27]Sch C'!F205</f>
        <v>0</v>
      </c>
      <c r="E194" s="171">
        <f t="shared" si="45"/>
        <v>13162.01</v>
      </c>
      <c r="F194" s="171"/>
      <c r="G194" s="171">
        <f t="shared" si="46"/>
        <v>13162.01</v>
      </c>
      <c r="H194" s="172">
        <f t="shared" si="47"/>
        <v>9.001260319102436E-3</v>
      </c>
      <c r="I194" s="526"/>
      <c r="J194" s="223"/>
      <c r="K194" s="218"/>
      <c r="M194" s="364">
        <f t="shared" si="48"/>
        <v>1.4907701891493941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'[27]Sch C'!D206</f>
        <v>239.25</v>
      </c>
      <c r="D195" s="558">
        <f>'[27]Sch C'!F206</f>
        <v>0</v>
      </c>
      <c r="E195" s="171">
        <f t="shared" si="45"/>
        <v>239.25</v>
      </c>
      <c r="F195" s="171"/>
      <c r="G195" s="171">
        <f t="shared" si="46"/>
        <v>239.25</v>
      </c>
      <c r="H195" s="172">
        <f t="shared" si="47"/>
        <v>1.6361874298418387E-4</v>
      </c>
      <c r="I195" s="526"/>
      <c r="J195" s="223"/>
      <c r="K195" s="218"/>
      <c r="M195" s="364">
        <f t="shared" si="48"/>
        <v>2.709819911654774E-2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'[27]Sch C'!D207</f>
        <v>0</v>
      </c>
      <c r="D196" s="558">
        <f>'[27]Sch C'!F207</f>
        <v>0</v>
      </c>
      <c r="E196" s="171">
        <f t="shared" si="45"/>
        <v>0</v>
      </c>
      <c r="F196" s="171"/>
      <c r="G196" s="171">
        <f t="shared" si="46"/>
        <v>0</v>
      </c>
      <c r="H196" s="172">
        <f t="shared" si="47"/>
        <v>0</v>
      </c>
      <c r="I196" s="52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89523.959999999992</v>
      </c>
      <c r="D197" s="558">
        <f>SUM(D164:D196)</f>
        <v>-33531</v>
      </c>
      <c r="E197" s="171">
        <f t="shared" ref="E197" si="49">SUM(E164:E196)</f>
        <v>55992.959999999999</v>
      </c>
      <c r="F197" s="171">
        <f>SUM(F164:F196)</f>
        <v>0</v>
      </c>
      <c r="G197" s="171">
        <f>SUM(G164:G196)</f>
        <v>55992.959999999999</v>
      </c>
      <c r="H197" s="172">
        <f>IF($G$208=0,0,G197/$G$208)</f>
        <v>3.8292571499116766E-2</v>
      </c>
      <c r="I197" s="526"/>
      <c r="J197" s="168"/>
      <c r="K197" s="168"/>
      <c r="M197" s="364">
        <f>G197/G$228</f>
        <v>6.3419367991845057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52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2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'[27]Sch C'!D211</f>
        <v>28382.9</v>
      </c>
      <c r="D200" s="558">
        <f>'[27]Sch C'!F211</f>
        <v>0</v>
      </c>
      <c r="E200" s="171">
        <f t="shared" ref="E200:E205" si="50">C200+D200</f>
        <v>28382.9</v>
      </c>
      <c r="F200" s="171"/>
      <c r="G200" s="171">
        <f t="shared" ref="G200:G205" si="51">E200+F200</f>
        <v>28382.9</v>
      </c>
      <c r="H200" s="172">
        <f t="shared" ref="H200:H206" si="52">IF($G$208=0,0,G200/$G$208)</f>
        <v>1.9410551390787009E-2</v>
      </c>
      <c r="I200" s="526"/>
      <c r="J200" s="183">
        <v>2234.0700000000002</v>
      </c>
      <c r="K200" s="183">
        <v>2358.0700000000002</v>
      </c>
      <c r="M200" s="364">
        <f t="shared" ref="M200:M205" si="53">G200/G$228</f>
        <v>3.2147355306376713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'[27]Sch C'!D212</f>
        <v>0</v>
      </c>
      <c r="D201" s="558">
        <f>'[27]Sch C'!F212</f>
        <v>2591.2983443697599</v>
      </c>
      <c r="E201" s="171">
        <f t="shared" si="50"/>
        <v>2591.2983443697599</v>
      </c>
      <c r="F201" s="171"/>
      <c r="G201" s="171">
        <f t="shared" si="51"/>
        <v>2591.2983443697599</v>
      </c>
      <c r="H201" s="172">
        <f t="shared" si="52"/>
        <v>1.7721420179844384E-3</v>
      </c>
      <c r="I201" s="526"/>
      <c r="J201" s="168"/>
      <c r="K201" s="168"/>
      <c r="M201" s="364">
        <f t="shared" si="53"/>
        <v>0.29349850995240229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'[27]Sch C'!D213</f>
        <v>640</v>
      </c>
      <c r="D202" s="558">
        <f>'[27]Sch C'!F213</f>
        <v>0</v>
      </c>
      <c r="E202" s="171">
        <f t="shared" si="50"/>
        <v>640</v>
      </c>
      <c r="F202" s="171"/>
      <c r="G202" s="171">
        <f t="shared" si="51"/>
        <v>640</v>
      </c>
      <c r="H202" s="172">
        <f t="shared" si="52"/>
        <v>4.3768441174452523E-4</v>
      </c>
      <c r="I202" s="526"/>
      <c r="J202" s="168"/>
      <c r="K202" s="168"/>
      <c r="M202" s="364">
        <f t="shared" si="53"/>
        <v>7.2488390531203983E-2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'[27]Sch C'!D214</f>
        <v>0</v>
      </c>
      <c r="D203" s="558">
        <f>'[27]Sch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52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'[27]Sch C'!D215</f>
        <v>0</v>
      </c>
      <c r="D204" s="558">
        <f>'[27]Sch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2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'[27]Sch C'!D216</f>
        <v>3301.5</v>
      </c>
      <c r="D205" s="558">
        <f>'[27]Sch C'!F216</f>
        <v>0</v>
      </c>
      <c r="E205" s="171">
        <f t="shared" si="50"/>
        <v>3301.5</v>
      </c>
      <c r="F205" s="171">
        <v>3226.5</v>
      </c>
      <c r="G205" s="171">
        <f t="shared" si="51"/>
        <v>6528</v>
      </c>
      <c r="H205" s="172">
        <f t="shared" si="52"/>
        <v>4.4643809997941576E-3</v>
      </c>
      <c r="I205" s="525" t="s">
        <v>687</v>
      </c>
      <c r="J205" s="168"/>
      <c r="K205" s="168"/>
      <c r="M205" s="364">
        <f t="shared" si="53"/>
        <v>0.73938158341828064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32324.400000000001</v>
      </c>
      <c r="D206" s="558">
        <f>SUM(D200:D205)</f>
        <v>2591.2983443697599</v>
      </c>
      <c r="E206" s="171">
        <f t="shared" ref="E206:F206" si="54">SUM(E200:E205)</f>
        <v>34915.698344369761</v>
      </c>
      <c r="F206" s="171">
        <f t="shared" si="54"/>
        <v>3226.5</v>
      </c>
      <c r="G206" s="171">
        <f>SUM(G200:G205)</f>
        <v>38142.198344369761</v>
      </c>
      <c r="H206" s="172">
        <f t="shared" si="52"/>
        <v>2.6084758820310132E-2</v>
      </c>
      <c r="I206" s="526"/>
      <c r="J206" s="168"/>
      <c r="K206" s="168"/>
      <c r="M206" s="364">
        <f>G206/G$228</f>
        <v>4.3201040145395586</v>
      </c>
      <c r="N206" s="359">
        <f>SUMMARY!J209</f>
        <v>7.1515095990067339</v>
      </c>
      <c r="O206" s="354">
        <f>M206/N206-1</f>
        <v>-0.39591718996789527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52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1563648.7699999996</v>
      </c>
      <c r="D208" s="558">
        <f>SUM(D25:D206)/2</f>
        <v>-101407.98000000001</v>
      </c>
      <c r="E208" s="171">
        <f t="shared" ref="E208:F208" si="55">SUM(E25:E206)/2</f>
        <v>1462240.7900000003</v>
      </c>
      <c r="F208" s="171">
        <f t="shared" si="55"/>
        <v>0</v>
      </c>
      <c r="G208" s="171">
        <f>SUM(G25:G206)/2</f>
        <v>1462240.7900000003</v>
      </c>
      <c r="H208" s="172">
        <f>IF($G$208=0,0,G208/$G$208)</f>
        <v>1</v>
      </c>
      <c r="I208" s="526"/>
      <c r="J208" s="183">
        <f>SUM(J25:J200)</f>
        <v>56898.63</v>
      </c>
      <c r="K208" s="183">
        <f>SUM(K25:K200)</f>
        <v>59982.270000000004</v>
      </c>
      <c r="M208" s="364">
        <f>G208/G$228</f>
        <v>165.61793974402539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528"/>
      <c r="J209" s="168"/>
      <c r="K209" s="168"/>
      <c r="O209" s="553">
        <f>SUM(O61:O206)</f>
        <v>-0.87462683888917236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528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'[27]Sch C'!D221</f>
        <v>1563648.77</v>
      </c>
      <c r="D211" s="196"/>
      <c r="E211" s="165"/>
      <c r="F211"/>
      <c r="G211"/>
      <c r="I211" s="528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528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232"/>
      <c r="G213" s="232"/>
      <c r="H213" s="166"/>
      <c r="I213" s="531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528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-59664.929999999702</v>
      </c>
      <c r="D215" s="558">
        <f>D21-D208</f>
        <v>101407.98000000001</v>
      </c>
      <c r="E215" s="171">
        <f t="shared" ref="E215:F215" si="56">E21-E208</f>
        <v>41743.049999999581</v>
      </c>
      <c r="F215" s="171">
        <f t="shared" si="56"/>
        <v>0</v>
      </c>
      <c r="G215" s="171">
        <f>G21-G208</f>
        <v>41743.049999999581</v>
      </c>
      <c r="I215" s="528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528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528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31"/>
      <c r="J218" s="168"/>
      <c r="K218" s="168"/>
    </row>
    <row r="219" spans="1:17">
      <c r="A219" s="163"/>
      <c r="B219" s="170" t="s">
        <v>218</v>
      </c>
      <c r="C219" s="592">
        <f>'[27]Sch D'!C9</f>
        <v>5431</v>
      </c>
      <c r="D219" s="592"/>
      <c r="E219" s="235">
        <f t="shared" ref="E219:G227" si="57">C219+D219</f>
        <v>5431</v>
      </c>
      <c r="F219" s="234"/>
      <c r="G219" s="235">
        <f t="shared" si="57"/>
        <v>5431</v>
      </c>
      <c r="H219" s="172">
        <f t="shared" ref="H219:H228" si="58">IF($G$228=0,0,G219/$G$228)</f>
        <v>0.61513195152338884</v>
      </c>
      <c r="I219" s="526"/>
      <c r="J219" s="168"/>
      <c r="K219" s="168"/>
    </row>
    <row r="220" spans="1:17">
      <c r="A220" s="163"/>
      <c r="B220" s="170" t="s">
        <v>217</v>
      </c>
      <c r="C220" s="592">
        <f>'[27]Sch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26"/>
      <c r="J220" s="168"/>
      <c r="K220" s="168"/>
    </row>
    <row r="221" spans="1:17">
      <c r="A221" s="163"/>
      <c r="B221" s="170" t="s">
        <v>72</v>
      </c>
      <c r="C221" s="592">
        <f>'[27]Sch D'!E9</f>
        <v>519</v>
      </c>
      <c r="D221" s="592"/>
      <c r="E221" s="235">
        <f t="shared" si="59"/>
        <v>519</v>
      </c>
      <c r="F221" s="234"/>
      <c r="G221" s="235">
        <f t="shared" si="57"/>
        <v>519</v>
      </c>
      <c r="H221" s="172">
        <f t="shared" si="58"/>
        <v>5.8783554196398233E-2</v>
      </c>
      <c r="I221" s="526"/>
      <c r="J221" s="168"/>
      <c r="K221" s="168"/>
    </row>
    <row r="222" spans="1:17">
      <c r="A222" s="163"/>
      <c r="B222" s="202" t="s">
        <v>334</v>
      </c>
      <c r="C222" s="592">
        <f>'[27]Sch D'!F9</f>
        <v>7</v>
      </c>
      <c r="D222" s="592"/>
      <c r="E222" s="235">
        <f>C222+D222</f>
        <v>7</v>
      </c>
      <c r="F222" s="234"/>
      <c r="G222" s="235">
        <f>E222+F222</f>
        <v>7</v>
      </c>
      <c r="H222" s="172">
        <f t="shared" si="58"/>
        <v>7.9284177143504363E-4</v>
      </c>
      <c r="I222" s="526"/>
      <c r="J222" s="168"/>
      <c r="K222" s="168"/>
    </row>
    <row r="223" spans="1:17">
      <c r="A223" s="163"/>
      <c r="B223" s="170" t="s">
        <v>73</v>
      </c>
      <c r="C223" s="592">
        <f>'[27]Sch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26"/>
      <c r="J223" s="168"/>
      <c r="K223" s="168"/>
    </row>
    <row r="224" spans="1:17">
      <c r="A224" s="163"/>
      <c r="B224" s="170" t="s">
        <v>74</v>
      </c>
      <c r="C224" s="592">
        <f>'[27]Sch D'!H9</f>
        <v>2110</v>
      </c>
      <c r="D224" s="592"/>
      <c r="E224" s="235">
        <f t="shared" si="59"/>
        <v>2110</v>
      </c>
      <c r="F224" s="234"/>
      <c r="G224" s="235">
        <f t="shared" si="57"/>
        <v>2110</v>
      </c>
      <c r="H224" s="172">
        <f t="shared" si="58"/>
        <v>0.23898516253256313</v>
      </c>
      <c r="I224" s="526"/>
      <c r="J224" s="168"/>
      <c r="K224" s="168"/>
    </row>
    <row r="225" spans="1:11">
      <c r="A225" s="163"/>
      <c r="B225" s="170" t="s">
        <v>236</v>
      </c>
      <c r="C225" s="592">
        <f>'[27]Sch D'!I9</f>
        <v>189</v>
      </c>
      <c r="D225" s="592"/>
      <c r="E225" s="235">
        <f t="shared" si="59"/>
        <v>189</v>
      </c>
      <c r="F225" s="234"/>
      <c r="G225" s="235">
        <f t="shared" si="57"/>
        <v>189</v>
      </c>
      <c r="H225" s="172">
        <f t="shared" si="58"/>
        <v>2.1406727828746176E-2</v>
      </c>
      <c r="I225" s="525"/>
      <c r="J225" s="168"/>
      <c r="K225" s="168"/>
    </row>
    <row r="226" spans="1:11">
      <c r="A226" s="163"/>
      <c r="B226" s="170" t="s">
        <v>235</v>
      </c>
      <c r="C226" s="592">
        <f>'[27]Sch D'!J9</f>
        <v>573</v>
      </c>
      <c r="D226" s="592"/>
      <c r="E226" s="235">
        <f>C226+D226</f>
        <v>573</v>
      </c>
      <c r="F226" s="234"/>
      <c r="G226" s="235">
        <f>E226+F226</f>
        <v>573</v>
      </c>
      <c r="H226" s="172">
        <f t="shared" si="58"/>
        <v>6.4899762147468565E-2</v>
      </c>
      <c r="I226" s="525"/>
      <c r="J226" s="168"/>
      <c r="K226" s="168"/>
    </row>
    <row r="227" spans="1:11">
      <c r="A227" s="163"/>
      <c r="B227" s="170" t="s">
        <v>179</v>
      </c>
      <c r="C227" s="592">
        <f>'[27]Sch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2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8829</v>
      </c>
      <c r="D228" s="592">
        <f>SUM(D219:D227)</f>
        <v>0</v>
      </c>
      <c r="E228" s="237">
        <f>SUM(E219:E227)</f>
        <v>8829</v>
      </c>
      <c r="F228" s="237">
        <f>SUM(F219:F227)</f>
        <v>0</v>
      </c>
      <c r="G228" s="237">
        <f>SUM(G219:G227)</f>
        <v>8829</v>
      </c>
      <c r="H228" s="172">
        <f t="shared" si="58"/>
        <v>1</v>
      </c>
      <c r="I228" s="52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508" t="s">
        <v>653</v>
      </c>
      <c r="J230" s="168"/>
      <c r="K230" s="168"/>
    </row>
    <row r="231" spans="1:11">
      <c r="A231" s="163"/>
      <c r="B231" s="202" t="s">
        <v>219</v>
      </c>
      <c r="C231" s="593">
        <f>'[27]Sch D'!N22</f>
        <v>44</v>
      </c>
      <c r="D231" s="559"/>
      <c r="E231" s="235">
        <f>C231+D231</f>
        <v>44</v>
      </c>
      <c r="F231" s="235"/>
      <c r="G231" s="235">
        <f>E231+F231</f>
        <v>44</v>
      </c>
      <c r="H231" s="460" t="s">
        <v>654</v>
      </c>
      <c r="J231" s="168"/>
      <c r="K231" s="168"/>
    </row>
    <row r="232" spans="1:11">
      <c r="A232" s="163"/>
      <c r="B232" s="202" t="s">
        <v>290</v>
      </c>
      <c r="C232" s="593">
        <f>'[27]Sch D'!N24</f>
        <v>31</v>
      </c>
      <c r="D232" s="559"/>
      <c r="E232" s="235">
        <f>C232+D232</f>
        <v>31</v>
      </c>
      <c r="F232" s="235"/>
      <c r="G232" s="235">
        <f>E232+F232</f>
        <v>31</v>
      </c>
      <c r="H232" s="508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'[27]Sch D'!N28</f>
        <v>16104</v>
      </c>
      <c r="D235" s="483"/>
      <c r="E235" s="234">
        <f>E231*E233</f>
        <v>16104</v>
      </c>
      <c r="F235" s="239"/>
      <c r="G235" s="234">
        <f>G231*G233</f>
        <v>16104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'[27]Sch D'!N30</f>
        <v>0.54824888226527568</v>
      </c>
      <c r="D236" s="239"/>
      <c r="E236" s="244">
        <f>E228/E235</f>
        <v>0.54824888226527568</v>
      </c>
      <c r="F236" s="245"/>
      <c r="G236" s="244">
        <f>G228/G235</f>
        <v>0.54824888226527568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'[27]Sch D'!N32</f>
        <v>0.33724540486835569</v>
      </c>
      <c r="D237" s="239"/>
      <c r="E237" s="244">
        <f>(E219+E220)/E235</f>
        <v>0.33724540486835569</v>
      </c>
      <c r="F237" s="245"/>
      <c r="G237" s="244">
        <f>(G219+G220)/G235</f>
        <v>0.33724540486835569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'[27]Sch D'!N34</f>
        <v>0.61513195152338884</v>
      </c>
      <c r="D238" s="239"/>
      <c r="E238" s="244">
        <f>(E237/E236)</f>
        <v>0.61513195152338884</v>
      </c>
      <c r="F238" s="245"/>
      <c r="G238" s="244">
        <f>(G237/G236)</f>
        <v>0.61513195152338884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132.17515923566879</v>
      </c>
    </row>
    <row r="242" spans="2:7">
      <c r="F242" s="142" t="s">
        <v>341</v>
      </c>
      <c r="G242" s="558">
        <v>121.54216027874564</v>
      </c>
    </row>
    <row r="243" spans="2:7" ht="16.5">
      <c r="B243" s="538"/>
      <c r="F243" s="142" t="s">
        <v>342</v>
      </c>
      <c r="G243" s="558">
        <v>139.89304812834226</v>
      </c>
    </row>
    <row r="244" spans="2:7" ht="16.5">
      <c r="B244" s="538"/>
      <c r="F244" s="142" t="s">
        <v>343</v>
      </c>
      <c r="G244" s="558">
        <v>133.37301587301587</v>
      </c>
    </row>
    <row r="245" spans="2:7" ht="16.5">
      <c r="B245" s="538"/>
      <c r="F245" s="142"/>
    </row>
  </sheetData>
  <customSheetViews>
    <customSheetView guid="{00D6F160-3E2B-11D5-8BE5-C1A1C12816BD}" showPageBreaks="1" showGridLines="0" showRuler="0">
      <selection activeCell="D9" sqref="D9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A9" sqref="A9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E28CAB"/>
  </sheetPr>
  <dimension ref="A1:T245"/>
  <sheetViews>
    <sheetView showGridLines="0" topLeftCell="A222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469</v>
      </c>
      <c r="D2" s="246"/>
      <c r="E2" s="144"/>
      <c r="F2" s="460" t="s">
        <v>508</v>
      </c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509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510</v>
      </c>
      <c r="G4" s="150"/>
    </row>
    <row r="5" spans="1:17">
      <c r="A5" s="145"/>
      <c r="B5" s="148"/>
      <c r="C5" s="151"/>
      <c r="D5" s="144"/>
      <c r="F5" s="460" t="s">
        <v>511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84" t="s">
        <v>715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63" t="s">
        <v>716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'[28]Sch B'!E10</f>
        <v>1424183</v>
      </c>
      <c r="D11" s="558">
        <f>'[28]Sch B'!G10</f>
        <v>0</v>
      </c>
      <c r="E11" s="171">
        <f>C11+D11</f>
        <v>1424183</v>
      </c>
      <c r="F11" s="171">
        <v>1205798.97</v>
      </c>
      <c r="G11" s="171">
        <f t="shared" ref="G11:G20" si="0">E11+F11</f>
        <v>2629981.9699999997</v>
      </c>
      <c r="H11" s="172">
        <f t="shared" ref="H11:H21" si="1">IF($G$21=0,0,G11/$G$21)</f>
        <v>0.36638194197070117</v>
      </c>
      <c r="I11" s="336"/>
      <c r="J11" s="368" t="s">
        <v>344</v>
      </c>
      <c r="K11" s="369">
        <f>G21</f>
        <v>7178252.1699999999</v>
      </c>
      <c r="M11" s="359">
        <f>IFERROR(G11/G219,0)</f>
        <v>202.4932222051124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'[28]Sch B'!E15</f>
        <v>91264</v>
      </c>
      <c r="D12" s="558">
        <f>'[28]Sch B'!G15</f>
        <v>0</v>
      </c>
      <c r="E12" s="171">
        <f t="shared" ref="E12:E20" si="2">C12+D12</f>
        <v>91264</v>
      </c>
      <c r="F12" s="171">
        <v>0</v>
      </c>
      <c r="G12" s="171">
        <f>E12+F12</f>
        <v>91264</v>
      </c>
      <c r="H12" s="172">
        <f t="shared" si="1"/>
        <v>1.271395847326439E-2</v>
      </c>
      <c r="I12" s="336"/>
      <c r="J12" s="370" t="s">
        <v>345</v>
      </c>
      <c r="K12" s="371">
        <f>G208</f>
        <v>6277659.3000000026</v>
      </c>
      <c r="M12" s="359">
        <f t="shared" ref="M12:M19" si="3">IFERROR(G12/G220,0)</f>
        <v>184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'[28]Sch B'!E21</f>
        <v>1149175</v>
      </c>
      <c r="D13" s="558">
        <f>'[28]Sch B'!G21</f>
        <v>0</v>
      </c>
      <c r="E13" s="171">
        <f t="shared" si="2"/>
        <v>1149175</v>
      </c>
      <c r="F13" s="171">
        <v>1147934.6799999997</v>
      </c>
      <c r="G13" s="171">
        <f t="shared" si="0"/>
        <v>2297109.6799999997</v>
      </c>
      <c r="H13" s="172">
        <f t="shared" si="1"/>
        <v>0.32000961036173792</v>
      </c>
      <c r="I13" s="336"/>
      <c r="J13" s="370" t="s">
        <v>346</v>
      </c>
      <c r="K13" s="371">
        <f>G228</f>
        <v>25546</v>
      </c>
      <c r="M13" s="359">
        <f t="shared" si="3"/>
        <v>468.32001630988782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'[28]Sch B'!E27</f>
        <v>586066</v>
      </c>
      <c r="D14" s="558">
        <f>'[28]Sch B'!G27</f>
        <v>0</v>
      </c>
      <c r="E14" s="171">
        <f t="shared" si="2"/>
        <v>586066</v>
      </c>
      <c r="F14" s="175">
        <v>0</v>
      </c>
      <c r="G14" s="175">
        <f>E14+F14</f>
        <v>586066</v>
      </c>
      <c r="H14" s="176">
        <f t="shared" si="1"/>
        <v>8.1644665876930311E-2</v>
      </c>
      <c r="I14" s="337"/>
      <c r="J14" s="370" t="s">
        <v>347</v>
      </c>
      <c r="K14" s="371">
        <f>G231</f>
        <v>120</v>
      </c>
      <c r="M14" s="359">
        <f t="shared" si="3"/>
        <v>556.5679012345679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'[28]Sch B'!E32</f>
        <v>190704</v>
      </c>
      <c r="D15" s="558">
        <f>'[28]Sch B'!G32</f>
        <v>0</v>
      </c>
      <c r="E15" s="171">
        <f t="shared" si="2"/>
        <v>190704</v>
      </c>
      <c r="F15" s="171">
        <v>88852.91</v>
      </c>
      <c r="G15" s="171">
        <f t="shared" si="0"/>
        <v>279556.91000000003</v>
      </c>
      <c r="H15" s="172">
        <f t="shared" si="1"/>
        <v>3.8944983176872713E-2</v>
      </c>
      <c r="I15" s="336"/>
      <c r="J15" s="370" t="s">
        <v>348</v>
      </c>
      <c r="K15" s="371">
        <f>G235</f>
        <v>43920</v>
      </c>
      <c r="M15" s="359">
        <f t="shared" si="3"/>
        <v>227.6522068403909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'[28]Sch B'!E37</f>
        <v>296930</v>
      </c>
      <c r="D16" s="558">
        <f>'[28]Sch B'!G37</f>
        <v>0</v>
      </c>
      <c r="E16" s="171">
        <f t="shared" si="2"/>
        <v>296930</v>
      </c>
      <c r="F16" s="171">
        <v>588755.75</v>
      </c>
      <c r="G16" s="171">
        <f t="shared" si="0"/>
        <v>885685.75</v>
      </c>
      <c r="H16" s="172">
        <f t="shared" si="1"/>
        <v>0.12338459683842509</v>
      </c>
      <c r="I16" s="336"/>
      <c r="J16" s="372"/>
      <c r="K16" s="371"/>
      <c r="M16" s="359">
        <f t="shared" si="3"/>
        <v>244.12506890848954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'[28]Sch B'!E42</f>
        <v>130992</v>
      </c>
      <c r="D17" s="558">
        <f>'[28]Sch B'!G42</f>
        <v>0</v>
      </c>
      <c r="E17" s="171">
        <f t="shared" si="2"/>
        <v>130992</v>
      </c>
      <c r="F17" s="171">
        <v>0</v>
      </c>
      <c r="G17" s="171">
        <f>E17+F17</f>
        <v>130992</v>
      </c>
      <c r="H17" s="172">
        <f t="shared" si="1"/>
        <v>1.8248453369673137E-2</v>
      </c>
      <c r="I17" s="336"/>
      <c r="J17" s="370" t="s">
        <v>156</v>
      </c>
      <c r="K17" s="371">
        <f>J208</f>
        <v>160869</v>
      </c>
      <c r="M17" s="359">
        <f t="shared" si="3"/>
        <v>189.84347826086957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'[28]Sch B'!E47</f>
        <v>77700</v>
      </c>
      <c r="D18" s="558">
        <f>'[28]Sch B'!G47</f>
        <v>0</v>
      </c>
      <c r="E18" s="171">
        <f t="shared" si="2"/>
        <v>77700</v>
      </c>
      <c r="F18" s="171">
        <v>0</v>
      </c>
      <c r="G18" s="171">
        <f>E18+F18</f>
        <v>77700</v>
      </c>
      <c r="H18" s="172">
        <f t="shared" si="1"/>
        <v>1.0824361997859432E-2</v>
      </c>
      <c r="I18" s="336"/>
      <c r="J18" s="373" t="s">
        <v>252</v>
      </c>
      <c r="K18" s="374">
        <f>K208</f>
        <v>166801</v>
      </c>
      <c r="M18" s="359">
        <f t="shared" si="3"/>
        <v>175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'[28]Sch B'!E52</f>
        <v>123104</v>
      </c>
      <c r="D19" s="558">
        <f>'[28]Sch B'!G52</f>
        <v>0</v>
      </c>
      <c r="E19" s="171">
        <f t="shared" si="2"/>
        <v>123104</v>
      </c>
      <c r="F19" s="171">
        <v>0</v>
      </c>
      <c r="G19" s="171">
        <f t="shared" si="0"/>
        <v>123104</v>
      </c>
      <c r="H19" s="172">
        <f t="shared" si="1"/>
        <v>1.714957862785698E-2</v>
      </c>
      <c r="I19" s="336"/>
      <c r="J19" s="168"/>
      <c r="K19" s="168"/>
      <c r="M19" s="359">
        <f t="shared" si="3"/>
        <v>1079.859649122807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'[28]Sch B'!E67</f>
        <v>43272</v>
      </c>
      <c r="D20" s="558">
        <f>'[28]Sch B'!G67</f>
        <v>-2070</v>
      </c>
      <c r="E20" s="171">
        <f t="shared" si="2"/>
        <v>41202</v>
      </c>
      <c r="F20" s="171">
        <v>35589.86</v>
      </c>
      <c r="G20" s="171">
        <f t="shared" si="0"/>
        <v>76791.86</v>
      </c>
      <c r="H20" s="172">
        <f t="shared" si="1"/>
        <v>1.0697849306678787E-2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4113390</v>
      </c>
      <c r="D21" s="558">
        <f>SUM(D11:D20)</f>
        <v>-2070</v>
      </c>
      <c r="E21" s="171">
        <f>SUM(E11:E20)</f>
        <v>4111320</v>
      </c>
      <c r="F21" s="171">
        <f>SUM(F11:F20)</f>
        <v>3066932.1699999995</v>
      </c>
      <c r="G21" s="171">
        <f>SUM(G11:G20)</f>
        <v>7178252.1699999999</v>
      </c>
      <c r="H21" s="172">
        <f t="shared" si="1"/>
        <v>1</v>
      </c>
      <c r="I21" s="336"/>
      <c r="J21" s="168"/>
      <c r="K21" s="168"/>
      <c r="M21" s="359">
        <f>IFERROR(G21/G228,0)</f>
        <v>280.99319541219762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'[28]Sch C'!D10</f>
        <v>112124</v>
      </c>
      <c r="D25" s="558">
        <f>'[28]Sch C'!F10</f>
        <v>0</v>
      </c>
      <c r="E25" s="171">
        <f t="shared" ref="E25:E60" si="4">C25+D25</f>
        <v>112124</v>
      </c>
      <c r="F25" s="171">
        <v>59096.93</v>
      </c>
      <c r="G25" s="182">
        <f>E25+F25</f>
        <v>171220.93</v>
      </c>
      <c r="H25" s="172">
        <f>IF($G$208=0,0,G25/$G$208)</f>
        <v>2.7274645185029381E-2</v>
      </c>
      <c r="I25" s="336"/>
      <c r="J25" s="183">
        <f>1280+752</f>
        <v>2032</v>
      </c>
      <c r="K25" s="183">
        <f>1280+800</f>
        <v>2080</v>
      </c>
      <c r="M25" s="359">
        <f>G25/G$228</f>
        <v>6.7024555703436937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'[28]Sch C'!D11</f>
        <v>0</v>
      </c>
      <c r="D26" s="558">
        <f>'[28]Sch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'[28]Sch C'!D12</f>
        <v>26052</v>
      </c>
      <c r="D27" s="558">
        <f>'[28]Sch C'!F12</f>
        <v>0</v>
      </c>
      <c r="E27" s="171">
        <f t="shared" si="4"/>
        <v>26052</v>
      </c>
      <c r="F27" s="171">
        <v>80645.26999999999</v>
      </c>
      <c r="G27" s="171">
        <f t="shared" si="5"/>
        <v>106697.26999999999</v>
      </c>
      <c r="H27" s="172">
        <f t="shared" si="6"/>
        <v>1.6996346074403871E-2</v>
      </c>
      <c r="I27" s="336"/>
      <c r="J27" s="185">
        <f>4751+4548</f>
        <v>9299</v>
      </c>
      <c r="K27" s="185">
        <f>5003+4957</f>
        <v>9960</v>
      </c>
      <c r="M27" s="359">
        <f t="shared" si="7"/>
        <v>4.1766722774602671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'[28]Sch C'!D13</f>
        <v>25332</v>
      </c>
      <c r="D28" s="558">
        <f>'[28]Sch C'!F13</f>
        <v>0</v>
      </c>
      <c r="E28" s="171">
        <f t="shared" si="4"/>
        <v>25332</v>
      </c>
      <c r="F28" s="171">
        <v>27354.47</v>
      </c>
      <c r="G28" s="171">
        <f t="shared" si="5"/>
        <v>52686.47</v>
      </c>
      <c r="H28" s="172">
        <f t="shared" si="6"/>
        <v>8.3926934359116901E-3</v>
      </c>
      <c r="I28" s="336"/>
      <c r="J28" s="168"/>
      <c r="K28" s="168"/>
      <c r="M28" s="359">
        <f t="shared" si="7"/>
        <v>2.0624156423706257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'[28]Sch C'!D14</f>
        <v>0</v>
      </c>
      <c r="D29" s="558">
        <f>'[28]Sch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'[28]Sch C'!D15</f>
        <v>240729</v>
      </c>
      <c r="D30" s="558">
        <f>'[28]Sch C'!F15</f>
        <v>-87409</v>
      </c>
      <c r="E30" s="171">
        <f t="shared" si="4"/>
        <v>153320</v>
      </c>
      <c r="F30" s="171">
        <v>0</v>
      </c>
      <c r="G30" s="171">
        <f t="shared" si="5"/>
        <v>153320</v>
      </c>
      <c r="H30" s="172">
        <f t="shared" si="6"/>
        <v>2.4423115794130455E-2</v>
      </c>
      <c r="I30" s="336"/>
      <c r="J30" s="168"/>
      <c r="K30" s="168"/>
      <c r="M30" s="359">
        <f t="shared" si="7"/>
        <v>6.0017223831519608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'[28]Sch C'!D16</f>
        <v>0</v>
      </c>
      <c r="D31" s="558">
        <f>'[28]Sch C'!F16</f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'[28]Sch C'!D17</f>
        <v>8940</v>
      </c>
      <c r="D32" s="558">
        <f>'[28]Sch C'!F17</f>
        <v>-8008</v>
      </c>
      <c r="E32" s="171">
        <f t="shared" si="4"/>
        <v>932</v>
      </c>
      <c r="F32" s="171">
        <v>0</v>
      </c>
      <c r="G32" s="171">
        <f t="shared" si="5"/>
        <v>932</v>
      </c>
      <c r="H32" s="172">
        <f t="shared" si="6"/>
        <v>1.4846297886857282E-4</v>
      </c>
      <c r="I32" s="336"/>
      <c r="J32" s="168"/>
      <c r="K32" s="168"/>
      <c r="M32" s="359">
        <f t="shared" si="7"/>
        <v>3.6483206764268382E-2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'[28]Sch C'!D18</f>
        <v>7503</v>
      </c>
      <c r="D33" s="558">
        <f>'[28]Sch C'!F18</f>
        <v>0</v>
      </c>
      <c r="E33" s="171">
        <f t="shared" si="4"/>
        <v>7503</v>
      </c>
      <c r="F33" s="171">
        <v>11455.29</v>
      </c>
      <c r="G33" s="171">
        <f t="shared" si="5"/>
        <v>18958.29</v>
      </c>
      <c r="H33" s="172">
        <f t="shared" si="6"/>
        <v>3.0199615961955745E-3</v>
      </c>
      <c r="I33" s="336"/>
      <c r="J33" s="168"/>
      <c r="K33" s="168"/>
      <c r="M33" s="359">
        <f t="shared" si="7"/>
        <v>0.7421236201362249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'[28]Sch C'!D19</f>
        <v>15266</v>
      </c>
      <c r="D34" s="558">
        <f>'[28]Sch C'!F19</f>
        <v>0</v>
      </c>
      <c r="E34" s="171">
        <f t="shared" si="4"/>
        <v>15266</v>
      </c>
      <c r="F34" s="171">
        <v>1651.2</v>
      </c>
      <c r="G34" s="171">
        <f t="shared" si="5"/>
        <v>16917.2</v>
      </c>
      <c r="H34" s="172">
        <f t="shared" si="6"/>
        <v>2.6948260795229828E-3</v>
      </c>
      <c r="I34" s="336"/>
      <c r="J34" s="168"/>
      <c r="K34" s="168"/>
      <c r="M34" s="359">
        <f t="shared" si="7"/>
        <v>0.66222500587176081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'[28]Sch C'!D20</f>
        <v>11584</v>
      </c>
      <c r="D35" s="558">
        <f>'[28]Sch C'!F20</f>
        <v>0</v>
      </c>
      <c r="E35" s="171">
        <f t="shared" si="4"/>
        <v>11584</v>
      </c>
      <c r="F35" s="171">
        <v>15065.100000000002</v>
      </c>
      <c r="G35" s="171">
        <f t="shared" si="5"/>
        <v>26649.100000000002</v>
      </c>
      <c r="H35" s="172">
        <f t="shared" si="6"/>
        <v>4.2450694958867854E-3</v>
      </c>
      <c r="I35" s="336"/>
      <c r="J35" s="168"/>
      <c r="K35" s="168"/>
      <c r="M35" s="359">
        <f t="shared" si="7"/>
        <v>1.0431809285210993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'[28]Sch C'!D21</f>
        <v>37616</v>
      </c>
      <c r="D36" s="558">
        <f>'[28]Sch C'!F21</f>
        <v>0</v>
      </c>
      <c r="E36" s="171">
        <f t="shared" si="4"/>
        <v>37616</v>
      </c>
      <c r="F36" s="563">
        <f>26339.92-10000</f>
        <v>16339.919999999998</v>
      </c>
      <c r="G36" s="171">
        <f t="shared" si="5"/>
        <v>53955.92</v>
      </c>
      <c r="H36" s="172">
        <f t="shared" si="6"/>
        <v>8.5949105266034387E-3</v>
      </c>
      <c r="I36" s="336"/>
      <c r="J36" s="168"/>
      <c r="K36" s="168"/>
      <c r="M36" s="359">
        <f t="shared" si="7"/>
        <v>2.1121083535582867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'[28]Sch C'!D22</f>
        <v>0</v>
      </c>
      <c r="D37" s="558">
        <f>'[28]Sch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'[28]Sch C'!D23</f>
        <v>2483</v>
      </c>
      <c r="D38" s="558">
        <f>'[28]Sch C'!F23</f>
        <v>-214</v>
      </c>
      <c r="E38" s="171">
        <f t="shared" si="4"/>
        <v>2269</v>
      </c>
      <c r="F38" s="171">
        <v>13551.11</v>
      </c>
      <c r="G38" s="171">
        <f t="shared" si="5"/>
        <v>15820.11</v>
      </c>
      <c r="H38" s="172">
        <f t="shared" si="6"/>
        <v>2.5200650822194181E-3</v>
      </c>
      <c r="I38" s="336"/>
      <c r="J38" s="168"/>
      <c r="K38" s="168"/>
      <c r="M38" s="359">
        <f t="shared" si="7"/>
        <v>0.61927933923119083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'[28]Sch C'!D24</f>
        <v>53271</v>
      </c>
      <c r="D39" s="558">
        <f>'[28]Sch C'!F24</f>
        <v>0</v>
      </c>
      <c r="E39" s="171">
        <f t="shared" si="4"/>
        <v>53271</v>
      </c>
      <c r="F39" s="171">
        <v>33155.71</v>
      </c>
      <c r="G39" s="171">
        <f t="shared" si="5"/>
        <v>86426.709999999992</v>
      </c>
      <c r="H39" s="172">
        <f t="shared" si="6"/>
        <v>1.3767346373830761E-2</v>
      </c>
      <c r="I39" s="336"/>
      <c r="J39" s="168"/>
      <c r="K39" s="168"/>
      <c r="M39" s="359">
        <f t="shared" si="7"/>
        <v>3.3831797541689497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'[28]Sch C'!D25</f>
        <v>0</v>
      </c>
      <c r="D40" s="558">
        <f>'[28]Sch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'[28]Sch C'!D26</f>
        <v>210588</v>
      </c>
      <c r="D41" s="558">
        <f>'[28]Sch C'!F26</f>
        <v>0</v>
      </c>
      <c r="E41" s="171">
        <f t="shared" si="4"/>
        <v>210588</v>
      </c>
      <c r="F41" s="171">
        <v>136599.28</v>
      </c>
      <c r="G41" s="171">
        <f t="shared" si="5"/>
        <v>347187.28</v>
      </c>
      <c r="H41" s="172">
        <f t="shared" si="6"/>
        <v>5.5305212246864029E-2</v>
      </c>
      <c r="I41" s="336"/>
      <c r="J41" s="168"/>
      <c r="K41" s="168"/>
      <c r="M41" s="359">
        <f t="shared" si="7"/>
        <v>13.590670946527833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'[28]Sch C'!D27</f>
        <v>0</v>
      </c>
      <c r="D42" s="558">
        <f>'[28]Sch C'!F27</f>
        <v>0</v>
      </c>
      <c r="E42" s="171">
        <f t="shared" si="4"/>
        <v>0</v>
      </c>
      <c r="F42" s="171">
        <v>784.35</v>
      </c>
      <c r="G42" s="171">
        <f t="shared" si="5"/>
        <v>784.35</v>
      </c>
      <c r="H42" s="172">
        <f t="shared" si="6"/>
        <v>1.2494306596090674E-4</v>
      </c>
      <c r="I42" s="336"/>
      <c r="J42" s="168"/>
      <c r="K42" s="168"/>
      <c r="M42" s="359">
        <f t="shared" si="7"/>
        <v>3.0703436937289597E-2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'[28]Sch C'!D28</f>
        <v>0</v>
      </c>
      <c r="D43" s="558">
        <f>'[28]Sch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'[28]Sch C'!D29</f>
        <v>57962</v>
      </c>
      <c r="D44" s="558">
        <f>'[28]Sch C'!F29</f>
        <v>-57962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'[28]Sch C'!D30</f>
        <v>136</v>
      </c>
      <c r="D45" s="558">
        <f>'[28]Sch C'!F30</f>
        <v>-136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'[28]Sch C'!D31</f>
        <v>41402</v>
      </c>
      <c r="D46" s="558">
        <f>'[28]Sch C'!F31</f>
        <v>0</v>
      </c>
      <c r="E46" s="171">
        <f t="shared" si="4"/>
        <v>41402</v>
      </c>
      <c r="F46" s="171">
        <v>23527</v>
      </c>
      <c r="G46" s="171">
        <f t="shared" si="5"/>
        <v>64929</v>
      </c>
      <c r="H46" s="172">
        <f t="shared" si="6"/>
        <v>1.0342867762830004E-2</v>
      </c>
      <c r="I46" s="336"/>
      <c r="J46" s="168"/>
      <c r="K46" s="168"/>
      <c r="M46" s="359">
        <f t="shared" si="7"/>
        <v>2.5416503562201518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'[28]Sch C'!D32</f>
        <v>38647</v>
      </c>
      <c r="D47" s="558">
        <f>'[28]Sch C'!F32</f>
        <v>0</v>
      </c>
      <c r="E47" s="171">
        <f t="shared" si="4"/>
        <v>38647</v>
      </c>
      <c r="F47" s="171">
        <v>34365.370000000003</v>
      </c>
      <c r="G47" s="171">
        <f t="shared" si="5"/>
        <v>73012.37</v>
      </c>
      <c r="H47" s="172">
        <f t="shared" si="6"/>
        <v>1.1630508524092724E-2</v>
      </c>
      <c r="I47" s="336"/>
      <c r="J47" s="168"/>
      <c r="K47" s="168"/>
      <c r="M47" s="359">
        <f t="shared" si="7"/>
        <v>2.8580744539262506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'[28]Sch C'!D33</f>
        <v>0</v>
      </c>
      <c r="D48" s="558">
        <f>'[28]Sch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'[28]Sch C'!D34</f>
        <v>0</v>
      </c>
      <c r="D49" s="558">
        <f>'[28]Sch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'[28]Sch C'!D35</f>
        <v>0</v>
      </c>
      <c r="D50" s="558">
        <f>'[28]Sch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'[28]Sch C'!D36</f>
        <v>31579</v>
      </c>
      <c r="D51" s="558">
        <f>'[28]Sch C'!F36</f>
        <v>0</v>
      </c>
      <c r="E51" s="171">
        <f t="shared" si="4"/>
        <v>31579</v>
      </c>
      <c r="F51" s="171">
        <v>21729.200000000001</v>
      </c>
      <c r="G51" s="171">
        <f t="shared" si="5"/>
        <v>53308.2</v>
      </c>
      <c r="H51" s="172">
        <f t="shared" si="6"/>
        <v>8.4917319421906143E-3</v>
      </c>
      <c r="I51" s="336"/>
      <c r="J51" s="183">
        <f>2658+1692</f>
        <v>4350</v>
      </c>
      <c r="K51" s="183">
        <f>2809+1778</f>
        <v>4587</v>
      </c>
      <c r="M51" s="359">
        <f t="shared" si="7"/>
        <v>2.0867533077585532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'[28]Sch C'!D37</f>
        <v>5789</v>
      </c>
      <c r="D52" s="558">
        <f>'[28]Sch C'!F37</f>
        <v>0</v>
      </c>
      <c r="E52" s="171">
        <f t="shared" si="4"/>
        <v>5789</v>
      </c>
      <c r="F52" s="171">
        <v>3802.09</v>
      </c>
      <c r="G52" s="171">
        <f t="shared" si="5"/>
        <v>9591.09</v>
      </c>
      <c r="H52" s="172">
        <f t="shared" si="6"/>
        <v>1.527813081541395E-3</v>
      </c>
      <c r="I52" s="336"/>
      <c r="J52" s="168"/>
      <c r="K52" s="168"/>
      <c r="M52" s="359">
        <f t="shared" si="7"/>
        <v>0.37544390511234638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'[28]Sch C'!D38</f>
        <v>0</v>
      </c>
      <c r="D53" s="558">
        <f>'[28]Sch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'[28]Sch C'!D39</f>
        <v>2306</v>
      </c>
      <c r="D54" s="558">
        <f>'[28]Sch C'!F39</f>
        <v>-2306</v>
      </c>
      <c r="E54" s="171">
        <f t="shared" si="4"/>
        <v>0</v>
      </c>
      <c r="F54" s="171">
        <v>0</v>
      </c>
      <c r="G54" s="171">
        <f t="shared" si="5"/>
        <v>0</v>
      </c>
      <c r="H54" s="172">
        <f t="shared" si="6"/>
        <v>0</v>
      </c>
      <c r="I54" s="336"/>
      <c r="J54" s="168"/>
      <c r="K54" s="168"/>
      <c r="M54" s="359">
        <f t="shared" si="7"/>
        <v>0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'[28]Sch C'!D40</f>
        <v>0</v>
      </c>
      <c r="D55" s="558">
        <f>'[28]Sch C'!F40</f>
        <v>0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'[28]Sch C'!D41</f>
        <v>0</v>
      </c>
      <c r="D56" s="558">
        <f>'[28]Sch C'!F41</f>
        <v>0</v>
      </c>
      <c r="E56" s="171">
        <f t="shared" si="4"/>
        <v>0</v>
      </c>
      <c r="F56" s="171">
        <v>28616.32</v>
      </c>
      <c r="G56" s="171">
        <f t="shared" si="5"/>
        <v>28616.32</v>
      </c>
      <c r="H56" s="172">
        <f t="shared" si="6"/>
        <v>4.5584378878286667E-3</v>
      </c>
      <c r="I56" s="336"/>
      <c r="J56" s="168"/>
      <c r="K56" s="168"/>
      <c r="M56" s="359">
        <f t="shared" si="7"/>
        <v>1.1201878963438503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'[28]Sch C'!D42</f>
        <v>6781</v>
      </c>
      <c r="D57" s="558">
        <f>'[28]Sch C'!F42</f>
        <v>0</v>
      </c>
      <c r="E57" s="171">
        <f t="shared" si="4"/>
        <v>6781</v>
      </c>
      <c r="F57" s="171">
        <v>4489.18</v>
      </c>
      <c r="G57" s="171">
        <f t="shared" si="5"/>
        <v>11270.18</v>
      </c>
      <c r="H57" s="172">
        <f t="shared" si="6"/>
        <v>1.7952837931169657E-3</v>
      </c>
      <c r="I57" s="336"/>
      <c r="J57" s="168"/>
      <c r="K57" s="168"/>
      <c r="M57" s="359">
        <f t="shared" si="7"/>
        <v>0.44117200344476631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'[28]Sch C'!D43</f>
        <v>5878</v>
      </c>
      <c r="D58" s="558">
        <f>'[28]Sch C'!F43</f>
        <v>0</v>
      </c>
      <c r="E58" s="171">
        <f t="shared" si="4"/>
        <v>5878</v>
      </c>
      <c r="F58" s="171">
        <v>0</v>
      </c>
      <c r="G58" s="171">
        <f t="shared" si="5"/>
        <v>5878</v>
      </c>
      <c r="H58" s="172">
        <f t="shared" si="6"/>
        <v>9.3633625513891744E-4</v>
      </c>
      <c r="I58" s="336"/>
      <c r="J58" s="168"/>
      <c r="K58" s="168"/>
      <c r="M58" s="359">
        <f t="shared" si="7"/>
        <v>0.23009473107335787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'[28]Sch C'!D44</f>
        <v>0</v>
      </c>
      <c r="D59" s="558">
        <f>'[28]Sch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'[28]Sch C'!D45</f>
        <v>8878</v>
      </c>
      <c r="D60" s="558">
        <f>'[28]Sch C'!F45</f>
        <v>-6428</v>
      </c>
      <c r="E60" s="171">
        <f t="shared" si="4"/>
        <v>2450</v>
      </c>
      <c r="F60" s="171">
        <v>0</v>
      </c>
      <c r="G60" s="171">
        <f t="shared" si="5"/>
        <v>2450</v>
      </c>
      <c r="H60" s="172">
        <f t="shared" si="6"/>
        <v>3.9027285217596932E-4</v>
      </c>
      <c r="I60" s="336"/>
      <c r="J60" s="168"/>
      <c r="K60" s="168"/>
      <c r="M60" s="359">
        <f t="shared" si="7"/>
        <v>9.5905425506928682E-2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950846</v>
      </c>
      <c r="D61" s="558">
        <f>SUM(D25:D60)</f>
        <v>-162463</v>
      </c>
      <c r="E61" s="171">
        <f t="shared" ref="E61:F61" si="8">SUM(E25:E60)</f>
        <v>788383</v>
      </c>
      <c r="F61" s="171">
        <f t="shared" si="8"/>
        <v>512227.79</v>
      </c>
      <c r="G61" s="171">
        <f>SUM(G25:G60)</f>
        <v>1300610.79</v>
      </c>
      <c r="H61" s="186">
        <f t="shared" si="6"/>
        <v>0.20718085003434314</v>
      </c>
      <c r="I61" s="338"/>
      <c r="J61" s="168"/>
      <c r="K61" s="168"/>
      <c r="M61" s="364">
        <f>G61/G$228</f>
        <v>50.912502544429657</v>
      </c>
      <c r="N61" s="359">
        <f>SUMMARY!J64</f>
        <v>53.728790309602623</v>
      </c>
      <c r="O61" s="354">
        <f>M61/N61-1</f>
        <v>-5.2416735030597295E-2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'[28]Sch C'!D57</f>
        <v>446702</v>
      </c>
      <c r="D64" s="558">
        <f>'[28]Sch C'!F57</f>
        <v>-446702</v>
      </c>
      <c r="E64" s="171">
        <f t="shared" ref="E64:E78" si="9">C64+D64</f>
        <v>0</v>
      </c>
      <c r="F64" s="171">
        <v>-0.26000000000931323</v>
      </c>
      <c r="G64" s="171">
        <f t="shared" ref="G64:G78" si="10">E64+F64</f>
        <v>-0.26000000000931323</v>
      </c>
      <c r="H64" s="172">
        <f t="shared" ref="H64:H79" si="11">IF($G$208=0,0,G64/$G$208)</f>
        <v>-4.1416710844647643E-8</v>
      </c>
      <c r="I64" s="336"/>
      <c r="J64" s="190"/>
      <c r="K64" s="168"/>
      <c r="M64" s="359">
        <f t="shared" ref="M64:M79" si="12">G64/G$228</f>
        <v>-1.0177718625589651E-5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'[28]Sch C'!D58</f>
        <v>50064</v>
      </c>
      <c r="D65" s="558">
        <f>'[28]Sch C'!F58</f>
        <v>84013</v>
      </c>
      <c r="E65" s="171">
        <f t="shared" si="9"/>
        <v>134077</v>
      </c>
      <c r="F65" s="171">
        <v>572</v>
      </c>
      <c r="G65" s="171">
        <f t="shared" si="10"/>
        <v>134649</v>
      </c>
      <c r="H65" s="172">
        <f t="shared" si="11"/>
        <v>2.1448918070466162E-2</v>
      </c>
      <c r="I65" s="336"/>
      <c r="J65" s="190"/>
      <c r="K65" s="168"/>
      <c r="M65" s="359">
        <f t="shared" si="12"/>
        <v>5.2708447506458933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'[28]Sch C'!D59</f>
        <v>0</v>
      </c>
      <c r="D66" s="558">
        <f>'[28]Sch C'!F59</f>
        <v>0</v>
      </c>
      <c r="E66" s="171">
        <f t="shared" si="9"/>
        <v>0</v>
      </c>
      <c r="F66" s="171">
        <v>249204</v>
      </c>
      <c r="G66" s="171">
        <f t="shared" si="10"/>
        <v>249204</v>
      </c>
      <c r="H66" s="172">
        <f t="shared" si="11"/>
        <v>3.9696961572922553E-2</v>
      </c>
      <c r="I66" s="336"/>
      <c r="J66" s="190"/>
      <c r="K66" s="168"/>
      <c r="M66" s="359">
        <f t="shared" si="12"/>
        <v>9.7551084318484307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'[28]Sch C'!D60</f>
        <v>13314</v>
      </c>
      <c r="D67" s="558">
        <f>'[28]Sch C'!F60</f>
        <v>0</v>
      </c>
      <c r="E67" s="171">
        <f t="shared" si="9"/>
        <v>13314</v>
      </c>
      <c r="F67" s="171">
        <v>15550</v>
      </c>
      <c r="G67" s="171">
        <f t="shared" si="10"/>
        <v>28864</v>
      </c>
      <c r="H67" s="172">
        <f t="shared" si="11"/>
        <v>4.5978920837580319E-3</v>
      </c>
      <c r="I67" s="336"/>
      <c r="J67" s="193"/>
      <c r="K67" s="168"/>
      <c r="M67" s="359">
        <f t="shared" si="12"/>
        <v>1.1298833476865262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'[28]Sch C'!D61</f>
        <v>0</v>
      </c>
      <c r="D68" s="558">
        <f>'[28]Sch C'!F61</f>
        <v>0</v>
      </c>
      <c r="E68" s="171">
        <f t="shared" si="9"/>
        <v>0</v>
      </c>
      <c r="F68" s="171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'[28]Sch C'!D62</f>
        <v>0</v>
      </c>
      <c r="D69" s="558">
        <f>'[28]Sch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'[28]Sch C'!D63</f>
        <v>0</v>
      </c>
      <c r="D70" s="558">
        <f>'[28]Sch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'[28]Sch C'!D64</f>
        <v>0</v>
      </c>
      <c r="D71" s="558">
        <f>'[28]Sch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'[28]Sch C'!D65</f>
        <v>1512</v>
      </c>
      <c r="D72" s="558">
        <f>'[28]Sch C'!F65</f>
        <v>0</v>
      </c>
      <c r="E72" s="171">
        <f t="shared" si="9"/>
        <v>1512</v>
      </c>
      <c r="F72" s="171">
        <v>0</v>
      </c>
      <c r="G72" s="171">
        <f t="shared" si="10"/>
        <v>1512</v>
      </c>
      <c r="H72" s="172">
        <f t="shared" si="11"/>
        <v>2.4085410305716963E-4</v>
      </c>
      <c r="I72" s="336"/>
      <c r="J72" s="195"/>
      <c r="K72" s="168"/>
      <c r="M72" s="359">
        <f t="shared" si="12"/>
        <v>5.9187348312847415E-2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'[28]Sch C'!D66</f>
        <v>0</v>
      </c>
      <c r="D73" s="558">
        <f>'[28]Sch C'!F66</f>
        <v>0</v>
      </c>
      <c r="E73" s="171">
        <f t="shared" si="9"/>
        <v>0</v>
      </c>
      <c r="F73" s="171">
        <v>3670.58</v>
      </c>
      <c r="G73" s="171">
        <f t="shared" si="10"/>
        <v>3670.58</v>
      </c>
      <c r="H73" s="172">
        <f t="shared" si="11"/>
        <v>5.8470519417962012E-4</v>
      </c>
      <c r="I73" s="336"/>
      <c r="J73" s="195"/>
      <c r="K73" s="168"/>
      <c r="M73" s="359">
        <f t="shared" si="12"/>
        <v>0.14368511704376419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'[28]Sch C'!D67</f>
        <v>0</v>
      </c>
      <c r="D74" s="558">
        <f>'[28]Sch C'!F67</f>
        <v>26603</v>
      </c>
      <c r="E74" s="171">
        <f t="shared" si="9"/>
        <v>26603</v>
      </c>
      <c r="F74" s="171">
        <v>436</v>
      </c>
      <c r="G74" s="171">
        <f t="shared" si="10"/>
        <v>27039</v>
      </c>
      <c r="H74" s="172">
        <f t="shared" si="11"/>
        <v>4.3071786326473608E-3</v>
      </c>
      <c r="I74" s="336"/>
      <c r="J74" s="195"/>
      <c r="K74" s="168"/>
      <c r="M74" s="359">
        <f t="shared" si="12"/>
        <v>1.0584435919517732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'[28]Sch C'!D68</f>
        <v>0</v>
      </c>
      <c r="D75" s="558">
        <f>'[28]Sch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'[28]Sch C'!D69</f>
        <v>1575</v>
      </c>
      <c r="D76" s="558">
        <f>'[28]Sch C'!F69</f>
        <v>-1575</v>
      </c>
      <c r="E76" s="171">
        <f t="shared" si="9"/>
        <v>0</v>
      </c>
      <c r="F76" s="171">
        <v>0</v>
      </c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'[28]Sch C'!D70</f>
        <v>0</v>
      </c>
      <c r="D77" s="558">
        <f>'[28]Sch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'[28]Sch C'!D71</f>
        <v>0</v>
      </c>
      <c r="D78" s="558">
        <f>'[28]Sch C'!F71</f>
        <v>0</v>
      </c>
      <c r="E78" s="171">
        <f t="shared" si="9"/>
        <v>0</v>
      </c>
      <c r="F78" s="171">
        <v>1148.96</v>
      </c>
      <c r="G78" s="171">
        <f t="shared" si="10"/>
        <v>1148.96</v>
      </c>
      <c r="H78" s="172">
        <f t="shared" si="11"/>
        <v>1.830236311167762E-4</v>
      </c>
      <c r="I78" s="336"/>
      <c r="J78" s="195"/>
      <c r="K78" s="168"/>
      <c r="M78" s="359">
        <f t="shared" si="12"/>
        <v>4.4976121506302355E-2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513167</v>
      </c>
      <c r="D79" s="558">
        <f>SUM(D64:D78)</f>
        <v>-337661</v>
      </c>
      <c r="E79" s="171">
        <f t="shared" ref="E79:F79" si="13">SUM(E64:E78)</f>
        <v>175506</v>
      </c>
      <c r="F79" s="171">
        <f t="shared" si="13"/>
        <v>270581.28000000003</v>
      </c>
      <c r="G79" s="171">
        <f>SUM(G64:G78)</f>
        <v>446087.28</v>
      </c>
      <c r="H79" s="172">
        <f t="shared" si="11"/>
        <v>7.1059491871436828E-2</v>
      </c>
      <c r="I79" s="336"/>
      <c r="J79" s="195"/>
      <c r="K79" s="168"/>
      <c r="M79" s="359">
        <f t="shared" si="12"/>
        <v>17.462118531276914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'[28]Sch C'!D75</f>
        <v>30370</v>
      </c>
      <c r="D82" s="558">
        <f>'[28]Sch C'!F75</f>
        <v>0</v>
      </c>
      <c r="E82" s="171">
        <f t="shared" ref="E82:E92" si="14">C82+D82</f>
        <v>30370</v>
      </c>
      <c r="F82" s="171">
        <v>25510.720000000001</v>
      </c>
      <c r="G82" s="171">
        <f t="shared" ref="G82:G92" si="15">E82+F82</f>
        <v>55880.72</v>
      </c>
      <c r="H82" s="172">
        <f t="shared" ref="H82:H93" si="16">IF($G$208=0,0,G82/$G$208)</f>
        <v>8.9015216228762167E-3</v>
      </c>
      <c r="I82" s="336"/>
      <c r="J82" s="183">
        <f>1576+1185</f>
        <v>2761</v>
      </c>
      <c r="K82" s="183">
        <f>1624+1306</f>
        <v>2930</v>
      </c>
      <c r="M82" s="359">
        <f t="shared" ref="M82:M92" si="17">G82/G$228</f>
        <v>2.187454787442261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'[28]Sch C'!D76</f>
        <v>5568</v>
      </c>
      <c r="D83" s="558">
        <f>'[28]Sch C'!F76</f>
        <v>0</v>
      </c>
      <c r="E83" s="171">
        <f t="shared" si="14"/>
        <v>5568</v>
      </c>
      <c r="F83" s="171">
        <v>4463.8599999999997</v>
      </c>
      <c r="G83" s="171">
        <f t="shared" si="15"/>
        <v>10031.86</v>
      </c>
      <c r="H83" s="172">
        <f t="shared" si="16"/>
        <v>1.5980255570734775E-3</v>
      </c>
      <c r="I83" s="336"/>
      <c r="J83" s="168"/>
      <c r="K83" s="168"/>
      <c r="M83" s="359">
        <f t="shared" si="17"/>
        <v>0.39269787833711739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'[28]Sch C'!D77</f>
        <v>21140</v>
      </c>
      <c r="D84" s="558">
        <f>'[28]Sch C'!F77</f>
        <v>0</v>
      </c>
      <c r="E84" s="171">
        <f t="shared" si="14"/>
        <v>21140</v>
      </c>
      <c r="F84" s="171">
        <v>0</v>
      </c>
      <c r="G84" s="171">
        <f t="shared" si="15"/>
        <v>21140</v>
      </c>
      <c r="H84" s="172">
        <f t="shared" si="16"/>
        <v>3.3674971816326496E-3</v>
      </c>
      <c r="I84" s="336"/>
      <c r="J84" s="168"/>
      <c r="K84" s="168"/>
      <c r="M84" s="359">
        <f t="shared" si="17"/>
        <v>0.82752681437407027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'[28]Sch C'!D78</f>
        <v>5973</v>
      </c>
      <c r="D85" s="558">
        <f>'[28]Sch C'!F78</f>
        <v>0</v>
      </c>
      <c r="E85" s="171">
        <f t="shared" si="14"/>
        <v>5973</v>
      </c>
      <c r="F85" s="171">
        <v>0</v>
      </c>
      <c r="G85" s="171">
        <f t="shared" si="15"/>
        <v>5973</v>
      </c>
      <c r="H85" s="172">
        <f t="shared" si="16"/>
        <v>9.5146928410084271E-4</v>
      </c>
      <c r="I85" s="336"/>
      <c r="J85" s="168"/>
      <c r="K85" s="168"/>
      <c r="M85" s="359">
        <f t="shared" si="17"/>
        <v>0.23381351287872856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'[28]Sch C'!D79</f>
        <v>6313</v>
      </c>
      <c r="D86" s="558">
        <f>'[28]Sch C'!F79</f>
        <v>0</v>
      </c>
      <c r="E86" s="171">
        <f t="shared" si="14"/>
        <v>6313</v>
      </c>
      <c r="F86" s="171">
        <v>0</v>
      </c>
      <c r="G86" s="171">
        <f>E86+F86</f>
        <v>6313</v>
      </c>
      <c r="H86" s="172">
        <f t="shared" si="16"/>
        <v>1.005629598280365E-3</v>
      </c>
      <c r="I86" s="336"/>
      <c r="J86" s="168"/>
      <c r="K86" s="168"/>
      <c r="M86" s="359">
        <f t="shared" si="17"/>
        <v>0.24712283723479214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'[28]Sch C'!D80</f>
        <v>3427</v>
      </c>
      <c r="D87" s="558">
        <f>'[28]Sch C'!F80</f>
        <v>0</v>
      </c>
      <c r="E87" s="171">
        <f t="shared" si="14"/>
        <v>3427</v>
      </c>
      <c r="F87" s="171">
        <v>0</v>
      </c>
      <c r="G87" s="171">
        <f t="shared" si="15"/>
        <v>3427</v>
      </c>
      <c r="H87" s="172">
        <f t="shared" si="16"/>
        <v>5.4590410792124361E-4</v>
      </c>
      <c r="I87" s="336"/>
      <c r="J87" s="168"/>
      <c r="K87" s="168"/>
      <c r="M87" s="359">
        <f t="shared" si="17"/>
        <v>0.1341501604947937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'[28]Sch C'!D81</f>
        <v>7874</v>
      </c>
      <c r="D88" s="558">
        <f>'[28]Sch C'!F81</f>
        <v>0</v>
      </c>
      <c r="E88" s="171">
        <f t="shared" si="14"/>
        <v>7874</v>
      </c>
      <c r="F88" s="171">
        <v>23397.03</v>
      </c>
      <c r="G88" s="171">
        <f t="shared" si="15"/>
        <v>31271.03</v>
      </c>
      <c r="H88" s="172">
        <f t="shared" si="16"/>
        <v>4.9813200279919595E-3</v>
      </c>
      <c r="I88" s="336"/>
      <c r="J88" s="168"/>
      <c r="K88" s="168"/>
      <c r="M88" s="359">
        <f t="shared" si="17"/>
        <v>1.2241067094652782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'[28]Sch C'!D82</f>
        <v>3562</v>
      </c>
      <c r="D89" s="558">
        <f>'[28]Sch C'!F82</f>
        <v>0</v>
      </c>
      <c r="E89" s="171">
        <f t="shared" si="14"/>
        <v>3562</v>
      </c>
      <c r="F89" s="171">
        <v>5432.73</v>
      </c>
      <c r="G89" s="171">
        <f t="shared" si="15"/>
        <v>8994.73</v>
      </c>
      <c r="H89" s="172">
        <f t="shared" si="16"/>
        <v>1.4328158904705127E-3</v>
      </c>
      <c r="I89" s="336"/>
      <c r="J89" s="168"/>
      <c r="K89" s="168"/>
      <c r="M89" s="359">
        <f t="shared" si="17"/>
        <v>0.35209935019181082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'[28]Sch C'!D83</f>
        <v>662</v>
      </c>
      <c r="D90" s="558">
        <f>'[28]Sch C'!F83</f>
        <v>0</v>
      </c>
      <c r="E90" s="171">
        <f t="shared" si="14"/>
        <v>662</v>
      </c>
      <c r="F90" s="171">
        <v>0</v>
      </c>
      <c r="G90" s="171">
        <f t="shared" si="15"/>
        <v>662</v>
      </c>
      <c r="H90" s="172">
        <f t="shared" si="16"/>
        <v>1.0545331760836395E-4</v>
      </c>
      <c r="I90" s="336"/>
      <c r="J90" s="168"/>
      <c r="K90" s="168"/>
      <c r="M90" s="359">
        <f t="shared" si="17"/>
        <v>2.5914037422688482E-2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'[28]Sch C'!D84</f>
        <v>73784</v>
      </c>
      <c r="D91" s="558">
        <f>'[28]Sch C'!F84</f>
        <v>0</v>
      </c>
      <c r="E91" s="171">
        <f t="shared" si="14"/>
        <v>73784</v>
      </c>
      <c r="F91" s="171">
        <v>38679.769999999997</v>
      </c>
      <c r="G91" s="171">
        <f t="shared" si="15"/>
        <v>112463.76999999999</v>
      </c>
      <c r="H91" s="172">
        <f t="shared" si="16"/>
        <v>1.7914920932392737E-2</v>
      </c>
      <c r="I91" s="336"/>
      <c r="J91" s="168"/>
      <c r="K91" s="168"/>
      <c r="M91" s="359">
        <f t="shared" si="17"/>
        <v>4.4024023330462692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'[28]Sch C'!D85</f>
        <v>0</v>
      </c>
      <c r="D92" s="558">
        <f>'[28]Sch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158673</v>
      </c>
      <c r="D93" s="558">
        <f>SUM(D82:D92)</f>
        <v>0</v>
      </c>
      <c r="E93" s="171">
        <f t="shared" ref="E93:F93" si="18">SUM(E82:E92)</f>
        <v>158673</v>
      </c>
      <c r="F93" s="171">
        <f t="shared" si="18"/>
        <v>97484.109999999986</v>
      </c>
      <c r="G93" s="171">
        <f>SUM(G82:G92)</f>
        <v>256157.11</v>
      </c>
      <c r="H93" s="172">
        <f t="shared" si="16"/>
        <v>4.0804557520348367E-2</v>
      </c>
      <c r="I93" s="336"/>
      <c r="J93" s="168"/>
      <c r="K93" s="168"/>
      <c r="M93" s="364">
        <f>G93/G$228</f>
        <v>10.02728842088781</v>
      </c>
      <c r="N93" s="359">
        <f>SUMMARY!J96</f>
        <v>11.458724454710746</v>
      </c>
      <c r="O93" s="354">
        <f>M93/N93-1</f>
        <v>-0.12492106250399138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'[28]Sch C'!D89</f>
        <v>129015</v>
      </c>
      <c r="D96" s="558">
        <f>'[28]Sch C'!F89</f>
        <v>0</v>
      </c>
      <c r="E96" s="171">
        <f t="shared" ref="E96:E101" si="19">C96+D96</f>
        <v>129015</v>
      </c>
      <c r="F96" s="171">
        <v>95267.27</v>
      </c>
      <c r="G96" s="171">
        <f t="shared" ref="G96:G101" si="20">E96+F96</f>
        <v>224282.27000000002</v>
      </c>
      <c r="H96" s="172">
        <f t="shared" ref="H96:H102" si="21">IF($G$208=0,0,G96/$G$208)</f>
        <v>3.5727053553224836E-2</v>
      </c>
      <c r="I96" s="336"/>
      <c r="J96" s="183">
        <f>11109+6764</f>
        <v>17873</v>
      </c>
      <c r="K96" s="183">
        <f>11477+7240</f>
        <v>18717</v>
      </c>
      <c r="M96" s="364">
        <f t="shared" ref="M96:M101" si="22">G96/G$228</f>
        <v>8.7795455257183121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'[28]Sch C'!D90</f>
        <v>23652</v>
      </c>
      <c r="D97" s="558">
        <f>'[28]Sch C'!F90</f>
        <v>0</v>
      </c>
      <c r="E97" s="171">
        <f t="shared" si="19"/>
        <v>23652</v>
      </c>
      <c r="F97" s="171">
        <v>16669.61</v>
      </c>
      <c r="G97" s="171">
        <f t="shared" si="20"/>
        <v>40321.61</v>
      </c>
      <c r="H97" s="172">
        <f t="shared" si="21"/>
        <v>6.4230325465416682E-3</v>
      </c>
      <c r="I97" s="336"/>
      <c r="J97" s="168"/>
      <c r="K97" s="168"/>
      <c r="M97" s="364">
        <f t="shared" si="22"/>
        <v>1.5783923119079308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'[28]Sch C'!D91</f>
        <v>4050</v>
      </c>
      <c r="D98" s="558">
        <f>'[28]Sch C'!F91</f>
        <v>0</v>
      </c>
      <c r="E98" s="171">
        <f t="shared" si="19"/>
        <v>4050</v>
      </c>
      <c r="F98" s="171">
        <v>2610</v>
      </c>
      <c r="G98" s="171">
        <f t="shared" si="20"/>
        <v>6660</v>
      </c>
      <c r="H98" s="172">
        <f t="shared" si="21"/>
        <v>1.0609049777518186E-3</v>
      </c>
      <c r="I98" s="336"/>
      <c r="J98" s="168"/>
      <c r="K98" s="168"/>
      <c r="M98" s="364">
        <f t="shared" si="22"/>
        <v>0.26070617709230409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'[28]Sch C'!D92</f>
        <v>104235</v>
      </c>
      <c r="D99" s="558">
        <f>'[28]Sch C'!F92</f>
        <v>0</v>
      </c>
      <c r="E99" s="171">
        <f t="shared" si="19"/>
        <v>104235</v>
      </c>
      <c r="F99" s="171">
        <v>75850.670000000013</v>
      </c>
      <c r="G99" s="171">
        <f t="shared" si="20"/>
        <v>180085.67</v>
      </c>
      <c r="H99" s="172">
        <f t="shared" si="21"/>
        <v>2.8686754313028733E-2</v>
      </c>
      <c r="I99" s="336"/>
      <c r="J99" s="168"/>
      <c r="K99" s="168"/>
      <c r="M99" s="364">
        <f t="shared" si="22"/>
        <v>7.0494664526736086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'[28]Sch C'!D93</f>
        <v>10241</v>
      </c>
      <c r="D100" s="558">
        <f>'[28]Sch C'!F93</f>
        <v>0</v>
      </c>
      <c r="E100" s="171">
        <f t="shared" si="19"/>
        <v>10241</v>
      </c>
      <c r="F100" s="171">
        <v>5565.46</v>
      </c>
      <c r="G100" s="171">
        <f t="shared" si="20"/>
        <v>15806.46</v>
      </c>
      <c r="H100" s="172">
        <f t="shared" si="21"/>
        <v>2.5178907049001518E-3</v>
      </c>
      <c r="I100" s="336"/>
      <c r="J100" s="168"/>
      <c r="K100" s="168"/>
      <c r="M100" s="364">
        <f t="shared" si="22"/>
        <v>0.61874500900336649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'[28]Sch C'!D94</f>
        <v>398</v>
      </c>
      <c r="D101" s="558">
        <f>'[28]Sch C'!F94</f>
        <v>0</v>
      </c>
      <c r="E101" s="171">
        <f t="shared" si="19"/>
        <v>398</v>
      </c>
      <c r="F101" s="171">
        <v>609.16</v>
      </c>
      <c r="G101" s="171">
        <f t="shared" si="20"/>
        <v>1007.16</v>
      </c>
      <c r="H101" s="172">
        <f t="shared" si="21"/>
        <v>1.6043559420308133E-4</v>
      </c>
      <c r="I101" s="336"/>
      <c r="J101" s="168"/>
      <c r="K101" s="168"/>
      <c r="M101" s="364">
        <f t="shared" si="22"/>
        <v>3.9425350348391133E-2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271591</v>
      </c>
      <c r="D102" s="558">
        <f>SUM(D96:D101)</f>
        <v>0</v>
      </c>
      <c r="E102" s="171">
        <f t="shared" ref="E102:F102" si="23">SUM(E96:E101)</f>
        <v>271591</v>
      </c>
      <c r="F102" s="171">
        <f t="shared" si="23"/>
        <v>196572.17</v>
      </c>
      <c r="G102" s="171">
        <f>SUM(G96:G101)</f>
        <v>468163.17000000004</v>
      </c>
      <c r="H102" s="172">
        <f t="shared" si="21"/>
        <v>7.4576071689650289E-2</v>
      </c>
      <c r="I102" s="336"/>
      <c r="J102" s="168"/>
      <c r="K102" s="168"/>
      <c r="M102" s="364">
        <f>G102/G$228</f>
        <v>18.326280826743915</v>
      </c>
      <c r="N102" s="359">
        <f>SUMMARY!J105</f>
        <v>19.901077037785338</v>
      </c>
      <c r="O102" s="354">
        <f>M102/N102-1</f>
        <v>-7.9131205213236688E-2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'[28]Sch C'!D98</f>
        <v>35887</v>
      </c>
      <c r="D105" s="558">
        <f>'[28]Sch C'!F98</f>
        <v>0</v>
      </c>
      <c r="E105" s="171">
        <f t="shared" ref="E105:E110" si="24">C105+D105</f>
        <v>35887</v>
      </c>
      <c r="F105" s="171">
        <v>23139.59</v>
      </c>
      <c r="G105" s="171">
        <f t="shared" ref="G105:G110" si="25">E105+F105</f>
        <v>59026.59</v>
      </c>
      <c r="H105" s="172">
        <f t="shared" ref="H105:H111" si="26">IF($G$208=0,0,G105/$G$208)</f>
        <v>9.4026431157230809E-3</v>
      </c>
      <c r="I105" s="336"/>
      <c r="J105" s="183">
        <f>3555+1918</f>
        <v>5473</v>
      </c>
      <c r="K105" s="183">
        <f>3839+2054</f>
        <v>5893</v>
      </c>
      <c r="M105" s="364">
        <f t="shared" ref="M105:M110" si="27">G105/G$228</f>
        <v>2.3106000939481719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'[28]Sch C'!D99</f>
        <v>6579</v>
      </c>
      <c r="D106" s="558">
        <f>'[28]Sch C'!F99</f>
        <v>0</v>
      </c>
      <c r="E106" s="171">
        <f t="shared" si="24"/>
        <v>6579</v>
      </c>
      <c r="F106" s="171">
        <v>4049</v>
      </c>
      <c r="G106" s="171">
        <f t="shared" si="25"/>
        <v>10628</v>
      </c>
      <c r="H106" s="172">
        <f t="shared" si="26"/>
        <v>1.6929877032351845E-3</v>
      </c>
      <c r="I106" s="336"/>
      <c r="J106" s="168"/>
      <c r="K106" s="168"/>
      <c r="M106" s="364">
        <f t="shared" si="27"/>
        <v>0.41603382134189304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'[28]Sch C'!D100</f>
        <v>4474</v>
      </c>
      <c r="D107" s="558">
        <f>'[28]Sch C'!F100</f>
        <v>0</v>
      </c>
      <c r="E107" s="171">
        <f t="shared" si="24"/>
        <v>4474</v>
      </c>
      <c r="F107" s="171">
        <v>1932.46</v>
      </c>
      <c r="G107" s="171">
        <f t="shared" si="25"/>
        <v>6406.46</v>
      </c>
      <c r="H107" s="172">
        <f t="shared" si="26"/>
        <v>1.0205173128780656E-3</v>
      </c>
      <c r="I107" s="336"/>
      <c r="J107" s="168"/>
      <c r="K107" s="168"/>
      <c r="M107" s="364">
        <f t="shared" si="27"/>
        <v>0.25078133562984423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'[28]Sch C'!D101</f>
        <v>0</v>
      </c>
      <c r="D108" s="558">
        <f>'[28]Sch C'!F101</f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'[28]Sch C'!D102</f>
        <v>4327</v>
      </c>
      <c r="D109" s="558">
        <f>'[28]Sch C'!F102</f>
        <v>0</v>
      </c>
      <c r="E109" s="171">
        <f t="shared" si="24"/>
        <v>4327</v>
      </c>
      <c r="F109" s="171">
        <v>3027.59</v>
      </c>
      <c r="G109" s="171">
        <f t="shared" si="25"/>
        <v>7354.59</v>
      </c>
      <c r="H109" s="172">
        <f t="shared" si="26"/>
        <v>1.1715497207693314E-3</v>
      </c>
      <c r="I109" s="336"/>
      <c r="J109" s="168"/>
      <c r="K109" s="168"/>
      <c r="M109" s="364">
        <f t="shared" si="27"/>
        <v>0.28789595239959287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'[28]Sch C'!D103</f>
        <v>0</v>
      </c>
      <c r="D110" s="558">
        <f>'[28]Sch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51267</v>
      </c>
      <c r="D111" s="558">
        <f>SUM(D105:D110)</f>
        <v>0</v>
      </c>
      <c r="E111" s="171">
        <f t="shared" ref="E111:F111" si="28">SUM(E105:E110)</f>
        <v>51267</v>
      </c>
      <c r="F111" s="171">
        <f t="shared" si="28"/>
        <v>32148.639999999999</v>
      </c>
      <c r="G111" s="171">
        <f>SUM(G105:G110)</f>
        <v>83415.64</v>
      </c>
      <c r="H111" s="172">
        <f t="shared" si="26"/>
        <v>1.3287697852605663E-2</v>
      </c>
      <c r="I111" s="336"/>
      <c r="J111" s="168"/>
      <c r="K111" s="168"/>
      <c r="M111" s="364">
        <f>G111/G$228</f>
        <v>3.2653112033195022</v>
      </c>
      <c r="N111" s="359">
        <f>SUMMARY!J114</f>
        <v>2.4242384372309496</v>
      </c>
      <c r="O111" s="354">
        <f>M111/N111-1</f>
        <v>0.34694308660878082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'[28]Sch C'!D115</f>
        <v>57865</v>
      </c>
      <c r="D114" s="558">
        <f>'[28]Sch C'!F115</f>
        <v>0</v>
      </c>
      <c r="E114" s="171">
        <f t="shared" ref="E114:E118" si="29">C114+D114</f>
        <v>57865</v>
      </c>
      <c r="F114" s="171">
        <v>44330.92</v>
      </c>
      <c r="G114" s="171">
        <f>E114+F114</f>
        <v>102195.92</v>
      </c>
      <c r="H114" s="172">
        <f t="shared" ref="H114:H119" si="30">IF($G$208=0,0,G114/$G$208)</f>
        <v>1.6279303338427423E-2</v>
      </c>
      <c r="I114" s="336"/>
      <c r="J114" s="183">
        <f>5533+3505</f>
        <v>9038</v>
      </c>
      <c r="K114" s="183">
        <f>5716+3795</f>
        <v>9511</v>
      </c>
      <c r="M114" s="364">
        <f t="shared" ref="M114:M119" si="31">G114/G$228</f>
        <v>4.0004666092538947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'[28]Sch C'!D116</f>
        <v>10608</v>
      </c>
      <c r="D115" s="558">
        <f>'[28]Sch C'!F116</f>
        <v>0</v>
      </c>
      <c r="E115" s="171">
        <f t="shared" si="29"/>
        <v>10608</v>
      </c>
      <c r="F115" s="171">
        <v>7756.94</v>
      </c>
      <c r="G115" s="171">
        <f>E115+F115</f>
        <v>18364.939999999999</v>
      </c>
      <c r="H115" s="172">
        <f t="shared" si="30"/>
        <v>2.9254438832002224E-3</v>
      </c>
      <c r="I115" s="336"/>
      <c r="J115" s="168"/>
      <c r="K115" s="168"/>
      <c r="M115" s="364">
        <f t="shared" si="31"/>
        <v>0.71889689188131212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'[28]Sch C'!D117</f>
        <v>12426</v>
      </c>
      <c r="D116" s="558">
        <f>'[28]Sch C'!F117</f>
        <v>0</v>
      </c>
      <c r="E116" s="171">
        <f t="shared" si="29"/>
        <v>12426</v>
      </c>
      <c r="F116" s="171">
        <v>8485.6099999999988</v>
      </c>
      <c r="G116" s="171">
        <f>E116+F116</f>
        <v>20911.61</v>
      </c>
      <c r="H116" s="172">
        <f t="shared" si="30"/>
        <v>3.331115787057764E-3</v>
      </c>
      <c r="I116" s="336"/>
      <c r="J116" s="168"/>
      <c r="K116" s="168"/>
      <c r="M116" s="364">
        <f t="shared" si="31"/>
        <v>0.81858647146324282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'[28]Sch C'!D118</f>
        <v>0</v>
      </c>
      <c r="D117" s="558">
        <f>'[28]Sch C'!F118</f>
        <v>0</v>
      </c>
      <c r="E117" s="171">
        <f t="shared" si="29"/>
        <v>0</v>
      </c>
      <c r="F117" s="171">
        <v>0</v>
      </c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'[28]Sch C'!D119</f>
        <v>0</v>
      </c>
      <c r="D118" s="558">
        <f>'[28]Sch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80899</v>
      </c>
      <c r="D119" s="558">
        <f>SUM(D114:D118)</f>
        <v>0</v>
      </c>
      <c r="E119" s="171">
        <f t="shared" ref="E119:F119" si="32">SUM(E114:E118)</f>
        <v>80899</v>
      </c>
      <c r="F119" s="171">
        <f t="shared" si="32"/>
        <v>60573.47</v>
      </c>
      <c r="G119" s="171">
        <f>SUM(G114:G118)</f>
        <v>141472.47</v>
      </c>
      <c r="H119" s="172">
        <f t="shared" si="30"/>
        <v>2.253586300868541E-2</v>
      </c>
      <c r="I119" s="336"/>
      <c r="J119" s="168"/>
      <c r="K119" s="168"/>
      <c r="M119" s="364">
        <f t="shared" si="31"/>
        <v>5.53794997259845</v>
      </c>
      <c r="N119" s="359">
        <f>SUMMARY!J122</f>
        <v>6.0247597205909562</v>
      </c>
      <c r="O119" s="354">
        <f>M119/N119-1</f>
        <v>-8.0801520818950756E-2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'[28]Sch C'!D124</f>
        <v>0</v>
      </c>
      <c r="D123" s="558">
        <f>'[28]Sch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'[28]Sch C'!D125</f>
        <v>144738</v>
      </c>
      <c r="D124" s="558">
        <f>'[28]Sch C'!F125</f>
        <v>0</v>
      </c>
      <c r="E124" s="171">
        <f t="shared" si="33"/>
        <v>144738</v>
      </c>
      <c r="F124" s="171">
        <v>95465.34</v>
      </c>
      <c r="G124" s="171">
        <f>E124+F124</f>
        <v>240203.34</v>
      </c>
      <c r="H124" s="172">
        <f>IF($G$208=0,0,G124/$G$208)</f>
        <v>3.8263201062854732E-2</v>
      </c>
      <c r="I124" s="336"/>
      <c r="J124" s="183">
        <f>5782+2240</f>
        <v>8022</v>
      </c>
      <c r="K124" s="183">
        <f>6106+2470</f>
        <v>8576</v>
      </c>
      <c r="M124" s="364">
        <f t="shared" si="34"/>
        <v>9.4027769513818207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'[28]Sch C'!D126</f>
        <v>0</v>
      </c>
      <c r="D125" s="558">
        <f>'[28]Sch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'[28]Sch C'!D127</f>
        <v>0</v>
      </c>
      <c r="D126" s="558">
        <f>'[28]Sch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'[28]Sch C'!D128</f>
        <v>37644</v>
      </c>
      <c r="D127" s="558">
        <f>'[28]Sch C'!F128</f>
        <v>0</v>
      </c>
      <c r="E127" s="171">
        <f t="shared" si="33"/>
        <v>37644</v>
      </c>
      <c r="F127" s="171">
        <v>12320.16</v>
      </c>
      <c r="G127" s="171">
        <f>E127+F127</f>
        <v>49964.160000000003</v>
      </c>
      <c r="H127" s="172">
        <f>IF($G$208=0,0,G127/$G$208)</f>
        <v>7.9590429509291752E-3</v>
      </c>
      <c r="I127" s="336"/>
      <c r="J127" s="183">
        <f>1419+728</f>
        <v>2147</v>
      </c>
      <c r="K127" s="183">
        <f>1593+877</f>
        <v>2470</v>
      </c>
      <c r="M127" s="364">
        <f t="shared" si="34"/>
        <v>1.9558506224066392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'[28]Sch C'!D130</f>
        <v>0</v>
      </c>
      <c r="D129" s="558">
        <f>'[28]Sch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'[28]Sch C'!D131</f>
        <v>26534</v>
      </c>
      <c r="D130" s="558">
        <f>'[28]Sch C'!F131</f>
        <v>0</v>
      </c>
      <c r="E130" s="171">
        <f t="shared" si="35"/>
        <v>26534</v>
      </c>
      <c r="F130" s="171">
        <v>16704.25</v>
      </c>
      <c r="G130" s="171">
        <f>E130+F130</f>
        <v>43238.25</v>
      </c>
      <c r="H130" s="172">
        <f>IF($G$208=0,0,G130/$G$208)</f>
        <v>6.8876388369786146E-3</v>
      </c>
      <c r="I130" s="336"/>
      <c r="J130" s="204"/>
      <c r="K130" s="204"/>
      <c r="M130" s="364">
        <f t="shared" si="34"/>
        <v>1.6925643936428403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'[28]Sch C'!D132</f>
        <v>0</v>
      </c>
      <c r="D131" s="558">
        <f>'[28]Sch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'[28]Sch C'!D133</f>
        <v>0</v>
      </c>
      <c r="D132" s="558">
        <f>'[28]Sch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'[28]Sch C'!D134</f>
        <v>6901</v>
      </c>
      <c r="D133" s="558">
        <f>'[28]Sch C'!F134</f>
        <v>0</v>
      </c>
      <c r="E133" s="171">
        <f t="shared" si="35"/>
        <v>6901</v>
      </c>
      <c r="F133" s="171">
        <v>2155.73</v>
      </c>
      <c r="G133" s="171">
        <f>E133+F133</f>
        <v>9056.73</v>
      </c>
      <c r="H133" s="172">
        <f>IF($G$208=0,0,G133/$G$208)</f>
        <v>1.4426921830561904E-3</v>
      </c>
      <c r="I133" s="336"/>
      <c r="J133" s="168"/>
      <c r="K133" s="168"/>
      <c r="M133" s="364">
        <f t="shared" si="34"/>
        <v>0.35452634463321064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'[28]Sch C'!D136</f>
        <v>269042</v>
      </c>
      <c r="D135" s="558">
        <f>'[28]Sch C'!F136</f>
        <v>0</v>
      </c>
      <c r="E135" s="171">
        <f t="shared" ref="E135:E138" si="36">C135+D135</f>
        <v>269042</v>
      </c>
      <c r="F135" s="171">
        <v>218605.95</v>
      </c>
      <c r="G135" s="171">
        <f>E135+F135</f>
        <v>487647.95</v>
      </c>
      <c r="H135" s="172">
        <f>IF($G$208=0,0,G135/$G$208)</f>
        <v>7.7679900532352852E-2</v>
      </c>
      <c r="I135" s="336"/>
      <c r="J135" s="183">
        <f>9002+8155</f>
        <v>17157</v>
      </c>
      <c r="K135" s="183">
        <f>9236+8594</f>
        <v>17830</v>
      </c>
      <c r="M135" s="364">
        <f t="shared" si="34"/>
        <v>19.089013935645504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'[28]Sch C'!D137</f>
        <v>137316</v>
      </c>
      <c r="D136" s="558">
        <f>'[28]Sch C'!F137</f>
        <v>0</v>
      </c>
      <c r="E136" s="171">
        <f t="shared" si="36"/>
        <v>137316</v>
      </c>
      <c r="F136" s="171">
        <v>79312.160000000003</v>
      </c>
      <c r="G136" s="171">
        <f>E136+F136</f>
        <v>216628.16</v>
      </c>
      <c r="H136" s="172">
        <f>IF($G$208=0,0,G136/$G$208)</f>
        <v>3.4507791781564177E-2</v>
      </c>
      <c r="I136" s="336"/>
      <c r="J136" s="183">
        <f>7433+3452</f>
        <v>10885</v>
      </c>
      <c r="K136" s="183">
        <f>7685+3633</f>
        <v>11318</v>
      </c>
      <c r="M136" s="364">
        <f t="shared" si="34"/>
        <v>8.4799248414624593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'[28]Sch C'!D138</f>
        <v>389468</v>
      </c>
      <c r="D137" s="558">
        <f>'[28]Sch C'!F138</f>
        <v>0</v>
      </c>
      <c r="E137" s="171">
        <f t="shared" si="36"/>
        <v>389468</v>
      </c>
      <c r="F137" s="171">
        <v>268980.93</v>
      </c>
      <c r="G137" s="171">
        <f>E137+F137</f>
        <v>658448.92999999993</v>
      </c>
      <c r="H137" s="172">
        <f>IF($G$208=0,0,G137/$G$208)</f>
        <v>0.10488764976461842</v>
      </c>
      <c r="I137" s="336"/>
      <c r="J137" s="183">
        <f>37589+18827</f>
        <v>56416</v>
      </c>
      <c r="K137" s="183">
        <f>36690+20234</f>
        <v>56924</v>
      </c>
      <c r="M137" s="364">
        <f t="shared" si="34"/>
        <v>25.775030533155874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'[28]Sch C'!D139</f>
        <v>0</v>
      </c>
      <c r="D138" s="558">
        <f>'[28]Sch C'!F139</f>
        <v>0</v>
      </c>
      <c r="E138" s="171">
        <f t="shared" si="36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'[28]Sch C'!D141</f>
        <v>49322</v>
      </c>
      <c r="D140" s="558">
        <f>'[28]Sch C'!F141</f>
        <v>0</v>
      </c>
      <c r="E140" s="171">
        <f t="shared" ref="E140:E143" si="37">C140+D140</f>
        <v>49322</v>
      </c>
      <c r="F140" s="171">
        <v>39197.99</v>
      </c>
      <c r="G140" s="171">
        <f>E140+F140</f>
        <v>88519.989999999991</v>
      </c>
      <c r="H140" s="172">
        <f>IF($G$208=0,0,G140/$G$208)</f>
        <v>1.4100795498729909E-2</v>
      </c>
      <c r="I140" s="336"/>
      <c r="J140" s="168"/>
      <c r="K140" s="168"/>
      <c r="M140" s="364">
        <f t="shared" si="34"/>
        <v>3.4651213497220694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'[28]Sch C'!D142</f>
        <v>25173</v>
      </c>
      <c r="D141" s="558">
        <f>'[28]Sch C'!F142</f>
        <v>0</v>
      </c>
      <c r="E141" s="171">
        <f t="shared" si="37"/>
        <v>25173</v>
      </c>
      <c r="F141" s="171">
        <v>13877.84</v>
      </c>
      <c r="G141" s="171">
        <f>E141+F141</f>
        <v>39050.839999999997</v>
      </c>
      <c r="H141" s="172">
        <f>IF($G$208=0,0,G141/$G$208)</f>
        <v>6.2206051863948689E-3</v>
      </c>
      <c r="I141" s="336"/>
      <c r="J141" s="168"/>
      <c r="K141" s="168"/>
      <c r="M141" s="364">
        <f t="shared" si="34"/>
        <v>1.5286479292257102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'[28]Sch C'!D143</f>
        <v>71399</v>
      </c>
      <c r="D142" s="558">
        <f>'[28]Sch C'!F143</f>
        <v>0</v>
      </c>
      <c r="E142" s="171">
        <f t="shared" si="37"/>
        <v>71399</v>
      </c>
      <c r="F142" s="171">
        <v>47065.69</v>
      </c>
      <c r="G142" s="171">
        <f>E142+F142</f>
        <v>118464.69</v>
      </c>
      <c r="H142" s="172">
        <f>IF($G$208=0,0,G142/$G$208)</f>
        <v>1.8870837734057972E-2</v>
      </c>
      <c r="I142" s="336"/>
      <c r="J142" s="168"/>
      <c r="K142" s="168"/>
      <c r="M142" s="364">
        <f t="shared" si="34"/>
        <v>4.6373087763250611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'[28]Sch C'!D144</f>
        <v>0</v>
      </c>
      <c r="D143" s="558">
        <f>'[28]Sch C'!F144</f>
        <v>0</v>
      </c>
      <c r="E143" s="171">
        <f t="shared" si="37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'[28]Sch C'!D146</f>
        <v>8750</v>
      </c>
      <c r="D145" s="558">
        <f>'[28]Sch C'!F146</f>
        <v>0</v>
      </c>
      <c r="E145" s="171">
        <f t="shared" ref="E145:E153" si="38">C145+D145</f>
        <v>8750</v>
      </c>
      <c r="F145" s="171">
        <v>8928.02</v>
      </c>
      <c r="G145" s="171">
        <f t="shared" ref="G145:G153" si="39">E145+F145</f>
        <v>17678.02</v>
      </c>
      <c r="H145" s="172">
        <f t="shared" ref="H145:H153" si="40">IF($G$208=0,0,G145/$G$208)</f>
        <v>2.8160209331525832E-3</v>
      </c>
      <c r="I145" s="336"/>
      <c r="J145" s="183">
        <v>0</v>
      </c>
      <c r="K145" s="183">
        <v>0</v>
      </c>
      <c r="M145" s="364">
        <f t="shared" si="34"/>
        <v>0.69200735927346746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'[28]Sch C'!D147</f>
        <v>0</v>
      </c>
      <c r="D146" s="558">
        <f>'[28]Sch C'!F147</f>
        <v>0</v>
      </c>
      <c r="E146" s="171">
        <f t="shared" si="38"/>
        <v>0</v>
      </c>
      <c r="F146" s="171">
        <v>931.66</v>
      </c>
      <c r="G146" s="171">
        <f t="shared" si="39"/>
        <v>931.66</v>
      </c>
      <c r="H146" s="172">
        <f t="shared" si="40"/>
        <v>1.4840881855439329E-4</v>
      </c>
      <c r="I146" s="336"/>
      <c r="J146" s="183">
        <v>0</v>
      </c>
      <c r="K146" s="183">
        <v>0</v>
      </c>
      <c r="M146" s="364">
        <f t="shared" si="34"/>
        <v>3.6469897439912316E-2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'[28]Sch C'!D148</f>
        <v>0</v>
      </c>
      <c r="D147" s="558">
        <f>'[28]Sch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'[28]Sch C'!D149</f>
        <v>0</v>
      </c>
      <c r="D148" s="558">
        <f>'[28]Sch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'[28]Sch C'!D150</f>
        <v>3046</v>
      </c>
      <c r="D149" s="558">
        <f>'[28]Sch C'!F150</f>
        <v>0</v>
      </c>
      <c r="E149" s="171">
        <f t="shared" si="38"/>
        <v>3046</v>
      </c>
      <c r="F149" s="171">
        <v>0</v>
      </c>
      <c r="G149" s="171">
        <f t="shared" si="39"/>
        <v>3046</v>
      </c>
      <c r="H149" s="172">
        <f t="shared" si="40"/>
        <v>4.8521269703183774E-4</v>
      </c>
      <c r="I149" s="336"/>
      <c r="J149" s="183">
        <v>0</v>
      </c>
      <c r="K149" s="183">
        <v>0</v>
      </c>
      <c r="M149" s="364">
        <f t="shared" si="34"/>
        <v>0.11923588820167541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'[28]Sch C'!D151</f>
        <v>83063</v>
      </c>
      <c r="D150" s="558">
        <f>'[28]Sch C'!F151</f>
        <v>0</v>
      </c>
      <c r="E150" s="171">
        <f t="shared" si="38"/>
        <v>83063</v>
      </c>
      <c r="F150" s="171">
        <v>53228.509999999995</v>
      </c>
      <c r="G150" s="171">
        <f t="shared" si="39"/>
        <v>136291.51</v>
      </c>
      <c r="H150" s="172">
        <f t="shared" si="40"/>
        <v>2.1710561769416183E-2</v>
      </c>
      <c r="I150" s="336"/>
      <c r="J150" s="168"/>
      <c r="K150" s="168"/>
      <c r="M150" s="364">
        <f t="shared" si="34"/>
        <v>5.3351409222578878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'[28]Sch C'!D152</f>
        <v>589</v>
      </c>
      <c r="D151" s="558">
        <f>'[28]Sch C'!F152</f>
        <v>0</v>
      </c>
      <c r="E151" s="171">
        <f t="shared" si="38"/>
        <v>589</v>
      </c>
      <c r="F151" s="171">
        <v>0</v>
      </c>
      <c r="G151" s="171">
        <f t="shared" si="39"/>
        <v>589</v>
      </c>
      <c r="H151" s="172">
        <f t="shared" si="40"/>
        <v>9.3824779563937114E-5</v>
      </c>
      <c r="I151" s="336"/>
      <c r="J151" s="168"/>
      <c r="K151" s="168"/>
      <c r="M151" s="364">
        <f t="shared" si="34"/>
        <v>2.3056447193298364E-2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'[28]Sch C'!D153</f>
        <v>0</v>
      </c>
      <c r="D152" s="558">
        <f>'[28]Sch C'!F153</f>
        <v>0</v>
      </c>
      <c r="E152" s="171">
        <f t="shared" si="38"/>
        <v>0</v>
      </c>
      <c r="F152" s="171">
        <v>1968.17</v>
      </c>
      <c r="G152" s="171">
        <f t="shared" si="39"/>
        <v>1968.17</v>
      </c>
      <c r="H152" s="172">
        <f t="shared" si="40"/>
        <v>3.1351972223150106E-4</v>
      </c>
      <c r="I152" s="336"/>
      <c r="J152" s="168"/>
      <c r="K152" s="168"/>
      <c r="M152" s="364">
        <f t="shared" si="34"/>
        <v>7.7044155640804829E-2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'[28]Sch C'!D154</f>
        <v>0</v>
      </c>
      <c r="D153" s="558">
        <f>'[28]Sch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'[28]Sch C'!D156</f>
        <v>0</v>
      </c>
      <c r="D155" s="558">
        <f>'[28]Sch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'[28]Sch C'!D157</f>
        <v>0</v>
      </c>
      <c r="D156" s="558">
        <f>'[28]Sch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'[28]Sch C'!D158</f>
        <v>0</v>
      </c>
      <c r="D157" s="558">
        <f>'[28]Sch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'[28]Sch C'!D159</f>
        <v>0</v>
      </c>
      <c r="D158" s="558">
        <f>'[28]Sch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'[28]Sch C'!D160</f>
        <v>0</v>
      </c>
      <c r="D159" s="558">
        <f>'[28]Sch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'[28]Sch C'!D161</f>
        <v>3309</v>
      </c>
      <c r="D160" s="558">
        <f>'[28]Sch C'!F161</f>
        <v>0</v>
      </c>
      <c r="E160" s="171">
        <f t="shared" si="41"/>
        <v>3309</v>
      </c>
      <c r="F160" s="171">
        <v>1231.83</v>
      </c>
      <c r="G160" s="171">
        <f t="shared" si="42"/>
        <v>4540.83</v>
      </c>
      <c r="H160" s="172">
        <f t="shared" si="43"/>
        <v>7.2333170422294148E-4</v>
      </c>
      <c r="I160" s="336"/>
      <c r="J160" s="168"/>
      <c r="K160" s="168"/>
      <c r="M160" s="364">
        <f t="shared" si="34"/>
        <v>0.1777511156345416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1256294</v>
      </c>
      <c r="D161" s="558">
        <f>SUM(D123:D160)</f>
        <v>0</v>
      </c>
      <c r="E161" s="171">
        <f t="shared" ref="E161:F161" si="44">SUM(E123:E160)</f>
        <v>1256294</v>
      </c>
      <c r="F161" s="171">
        <f t="shared" si="44"/>
        <v>859974.2300000001</v>
      </c>
      <c r="G161" s="171">
        <f>SUM(G123:G160)</f>
        <v>2116268.23</v>
      </c>
      <c r="H161" s="172">
        <f t="shared" si="43"/>
        <v>0.33711103595571029</v>
      </c>
      <c r="I161" s="336"/>
      <c r="J161" s="168"/>
      <c r="K161" s="168"/>
      <c r="M161" s="364">
        <f>G161/G$228</f>
        <v>82.841471463242783</v>
      </c>
      <c r="N161" s="359">
        <f>SUMMARY!J164</f>
        <v>105.56901037202306</v>
      </c>
      <c r="O161" s="354">
        <f>M161/N161-1</f>
        <v>-0.21528608470126687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'[28]Sch C'!D175</f>
        <v>0</v>
      </c>
      <c r="D164" s="558">
        <f>'[28]Sch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'[28]Sch C'!D176</f>
        <v>0</v>
      </c>
      <c r="D165" s="558">
        <f>'[28]Sch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'[28]Sch C'!D177</f>
        <v>0</v>
      </c>
      <c r="D166" s="558">
        <f>'[28]Sch C'!F177</f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'[28]Sch C'!D178</f>
        <v>0</v>
      </c>
      <c r="D167" s="558">
        <f>'[28]Sch C'!F178</f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'[28]Sch C'!D179</f>
        <v>0</v>
      </c>
      <c r="D168" s="558">
        <f>'[28]Sch C'!F179</f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'[28]Sch C'!D180</f>
        <v>0</v>
      </c>
      <c r="D169" s="558">
        <f>'[28]Sch C'!F180</f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'[28]Sch C'!D181</f>
        <v>0</v>
      </c>
      <c r="D170" s="558">
        <f>'[28]Sch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'[28]Sch C'!D182</f>
        <v>0</v>
      </c>
      <c r="D171" s="558">
        <f>'[28]Sch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'[28]Sch C'!D183</f>
        <v>0</v>
      </c>
      <c r="D172" s="558">
        <f>'[28]Sch C'!F183</f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'[28]Sch C'!D184</f>
        <v>0</v>
      </c>
      <c r="D173" s="558">
        <f>'[28]Sch C'!F184</f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'[28]Sch C'!D185</f>
        <v>0</v>
      </c>
      <c r="D174" s="558">
        <f>'[28]Sch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'[28]Sch C'!D186</f>
        <v>0</v>
      </c>
      <c r="D175" s="558">
        <f>'[28]Sch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'[28]Sch C'!D187</f>
        <v>0</v>
      </c>
      <c r="D176" s="558">
        <f>'[28]Sch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'[28]Sch C'!D188</f>
        <v>3813</v>
      </c>
      <c r="D177" s="558">
        <f>'[28]Sch C'!F188</f>
        <v>0</v>
      </c>
      <c r="E177" s="171">
        <f t="shared" si="45"/>
        <v>3813</v>
      </c>
      <c r="F177" s="216">
        <v>169394.41</v>
      </c>
      <c r="G177" s="171">
        <f t="shared" si="46"/>
        <v>173207.41</v>
      </c>
      <c r="H177" s="172">
        <f t="shared" si="47"/>
        <v>2.7591081599474494E-2</v>
      </c>
      <c r="I177" s="336"/>
      <c r="J177" s="223"/>
      <c r="K177" s="218"/>
      <c r="L177" s="220"/>
      <c r="M177" s="364">
        <f t="shared" si="48"/>
        <v>6.7802164722461447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'[28]Sch C'!D189</f>
        <v>0</v>
      </c>
      <c r="D178" s="558">
        <f>'[28]Sch C'!F189</f>
        <v>0</v>
      </c>
      <c r="E178" s="171">
        <f t="shared" si="45"/>
        <v>0</v>
      </c>
      <c r="F178" s="216">
        <v>50363.4</v>
      </c>
      <c r="G178" s="171">
        <f t="shared" si="46"/>
        <v>50363.4</v>
      </c>
      <c r="H178" s="172">
        <f t="shared" si="47"/>
        <v>8.0226399033792705E-3</v>
      </c>
      <c r="I178" s="336"/>
      <c r="J178" s="223"/>
      <c r="K178" s="218"/>
      <c r="L178" s="220"/>
      <c r="M178" s="364">
        <f t="shared" si="48"/>
        <v>1.9714789008063884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'[28]Sch C'!D190</f>
        <v>0</v>
      </c>
      <c r="D179" s="558">
        <f>'[28]Sch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'[28]Sch C'!D191</f>
        <v>0</v>
      </c>
      <c r="D180" s="558">
        <f>'[28]Sch C'!F191</f>
        <v>0</v>
      </c>
      <c r="E180" s="171">
        <f t="shared" si="45"/>
        <v>0</v>
      </c>
      <c r="F180" s="216">
        <v>95550.37999999999</v>
      </c>
      <c r="G180" s="171">
        <f t="shared" si="46"/>
        <v>95550.37999999999</v>
      </c>
      <c r="H180" s="172">
        <f t="shared" si="47"/>
        <v>1.5220701766978649E-2</v>
      </c>
      <c r="I180" s="336"/>
      <c r="J180" s="223"/>
      <c r="K180" s="218"/>
      <c r="L180" s="220"/>
      <c r="M180" s="364">
        <f t="shared" si="48"/>
        <v>3.7403264698974397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'[28]Sch C'!D192</f>
        <v>0</v>
      </c>
      <c r="D181" s="558">
        <f>'[28]Sch C'!F192</f>
        <v>0</v>
      </c>
      <c r="E181" s="171">
        <f t="shared" si="45"/>
        <v>0</v>
      </c>
      <c r="F181" s="216">
        <v>33239.33</v>
      </c>
      <c r="G181" s="171">
        <f t="shared" si="46"/>
        <v>33239.33</v>
      </c>
      <c r="H181" s="172">
        <f t="shared" si="47"/>
        <v>5.2948604585788825E-3</v>
      </c>
      <c r="I181" s="336"/>
      <c r="J181" s="223"/>
      <c r="K181" s="218"/>
      <c r="L181" s="220"/>
      <c r="M181" s="364">
        <f t="shared" si="48"/>
        <v>1.3011559539653959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'[28]Sch C'!D193</f>
        <v>0</v>
      </c>
      <c r="D182" s="558">
        <f>'[28]Sch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'[28]Sch C'!D194</f>
        <v>242322</v>
      </c>
      <c r="D183" s="558">
        <f>'[28]Sch C'!F194</f>
        <v>-6772</v>
      </c>
      <c r="E183" s="171">
        <f t="shared" si="45"/>
        <v>235550</v>
      </c>
      <c r="F183" s="216">
        <v>0</v>
      </c>
      <c r="G183" s="171">
        <f t="shared" si="46"/>
        <v>235550</v>
      </c>
      <c r="H183" s="172">
        <f t="shared" si="47"/>
        <v>3.7521947073489624E-2</v>
      </c>
      <c r="I183" s="336"/>
      <c r="J183" s="223"/>
      <c r="K183" s="218"/>
      <c r="M183" s="364">
        <f t="shared" si="48"/>
        <v>9.2206216237375713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'[28]Sch C'!D195</f>
        <v>56242</v>
      </c>
      <c r="D184" s="558">
        <f>'[28]Sch C'!F195</f>
        <v>-1572</v>
      </c>
      <c r="E184" s="171">
        <f t="shared" si="45"/>
        <v>54670</v>
      </c>
      <c r="F184" s="216">
        <v>0</v>
      </c>
      <c r="G184" s="171">
        <f t="shared" si="46"/>
        <v>54670</v>
      </c>
      <c r="H184" s="172">
        <f t="shared" si="47"/>
        <v>8.7086599299837728E-3</v>
      </c>
      <c r="I184" s="336"/>
      <c r="J184" s="223"/>
      <c r="K184" s="218"/>
      <c r="M184" s="364">
        <f t="shared" si="48"/>
        <v>2.1400610663117514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'[28]Sch C'!D196</f>
        <v>0</v>
      </c>
      <c r="D185" s="558">
        <f>'[28]Sch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'[28]Sch C'!D197</f>
        <v>134232</v>
      </c>
      <c r="D186" s="558">
        <f>'[28]Sch C'!F197</f>
        <v>-3752</v>
      </c>
      <c r="E186" s="171">
        <f t="shared" si="45"/>
        <v>130480</v>
      </c>
      <c r="F186" s="216">
        <v>0</v>
      </c>
      <c r="G186" s="171">
        <f t="shared" si="46"/>
        <v>130480</v>
      </c>
      <c r="H186" s="172">
        <f t="shared" si="47"/>
        <v>2.0784817041600193E-2</v>
      </c>
      <c r="I186" s="336"/>
      <c r="J186" s="223"/>
      <c r="K186" s="218"/>
      <c r="M186" s="364">
        <f t="shared" si="48"/>
        <v>5.107648946997573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'[28]Sch C'!D198</f>
        <v>43050</v>
      </c>
      <c r="D187" s="558">
        <f>'[28]Sch C'!F198</f>
        <v>0</v>
      </c>
      <c r="E187" s="171">
        <f t="shared" si="45"/>
        <v>43050</v>
      </c>
      <c r="F187" s="216">
        <v>0</v>
      </c>
      <c r="G187" s="171">
        <f t="shared" si="46"/>
        <v>43050</v>
      </c>
      <c r="H187" s="172">
        <f t="shared" si="47"/>
        <v>6.8576515453777466E-3</v>
      </c>
      <c r="I187" s="336"/>
      <c r="J187" s="223"/>
      <c r="K187" s="218"/>
      <c r="M187" s="364">
        <f t="shared" si="48"/>
        <v>1.685195333907461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'[28]Sch C'!D199</f>
        <v>0</v>
      </c>
      <c r="D188" s="558">
        <f>'[28]Sch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'[28]Sch C'!D200</f>
        <v>0</v>
      </c>
      <c r="D189" s="558">
        <f>'[28]Sch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'[28]Sch C'!D201</f>
        <v>410</v>
      </c>
      <c r="D190" s="558">
        <f>'[28]Sch C'!F201</f>
        <v>0</v>
      </c>
      <c r="E190" s="171">
        <f t="shared" si="45"/>
        <v>410</v>
      </c>
      <c r="F190" s="216">
        <v>0</v>
      </c>
      <c r="G190" s="171">
        <f t="shared" si="46"/>
        <v>410</v>
      </c>
      <c r="H190" s="172">
        <f t="shared" si="47"/>
        <v>6.5310967098835675E-5</v>
      </c>
      <c r="I190" s="336"/>
      <c r="J190" s="223"/>
      <c r="K190" s="218"/>
      <c r="M190" s="364">
        <f t="shared" si="48"/>
        <v>1.6049479370547248E-2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'[28]Sch C'!D202</f>
        <v>0</v>
      </c>
      <c r="D191" s="558">
        <f>'[28]Sch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'[28]Sch C'!D203</f>
        <v>110</v>
      </c>
      <c r="D192" s="558">
        <f>'[28]Sch C'!F203</f>
        <v>0</v>
      </c>
      <c r="E192" s="171">
        <f t="shared" si="45"/>
        <v>110</v>
      </c>
      <c r="F192" s="216">
        <v>0</v>
      </c>
      <c r="G192" s="171">
        <f t="shared" si="46"/>
        <v>110</v>
      </c>
      <c r="H192" s="172">
        <f t="shared" si="47"/>
        <v>1.7522454587492499E-5</v>
      </c>
      <c r="I192" s="336"/>
      <c r="J192" s="223"/>
      <c r="K192" s="218"/>
      <c r="M192" s="364">
        <f t="shared" si="48"/>
        <v>4.3059578799029205E-3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'[28]Sch C'!D204</f>
        <v>0</v>
      </c>
      <c r="D193" s="558">
        <f>'[28]Sch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'[28]Sch C'!D205</f>
        <v>190316</v>
      </c>
      <c r="D194" s="558">
        <f>'[28]Sch C'!F205</f>
        <v>0</v>
      </c>
      <c r="E194" s="171">
        <f t="shared" si="45"/>
        <v>190316</v>
      </c>
      <c r="F194" s="216">
        <v>138376.62999999998</v>
      </c>
      <c r="G194" s="171">
        <f t="shared" si="46"/>
        <v>328692.63</v>
      </c>
      <c r="H194" s="172">
        <f t="shared" si="47"/>
        <v>5.2359106203804316E-2</v>
      </c>
      <c r="I194" s="336"/>
      <c r="J194" s="223"/>
      <c r="K194" s="218"/>
      <c r="M194" s="364">
        <f t="shared" si="48"/>
        <v>12.866696547404683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'[28]Sch C'!D206</f>
        <v>1750</v>
      </c>
      <c r="D195" s="558">
        <f>'[28]Sch C'!F206</f>
        <v>0</v>
      </c>
      <c r="E195" s="171">
        <f t="shared" si="45"/>
        <v>1750</v>
      </c>
      <c r="F195" s="216">
        <v>0</v>
      </c>
      <c r="G195" s="171">
        <f t="shared" si="46"/>
        <v>1750</v>
      </c>
      <c r="H195" s="172">
        <f t="shared" si="47"/>
        <v>2.787663229828352E-4</v>
      </c>
      <c r="I195" s="336"/>
      <c r="J195" s="223"/>
      <c r="K195" s="218"/>
      <c r="M195" s="364">
        <f t="shared" si="48"/>
        <v>6.8503875362091918E-2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'[28]Sch C'!D207</f>
        <v>19767</v>
      </c>
      <c r="D196" s="558">
        <f>'[28]Sch C'!F207</f>
        <v>0</v>
      </c>
      <c r="E196" s="171">
        <f t="shared" si="45"/>
        <v>19767</v>
      </c>
      <c r="F196" s="216">
        <v>0</v>
      </c>
      <c r="G196" s="171">
        <f t="shared" si="46"/>
        <v>19767</v>
      </c>
      <c r="H196" s="172">
        <f t="shared" si="47"/>
        <v>3.1487850893724021E-3</v>
      </c>
      <c r="I196" s="336"/>
      <c r="J196" s="223"/>
      <c r="K196" s="218"/>
      <c r="M196" s="364">
        <f t="shared" si="48"/>
        <v>0.77378063101855477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692012</v>
      </c>
      <c r="D197" s="558">
        <f>SUM(D164:D196)</f>
        <v>-12096</v>
      </c>
      <c r="E197" s="171">
        <f t="shared" ref="E197:F197" si="49">SUM(E164:E196)</f>
        <v>679916</v>
      </c>
      <c r="F197" s="171">
        <f t="shared" si="49"/>
        <v>486924.15</v>
      </c>
      <c r="G197" s="171">
        <f>SUM(G164:G196)</f>
        <v>1166840.1499999999</v>
      </c>
      <c r="H197" s="172">
        <f>IF($G$208=0,0,G197/$G$208)</f>
        <v>0.1858718503567085</v>
      </c>
      <c r="I197" s="336"/>
      <c r="J197" s="168"/>
      <c r="K197" s="168"/>
      <c r="M197" s="364">
        <f>G197/G$228</f>
        <v>45.676041258905499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'[28]Sch C'!D211</f>
        <v>65719</v>
      </c>
      <c r="D200" s="558">
        <f>'[28]Sch C'!F211</f>
        <v>0</v>
      </c>
      <c r="E200" s="171">
        <f t="shared" ref="E200:E205" si="50">C200+D200</f>
        <v>65719</v>
      </c>
      <c r="F200" s="171">
        <v>176208.74000000002</v>
      </c>
      <c r="G200" s="171">
        <f t="shared" ref="G200:G205" si="51">E200+F200</f>
        <v>241927.74000000002</v>
      </c>
      <c r="H200" s="172">
        <f t="shared" ref="H200:H206" si="52">IF($G$208=0,0,G200/$G$208)</f>
        <v>3.8537889432769937E-2</v>
      </c>
      <c r="I200" s="336"/>
      <c r="J200" s="183">
        <f>4564+10852</f>
        <v>15416</v>
      </c>
      <c r="K200" s="183">
        <f>4817+11188</f>
        <v>16005</v>
      </c>
      <c r="M200" s="364">
        <f t="shared" ref="M200:M205" si="53">G200/G$228</f>
        <v>9.4702787129100461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'[28]Sch C'!D212</f>
        <v>12048</v>
      </c>
      <c r="D201" s="558">
        <f>'[28]Sch C'!F212</f>
        <v>0</v>
      </c>
      <c r="E201" s="171">
        <f t="shared" si="50"/>
        <v>12048</v>
      </c>
      <c r="F201" s="171">
        <v>30832.66</v>
      </c>
      <c r="G201" s="171">
        <f t="shared" si="51"/>
        <v>42880.66</v>
      </c>
      <c r="H201" s="172">
        <f t="shared" si="52"/>
        <v>6.830676523015511E-3</v>
      </c>
      <c r="I201" s="336"/>
      <c r="J201" s="168"/>
      <c r="K201" s="168"/>
      <c r="M201" s="364">
        <f t="shared" si="53"/>
        <v>1.6785665074767089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'[28]Sch C'!D213</f>
        <v>1390</v>
      </c>
      <c r="D202" s="558">
        <f>'[28]Sch C'!F213</f>
        <v>0</v>
      </c>
      <c r="E202" s="171">
        <f t="shared" si="50"/>
        <v>1390</v>
      </c>
      <c r="F202" s="171">
        <v>58</v>
      </c>
      <c r="G202" s="171">
        <f t="shared" si="51"/>
        <v>1448</v>
      </c>
      <c r="H202" s="172">
        <f t="shared" si="52"/>
        <v>2.3065922038808308E-4</v>
      </c>
      <c r="I202" s="336"/>
      <c r="J202" s="168"/>
      <c r="K202" s="168"/>
      <c r="M202" s="364">
        <f t="shared" si="53"/>
        <v>5.6682063728176621E-2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'[28]Sch C'!D214</f>
        <v>0</v>
      </c>
      <c r="D203" s="558">
        <f>'[28]Sch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'[28]Sch C'!D215</f>
        <v>0</v>
      </c>
      <c r="D204" s="558">
        <f>'[28]Sch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'[28]Sch C'!D216</f>
        <v>6406</v>
      </c>
      <c r="D205" s="558">
        <f>'[28]Sch C'!F216</f>
        <v>0</v>
      </c>
      <c r="E205" s="171">
        <f t="shared" si="50"/>
        <v>6406</v>
      </c>
      <c r="F205" s="171">
        <v>5982.06</v>
      </c>
      <c r="G205" s="171">
        <f t="shared" si="51"/>
        <v>12388.060000000001</v>
      </c>
      <c r="H205" s="172">
        <f t="shared" si="52"/>
        <v>1.9733565343375667E-3</v>
      </c>
      <c r="I205" s="336"/>
      <c r="J205" s="168"/>
      <c r="K205" s="168"/>
      <c r="M205" s="364">
        <f t="shared" si="53"/>
        <v>0.48493149612463798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85563</v>
      </c>
      <c r="D206" s="558">
        <f>SUM(D200:D205)</f>
        <v>0</v>
      </c>
      <c r="E206" s="171">
        <f t="shared" ref="E206:F206" si="54">SUM(E200:E205)</f>
        <v>85563</v>
      </c>
      <c r="F206" s="171">
        <f t="shared" si="54"/>
        <v>213081.46000000002</v>
      </c>
      <c r="G206" s="171">
        <f>SUM(G200:G205)</f>
        <v>298644.46000000002</v>
      </c>
      <c r="H206" s="172">
        <f t="shared" si="52"/>
        <v>4.7572581710511097E-2</v>
      </c>
      <c r="I206" s="336"/>
      <c r="J206" s="168"/>
      <c r="K206" s="168"/>
      <c r="M206" s="364">
        <f>G206/G$228</f>
        <v>11.690458780239569</v>
      </c>
      <c r="N206" s="359">
        <f>SUMMARY!J209</f>
        <v>7.1515095990067339</v>
      </c>
      <c r="O206" s="354">
        <f>M206/N206-1</f>
        <v>0.63468406472715144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4060312</v>
      </c>
      <c r="D208" s="558">
        <f>SUM(D25:D206)/2</f>
        <v>-512220</v>
      </c>
      <c r="E208" s="171">
        <f t="shared" ref="E208:F208" si="55">SUM(E25:E206)/2</f>
        <v>3548092</v>
      </c>
      <c r="F208" s="171">
        <f t="shared" si="55"/>
        <v>2729567.3000000003</v>
      </c>
      <c r="G208" s="171">
        <f>SUM(G25:G206)/2</f>
        <v>6277659.3000000026</v>
      </c>
      <c r="H208" s="172">
        <f>IF($G$208=0,0,G208/$G$208)</f>
        <v>1</v>
      </c>
      <c r="I208" s="336"/>
      <c r="J208" s="183">
        <f>SUM(J25:J200)</f>
        <v>160869</v>
      </c>
      <c r="K208" s="183">
        <f>SUM(K25:K200)</f>
        <v>166801</v>
      </c>
      <c r="M208" s="364">
        <f>G208/G$228</f>
        <v>245.73942300164418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0.42907054306788928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 s="460" t="s">
        <v>508</v>
      </c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'[28]Sch C'!D221</f>
        <v>4060312</v>
      </c>
      <c r="D211" s="196"/>
      <c r="E211" s="165"/>
      <c r="F211" s="445" t="s">
        <v>509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45" t="s">
        <v>510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511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53078</v>
      </c>
      <c r="D215" s="558">
        <f>D21-D208</f>
        <v>510150</v>
      </c>
      <c r="E215" s="171">
        <f t="shared" ref="E215:F215" si="56">E21-E208</f>
        <v>563228</v>
      </c>
      <c r="F215" s="171">
        <f t="shared" si="56"/>
        <v>337364.86999999918</v>
      </c>
      <c r="G215" s="171">
        <f>G21-G208</f>
        <v>900592.86999999732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'[28]Sch D'!C9</f>
        <v>7339</v>
      </c>
      <c r="D219" s="592"/>
      <c r="E219" s="235">
        <f t="shared" ref="E219:G227" si="57">C219+D219</f>
        <v>7339</v>
      </c>
      <c r="F219" s="234">
        <v>5649</v>
      </c>
      <c r="G219" s="235">
        <f t="shared" si="57"/>
        <v>12988</v>
      </c>
      <c r="H219" s="172">
        <f t="shared" ref="H219:H228" si="58">IF($G$228=0,0,G219/$G$228)</f>
        <v>0.50841619040162844</v>
      </c>
      <c r="I219" s="336"/>
      <c r="J219" s="168"/>
      <c r="K219" s="168"/>
    </row>
    <row r="220" spans="1:17">
      <c r="A220" s="163"/>
      <c r="B220" s="170" t="s">
        <v>217</v>
      </c>
      <c r="C220" s="592">
        <f>'[28]Sch D'!D9</f>
        <v>496</v>
      </c>
      <c r="D220" s="592"/>
      <c r="E220" s="235">
        <f t="shared" ref="E220:E227" si="59">C220+D220</f>
        <v>496</v>
      </c>
      <c r="F220" s="234">
        <v>0</v>
      </c>
      <c r="G220" s="235">
        <f t="shared" si="57"/>
        <v>496</v>
      </c>
      <c r="H220" s="172">
        <f t="shared" si="58"/>
        <v>1.9415955531198622E-2</v>
      </c>
      <c r="I220" s="336"/>
      <c r="J220" s="168"/>
      <c r="K220" s="168"/>
    </row>
    <row r="221" spans="1:17">
      <c r="A221" s="163"/>
      <c r="B221" s="170" t="s">
        <v>72</v>
      </c>
      <c r="C221" s="592">
        <f>'[28]Sch D'!E9</f>
        <v>2691</v>
      </c>
      <c r="D221" s="592"/>
      <c r="E221" s="235">
        <f t="shared" si="59"/>
        <v>2691</v>
      </c>
      <c r="F221" s="234">
        <v>2214</v>
      </c>
      <c r="G221" s="235">
        <f t="shared" si="57"/>
        <v>4905</v>
      </c>
      <c r="H221" s="172">
        <f t="shared" si="58"/>
        <v>0.19200657637203475</v>
      </c>
      <c r="I221" s="336"/>
      <c r="J221" s="168"/>
      <c r="K221" s="168"/>
    </row>
    <row r="222" spans="1:17">
      <c r="A222" s="163"/>
      <c r="B222" s="202" t="s">
        <v>334</v>
      </c>
      <c r="C222" s="592">
        <f>'[28]Sch D'!F9</f>
        <v>1053</v>
      </c>
      <c r="D222" s="592"/>
      <c r="E222" s="235">
        <f>C222+D222</f>
        <v>1053</v>
      </c>
      <c r="F222" s="234">
        <v>0</v>
      </c>
      <c r="G222" s="235">
        <f>E222+F222</f>
        <v>1053</v>
      </c>
      <c r="H222" s="172">
        <f t="shared" si="58"/>
        <v>4.1219760432161592E-2</v>
      </c>
      <c r="I222" s="336"/>
      <c r="J222" s="168"/>
      <c r="K222" s="168"/>
    </row>
    <row r="223" spans="1:17">
      <c r="A223" s="163"/>
      <c r="B223" s="170" t="s">
        <v>73</v>
      </c>
      <c r="C223" s="592">
        <f>'[28]Sch D'!G9</f>
        <v>814</v>
      </c>
      <c r="D223" s="592"/>
      <c r="E223" s="235">
        <f t="shared" si="59"/>
        <v>814</v>
      </c>
      <c r="F223" s="234">
        <v>414</v>
      </c>
      <c r="G223" s="235">
        <f t="shared" si="57"/>
        <v>1228</v>
      </c>
      <c r="H223" s="172">
        <f t="shared" si="58"/>
        <v>4.807014796837078E-2</v>
      </c>
      <c r="I223" s="336"/>
      <c r="J223" s="168"/>
      <c r="K223" s="168"/>
    </row>
    <row r="224" spans="1:17">
      <c r="A224" s="163"/>
      <c r="B224" s="170" t="s">
        <v>74</v>
      </c>
      <c r="C224" s="592">
        <f>'[28]Sch D'!H9</f>
        <v>1778</v>
      </c>
      <c r="D224" s="592"/>
      <c r="E224" s="235">
        <f t="shared" si="59"/>
        <v>1778</v>
      </c>
      <c r="F224" s="234">
        <v>1850</v>
      </c>
      <c r="G224" s="235">
        <f t="shared" si="57"/>
        <v>3628</v>
      </c>
      <c r="H224" s="172">
        <f t="shared" si="58"/>
        <v>0.1420183198935254</v>
      </c>
      <c r="I224" s="336"/>
      <c r="J224" s="168"/>
      <c r="K224" s="168"/>
    </row>
    <row r="225" spans="1:11">
      <c r="A225" s="163"/>
      <c r="B225" s="170" t="s">
        <v>236</v>
      </c>
      <c r="C225" s="592">
        <f>'[28]Sch D'!I9</f>
        <v>690</v>
      </c>
      <c r="D225" s="592"/>
      <c r="E225" s="235">
        <f t="shared" si="59"/>
        <v>690</v>
      </c>
      <c r="F225" s="234">
        <v>0</v>
      </c>
      <c r="G225" s="235">
        <f t="shared" si="57"/>
        <v>690</v>
      </c>
      <c r="H225" s="172">
        <f t="shared" si="58"/>
        <v>2.7010099428481954E-2</v>
      </c>
      <c r="I225" s="336"/>
      <c r="J225" s="168"/>
      <c r="K225" s="168"/>
    </row>
    <row r="226" spans="1:11">
      <c r="A226" s="163"/>
      <c r="B226" s="170" t="s">
        <v>235</v>
      </c>
      <c r="C226" s="592">
        <f>'[28]Sch D'!J9</f>
        <v>444</v>
      </c>
      <c r="D226" s="592"/>
      <c r="E226" s="235">
        <f>C226+D226</f>
        <v>444</v>
      </c>
      <c r="F226" s="234">
        <v>0</v>
      </c>
      <c r="G226" s="235">
        <f>E226+F226</f>
        <v>444</v>
      </c>
      <c r="H226" s="172">
        <f t="shared" si="58"/>
        <v>1.7380411806153604E-2</v>
      </c>
      <c r="I226" s="336"/>
      <c r="J226" s="168"/>
      <c r="K226" s="168"/>
    </row>
    <row r="227" spans="1:11">
      <c r="A227" s="163"/>
      <c r="B227" s="170" t="s">
        <v>179</v>
      </c>
      <c r="C227" s="592">
        <f>'[28]Sch D'!K9</f>
        <v>114</v>
      </c>
      <c r="D227" s="592"/>
      <c r="E227" s="235">
        <f t="shared" si="59"/>
        <v>114</v>
      </c>
      <c r="F227" s="234">
        <v>0</v>
      </c>
      <c r="G227" s="235">
        <f t="shared" si="57"/>
        <v>114</v>
      </c>
      <c r="H227" s="172">
        <f t="shared" si="58"/>
        <v>4.4625381664448443E-3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15419</v>
      </c>
      <c r="D228" s="592">
        <f>SUM(D219:D227)</f>
        <v>0</v>
      </c>
      <c r="E228" s="237">
        <f>SUM(E219:E227)</f>
        <v>15419</v>
      </c>
      <c r="F228" s="237">
        <f>SUM(F219:F227)</f>
        <v>10127</v>
      </c>
      <c r="G228" s="237">
        <f>SUM(G219:G227)</f>
        <v>25546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'[28]Sch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'[28]Sch D'!N24</f>
        <v>120</v>
      </c>
      <c r="D232" s="559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$C$4-$C$3+1-151</f>
        <v>215</v>
      </c>
      <c r="D233" s="483"/>
      <c r="E233" s="235">
        <f>C233+D233</f>
        <v>215</v>
      </c>
      <c r="F233" s="239">
        <v>151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'[28]Sch D'!N28</f>
        <v>25800</v>
      </c>
      <c r="D235" s="483"/>
      <c r="E235" s="234">
        <f>E231*E233</f>
        <v>25800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'[28]Sch D'!N30</f>
        <v>0.5976356589147287</v>
      </c>
      <c r="D236" s="239"/>
      <c r="E236" s="244">
        <f>E228/E235</f>
        <v>0.5976356589147287</v>
      </c>
      <c r="F236" s="245"/>
      <c r="G236" s="244">
        <f>G228/G235</f>
        <v>0.5816484517304189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'[28]Sch D'!N32</f>
        <v>0.30368217054263563</v>
      </c>
      <c r="D237" s="239"/>
      <c r="E237" s="244">
        <f>(E219+E220)/E235</f>
        <v>0.30368217054263563</v>
      </c>
      <c r="F237" s="245"/>
      <c r="G237" s="244">
        <f>(G219+G220)/G235</f>
        <v>0.30701275045537341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'[28]Sch D'!N34</f>
        <v>0.50813930864517798</v>
      </c>
      <c r="D238" s="239"/>
      <c r="E238" s="244">
        <f>(E237/E236)</f>
        <v>0.50813930864517798</v>
      </c>
      <c r="F238" s="245"/>
      <c r="G238" s="244">
        <f>(G237/G236)</f>
        <v>0.52783214593282712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'[28]Sch B'!C85</f>
        <v>166.96350364963504</v>
      </c>
    </row>
    <row r="242" spans="2:7">
      <c r="F242" s="142" t="s">
        <v>341</v>
      </c>
      <c r="G242" s="558">
        <f>'[28]Sch B'!E85</f>
        <v>166.91834319526626</v>
      </c>
    </row>
    <row r="243" spans="2:7">
      <c r="F243" s="142" t="s">
        <v>342</v>
      </c>
      <c r="G243" s="558">
        <f>'[28]Sch B'!G85*1/3+321*2/3</f>
        <v>269.79838709677421</v>
      </c>
    </row>
    <row r="244" spans="2:7">
      <c r="F244" s="142" t="s">
        <v>343</v>
      </c>
      <c r="G244" s="558">
        <v>316.36605026078712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  <customSheetView guid="{8B6AA640-12E9-11D5-ABB1-E7A21A3D4A14}" showGridLines="0" showRuler="0">
      <pageMargins left="0.75" right="0.75" top="1" bottom="1" header="0.5" footer="0.5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  <ignoredErrors>
    <ignoredError sqref="F36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8">
    <tabColor rgb="FFE28CAB"/>
  </sheetPr>
  <dimension ref="A1:T245"/>
  <sheetViews>
    <sheetView showGridLines="0" topLeftCell="A222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586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512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513</v>
      </c>
      <c r="G4" s="150"/>
    </row>
    <row r="5" spans="1:17">
      <c r="A5" s="145"/>
      <c r="B5" s="148"/>
      <c r="C5" s="151"/>
      <c r="D5" s="144"/>
      <c r="F5" s="460" t="s">
        <v>511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563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63" t="s">
        <v>520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'[29]Sch B'!E10</f>
        <v>1600553</v>
      </c>
      <c r="D11" s="558">
        <f>'[29]Sch B'!G10</f>
        <v>0</v>
      </c>
      <c r="E11" s="171">
        <f>C11+D11</f>
        <v>1600553</v>
      </c>
      <c r="F11" s="171">
        <v>1351277.3</v>
      </c>
      <c r="G11" s="171">
        <f t="shared" ref="G11:G20" si="0">E11+F11</f>
        <v>2951830.3</v>
      </c>
      <c r="H11" s="172">
        <f t="shared" ref="H11:H21" si="1">IF($G$21=0,0,G11/$G$21)</f>
        <v>0.38782065607442773</v>
      </c>
      <c r="I11" s="336"/>
      <c r="J11" s="368" t="s">
        <v>344</v>
      </c>
      <c r="K11" s="369">
        <f>G21</f>
        <v>7611328.2100000009</v>
      </c>
      <c r="M11" s="359">
        <f>IFERROR(G11/G219,0)</f>
        <v>177.60711793020457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'[29]Sch B'!E15</f>
        <v>0</v>
      </c>
      <c r="D12" s="558">
        <f>'[29]Sch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7136385.6099999994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'[29]Sch B'!E21</f>
        <v>1471978</v>
      </c>
      <c r="D13" s="558">
        <f>'[29]Sch B'!G21</f>
        <v>0</v>
      </c>
      <c r="E13" s="171">
        <f t="shared" si="2"/>
        <v>1471978</v>
      </c>
      <c r="F13" s="171">
        <v>1184224.1500000001</v>
      </c>
      <c r="G13" s="171">
        <f t="shared" si="0"/>
        <v>2656202.1500000004</v>
      </c>
      <c r="H13" s="172">
        <f t="shared" si="1"/>
        <v>0.3489801092153928</v>
      </c>
      <c r="I13" s="336"/>
      <c r="J13" s="370" t="s">
        <v>346</v>
      </c>
      <c r="K13" s="371">
        <f>G228</f>
        <v>29513</v>
      </c>
      <c r="M13" s="359">
        <f t="shared" si="3"/>
        <v>540.97803462321804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'[29]Sch B'!E27</f>
        <v>480427</v>
      </c>
      <c r="D14" s="558">
        <f>'[29]Sch B'!G27</f>
        <v>0</v>
      </c>
      <c r="E14" s="171">
        <f t="shared" si="2"/>
        <v>480427</v>
      </c>
      <c r="F14" s="175">
        <v>0</v>
      </c>
      <c r="G14" s="175">
        <f>E14+F14</f>
        <v>480427</v>
      </c>
      <c r="H14" s="176">
        <f t="shared" si="1"/>
        <v>6.3119995189381009E-2</v>
      </c>
      <c r="I14" s="337"/>
      <c r="J14" s="370" t="s">
        <v>347</v>
      </c>
      <c r="K14" s="371">
        <f>G231</f>
        <v>180</v>
      </c>
      <c r="M14" s="359">
        <f t="shared" si="3"/>
        <v>537.99216125419935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'[29]Sch B'!E32</f>
        <v>0</v>
      </c>
      <c r="D15" s="558">
        <f>'[29]Sch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65880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'[29]Sch B'!E37</f>
        <v>316830</v>
      </c>
      <c r="D16" s="558">
        <f>'[29]Sch B'!G37</f>
        <v>0</v>
      </c>
      <c r="E16" s="171">
        <f t="shared" si="2"/>
        <v>316830</v>
      </c>
      <c r="F16" s="171">
        <v>663371.03</v>
      </c>
      <c r="G16" s="171">
        <f t="shared" si="0"/>
        <v>980201.03</v>
      </c>
      <c r="H16" s="172">
        <f t="shared" si="1"/>
        <v>0.12878186342196901</v>
      </c>
      <c r="I16" s="336"/>
      <c r="J16" s="372"/>
      <c r="K16" s="371"/>
      <c r="M16" s="359">
        <f t="shared" si="3"/>
        <v>210.02807585172488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'[29]Sch B'!E42</f>
        <v>240167</v>
      </c>
      <c r="D17" s="558">
        <f>'[29]Sch B'!G42</f>
        <v>0</v>
      </c>
      <c r="E17" s="171">
        <f t="shared" si="2"/>
        <v>240167</v>
      </c>
      <c r="F17" s="171">
        <v>0</v>
      </c>
      <c r="G17" s="171">
        <f>E17+F17</f>
        <v>240167</v>
      </c>
      <c r="H17" s="172">
        <f t="shared" si="1"/>
        <v>3.1553888279901146E-2</v>
      </c>
      <c r="I17" s="336"/>
      <c r="J17" s="370" t="s">
        <v>156</v>
      </c>
      <c r="K17" s="371">
        <f>J208</f>
        <v>171248</v>
      </c>
      <c r="M17" s="359">
        <f t="shared" si="3"/>
        <v>175.30437956204381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'[29]Sch B'!E47</f>
        <v>173250</v>
      </c>
      <c r="D18" s="558">
        <f>'[29]Sch B'!G47</f>
        <v>0</v>
      </c>
      <c r="E18" s="171">
        <f t="shared" si="2"/>
        <v>173250</v>
      </c>
      <c r="F18" s="171">
        <v>0</v>
      </c>
      <c r="G18" s="171">
        <f>E18+F18</f>
        <v>173250</v>
      </c>
      <c r="H18" s="172">
        <f t="shared" si="1"/>
        <v>2.2762124457118896E-2</v>
      </c>
      <c r="I18" s="336"/>
      <c r="J18" s="373" t="s">
        <v>252</v>
      </c>
      <c r="K18" s="374">
        <f>K208</f>
        <v>177673</v>
      </c>
      <c r="M18" s="359">
        <f t="shared" si="3"/>
        <v>175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'[29]Sch B'!E52</f>
        <v>32670</v>
      </c>
      <c r="D19" s="558">
        <f>'[29]Sch B'!G52</f>
        <v>0</v>
      </c>
      <c r="E19" s="171">
        <f t="shared" si="2"/>
        <v>32670</v>
      </c>
      <c r="F19" s="171">
        <v>0</v>
      </c>
      <c r="G19" s="171">
        <f t="shared" si="0"/>
        <v>32670</v>
      </c>
      <c r="H19" s="172">
        <f t="shared" si="1"/>
        <v>4.2922863261995632E-3</v>
      </c>
      <c r="I19" s="336"/>
      <c r="J19" s="168"/>
      <c r="K19" s="168"/>
      <c r="M19" s="359">
        <f t="shared" si="3"/>
        <v>563.27586206896547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'[29]Sch B'!E67</f>
        <v>52322</v>
      </c>
      <c r="D20" s="558">
        <f>'[29]Sch B'!G67</f>
        <v>-1190</v>
      </c>
      <c r="E20" s="171">
        <f t="shared" si="2"/>
        <v>51132</v>
      </c>
      <c r="F20" s="171">
        <v>45448.729999999996</v>
      </c>
      <c r="G20" s="171">
        <f t="shared" si="0"/>
        <v>96580.73</v>
      </c>
      <c r="H20" s="172">
        <f t="shared" si="1"/>
        <v>1.2689077035609793E-2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4368197</v>
      </c>
      <c r="D21" s="558">
        <f>SUM(D11:D20)</f>
        <v>-1190</v>
      </c>
      <c r="E21" s="171">
        <f>SUM(E11:E20)</f>
        <v>4367007</v>
      </c>
      <c r="F21" s="171">
        <f>SUM(F11:F20)</f>
        <v>3244321.2100000004</v>
      </c>
      <c r="G21" s="171">
        <f>SUM(G11:G20)</f>
        <v>7611328.2100000009</v>
      </c>
      <c r="H21" s="172">
        <f t="shared" si="1"/>
        <v>1</v>
      </c>
      <c r="I21" s="336"/>
      <c r="J21" s="168"/>
      <c r="K21" s="168"/>
      <c r="M21" s="359">
        <f>IFERROR(G21/G228,0)</f>
        <v>257.89747602751333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'[29]Sch C'!D10</f>
        <v>49976</v>
      </c>
      <c r="D25" s="558">
        <f>'[29]Sch C'!F10</f>
        <v>0</v>
      </c>
      <c r="E25" s="171">
        <f t="shared" ref="E25:E60" si="4">C25+D25</f>
        <v>49976</v>
      </c>
      <c r="F25" s="171">
        <v>32571.43</v>
      </c>
      <c r="G25" s="182">
        <f>E25+F25</f>
        <v>82547.429999999993</v>
      </c>
      <c r="H25" s="172">
        <f>IF($G$208=0,0,G25/$G$208)</f>
        <v>1.1567120179762819E-2</v>
      </c>
      <c r="I25" s="336"/>
      <c r="J25" s="183">
        <f>1249+792</f>
        <v>2041</v>
      </c>
      <c r="K25" s="183">
        <f>1299+800</f>
        <v>2099</v>
      </c>
      <c r="M25" s="359">
        <f>G25/G$228</f>
        <v>2.7969853962660518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'[29]Sch C'!D11</f>
        <v>0</v>
      </c>
      <c r="D26" s="558">
        <f>'[29]Sch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'[29]Sch C'!D12</f>
        <v>96071</v>
      </c>
      <c r="D27" s="558">
        <f>'[29]Sch C'!F12</f>
        <v>-29280</v>
      </c>
      <c r="E27" s="171">
        <f t="shared" si="4"/>
        <v>66791</v>
      </c>
      <c r="F27" s="171">
        <v>98648.37999999999</v>
      </c>
      <c r="G27" s="171">
        <f t="shared" si="5"/>
        <v>165439.38</v>
      </c>
      <c r="H27" s="172">
        <f t="shared" si="6"/>
        <v>2.3182516898775041E-2</v>
      </c>
      <c r="I27" s="336"/>
      <c r="J27" s="185">
        <f>6784+5864</f>
        <v>12648</v>
      </c>
      <c r="K27" s="185">
        <f>6958+6053</f>
        <v>13011</v>
      </c>
      <c r="M27" s="359">
        <f t="shared" si="7"/>
        <v>5.6056442923457457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'[29]Sch C'!D13</f>
        <v>27065</v>
      </c>
      <c r="D28" s="558">
        <f>'[29]Sch C'!F13</f>
        <v>-5426</v>
      </c>
      <c r="E28" s="171">
        <f t="shared" si="4"/>
        <v>21639</v>
      </c>
      <c r="F28" s="171">
        <v>29006.879999999976</v>
      </c>
      <c r="G28" s="171">
        <f t="shared" si="5"/>
        <v>50645.879999999976</v>
      </c>
      <c r="H28" s="172">
        <f t="shared" si="6"/>
        <v>7.0968530524795981E-3</v>
      </c>
      <c r="I28" s="336"/>
      <c r="J28" s="168"/>
      <c r="K28" s="168"/>
      <c r="M28" s="359">
        <f t="shared" si="7"/>
        <v>1.7160532646630291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'[29]Sch C'!D14</f>
        <v>0</v>
      </c>
      <c r="D29" s="558">
        <f>'[29]Sch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'[29]Sch C'!D15</f>
        <v>251170</v>
      </c>
      <c r="D30" s="558">
        <f>'[29]Sch C'!F15</f>
        <v>-77568</v>
      </c>
      <c r="E30" s="171">
        <f t="shared" si="4"/>
        <v>173602</v>
      </c>
      <c r="F30" s="171">
        <v>0</v>
      </c>
      <c r="G30" s="171">
        <f t="shared" si="5"/>
        <v>173602</v>
      </c>
      <c r="H30" s="172">
        <f t="shared" si="6"/>
        <v>2.4326320001085259E-2</v>
      </c>
      <c r="I30" s="336"/>
      <c r="J30" s="168"/>
      <c r="K30" s="168"/>
      <c r="M30" s="359">
        <f t="shared" si="7"/>
        <v>5.8822213939619825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'[29]Sch C'!D16</f>
        <v>0</v>
      </c>
      <c r="D31" s="558">
        <f>'[29]Sch C'!F16</f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'[29]Sch C'!D17</f>
        <v>21705</v>
      </c>
      <c r="D32" s="558">
        <f>'[29]Sch C'!F17</f>
        <v>-14402</v>
      </c>
      <c r="E32" s="171">
        <f t="shared" si="4"/>
        <v>7303</v>
      </c>
      <c r="F32" s="171">
        <v>0</v>
      </c>
      <c r="G32" s="171">
        <f t="shared" si="5"/>
        <v>7303</v>
      </c>
      <c r="H32" s="172">
        <f t="shared" si="6"/>
        <v>1.0233471674746008E-3</v>
      </c>
      <c r="I32" s="336"/>
      <c r="J32" s="168"/>
      <c r="K32" s="168"/>
      <c r="M32" s="359">
        <f t="shared" si="7"/>
        <v>0.24745027614949344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'[29]Sch C'!D18</f>
        <v>13049</v>
      </c>
      <c r="D33" s="558">
        <f>'[29]Sch C'!F18</f>
        <v>0</v>
      </c>
      <c r="E33" s="171">
        <f t="shared" si="4"/>
        <v>13049</v>
      </c>
      <c r="F33" s="171">
        <v>19018.490000000002</v>
      </c>
      <c r="G33" s="171">
        <f t="shared" si="5"/>
        <v>32067.49</v>
      </c>
      <c r="H33" s="172">
        <f t="shared" si="6"/>
        <v>4.4935197945392422E-3</v>
      </c>
      <c r="I33" s="336"/>
      <c r="J33" s="168"/>
      <c r="K33" s="168"/>
      <c r="M33" s="359">
        <f t="shared" si="7"/>
        <v>1.086554738589774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'[29]Sch C'!D19</f>
        <v>5552</v>
      </c>
      <c r="D34" s="558">
        <f>'[29]Sch C'!F19</f>
        <v>0</v>
      </c>
      <c r="E34" s="171">
        <f t="shared" si="4"/>
        <v>5552</v>
      </c>
      <c r="F34" s="171">
        <v>5379.08</v>
      </c>
      <c r="G34" s="171">
        <f t="shared" si="5"/>
        <v>10931.08</v>
      </c>
      <c r="H34" s="172">
        <f t="shared" si="6"/>
        <v>1.5317389778773461E-3</v>
      </c>
      <c r="I34" s="336"/>
      <c r="J34" s="168"/>
      <c r="K34" s="168"/>
      <c r="M34" s="359">
        <f t="shared" si="7"/>
        <v>0.37038186561854097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'[29]Sch C'!D20</f>
        <v>10900</v>
      </c>
      <c r="D35" s="558">
        <f>'[29]Sch C'!F20</f>
        <v>0</v>
      </c>
      <c r="E35" s="171">
        <f t="shared" si="4"/>
        <v>10900</v>
      </c>
      <c r="F35" s="171">
        <v>12594.859999999999</v>
      </c>
      <c r="G35" s="171">
        <f t="shared" si="5"/>
        <v>23494.86</v>
      </c>
      <c r="H35" s="172">
        <f t="shared" si="6"/>
        <v>3.2922632385611801E-3</v>
      </c>
      <c r="I35" s="336"/>
      <c r="J35" s="168"/>
      <c r="K35" s="168"/>
      <c r="M35" s="359">
        <f t="shared" si="7"/>
        <v>0.79608511503405277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'[29]Sch C'!D21</f>
        <v>47942</v>
      </c>
      <c r="D36" s="558">
        <f>'[29]Sch C'!F21</f>
        <v>0</v>
      </c>
      <c r="E36" s="171">
        <f t="shared" si="4"/>
        <v>47942</v>
      </c>
      <c r="F36" s="563">
        <f>29017.71-10000</f>
        <v>19017.71</v>
      </c>
      <c r="G36" s="171">
        <f t="shared" si="5"/>
        <v>66959.709999999992</v>
      </c>
      <c r="H36" s="172">
        <f t="shared" si="6"/>
        <v>9.3828604085198809E-3</v>
      </c>
      <c r="I36" s="336"/>
      <c r="J36" s="168"/>
      <c r="K36" s="168"/>
      <c r="M36" s="359">
        <f t="shared" si="7"/>
        <v>2.2688208586046823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'[29]Sch C'!D22</f>
        <v>0</v>
      </c>
      <c r="D37" s="558">
        <f>'[29]Sch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'[29]Sch C'!D23</f>
        <v>4915</v>
      </c>
      <c r="D38" s="558">
        <f>'[29]Sch C'!F23</f>
        <v>-83</v>
      </c>
      <c r="E38" s="171">
        <f t="shared" si="4"/>
        <v>4832</v>
      </c>
      <c r="F38" s="563">
        <f>13980.94+6758</f>
        <v>20738.940000000002</v>
      </c>
      <c r="G38" s="171">
        <f t="shared" si="5"/>
        <v>25570.940000000002</v>
      </c>
      <c r="H38" s="172">
        <f t="shared" si="6"/>
        <v>3.5831780115929027E-3</v>
      </c>
      <c r="I38" s="336"/>
      <c r="J38" s="168"/>
      <c r="K38" s="168"/>
      <c r="M38" s="359">
        <f t="shared" si="7"/>
        <v>0.86642970894182236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'[29]Sch C'!D24</f>
        <v>57237</v>
      </c>
      <c r="D39" s="558">
        <f>'[29]Sch C'!F24</f>
        <v>0</v>
      </c>
      <c r="E39" s="171">
        <f t="shared" si="4"/>
        <v>57237</v>
      </c>
      <c r="F39" s="563">
        <f>39263.18-6758</f>
        <v>32505.18</v>
      </c>
      <c r="G39" s="171">
        <f t="shared" si="5"/>
        <v>89742.18</v>
      </c>
      <c r="H39" s="172">
        <f t="shared" si="6"/>
        <v>1.2575298604134706E-2</v>
      </c>
      <c r="I39" s="336"/>
      <c r="J39" s="168"/>
      <c r="K39" s="168"/>
      <c r="M39" s="359">
        <f t="shared" si="7"/>
        <v>3.0407677972418932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'[29]Sch C'!D25</f>
        <v>0</v>
      </c>
      <c r="D40" s="558">
        <f>'[29]Sch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'[29]Sch C'!D26</f>
        <v>256132</v>
      </c>
      <c r="D41" s="558">
        <f>'[29]Sch C'!F26</f>
        <v>0</v>
      </c>
      <c r="E41" s="171">
        <f t="shared" si="4"/>
        <v>256132</v>
      </c>
      <c r="F41" s="171">
        <v>169258.48</v>
      </c>
      <c r="G41" s="171">
        <f t="shared" si="5"/>
        <v>425390.48</v>
      </c>
      <c r="H41" s="172">
        <f t="shared" si="6"/>
        <v>5.9608673528503457E-2</v>
      </c>
      <c r="I41" s="336"/>
      <c r="J41" s="168"/>
      <c r="K41" s="168"/>
      <c r="M41" s="359">
        <f t="shared" si="7"/>
        <v>14.413664486836309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'[29]Sch C'!D27</f>
        <v>0</v>
      </c>
      <c r="D42" s="558">
        <f>'[29]Sch C'!F27</f>
        <v>0</v>
      </c>
      <c r="E42" s="171">
        <f t="shared" si="4"/>
        <v>0</v>
      </c>
      <c r="F42" s="171">
        <v>944.06</v>
      </c>
      <c r="G42" s="171">
        <f t="shared" si="5"/>
        <v>944.06</v>
      </c>
      <c r="H42" s="172">
        <f t="shared" si="6"/>
        <v>1.3228825509052053E-4</v>
      </c>
      <c r="I42" s="336"/>
      <c r="J42" s="168"/>
      <c r="K42" s="168"/>
      <c r="M42" s="359">
        <f t="shared" si="7"/>
        <v>3.1987937519059394E-2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'[29]Sch C'!D28</f>
        <v>0</v>
      </c>
      <c r="D43" s="558">
        <f>'[29]Sch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'[29]Sch C'!D29</f>
        <v>115263</v>
      </c>
      <c r="D44" s="558">
        <f>'[29]Sch C'!F29</f>
        <v>-115263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'[29]Sch C'!D30</f>
        <v>814</v>
      </c>
      <c r="D45" s="558">
        <f>'[29]Sch C'!F30</f>
        <v>-814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'[29]Sch C'!D31</f>
        <v>61254</v>
      </c>
      <c r="D46" s="558">
        <f>'[29]Sch C'!F31</f>
        <v>0</v>
      </c>
      <c r="E46" s="171">
        <f t="shared" si="4"/>
        <v>61254</v>
      </c>
      <c r="F46" s="171">
        <v>24848</v>
      </c>
      <c r="G46" s="171">
        <f t="shared" si="5"/>
        <v>86102</v>
      </c>
      <c r="H46" s="172">
        <f t="shared" si="6"/>
        <v>1.2065211257551427E-2</v>
      </c>
      <c r="I46" s="336"/>
      <c r="J46" s="168"/>
      <c r="K46" s="168"/>
      <c r="M46" s="359">
        <f t="shared" si="7"/>
        <v>2.9174262189543589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'[29]Sch C'!D32</f>
        <v>54256</v>
      </c>
      <c r="D47" s="558">
        <f>'[29]Sch C'!F32</f>
        <v>0</v>
      </c>
      <c r="E47" s="171">
        <f t="shared" si="4"/>
        <v>54256</v>
      </c>
      <c r="F47" s="171">
        <v>35588.99</v>
      </c>
      <c r="G47" s="171">
        <f t="shared" si="5"/>
        <v>89844.989999999991</v>
      </c>
      <c r="H47" s="172">
        <f t="shared" si="6"/>
        <v>1.2589705056590964E-2</v>
      </c>
      <c r="I47" s="336"/>
      <c r="J47" s="168"/>
      <c r="K47" s="168"/>
      <c r="M47" s="359">
        <f t="shared" si="7"/>
        <v>3.0442513468640935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'[29]Sch C'!D33</f>
        <v>0</v>
      </c>
      <c r="D48" s="558">
        <f>'[29]Sch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'[29]Sch C'!D34</f>
        <v>0</v>
      </c>
      <c r="D49" s="558">
        <f>'[29]Sch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'[29]Sch C'!D35</f>
        <v>0</v>
      </c>
      <c r="D50" s="558">
        <f>'[29]Sch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'[29]Sch C'!D36</f>
        <v>18958</v>
      </c>
      <c r="D51" s="558">
        <f>'[29]Sch C'!F36</f>
        <v>0</v>
      </c>
      <c r="E51" s="171">
        <f t="shared" si="4"/>
        <v>18958</v>
      </c>
      <c r="F51" s="171">
        <v>14642.97</v>
      </c>
      <c r="G51" s="171">
        <f t="shared" si="5"/>
        <v>33600.97</v>
      </c>
      <c r="H51" s="172">
        <f t="shared" si="6"/>
        <v>4.7084016806653479E-3</v>
      </c>
      <c r="I51" s="336"/>
      <c r="J51" s="183">
        <f>1246+860</f>
        <v>2106</v>
      </c>
      <c r="K51" s="183">
        <f>1359+882</f>
        <v>2241</v>
      </c>
      <c r="M51" s="359">
        <f t="shared" si="7"/>
        <v>1.1385142140751534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'[29]Sch C'!D37</f>
        <v>3513</v>
      </c>
      <c r="D52" s="558">
        <f>'[29]Sch C'!F37</f>
        <v>0</v>
      </c>
      <c r="E52" s="171">
        <f t="shared" si="4"/>
        <v>3513</v>
      </c>
      <c r="F52" s="171">
        <v>2917</v>
      </c>
      <c r="G52" s="171">
        <f t="shared" si="5"/>
        <v>6430</v>
      </c>
      <c r="H52" s="172">
        <f t="shared" si="6"/>
        <v>9.0101633395340034E-4</v>
      </c>
      <c r="I52" s="336"/>
      <c r="J52" s="168"/>
      <c r="K52" s="168"/>
      <c r="M52" s="359">
        <f t="shared" si="7"/>
        <v>0.21787009114627454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'[29]Sch C'!D38</f>
        <v>0</v>
      </c>
      <c r="D53" s="558">
        <f>'[29]Sch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'[29]Sch C'!D39</f>
        <v>6952</v>
      </c>
      <c r="D54" s="558">
        <f>'[29]Sch C'!F39</f>
        <v>-6952</v>
      </c>
      <c r="E54" s="171">
        <f t="shared" si="4"/>
        <v>0</v>
      </c>
      <c r="F54" s="171">
        <v>0</v>
      </c>
      <c r="G54" s="171">
        <f t="shared" si="5"/>
        <v>0</v>
      </c>
      <c r="H54" s="172">
        <f t="shared" si="6"/>
        <v>0</v>
      </c>
      <c r="I54" s="336"/>
      <c r="J54" s="168"/>
      <c r="K54" s="168"/>
      <c r="M54" s="359">
        <f t="shared" si="7"/>
        <v>0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'[29]Sch C'!D40</f>
        <v>0</v>
      </c>
      <c r="D55" s="558">
        <f>'[29]Sch C'!F40</f>
        <v>0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'[29]Sch C'!D41</f>
        <v>0</v>
      </c>
      <c r="D56" s="558">
        <f>'[29]Sch C'!F41</f>
        <v>0</v>
      </c>
      <c r="E56" s="171">
        <f t="shared" si="4"/>
        <v>0</v>
      </c>
      <c r="F56" s="563">
        <f>35712.06-619-929</f>
        <v>34164.06</v>
      </c>
      <c r="G56" s="171">
        <f t="shared" si="5"/>
        <v>34164.06</v>
      </c>
      <c r="H56" s="172">
        <f t="shared" si="6"/>
        <v>4.7873057689213072E-3</v>
      </c>
      <c r="I56" s="336"/>
      <c r="J56" s="168"/>
      <c r="K56" s="168"/>
      <c r="M56" s="359">
        <f t="shared" si="7"/>
        <v>1.1575936028190965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'[29]Sch C'!D42</f>
        <v>6101</v>
      </c>
      <c r="D57" s="558">
        <f>'[29]Sch C'!F42</f>
        <v>0</v>
      </c>
      <c r="E57" s="171">
        <f t="shared" si="4"/>
        <v>6101</v>
      </c>
      <c r="F57" s="171">
        <v>6686.13</v>
      </c>
      <c r="G57" s="171">
        <f t="shared" si="5"/>
        <v>12787.130000000001</v>
      </c>
      <c r="H57" s="172">
        <f t="shared" si="6"/>
        <v>1.7918216165451859E-3</v>
      </c>
      <c r="I57" s="336"/>
      <c r="J57" s="168"/>
      <c r="K57" s="168"/>
      <c r="M57" s="359">
        <f t="shared" si="7"/>
        <v>0.43327110087080273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'[29]Sch C'!D43</f>
        <v>9128</v>
      </c>
      <c r="D58" s="558">
        <f>'[29]Sch C'!F43</f>
        <v>0</v>
      </c>
      <c r="E58" s="171">
        <f t="shared" si="4"/>
        <v>9128</v>
      </c>
      <c r="F58" s="171">
        <v>0</v>
      </c>
      <c r="G58" s="171">
        <f t="shared" si="5"/>
        <v>9128</v>
      </c>
      <c r="H58" s="172">
        <f t="shared" si="6"/>
        <v>1.2790788641254493E-3</v>
      </c>
      <c r="I58" s="336"/>
      <c r="J58" s="168"/>
      <c r="K58" s="168"/>
      <c r="M58" s="359">
        <f t="shared" si="7"/>
        <v>0.30928743265679531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'[29]Sch C'!D44</f>
        <v>0</v>
      </c>
      <c r="D59" s="558">
        <f>'[29]Sch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'[29]Sch C'!D45</f>
        <v>6655</v>
      </c>
      <c r="D60" s="558">
        <f>'[29]Sch C'!F45</f>
        <v>-3253</v>
      </c>
      <c r="E60" s="171">
        <f t="shared" si="4"/>
        <v>3402</v>
      </c>
      <c r="F60" s="171">
        <v>0</v>
      </c>
      <c r="G60" s="171">
        <f t="shared" si="5"/>
        <v>3402</v>
      </c>
      <c r="H60" s="172">
        <f t="shared" si="6"/>
        <v>4.7671190794859532E-4</v>
      </c>
      <c r="I60" s="336"/>
      <c r="J60" s="168"/>
      <c r="K60" s="168"/>
      <c r="M60" s="359">
        <f t="shared" si="7"/>
        <v>0.11527123640429641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1124608</v>
      </c>
      <c r="D61" s="558">
        <f>SUM(D25:D60)</f>
        <v>-253041</v>
      </c>
      <c r="E61" s="171">
        <f t="shared" ref="E61:F61" si="8">SUM(E25:E60)</f>
        <v>871567</v>
      </c>
      <c r="F61" s="171">
        <f t="shared" si="8"/>
        <v>558530.6399999999</v>
      </c>
      <c r="G61" s="171">
        <f>SUM(G25:G60)</f>
        <v>1430097.64</v>
      </c>
      <c r="H61" s="186">
        <f t="shared" si="6"/>
        <v>0.20039523060469822</v>
      </c>
      <c r="I61" s="338"/>
      <c r="J61" s="168"/>
      <c r="K61" s="168"/>
      <c r="M61" s="364">
        <f>G61/G$228</f>
        <v>48.456532375563306</v>
      </c>
      <c r="N61" s="359">
        <f>SUMMARY!J64</f>
        <v>53.728790309602623</v>
      </c>
      <c r="O61" s="354">
        <f>M61/N61-1</f>
        <v>-9.8127240603387178E-2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'[29]Sch C'!D57</f>
        <v>616722</v>
      </c>
      <c r="D64" s="558">
        <f>'[29]Sch C'!F57</f>
        <v>-616722</v>
      </c>
      <c r="E64" s="171">
        <f t="shared" ref="E64:E78" si="9">C64+D64</f>
        <v>0</v>
      </c>
      <c r="F64" s="171">
        <v>0.13000000000465661</v>
      </c>
      <c r="G64" s="171">
        <f t="shared" ref="G64:G78" si="10">E64+F64</f>
        <v>0.13000000000465661</v>
      </c>
      <c r="H64" s="172">
        <f t="shared" ref="H64:H79" si="11">IF($G$208=0,0,G64/$G$208)</f>
        <v>1.8216504419617066E-8</v>
      </c>
      <c r="I64" s="336"/>
      <c r="J64" s="190"/>
      <c r="K64" s="168"/>
      <c r="M64" s="359">
        <f t="shared" ref="M64:M79" si="12">G64/G$228</f>
        <v>4.4048385458833945E-6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'[29]Sch C'!D58</f>
        <v>40803</v>
      </c>
      <c r="D65" s="558">
        <f>'[29]Sch C'!F58</f>
        <v>118264</v>
      </c>
      <c r="E65" s="171">
        <f t="shared" si="9"/>
        <v>159067</v>
      </c>
      <c r="F65" s="171">
        <v>744</v>
      </c>
      <c r="G65" s="171">
        <f t="shared" si="10"/>
        <v>159811</v>
      </c>
      <c r="H65" s="172">
        <f t="shared" si="11"/>
        <v>2.2393829136147257E-2</v>
      </c>
      <c r="I65" s="336"/>
      <c r="J65" s="190"/>
      <c r="K65" s="168"/>
      <c r="M65" s="359">
        <f t="shared" si="12"/>
        <v>5.4149357910073528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'[29]Sch C'!D59</f>
        <v>20766</v>
      </c>
      <c r="D66" s="558">
        <f>'[29]Sch C'!F59</f>
        <v>130839</v>
      </c>
      <c r="E66" s="171">
        <f t="shared" si="9"/>
        <v>151605</v>
      </c>
      <c r="F66" s="171">
        <v>249204</v>
      </c>
      <c r="G66" s="171">
        <f t="shared" si="10"/>
        <v>400809</v>
      </c>
      <c r="H66" s="172">
        <f t="shared" si="11"/>
        <v>5.6164145535852014E-2</v>
      </c>
      <c r="I66" s="336"/>
      <c r="J66" s="190"/>
      <c r="K66" s="168"/>
      <c r="M66" s="359">
        <f t="shared" si="12"/>
        <v>13.580761020567207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'[29]Sch C'!D60</f>
        <v>30629</v>
      </c>
      <c r="D67" s="558">
        <f>'[29]Sch C'!F60</f>
        <v>0</v>
      </c>
      <c r="E67" s="171">
        <f t="shared" si="9"/>
        <v>30629</v>
      </c>
      <c r="F67" s="171">
        <v>20715.580000000002</v>
      </c>
      <c r="G67" s="171">
        <f t="shared" si="10"/>
        <v>51344.58</v>
      </c>
      <c r="H67" s="172">
        <f t="shared" si="11"/>
        <v>7.1947597573836829E-3</v>
      </c>
      <c r="I67" s="336"/>
      <c r="J67" s="193"/>
      <c r="K67" s="168"/>
      <c r="M67" s="359">
        <f t="shared" si="12"/>
        <v>1.7397275776776338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'[29]Sch C'!D61</f>
        <v>0</v>
      </c>
      <c r="D68" s="558">
        <f>'[29]Sch C'!F61</f>
        <v>0</v>
      </c>
      <c r="E68" s="171">
        <f t="shared" si="9"/>
        <v>0</v>
      </c>
      <c r="F68" s="171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'[29]Sch C'!D62</f>
        <v>0</v>
      </c>
      <c r="D69" s="558">
        <f>'[29]Sch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'[29]Sch C'!D63</f>
        <v>0</v>
      </c>
      <c r="D70" s="558">
        <f>'[29]Sch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'[29]Sch C'!D64</f>
        <v>0</v>
      </c>
      <c r="D71" s="558">
        <f>'[29]Sch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'[29]Sch C'!D65</f>
        <v>1256</v>
      </c>
      <c r="D72" s="558">
        <f>'[29]Sch C'!F65</f>
        <v>0</v>
      </c>
      <c r="E72" s="171">
        <f t="shared" si="9"/>
        <v>1256</v>
      </c>
      <c r="F72" s="171">
        <v>0</v>
      </c>
      <c r="G72" s="171">
        <f t="shared" si="10"/>
        <v>1256</v>
      </c>
      <c r="H72" s="172">
        <f t="shared" si="11"/>
        <v>1.7599945807861132E-4</v>
      </c>
      <c r="I72" s="336"/>
      <c r="J72" s="195"/>
      <c r="K72" s="168"/>
      <c r="M72" s="359">
        <f t="shared" si="12"/>
        <v>4.2557517026395146E-2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'[29]Sch C'!D66</f>
        <v>0</v>
      </c>
      <c r="D73" s="558">
        <f>'[29]Sch C'!F66</f>
        <v>0</v>
      </c>
      <c r="E73" s="171">
        <f t="shared" si="9"/>
        <v>0</v>
      </c>
      <c r="F73" s="171">
        <v>4068.36</v>
      </c>
      <c r="G73" s="171">
        <f t="shared" si="10"/>
        <v>4068.36</v>
      </c>
      <c r="H73" s="172">
        <f t="shared" si="11"/>
        <v>5.7008690706106626E-4</v>
      </c>
      <c r="I73" s="336"/>
      <c r="J73" s="195"/>
      <c r="K73" s="168"/>
      <c r="M73" s="359">
        <f t="shared" si="12"/>
        <v>0.13784976112221733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'[29]Sch C'!D67</f>
        <v>0</v>
      </c>
      <c r="D74" s="558">
        <f>'[29]Sch C'!F67</f>
        <v>0</v>
      </c>
      <c r="E74" s="171">
        <f t="shared" si="9"/>
        <v>0</v>
      </c>
      <c r="F74" s="171">
        <v>567</v>
      </c>
      <c r="G74" s="171">
        <f t="shared" si="10"/>
        <v>567</v>
      </c>
      <c r="H74" s="172">
        <f t="shared" si="11"/>
        <v>7.945198465809922E-5</v>
      </c>
      <c r="I74" s="336"/>
      <c r="J74" s="195"/>
      <c r="K74" s="168"/>
      <c r="M74" s="359">
        <f t="shared" si="12"/>
        <v>1.9211872734049402E-2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'[29]Sch C'!D68</f>
        <v>0</v>
      </c>
      <c r="D75" s="558">
        <f>'[29]Sch C'!F68</f>
        <v>52807</v>
      </c>
      <c r="E75" s="171">
        <f t="shared" si="9"/>
        <v>52807</v>
      </c>
      <c r="F75" s="171">
        <v>0</v>
      </c>
      <c r="G75" s="171">
        <f t="shared" si="10"/>
        <v>52807</v>
      </c>
      <c r="H75" s="172">
        <f t="shared" si="11"/>
        <v>7.3996842219404687E-3</v>
      </c>
      <c r="I75" s="336"/>
      <c r="J75" s="195"/>
      <c r="K75" s="168"/>
      <c r="M75" s="359">
        <f t="shared" si="12"/>
        <v>1.7892793006471723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'[29]Sch C'!D69</f>
        <v>2369</v>
      </c>
      <c r="D76" s="558">
        <f>'[29]Sch C'!F69</f>
        <v>-2369</v>
      </c>
      <c r="E76" s="171">
        <f t="shared" si="9"/>
        <v>0</v>
      </c>
      <c r="F76" s="171">
        <v>0</v>
      </c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'[29]Sch C'!D70</f>
        <v>0</v>
      </c>
      <c r="D77" s="558">
        <f>'[29]Sch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'[29]Sch C'!D71</f>
        <v>0</v>
      </c>
      <c r="D78" s="558">
        <f>'[29]Sch C'!F71</f>
        <v>0</v>
      </c>
      <c r="E78" s="171">
        <f t="shared" si="9"/>
        <v>0</v>
      </c>
      <c r="F78" s="171">
        <v>1370</v>
      </c>
      <c r="G78" s="171">
        <f t="shared" si="10"/>
        <v>1370</v>
      </c>
      <c r="H78" s="172">
        <f t="shared" si="11"/>
        <v>1.9197393118447253E-4</v>
      </c>
      <c r="I78" s="336"/>
      <c r="J78" s="195"/>
      <c r="K78" s="168"/>
      <c r="M78" s="359">
        <f t="shared" si="12"/>
        <v>4.6420221597262223E-2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712545</v>
      </c>
      <c r="D79" s="558">
        <f>SUM(D64:D78)</f>
        <v>-317181</v>
      </c>
      <c r="E79" s="171">
        <f t="shared" ref="E79:F79" si="13">SUM(E64:E78)</f>
        <v>395364</v>
      </c>
      <c r="F79" s="171">
        <f t="shared" si="13"/>
        <v>276669.07</v>
      </c>
      <c r="G79" s="171">
        <f>SUM(G64:G78)</f>
        <v>672033.07</v>
      </c>
      <c r="H79" s="172">
        <f t="shared" si="11"/>
        <v>9.4169949148810078E-2</v>
      </c>
      <c r="I79" s="336"/>
      <c r="J79" s="195"/>
      <c r="K79" s="168"/>
      <c r="M79" s="359">
        <f t="shared" si="12"/>
        <v>22.770747467217834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'[29]Sch C'!D75</f>
        <v>27180</v>
      </c>
      <c r="D82" s="558">
        <f>'[29]Sch C'!F75</f>
        <v>0</v>
      </c>
      <c r="E82" s="171">
        <f t="shared" ref="E82:E92" si="14">C82+D82</f>
        <v>27180</v>
      </c>
      <c r="F82" s="171">
        <v>22357.86</v>
      </c>
      <c r="G82" s="171">
        <f t="shared" ref="G82:G92" si="15">E82+F82</f>
        <v>49537.86</v>
      </c>
      <c r="H82" s="172">
        <f t="shared" ref="H82:H93" si="16">IF($G$208=0,0,G82/$G$208)</f>
        <v>6.941589581508055E-3</v>
      </c>
      <c r="I82" s="336"/>
      <c r="J82" s="183">
        <f>1320+940</f>
        <v>2260</v>
      </c>
      <c r="K82" s="183">
        <f>1374+1000</f>
        <v>2374</v>
      </c>
      <c r="M82" s="359">
        <f t="shared" ref="M82:M92" si="17">G82/G$228</f>
        <v>1.6785098092366075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'[29]Sch C'!D76</f>
        <v>5037</v>
      </c>
      <c r="D83" s="558">
        <f>'[29]Sch C'!F76</f>
        <v>0</v>
      </c>
      <c r="E83" s="171">
        <f t="shared" si="14"/>
        <v>5037</v>
      </c>
      <c r="F83" s="171">
        <v>4454</v>
      </c>
      <c r="G83" s="171">
        <f t="shared" si="15"/>
        <v>9491</v>
      </c>
      <c r="H83" s="172">
        <f t="shared" si="16"/>
        <v>1.329944949541481E-3</v>
      </c>
      <c r="I83" s="336"/>
      <c r="J83" s="168"/>
      <c r="K83" s="168"/>
      <c r="M83" s="359">
        <f t="shared" si="17"/>
        <v>0.32158709721139839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'[29]Sch C'!D77</f>
        <v>22185</v>
      </c>
      <c r="D84" s="558">
        <f>'[29]Sch C'!F77</f>
        <v>0</v>
      </c>
      <c r="E84" s="171">
        <f t="shared" si="14"/>
        <v>22185</v>
      </c>
      <c r="F84" s="171">
        <v>0</v>
      </c>
      <c r="G84" s="171">
        <f t="shared" si="15"/>
        <v>22185</v>
      </c>
      <c r="H84" s="172">
        <f t="shared" si="16"/>
        <v>3.1087165425748345E-3</v>
      </c>
      <c r="I84" s="336"/>
      <c r="J84" s="168"/>
      <c r="K84" s="168"/>
      <c r="M84" s="359">
        <f t="shared" si="17"/>
        <v>0.75170263951479011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'[29]Sch C'!D78</f>
        <v>6897</v>
      </c>
      <c r="D85" s="558">
        <f>'[29]Sch C'!F78</f>
        <v>0</v>
      </c>
      <c r="E85" s="171">
        <f t="shared" si="14"/>
        <v>6897</v>
      </c>
      <c r="F85" s="171">
        <v>0</v>
      </c>
      <c r="G85" s="171">
        <f t="shared" si="15"/>
        <v>6897</v>
      </c>
      <c r="H85" s="172">
        <f t="shared" si="16"/>
        <v>9.6645562290460373E-4</v>
      </c>
      <c r="I85" s="336"/>
      <c r="J85" s="168"/>
      <c r="K85" s="168"/>
      <c r="M85" s="359">
        <f t="shared" si="17"/>
        <v>0.23369362653745807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'[29]Sch C'!D79</f>
        <v>4046</v>
      </c>
      <c r="D86" s="558">
        <f>'[29]Sch C'!F79</f>
        <v>0</v>
      </c>
      <c r="E86" s="171">
        <f t="shared" si="14"/>
        <v>4046</v>
      </c>
      <c r="F86" s="171">
        <v>0</v>
      </c>
      <c r="G86" s="171">
        <f>E86+F86</f>
        <v>4046</v>
      </c>
      <c r="H86" s="172">
        <f t="shared" si="16"/>
        <v>5.669536683010043E-4</v>
      </c>
      <c r="I86" s="336"/>
      <c r="J86" s="168"/>
      <c r="K86" s="168"/>
      <c r="M86" s="359">
        <f t="shared" si="17"/>
        <v>0.13709212889235253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'[29]Sch C'!D80</f>
        <v>2592</v>
      </c>
      <c r="D87" s="558">
        <f>'[29]Sch C'!F80</f>
        <v>0</v>
      </c>
      <c r="E87" s="171">
        <f t="shared" si="14"/>
        <v>2592</v>
      </c>
      <c r="F87" s="171">
        <v>0</v>
      </c>
      <c r="G87" s="171">
        <f t="shared" si="15"/>
        <v>2592</v>
      </c>
      <c r="H87" s="172">
        <f t="shared" si="16"/>
        <v>3.6320907272273931E-4</v>
      </c>
      <c r="I87" s="336"/>
      <c r="J87" s="168"/>
      <c r="K87" s="168"/>
      <c r="M87" s="359">
        <f t="shared" si="17"/>
        <v>8.7825703927082985E-2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'[29]Sch C'!D81</f>
        <v>10338</v>
      </c>
      <c r="D88" s="558">
        <f>'[29]Sch C'!F81</f>
        <v>0</v>
      </c>
      <c r="E88" s="171">
        <f t="shared" si="14"/>
        <v>10338</v>
      </c>
      <c r="F88" s="171">
        <v>21476.089999999997</v>
      </c>
      <c r="G88" s="171">
        <f t="shared" si="15"/>
        <v>31814.089999999997</v>
      </c>
      <c r="H88" s="172">
        <f t="shared" si="16"/>
        <v>4.4580116236179676E-3</v>
      </c>
      <c r="I88" s="336"/>
      <c r="J88" s="168"/>
      <c r="K88" s="168"/>
      <c r="M88" s="359">
        <f t="shared" si="17"/>
        <v>1.0779686917629518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'[29]Sch C'!D82</f>
        <v>0</v>
      </c>
      <c r="D89" s="558">
        <f>'[29]Sch C'!F82</f>
        <v>0</v>
      </c>
      <c r="E89" s="171">
        <f t="shared" si="14"/>
        <v>0</v>
      </c>
      <c r="F89" s="171">
        <v>3546.19</v>
      </c>
      <c r="G89" s="171">
        <f t="shared" si="15"/>
        <v>3546.19</v>
      </c>
      <c r="H89" s="172">
        <f t="shared" si="16"/>
        <v>4.969168138883684E-4</v>
      </c>
      <c r="I89" s="336"/>
      <c r="J89" s="168"/>
      <c r="K89" s="168"/>
      <c r="M89" s="359">
        <f t="shared" si="17"/>
        <v>0.12015688001897469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'[29]Sch C'!D83</f>
        <v>4891</v>
      </c>
      <c r="D90" s="558">
        <f>'[29]Sch C'!F83</f>
        <v>0</v>
      </c>
      <c r="E90" s="171">
        <f t="shared" si="14"/>
        <v>4891</v>
      </c>
      <c r="F90" s="171">
        <v>0</v>
      </c>
      <c r="G90" s="171">
        <f t="shared" si="15"/>
        <v>4891</v>
      </c>
      <c r="H90" s="172">
        <f t="shared" si="16"/>
        <v>6.8536094702427387E-4</v>
      </c>
      <c r="I90" s="336"/>
      <c r="J90" s="168"/>
      <c r="K90" s="168"/>
      <c r="M90" s="359">
        <f t="shared" si="17"/>
        <v>0.165723579439569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'[29]Sch C'!D84</f>
        <v>88586</v>
      </c>
      <c r="D91" s="558">
        <f>'[29]Sch C'!F84</f>
        <v>0</v>
      </c>
      <c r="E91" s="171">
        <f t="shared" si="14"/>
        <v>88586</v>
      </c>
      <c r="F91" s="171">
        <v>46532.719999999994</v>
      </c>
      <c r="G91" s="171">
        <f t="shared" si="15"/>
        <v>135118.72</v>
      </c>
      <c r="H91" s="172">
        <f t="shared" si="16"/>
        <v>1.8933775076652566E-2</v>
      </c>
      <c r="I91" s="336"/>
      <c r="J91" s="168"/>
      <c r="K91" s="168"/>
      <c r="M91" s="359">
        <f t="shared" si="17"/>
        <v>4.5782780469623559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'[29]Sch C'!D85</f>
        <v>0</v>
      </c>
      <c r="D92" s="558">
        <f>'[29]Sch C'!F85</f>
        <v>0</v>
      </c>
      <c r="E92" s="171">
        <f t="shared" si="14"/>
        <v>0</v>
      </c>
      <c r="F92" s="171">
        <v>260.69</v>
      </c>
      <c r="G92" s="171">
        <f t="shared" si="15"/>
        <v>260.69</v>
      </c>
      <c r="H92" s="172">
        <f t="shared" si="16"/>
        <v>3.6529696438306678E-5</v>
      </c>
      <c r="I92" s="336"/>
      <c r="J92" s="168"/>
      <c r="K92" s="168"/>
      <c r="M92" s="359">
        <f t="shared" si="17"/>
        <v>8.8330566191169996E-3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171752</v>
      </c>
      <c r="D93" s="558">
        <f>SUM(D82:D92)</f>
        <v>0</v>
      </c>
      <c r="E93" s="171">
        <f t="shared" ref="E93:F93" si="18">SUM(E82:E92)</f>
        <v>171752</v>
      </c>
      <c r="F93" s="171">
        <f t="shared" si="18"/>
        <v>98627.549999999988</v>
      </c>
      <c r="G93" s="171">
        <f>SUM(G82:G92)</f>
        <v>270379.55</v>
      </c>
      <c r="H93" s="172">
        <f t="shared" si="16"/>
        <v>3.7887463595174198E-2</v>
      </c>
      <c r="I93" s="336"/>
      <c r="J93" s="168"/>
      <c r="K93" s="168"/>
      <c r="M93" s="364">
        <f>G93/G$228</f>
        <v>9.1613712601226567</v>
      </c>
      <c r="N93" s="359">
        <f>SUMMARY!J96</f>
        <v>11.458724454710746</v>
      </c>
      <c r="O93" s="354">
        <f>M93/N93-1</f>
        <v>-0.20048943524805973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'[29]Sch C'!D89</f>
        <v>133754</v>
      </c>
      <c r="D96" s="558">
        <f>'[29]Sch C'!F89</f>
        <v>0</v>
      </c>
      <c r="E96" s="171">
        <f t="shared" ref="E96:E101" si="19">C96+D96</f>
        <v>133754</v>
      </c>
      <c r="F96" s="171">
        <v>100914.36</v>
      </c>
      <c r="G96" s="171">
        <f t="shared" ref="G96:G101" si="20">E96+F96</f>
        <v>234668.36</v>
      </c>
      <c r="H96" s="172">
        <f t="shared" ref="H96:H102" si="21">IF($G$208=0,0,G96/$G$208)</f>
        <v>3.2883363207162793E-2</v>
      </c>
      <c r="I96" s="336"/>
      <c r="J96" s="183">
        <f>10965+7029</f>
        <v>17994</v>
      </c>
      <c r="K96" s="183">
        <f>11337+7464</f>
        <v>18801</v>
      </c>
      <c r="M96" s="364">
        <f t="shared" ref="M96:M101" si="22">G96/G$228</f>
        <v>7.9513556737708804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'[29]Sch C'!D90</f>
        <v>24788</v>
      </c>
      <c r="D97" s="558">
        <f>'[29]Sch C'!F90</f>
        <v>0</v>
      </c>
      <c r="E97" s="171">
        <f t="shared" si="19"/>
        <v>24788</v>
      </c>
      <c r="F97" s="171">
        <v>20102</v>
      </c>
      <c r="G97" s="171">
        <f t="shared" si="20"/>
        <v>44890</v>
      </c>
      <c r="H97" s="172">
        <f t="shared" si="21"/>
        <v>6.2902991028255277E-3</v>
      </c>
      <c r="I97" s="336"/>
      <c r="J97" s="168"/>
      <c r="K97" s="168"/>
      <c r="M97" s="364">
        <f t="shared" si="22"/>
        <v>1.5210246332124826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'[29]Sch C'!D91</f>
        <v>4487</v>
      </c>
      <c r="D98" s="558">
        <f>'[29]Sch C'!F91</f>
        <v>0</v>
      </c>
      <c r="E98" s="171">
        <f t="shared" si="19"/>
        <v>4487</v>
      </c>
      <c r="F98" s="171">
        <v>2598.75</v>
      </c>
      <c r="G98" s="171">
        <f t="shared" si="20"/>
        <v>7085.75</v>
      </c>
      <c r="H98" s="172">
        <f t="shared" si="21"/>
        <v>9.9290458605136951E-4</v>
      </c>
      <c r="I98" s="336"/>
      <c r="J98" s="168"/>
      <c r="K98" s="168"/>
      <c r="M98" s="364">
        <f t="shared" si="22"/>
        <v>0.24008911327211738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'[29]Sch C'!D92</f>
        <v>124898</v>
      </c>
      <c r="D99" s="558">
        <f>'[29]Sch C'!F92</f>
        <v>0</v>
      </c>
      <c r="E99" s="171">
        <f t="shared" si="19"/>
        <v>124898</v>
      </c>
      <c r="F99" s="171">
        <v>86565.349999999991</v>
      </c>
      <c r="G99" s="171">
        <f t="shared" si="20"/>
        <v>211463.34999999998</v>
      </c>
      <c r="H99" s="172">
        <f t="shared" si="21"/>
        <v>2.963171576710805E-2</v>
      </c>
      <c r="I99" s="336"/>
      <c r="J99" s="168"/>
      <c r="K99" s="168"/>
      <c r="M99" s="364">
        <f t="shared" si="22"/>
        <v>7.1650916545251233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'[29]Sch C'!D93</f>
        <v>11591</v>
      </c>
      <c r="D100" s="558">
        <f>'[29]Sch C'!F93</f>
        <v>0</v>
      </c>
      <c r="E100" s="171">
        <f t="shared" si="19"/>
        <v>11591</v>
      </c>
      <c r="F100" s="171">
        <v>4242.13</v>
      </c>
      <c r="G100" s="171">
        <f t="shared" si="20"/>
        <v>15833.130000000001</v>
      </c>
      <c r="H100" s="172">
        <f t="shared" si="21"/>
        <v>2.2186483277772322E-3</v>
      </c>
      <c r="I100" s="336"/>
      <c r="J100" s="168"/>
      <c r="K100" s="168"/>
      <c r="M100" s="364">
        <f t="shared" si="22"/>
        <v>0.53647985633449669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'[29]Sch C'!D94</f>
        <v>815</v>
      </c>
      <c r="D101" s="558">
        <f>'[29]Sch C'!F94</f>
        <v>0</v>
      </c>
      <c r="E101" s="171">
        <f t="shared" si="19"/>
        <v>815</v>
      </c>
      <c r="F101" s="171">
        <v>428.14</v>
      </c>
      <c r="G101" s="171">
        <f t="shared" si="20"/>
        <v>1243.1399999999999</v>
      </c>
      <c r="H101" s="172">
        <f t="shared" si="21"/>
        <v>1.7419742541070451E-4</v>
      </c>
      <c r="I101" s="336"/>
      <c r="J101" s="168"/>
      <c r="K101" s="168"/>
      <c r="M101" s="364">
        <f t="shared" si="22"/>
        <v>4.2121776844102593E-2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300333</v>
      </c>
      <c r="D102" s="558">
        <f>SUM(D96:D101)</f>
        <v>0</v>
      </c>
      <c r="E102" s="171">
        <f t="shared" ref="E102:F102" si="23">SUM(E96:E101)</f>
        <v>300333</v>
      </c>
      <c r="F102" s="171">
        <f t="shared" si="23"/>
        <v>214850.73</v>
      </c>
      <c r="G102" s="171">
        <f>SUM(G96:G101)</f>
        <v>515183.73</v>
      </c>
      <c r="H102" s="172">
        <f t="shared" si="21"/>
        <v>7.2191128416335681E-2</v>
      </c>
      <c r="I102" s="336"/>
      <c r="J102" s="168"/>
      <c r="K102" s="168"/>
      <c r="M102" s="364">
        <f>G102/G$228</f>
        <v>17.456162707959205</v>
      </c>
      <c r="N102" s="359">
        <f>SUMMARY!J105</f>
        <v>19.901077037785338</v>
      </c>
      <c r="O102" s="354">
        <f>M102/N102-1</f>
        <v>-0.12285336744258002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'[29]Sch C'!D98</f>
        <v>28872</v>
      </c>
      <c r="D105" s="558">
        <f>'[29]Sch C'!F98</f>
        <v>0</v>
      </c>
      <c r="E105" s="171">
        <f t="shared" ref="E105:E110" si="24">C105+D105</f>
        <v>28872</v>
      </c>
      <c r="F105" s="171">
        <v>24902.02</v>
      </c>
      <c r="G105" s="171">
        <f t="shared" ref="G105:G110" si="25">E105+F105</f>
        <v>53774.020000000004</v>
      </c>
      <c r="H105" s="172">
        <f t="shared" ref="H105:H111" si="26">IF($G$208=0,0,G105/$G$208)</f>
        <v>7.5351897919652931E-3</v>
      </c>
      <c r="I105" s="336"/>
      <c r="J105" s="183">
        <f>2780+2055</f>
        <v>4835</v>
      </c>
      <c r="K105" s="183">
        <f>2941+2174</f>
        <v>5115</v>
      </c>
      <c r="M105" s="364">
        <f t="shared" ref="M105:M110" si="27">G105/G$228</f>
        <v>1.8220452004201539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'[29]Sch C'!D99</f>
        <v>5351</v>
      </c>
      <c r="D106" s="558">
        <f>'[29]Sch C'!F99</f>
        <v>0</v>
      </c>
      <c r="E106" s="171">
        <f t="shared" si="24"/>
        <v>5351</v>
      </c>
      <c r="F106" s="171">
        <v>4960.55</v>
      </c>
      <c r="G106" s="171">
        <f t="shared" si="25"/>
        <v>10311.549999999999</v>
      </c>
      <c r="H106" s="172">
        <f t="shared" si="26"/>
        <v>1.4449261241644145E-3</v>
      </c>
      <c r="I106" s="336"/>
      <c r="J106" s="168"/>
      <c r="K106" s="168"/>
      <c r="M106" s="364">
        <f t="shared" si="27"/>
        <v>0.34939009927828413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'[29]Sch C'!D100</f>
        <v>6320</v>
      </c>
      <c r="D107" s="558">
        <f>'[29]Sch C'!F100</f>
        <v>0</v>
      </c>
      <c r="E107" s="171">
        <f t="shared" si="24"/>
        <v>6320</v>
      </c>
      <c r="F107" s="171">
        <v>2699.92</v>
      </c>
      <c r="G107" s="171">
        <f t="shared" si="25"/>
        <v>9019.92</v>
      </c>
      <c r="H107" s="172">
        <f t="shared" si="26"/>
        <v>1.2639339426054363E-3</v>
      </c>
      <c r="I107" s="336"/>
      <c r="J107" s="168"/>
      <c r="K107" s="168"/>
      <c r="M107" s="364">
        <f t="shared" si="27"/>
        <v>0.30562531765662587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'[29]Sch C'!D101</f>
        <v>0</v>
      </c>
      <c r="D108" s="558">
        <f>'[29]Sch C'!F101</f>
        <v>0</v>
      </c>
      <c r="E108" s="171">
        <f t="shared" si="24"/>
        <v>0</v>
      </c>
      <c r="F108" s="171">
        <v>433.66</v>
      </c>
      <c r="G108" s="171">
        <f t="shared" si="25"/>
        <v>433.66</v>
      </c>
      <c r="H108" s="172">
        <f t="shared" si="26"/>
        <v>6.0767456202524355E-5</v>
      </c>
      <c r="I108" s="336"/>
      <c r="J108" s="168"/>
      <c r="K108" s="168"/>
      <c r="M108" s="364">
        <f t="shared" si="27"/>
        <v>1.4693863721072072E-2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'[29]Sch C'!D102</f>
        <v>2524</v>
      </c>
      <c r="D109" s="558">
        <f>'[29]Sch C'!F102</f>
        <v>0</v>
      </c>
      <c r="E109" s="171">
        <f t="shared" si="24"/>
        <v>2524</v>
      </c>
      <c r="F109" s="171">
        <v>2836.77</v>
      </c>
      <c r="G109" s="171">
        <f t="shared" si="25"/>
        <v>5360.77</v>
      </c>
      <c r="H109" s="172">
        <f t="shared" si="26"/>
        <v>7.5118838764655837E-4</v>
      </c>
      <c r="I109" s="336"/>
      <c r="J109" s="168"/>
      <c r="K109" s="168"/>
      <c r="M109" s="364">
        <f t="shared" si="27"/>
        <v>0.18164097177514996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'[29]Sch C'!D103</f>
        <v>0</v>
      </c>
      <c r="D110" s="558">
        <f>'[29]Sch C'!F103</f>
        <v>0</v>
      </c>
      <c r="E110" s="171">
        <f t="shared" si="24"/>
        <v>0</v>
      </c>
      <c r="F110" s="171">
        <v>106.25</v>
      </c>
      <c r="G110" s="171">
        <f t="shared" si="25"/>
        <v>106.25</v>
      </c>
      <c r="H110" s="172">
        <f t="shared" si="26"/>
        <v>1.4888489188576795E-5</v>
      </c>
      <c r="I110" s="336"/>
      <c r="J110" s="168"/>
      <c r="K110" s="168"/>
      <c r="M110" s="364">
        <f t="shared" si="27"/>
        <v>3.6001084267949716E-3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43067</v>
      </c>
      <c r="D111" s="558">
        <f>SUM(D105:D110)</f>
        <v>0</v>
      </c>
      <c r="E111" s="171">
        <f t="shared" ref="E111:F111" si="28">SUM(E105:E110)</f>
        <v>43067</v>
      </c>
      <c r="F111" s="171">
        <f t="shared" si="28"/>
        <v>35939.17</v>
      </c>
      <c r="G111" s="171">
        <f>SUM(G105:G110)</f>
        <v>79006.170000000013</v>
      </c>
      <c r="H111" s="172">
        <f t="shared" si="26"/>
        <v>1.1070894191772804E-2</v>
      </c>
      <c r="I111" s="336"/>
      <c r="J111" s="168"/>
      <c r="K111" s="168"/>
      <c r="M111" s="364">
        <f>G111/G$228</f>
        <v>2.6769955612780811</v>
      </c>
      <c r="N111" s="359">
        <f>SUMMARY!J114</f>
        <v>2.4242384372309496</v>
      </c>
      <c r="O111" s="354">
        <f>M111/N111-1</f>
        <v>0.10426248514392822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'[29]Sch C'!D115</f>
        <v>63145</v>
      </c>
      <c r="D114" s="558">
        <f>'[29]Sch C'!F115</f>
        <v>0</v>
      </c>
      <c r="E114" s="171">
        <f t="shared" ref="E114:E118" si="29">C114+D114</f>
        <v>63145</v>
      </c>
      <c r="F114" s="171">
        <v>43954.450000000004</v>
      </c>
      <c r="G114" s="171">
        <f>E114+F114</f>
        <v>107099.45000000001</v>
      </c>
      <c r="H114" s="172">
        <f t="shared" ref="H114:H119" si="30">IF($G$208=0,0,G114/$G$208)</f>
        <v>1.5007520032259022E-2</v>
      </c>
      <c r="I114" s="336"/>
      <c r="J114" s="183">
        <f>6413+3433</f>
        <v>9846</v>
      </c>
      <c r="K114" s="183">
        <f>6692+3664</f>
        <v>10356</v>
      </c>
      <c r="M114" s="364">
        <f t="shared" ref="M114:M119" si="31">G114/G$228</f>
        <v>3.6288906583539462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'[29]Sch C'!D116</f>
        <v>11702</v>
      </c>
      <c r="D115" s="558">
        <f>'[29]Sch C'!F116</f>
        <v>0</v>
      </c>
      <c r="E115" s="171">
        <f t="shared" si="29"/>
        <v>11702</v>
      </c>
      <c r="F115" s="171">
        <v>8755.75</v>
      </c>
      <c r="G115" s="171">
        <f>E115+F115</f>
        <v>20457.75</v>
      </c>
      <c r="H115" s="172">
        <f t="shared" si="30"/>
        <v>2.8666822559774768E-3</v>
      </c>
      <c r="I115" s="336"/>
      <c r="J115" s="168"/>
      <c r="K115" s="168"/>
      <c r="M115" s="364">
        <f t="shared" si="31"/>
        <v>0.69317758276013963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'[29]Sch C'!D117</f>
        <v>14421</v>
      </c>
      <c r="D116" s="558">
        <f>'[29]Sch C'!F117</f>
        <v>0</v>
      </c>
      <c r="E116" s="171">
        <f t="shared" si="29"/>
        <v>14421</v>
      </c>
      <c r="F116" s="171">
        <v>14052.119999999999</v>
      </c>
      <c r="G116" s="171">
        <f>E116+F116</f>
        <v>28473.119999999999</v>
      </c>
      <c r="H116" s="172">
        <f t="shared" si="30"/>
        <v>3.9898516638592913E-3</v>
      </c>
      <c r="I116" s="336"/>
      <c r="J116" s="168"/>
      <c r="K116" s="168"/>
      <c r="M116" s="364">
        <f t="shared" si="31"/>
        <v>0.9647653576390065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'[29]Sch C'!D118</f>
        <v>0</v>
      </c>
      <c r="D117" s="558">
        <f>'[29]Sch C'!F118</f>
        <v>0</v>
      </c>
      <c r="E117" s="171">
        <f t="shared" si="29"/>
        <v>0</v>
      </c>
      <c r="F117" s="171">
        <v>0</v>
      </c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'[29]Sch C'!D119</f>
        <v>0</v>
      </c>
      <c r="D118" s="558">
        <f>'[29]Sch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89268</v>
      </c>
      <c r="D119" s="558">
        <f>SUM(D114:D118)</f>
        <v>0</v>
      </c>
      <c r="E119" s="171">
        <f t="shared" ref="E119:F119" si="32">SUM(E114:E118)</f>
        <v>89268</v>
      </c>
      <c r="F119" s="171">
        <f t="shared" si="32"/>
        <v>66762.320000000007</v>
      </c>
      <c r="G119" s="171">
        <f>SUM(G114:G118)</f>
        <v>156030.32</v>
      </c>
      <c r="H119" s="172">
        <f t="shared" si="30"/>
        <v>2.1864053952095789E-2</v>
      </c>
      <c r="I119" s="336"/>
      <c r="J119" s="168"/>
      <c r="K119" s="168"/>
      <c r="M119" s="364">
        <f t="shared" si="31"/>
        <v>5.2868335987530921</v>
      </c>
      <c r="N119" s="359">
        <f>SUMMARY!J122</f>
        <v>6.0247597205909562</v>
      </c>
      <c r="O119" s="354">
        <f>M119/N119-1</f>
        <v>-0.12248224926146634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'[29]Sch C'!D124</f>
        <v>0</v>
      </c>
      <c r="D123" s="558">
        <f>'[29]Sch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'[29]Sch C'!D125</f>
        <v>153181</v>
      </c>
      <c r="D124" s="558">
        <f>'[29]Sch C'!F125</f>
        <v>0</v>
      </c>
      <c r="E124" s="171">
        <f t="shared" si="33"/>
        <v>153181</v>
      </c>
      <c r="F124" s="171">
        <v>94293.919999999984</v>
      </c>
      <c r="G124" s="171">
        <f>E124+F124</f>
        <v>247474.91999999998</v>
      </c>
      <c r="H124" s="172">
        <f>IF($G$208=0,0,G124/$G$208)</f>
        <v>3.4677907490483828E-2</v>
      </c>
      <c r="I124" s="336"/>
      <c r="J124" s="183">
        <f>6214+1712</f>
        <v>7926</v>
      </c>
      <c r="K124" s="183">
        <f>6414+1760</f>
        <v>8174</v>
      </c>
      <c r="M124" s="364">
        <f t="shared" si="34"/>
        <v>8.3852851285874017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'[29]Sch C'!D126</f>
        <v>0</v>
      </c>
      <c r="D125" s="558">
        <f>'[29]Sch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'[29]Sch C'!D127</f>
        <v>0</v>
      </c>
      <c r="D126" s="558">
        <f>'[29]Sch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'[29]Sch C'!D128</f>
        <v>30767</v>
      </c>
      <c r="D127" s="558">
        <f>'[29]Sch C'!F128</f>
        <v>0</v>
      </c>
      <c r="E127" s="171">
        <f t="shared" si="33"/>
        <v>30767</v>
      </c>
      <c r="F127" s="171">
        <v>10616.109999999999</v>
      </c>
      <c r="G127" s="171">
        <f>E127+F127</f>
        <v>41383.11</v>
      </c>
      <c r="H127" s="172">
        <f>IF($G$208=0,0,G127/$G$208)</f>
        <v>5.7988892783499687E-3</v>
      </c>
      <c r="I127" s="336"/>
      <c r="J127" s="183">
        <f>850+727</f>
        <v>1577</v>
      </c>
      <c r="K127" s="183">
        <f>955+757</f>
        <v>1712</v>
      </c>
      <c r="M127" s="364">
        <f t="shared" si="34"/>
        <v>1.4021993697692543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'[29]Sch C'!D130</f>
        <v>0</v>
      </c>
      <c r="D129" s="558">
        <f>'[29]Sch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'[29]Sch C'!D131</f>
        <v>28388</v>
      </c>
      <c r="D130" s="558">
        <f>'[29]Sch C'!F131</f>
        <v>0</v>
      </c>
      <c r="E130" s="171">
        <f t="shared" si="35"/>
        <v>28388</v>
      </c>
      <c r="F130" s="171">
        <v>18783.62</v>
      </c>
      <c r="G130" s="171">
        <f>E130+F130</f>
        <v>47171.619999999995</v>
      </c>
      <c r="H130" s="172">
        <f>IF($G$208=0,0,G130/$G$208)</f>
        <v>6.6100155706132029E-3</v>
      </c>
      <c r="I130" s="336"/>
      <c r="J130" s="204"/>
      <c r="K130" s="204"/>
      <c r="M130" s="364">
        <f t="shared" si="34"/>
        <v>1.5983336156947785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'[29]Sch C'!D132</f>
        <v>0</v>
      </c>
      <c r="D131" s="558">
        <f>'[29]Sch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'[29]Sch C'!D133</f>
        <v>0</v>
      </c>
      <c r="D132" s="558">
        <f>'[29]Sch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'[29]Sch C'!D134</f>
        <v>5702</v>
      </c>
      <c r="D133" s="558">
        <f>'[29]Sch C'!F134</f>
        <v>0</v>
      </c>
      <c r="E133" s="171">
        <f t="shared" si="35"/>
        <v>5702</v>
      </c>
      <c r="F133" s="171">
        <v>2115</v>
      </c>
      <c r="G133" s="171">
        <f>E133+F133</f>
        <v>7817</v>
      </c>
      <c r="H133" s="172">
        <f>IF($G$208=0,0,G133/$G$208)</f>
        <v>1.0953724234080452E-3</v>
      </c>
      <c r="I133" s="336"/>
      <c r="J133" s="168"/>
      <c r="K133" s="168"/>
      <c r="M133" s="364">
        <f t="shared" si="34"/>
        <v>0.26486633009182392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'[29]Sch C'!D136</f>
        <v>371510</v>
      </c>
      <c r="D135" s="558">
        <f>'[29]Sch C'!F136</f>
        <v>0</v>
      </c>
      <c r="E135" s="171">
        <f t="shared" ref="E135:E138" si="36">C135+D135</f>
        <v>371510</v>
      </c>
      <c r="F135" s="171">
        <v>228776.89</v>
      </c>
      <c r="G135" s="171">
        <f>E135+F135</f>
        <v>600286.89</v>
      </c>
      <c r="H135" s="172">
        <f>IF($G$208=0,0,G135/$G$208)</f>
        <v>8.4116375264088356E-2</v>
      </c>
      <c r="I135" s="336"/>
      <c r="J135" s="183">
        <f>11821+7861</f>
        <v>19682</v>
      </c>
      <c r="K135" s="183">
        <f>12249+8290</f>
        <v>20539</v>
      </c>
      <c r="M135" s="364">
        <f t="shared" si="34"/>
        <v>20.339744858198081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'[29]Sch C'!D137</f>
        <v>235509</v>
      </c>
      <c r="D136" s="558">
        <f>'[29]Sch C'!F137</f>
        <v>0</v>
      </c>
      <c r="E136" s="171">
        <f t="shared" si="36"/>
        <v>235509</v>
      </c>
      <c r="F136" s="171">
        <v>184771.57</v>
      </c>
      <c r="G136" s="171">
        <f>E136+F136</f>
        <v>420280.57</v>
      </c>
      <c r="H136" s="172">
        <f>IF($G$208=0,0,G136/$G$208)</f>
        <v>5.8892637389307223E-2</v>
      </c>
      <c r="I136" s="336"/>
      <c r="J136" s="183">
        <f>9098+6579</f>
        <v>15677</v>
      </c>
      <c r="K136" s="183">
        <f>9388+6881</f>
        <v>16269</v>
      </c>
      <c r="M136" s="364">
        <f t="shared" si="34"/>
        <v>14.240523498119472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'[29]Sch C'!D138</f>
        <v>421715</v>
      </c>
      <c r="D137" s="558">
        <f>'[29]Sch C'!F138</f>
        <v>0</v>
      </c>
      <c r="E137" s="171">
        <f t="shared" si="36"/>
        <v>421715</v>
      </c>
      <c r="F137" s="171">
        <v>308234.28999999998</v>
      </c>
      <c r="G137" s="171">
        <f>E137+F137</f>
        <v>729949.29</v>
      </c>
      <c r="H137" s="172">
        <f>IF($G$208=0,0,G137/$G$208)</f>
        <v>0.10228557282234642</v>
      </c>
      <c r="I137" s="336"/>
      <c r="J137" s="183">
        <f>41209+21748</f>
        <v>62957</v>
      </c>
      <c r="K137" s="183">
        <f>42019+22735</f>
        <v>64754</v>
      </c>
      <c r="M137" s="364">
        <f t="shared" si="34"/>
        <v>24.733144377054181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'[29]Sch C'!D139</f>
        <v>0</v>
      </c>
      <c r="D138" s="558">
        <f>'[29]Sch C'!F139</f>
        <v>0</v>
      </c>
      <c r="E138" s="171">
        <f t="shared" si="36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'[29]Sch C'!D141</f>
        <v>68850</v>
      </c>
      <c r="D140" s="558">
        <f>'[29]Sch C'!F141</f>
        <v>0</v>
      </c>
      <c r="E140" s="171">
        <f t="shared" ref="E140:E143" si="37">C140+D140</f>
        <v>68850</v>
      </c>
      <c r="F140" s="171">
        <v>45573</v>
      </c>
      <c r="G140" s="171">
        <f>E140+F140</f>
        <v>114423</v>
      </c>
      <c r="H140" s="172">
        <f>IF($G$208=0,0,G140/$G$208)</f>
        <v>1.6033746808701389E-2</v>
      </c>
      <c r="I140" s="336"/>
      <c r="J140" s="168"/>
      <c r="K140" s="168"/>
      <c r="M140" s="364">
        <f t="shared" si="34"/>
        <v>3.8770372378273983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'[29]Sch C'!D142</f>
        <v>43645</v>
      </c>
      <c r="D141" s="558">
        <f>'[29]Sch C'!F142</f>
        <v>0</v>
      </c>
      <c r="E141" s="171">
        <f t="shared" si="37"/>
        <v>43645</v>
      </c>
      <c r="F141" s="171">
        <v>36807</v>
      </c>
      <c r="G141" s="171">
        <f>E141+F141</f>
        <v>80452</v>
      </c>
      <c r="H141" s="172">
        <f>IF($G$208=0,0,G141/$G$208)</f>
        <v>1.1273493950111815E-2</v>
      </c>
      <c r="I141" s="336"/>
      <c r="J141" s="168"/>
      <c r="K141" s="168"/>
      <c r="M141" s="364">
        <f t="shared" si="34"/>
        <v>2.7259851590824384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'[29]Sch C'!D143</f>
        <v>78154</v>
      </c>
      <c r="D142" s="558">
        <f>'[29]Sch C'!F143</f>
        <v>0</v>
      </c>
      <c r="E142" s="171">
        <f t="shared" si="37"/>
        <v>78154</v>
      </c>
      <c r="F142" s="171">
        <v>61401</v>
      </c>
      <c r="G142" s="171">
        <f>E142+F142</f>
        <v>139555</v>
      </c>
      <c r="H142" s="172">
        <f>IF($G$208=0,0,G142/$G$208)</f>
        <v>1.9555417493758442E-2</v>
      </c>
      <c r="I142" s="336"/>
      <c r="J142" s="168"/>
      <c r="K142" s="168"/>
      <c r="M142" s="364">
        <f t="shared" si="34"/>
        <v>4.7285941788364454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'[29]Sch C'!D144</f>
        <v>0</v>
      </c>
      <c r="D143" s="558">
        <f>'[29]Sch C'!F144</f>
        <v>0</v>
      </c>
      <c r="E143" s="171">
        <f t="shared" si="37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'[29]Sch C'!D146</f>
        <v>13000</v>
      </c>
      <c r="D145" s="558">
        <f>'[29]Sch C'!F146</f>
        <v>0</v>
      </c>
      <c r="E145" s="171">
        <f t="shared" ref="E145:E153" si="38">C145+D145</f>
        <v>13000</v>
      </c>
      <c r="F145" s="171">
        <v>14017</v>
      </c>
      <c r="G145" s="171">
        <f t="shared" ref="G145:G153" si="39">E145+F145</f>
        <v>27017</v>
      </c>
      <c r="H145" s="172">
        <f t="shared" ref="H145:H153" si="40">IF($G$208=0,0,G145/$G$208)</f>
        <v>3.7858099991320399E-3</v>
      </c>
      <c r="I145" s="336"/>
      <c r="J145" s="183">
        <v>0</v>
      </c>
      <c r="K145" s="183">
        <v>0</v>
      </c>
      <c r="M145" s="364">
        <f t="shared" si="34"/>
        <v>0.91542709992206828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'[29]Sch C'!D147</f>
        <v>0</v>
      </c>
      <c r="D146" s="558">
        <f>'[29]Sch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'[29]Sch C'!D148</f>
        <v>0</v>
      </c>
      <c r="D147" s="558">
        <f>'[29]Sch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'[29]Sch C'!D149</f>
        <v>0</v>
      </c>
      <c r="D148" s="558">
        <f>'[29]Sch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'[29]Sch C'!D150</f>
        <v>6112</v>
      </c>
      <c r="D149" s="558">
        <f>'[29]Sch C'!F150</f>
        <v>0</v>
      </c>
      <c r="E149" s="171">
        <f t="shared" si="38"/>
        <v>6112</v>
      </c>
      <c r="F149" s="171">
        <v>0</v>
      </c>
      <c r="G149" s="171">
        <f t="shared" si="39"/>
        <v>6112</v>
      </c>
      <c r="H149" s="172">
        <f t="shared" si="40"/>
        <v>8.5645596160547168E-4</v>
      </c>
      <c r="I149" s="336"/>
      <c r="J149" s="183">
        <v>0</v>
      </c>
      <c r="K149" s="183">
        <v>0</v>
      </c>
      <c r="M149" s="364">
        <f t="shared" si="34"/>
        <v>0.20709517839596109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'[29]Sch C'!D151</f>
        <v>97148</v>
      </c>
      <c r="D150" s="558">
        <f>'[29]Sch C'!F151</f>
        <v>0</v>
      </c>
      <c r="E150" s="171">
        <f t="shared" si="38"/>
        <v>97148</v>
      </c>
      <c r="F150" s="171">
        <v>86772.17</v>
      </c>
      <c r="G150" s="171">
        <f t="shared" si="39"/>
        <v>183920.16999999998</v>
      </c>
      <c r="H150" s="172">
        <f t="shared" si="40"/>
        <v>2.5772173765705467E-2</v>
      </c>
      <c r="I150" s="336"/>
      <c r="J150" s="168"/>
      <c r="K150" s="168"/>
      <c r="M150" s="364">
        <f t="shared" si="34"/>
        <v>6.2318358011723642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'[29]Sch C'!D152</f>
        <v>994</v>
      </c>
      <c r="D151" s="558">
        <f>'[29]Sch C'!F152</f>
        <v>0</v>
      </c>
      <c r="E151" s="171">
        <f t="shared" si="38"/>
        <v>994</v>
      </c>
      <c r="F151" s="171">
        <v>0</v>
      </c>
      <c r="G151" s="171">
        <f t="shared" si="39"/>
        <v>994</v>
      </c>
      <c r="H151" s="172">
        <f t="shared" si="40"/>
        <v>1.3928619532654432E-4</v>
      </c>
      <c r="I151" s="336"/>
      <c r="J151" s="168"/>
      <c r="K151" s="168"/>
      <c r="M151" s="364">
        <f t="shared" si="34"/>
        <v>3.3680073188086607E-2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'[29]Sch C'!D153</f>
        <v>0</v>
      </c>
      <c r="D152" s="558">
        <f>'[29]Sch C'!F153</f>
        <v>0</v>
      </c>
      <c r="E152" s="171">
        <f t="shared" si="38"/>
        <v>0</v>
      </c>
      <c r="F152" s="171">
        <v>9589.2900000000009</v>
      </c>
      <c r="G152" s="171">
        <f t="shared" si="39"/>
        <v>9589.2900000000009</v>
      </c>
      <c r="H152" s="172">
        <f t="shared" si="40"/>
        <v>1.3437180281517889E-3</v>
      </c>
      <c r="I152" s="336"/>
      <c r="J152" s="168"/>
      <c r="K152" s="168"/>
      <c r="M152" s="364">
        <f t="shared" si="34"/>
        <v>0.32491749398570124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'[29]Sch C'!D154</f>
        <v>0</v>
      </c>
      <c r="D153" s="558">
        <f>'[29]Sch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'[29]Sch C'!D156</f>
        <v>0</v>
      </c>
      <c r="D155" s="558">
        <f>'[29]Sch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'[29]Sch C'!D157</f>
        <v>0</v>
      </c>
      <c r="D156" s="558">
        <f>'[29]Sch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'[29]Sch C'!D158</f>
        <v>0</v>
      </c>
      <c r="D157" s="558">
        <f>'[29]Sch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'[29]Sch C'!D159</f>
        <v>0</v>
      </c>
      <c r="D158" s="558">
        <f>'[29]Sch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'[29]Sch C'!D160</f>
        <v>0</v>
      </c>
      <c r="D159" s="558">
        <f>'[29]Sch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'[29]Sch C'!D161</f>
        <v>0</v>
      </c>
      <c r="D160" s="558">
        <f>'[29]Sch C'!F161</f>
        <v>0</v>
      </c>
      <c r="E160" s="171">
        <f t="shared" si="41"/>
        <v>0</v>
      </c>
      <c r="F160" s="171">
        <f>364.79+929</f>
        <v>1293.79</v>
      </c>
      <c r="G160" s="171">
        <f t="shared" si="42"/>
        <v>1293.79</v>
      </c>
      <c r="H160" s="172">
        <f t="shared" si="43"/>
        <v>1.8129485578624724E-4</v>
      </c>
      <c r="I160" s="336"/>
      <c r="J160" s="168"/>
      <c r="K160" s="168"/>
      <c r="M160" s="364">
        <f t="shared" si="34"/>
        <v>4.3837969708264153E-2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1554675</v>
      </c>
      <c r="D161" s="558">
        <f>SUM(D123:D160)</f>
        <v>0</v>
      </c>
      <c r="E161" s="171">
        <f t="shared" ref="E161:F161" si="44">SUM(E123:E160)</f>
        <v>1554675</v>
      </c>
      <c r="F161" s="171">
        <f t="shared" si="44"/>
        <v>1103044.6499999999</v>
      </c>
      <c r="G161" s="171">
        <f>SUM(G123:G160)</f>
        <v>2657719.6500000004</v>
      </c>
      <c r="H161" s="172">
        <f t="shared" si="43"/>
        <v>0.37241816729687627</v>
      </c>
      <c r="I161" s="336"/>
      <c r="J161" s="168"/>
      <c r="K161" s="168"/>
      <c r="M161" s="364">
        <f>G161/G$228</f>
        <v>90.05250736963373</v>
      </c>
      <c r="N161" s="359">
        <f>SUMMARY!J164</f>
        <v>105.56901037202306</v>
      </c>
      <c r="O161" s="354">
        <f>M161/N161-1</f>
        <v>-0.14697971447974634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'[29]Sch C'!D175</f>
        <v>0</v>
      </c>
      <c r="D164" s="558">
        <f>'[29]Sch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'[29]Sch C'!D176</f>
        <v>0</v>
      </c>
      <c r="D165" s="558">
        <f>'[29]Sch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'[29]Sch C'!D177</f>
        <v>0</v>
      </c>
      <c r="D166" s="558">
        <f>'[29]Sch C'!F177</f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'[29]Sch C'!D178</f>
        <v>0</v>
      </c>
      <c r="D167" s="558">
        <f>'[29]Sch C'!F178</f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'[29]Sch C'!D179</f>
        <v>0</v>
      </c>
      <c r="D168" s="558">
        <f>'[29]Sch C'!F179</f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'[29]Sch C'!D180</f>
        <v>0</v>
      </c>
      <c r="D169" s="558">
        <f>'[29]Sch C'!F180</f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'[29]Sch C'!D181</f>
        <v>0</v>
      </c>
      <c r="D170" s="558">
        <f>'[29]Sch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'[29]Sch C'!D182</f>
        <v>0</v>
      </c>
      <c r="D171" s="558">
        <f>'[29]Sch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'[29]Sch C'!D183</f>
        <v>0</v>
      </c>
      <c r="D172" s="558">
        <f>'[29]Sch C'!F183</f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'[29]Sch C'!D184</f>
        <v>0</v>
      </c>
      <c r="D173" s="558">
        <f>'[29]Sch C'!F184</f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'[29]Sch C'!D185</f>
        <v>0</v>
      </c>
      <c r="D174" s="558">
        <f>'[29]Sch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'[29]Sch C'!D186</f>
        <v>0</v>
      </c>
      <c r="D175" s="558">
        <f>'[29]Sch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'[29]Sch C'!D187</f>
        <v>0</v>
      </c>
      <c r="D176" s="558">
        <f>'[29]Sch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'[29]Sch C'!D188</f>
        <v>945</v>
      </c>
      <c r="D177" s="558">
        <f>'[29]Sch C'!F188</f>
        <v>0</v>
      </c>
      <c r="E177" s="171">
        <f t="shared" si="45"/>
        <v>945</v>
      </c>
      <c r="F177" s="216">
        <v>170548.87999999998</v>
      </c>
      <c r="G177" s="171">
        <f t="shared" si="46"/>
        <v>171493.87999999998</v>
      </c>
      <c r="H177" s="172">
        <f t="shared" si="47"/>
        <v>2.4030915560349041E-2</v>
      </c>
      <c r="I177" s="336"/>
      <c r="J177" s="223"/>
      <c r="K177" s="218"/>
      <c r="L177" s="220"/>
      <c r="M177" s="364">
        <f t="shared" si="48"/>
        <v>5.8107911767695581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'[29]Sch C'!D189</f>
        <v>0</v>
      </c>
      <c r="D178" s="558">
        <f>'[29]Sch C'!F189</f>
        <v>0</v>
      </c>
      <c r="E178" s="171">
        <f t="shared" si="45"/>
        <v>0</v>
      </c>
      <c r="F178" s="216">
        <v>26469.810000000005</v>
      </c>
      <c r="G178" s="171">
        <f t="shared" si="46"/>
        <v>26469.810000000005</v>
      </c>
      <c r="H178" s="172">
        <f t="shared" si="47"/>
        <v>3.7091339294934773E-3</v>
      </c>
      <c r="I178" s="336"/>
      <c r="J178" s="223"/>
      <c r="K178" s="218"/>
      <c r="L178" s="220"/>
      <c r="M178" s="364">
        <f t="shared" si="48"/>
        <v>0.89688645681564072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'[29]Sch C'!D190</f>
        <v>0</v>
      </c>
      <c r="D179" s="558">
        <f>'[29]Sch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'[29]Sch C'!D191</f>
        <v>81</v>
      </c>
      <c r="D180" s="558">
        <f>'[29]Sch C'!F191</f>
        <v>0</v>
      </c>
      <c r="E180" s="171">
        <f t="shared" si="45"/>
        <v>81</v>
      </c>
      <c r="F180" s="216">
        <v>117854.09</v>
      </c>
      <c r="G180" s="171">
        <f t="shared" si="46"/>
        <v>117935.09</v>
      </c>
      <c r="H180" s="172">
        <f t="shared" si="47"/>
        <v>1.6525885293353703E-2</v>
      </c>
      <c r="I180" s="336"/>
      <c r="J180" s="223"/>
      <c r="K180" s="218"/>
      <c r="L180" s="220"/>
      <c r="M180" s="364">
        <f t="shared" si="48"/>
        <v>3.9960386948124555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'[29]Sch C'!D192</f>
        <v>0</v>
      </c>
      <c r="D181" s="558">
        <f>'[29]Sch C'!F192</f>
        <v>0</v>
      </c>
      <c r="E181" s="171">
        <f t="shared" si="45"/>
        <v>0</v>
      </c>
      <c r="F181" s="216">
        <v>21533.119999999999</v>
      </c>
      <c r="G181" s="171">
        <f t="shared" si="46"/>
        <v>21533.119999999999</v>
      </c>
      <c r="H181" s="172">
        <f t="shared" si="47"/>
        <v>3.0173705818007219E-3</v>
      </c>
      <c r="I181" s="336"/>
      <c r="J181" s="223"/>
      <c r="K181" s="218"/>
      <c r="L181" s="220"/>
      <c r="M181" s="364">
        <f t="shared" si="48"/>
        <v>0.72961474604411614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'[29]Sch C'!D193</f>
        <v>0</v>
      </c>
      <c r="D182" s="558">
        <f>'[29]Sch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'[29]Sch C'!D194</f>
        <v>224962</v>
      </c>
      <c r="D183" s="558">
        <f>'[29]Sch C'!F194</f>
        <v>587</v>
      </c>
      <c r="E183" s="171">
        <f t="shared" si="45"/>
        <v>225549</v>
      </c>
      <c r="F183" s="216">
        <v>0</v>
      </c>
      <c r="G183" s="171">
        <f t="shared" si="46"/>
        <v>225549</v>
      </c>
      <c r="H183" s="172">
        <f t="shared" si="47"/>
        <v>3.1605495039946419E-2</v>
      </c>
      <c r="I183" s="336"/>
      <c r="J183" s="223"/>
      <c r="K183" s="218"/>
      <c r="M183" s="364">
        <f t="shared" si="48"/>
        <v>7.6423609934605086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'[29]Sch C'!D195</f>
        <v>34544</v>
      </c>
      <c r="D184" s="558">
        <f>'[29]Sch C'!F195</f>
        <v>90</v>
      </c>
      <c r="E184" s="171">
        <f t="shared" si="45"/>
        <v>34634</v>
      </c>
      <c r="F184" s="216">
        <v>0</v>
      </c>
      <c r="G184" s="171">
        <f t="shared" si="46"/>
        <v>34634</v>
      </c>
      <c r="H184" s="172">
        <f t="shared" si="47"/>
        <v>4.8531570311262937E-3</v>
      </c>
      <c r="I184" s="336"/>
      <c r="J184" s="223"/>
      <c r="K184" s="218"/>
      <c r="M184" s="364">
        <f t="shared" si="48"/>
        <v>1.1735167553281605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'[29]Sch C'!D196</f>
        <v>189872</v>
      </c>
      <c r="D185" s="558">
        <f>'[29]Sch C'!F196</f>
        <v>496</v>
      </c>
      <c r="E185" s="171">
        <f t="shared" si="45"/>
        <v>190368</v>
      </c>
      <c r="F185" s="216">
        <v>0</v>
      </c>
      <c r="G185" s="171">
        <f t="shared" si="46"/>
        <v>190368</v>
      </c>
      <c r="H185" s="172">
        <f t="shared" si="47"/>
        <v>2.6675688563303407E-2</v>
      </c>
      <c r="I185" s="336"/>
      <c r="J185" s="223"/>
      <c r="K185" s="218"/>
      <c r="M185" s="364">
        <f t="shared" si="48"/>
        <v>6.4503100328668719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'[29]Sch C'!D197</f>
        <v>0</v>
      </c>
      <c r="D186" s="558">
        <f>'[29]Sch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'[29]Sch C'!D198</f>
        <v>32613</v>
      </c>
      <c r="D187" s="558">
        <f>'[29]Sch C'!F198</f>
        <v>0</v>
      </c>
      <c r="E187" s="171">
        <f t="shared" si="45"/>
        <v>32613</v>
      </c>
      <c r="F187" s="216">
        <v>0</v>
      </c>
      <c r="G187" s="171">
        <f t="shared" si="46"/>
        <v>32613</v>
      </c>
      <c r="H187" s="172">
        <f t="shared" si="47"/>
        <v>4.5699604508899292E-3</v>
      </c>
      <c r="I187" s="336"/>
      <c r="J187" s="223"/>
      <c r="K187" s="218"/>
      <c r="M187" s="364">
        <f t="shared" si="48"/>
        <v>1.1050384576288415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'[29]Sch C'!D199</f>
        <v>0</v>
      </c>
      <c r="D188" s="558">
        <f>'[29]Sch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'[29]Sch C'!D200</f>
        <v>0</v>
      </c>
      <c r="D189" s="558">
        <f>'[29]Sch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'[29]Sch C'!D201</f>
        <v>2369</v>
      </c>
      <c r="D190" s="558">
        <f>'[29]Sch C'!F201</f>
        <v>0</v>
      </c>
      <c r="E190" s="171">
        <f t="shared" si="45"/>
        <v>2369</v>
      </c>
      <c r="F190" s="216">
        <v>0</v>
      </c>
      <c r="G190" s="171">
        <f t="shared" si="46"/>
        <v>2369</v>
      </c>
      <c r="H190" s="172">
        <f t="shared" si="47"/>
        <v>3.3196076129636163E-4</v>
      </c>
      <c r="I190" s="336"/>
      <c r="J190" s="223"/>
      <c r="K190" s="218"/>
      <c r="M190" s="364">
        <f t="shared" si="48"/>
        <v>8.0269711652492123E-2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'[29]Sch C'!D202</f>
        <v>0</v>
      </c>
      <c r="D191" s="558">
        <f>'[29]Sch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'[29]Sch C'!D203</f>
        <v>8267</v>
      </c>
      <c r="D192" s="558">
        <f>'[29]Sch C'!F203</f>
        <v>0</v>
      </c>
      <c r="E192" s="171">
        <f t="shared" si="45"/>
        <v>8267</v>
      </c>
      <c r="F192" s="216">
        <v>0</v>
      </c>
      <c r="G192" s="171">
        <f t="shared" si="46"/>
        <v>8267</v>
      </c>
      <c r="H192" s="172">
        <f t="shared" si="47"/>
        <v>1.1584295540890764E-3</v>
      </c>
      <c r="I192" s="336"/>
      <c r="J192" s="223"/>
      <c r="K192" s="218"/>
      <c r="M192" s="364">
        <f t="shared" si="48"/>
        <v>0.28011384813472029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'[29]Sch C'!D204</f>
        <v>0</v>
      </c>
      <c r="D193" s="558">
        <f>'[29]Sch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'[29]Sch C'!D205</f>
        <v>163768</v>
      </c>
      <c r="D194" s="558">
        <f>'[29]Sch C'!F205</f>
        <v>0</v>
      </c>
      <c r="E194" s="171">
        <f t="shared" si="45"/>
        <v>163768</v>
      </c>
      <c r="F194" s="216">
        <v>92535.23000000001</v>
      </c>
      <c r="G194" s="171">
        <f t="shared" si="46"/>
        <v>256303.23</v>
      </c>
      <c r="H194" s="172">
        <f t="shared" si="47"/>
        <v>3.5914991706845284E-2</v>
      </c>
      <c r="I194" s="336"/>
      <c r="J194" s="223"/>
      <c r="K194" s="218"/>
      <c r="M194" s="364">
        <f t="shared" si="48"/>
        <v>8.6844180530613624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'[29]Sch C'!D206</f>
        <v>7247</v>
      </c>
      <c r="D195" s="558">
        <f>'[29]Sch C'!F206</f>
        <v>0</v>
      </c>
      <c r="E195" s="171">
        <f t="shared" si="45"/>
        <v>7247</v>
      </c>
      <c r="F195" s="216">
        <v>0</v>
      </c>
      <c r="G195" s="171">
        <f t="shared" si="46"/>
        <v>7247</v>
      </c>
      <c r="H195" s="172">
        <f t="shared" si="47"/>
        <v>1.015500057878739E-3</v>
      </c>
      <c r="I195" s="336"/>
      <c r="J195" s="223"/>
      <c r="K195" s="218"/>
      <c r="M195" s="364">
        <f t="shared" si="48"/>
        <v>0.24555280723748857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'[29]Sch C'!D207</f>
        <v>22653</v>
      </c>
      <c r="D196" s="558">
        <f>'[29]Sch C'!F207</f>
        <v>0</v>
      </c>
      <c r="E196" s="171">
        <f t="shared" si="45"/>
        <v>22653</v>
      </c>
      <c r="F196" s="216">
        <v>0</v>
      </c>
      <c r="G196" s="171">
        <f t="shared" si="46"/>
        <v>22653</v>
      </c>
      <c r="H196" s="172">
        <f t="shared" si="47"/>
        <v>3.1742959584831068E-3</v>
      </c>
      <c r="I196" s="336"/>
      <c r="J196" s="223"/>
      <c r="K196" s="218"/>
      <c r="M196" s="364">
        <f t="shared" si="48"/>
        <v>0.76756005827940232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687321</v>
      </c>
      <c r="D197" s="558">
        <f>SUM(D164:D196)</f>
        <v>1173</v>
      </c>
      <c r="E197" s="171">
        <f t="shared" ref="E197:F197" si="49">SUM(E164:E196)</f>
        <v>688494</v>
      </c>
      <c r="F197" s="171">
        <f t="shared" si="49"/>
        <v>428941.13</v>
      </c>
      <c r="G197" s="171">
        <f>SUM(G164:G196)</f>
        <v>1117435.1299999999</v>
      </c>
      <c r="H197" s="172">
        <f>IF($G$208=0,0,G197/$G$208)</f>
        <v>0.15658278448885554</v>
      </c>
      <c r="I197" s="336"/>
      <c r="J197" s="168"/>
      <c r="K197" s="168"/>
      <c r="M197" s="364">
        <f>G197/G$228</f>
        <v>37.862471792091618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'[29]Sch C'!D211</f>
        <v>67674</v>
      </c>
      <c r="D200" s="558">
        <f>'[29]Sch C'!F211</f>
        <v>0</v>
      </c>
      <c r="E200" s="171">
        <f t="shared" ref="E200:E205" si="50">C200+D200</f>
        <v>67674</v>
      </c>
      <c r="F200" s="171">
        <v>115765.20999999999</v>
      </c>
      <c r="G200" s="171">
        <f t="shared" ref="G200:G205" si="51">E200+F200</f>
        <v>183439.21</v>
      </c>
      <c r="H200" s="172">
        <f t="shared" ref="H200:H206" si="52">IF($G$208=0,0,G200/$G$208)</f>
        <v>2.570477830443358E-2</v>
      </c>
      <c r="I200" s="336"/>
      <c r="J200" s="183">
        <f>4721+6978</f>
        <v>11699</v>
      </c>
      <c r="K200" s="183">
        <f>4882+7346</f>
        <v>12228</v>
      </c>
      <c r="M200" s="364">
        <f t="shared" ref="M200:M205" si="53">G200/G$228</f>
        <v>6.2155392538881165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'[29]Sch C'!D212</f>
        <v>12542</v>
      </c>
      <c r="D201" s="558">
        <f>'[29]Sch C'!F212</f>
        <v>0</v>
      </c>
      <c r="E201" s="171">
        <f t="shared" si="50"/>
        <v>12542</v>
      </c>
      <c r="F201" s="171">
        <v>23060.7</v>
      </c>
      <c r="G201" s="171">
        <f t="shared" si="51"/>
        <v>35602.699999999997</v>
      </c>
      <c r="H201" s="172">
        <f t="shared" si="52"/>
        <v>4.9888980144389928E-3</v>
      </c>
      <c r="I201" s="336"/>
      <c r="J201" s="168"/>
      <c r="K201" s="168"/>
      <c r="M201" s="364">
        <f t="shared" si="53"/>
        <v>1.2063395791685019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'[29]Sch C'!D213</f>
        <v>4714</v>
      </c>
      <c r="D202" s="558">
        <f>'[29]Sch C'!F213</f>
        <v>0</v>
      </c>
      <c r="E202" s="171">
        <f t="shared" si="50"/>
        <v>4714</v>
      </c>
      <c r="F202" s="563">
        <f>1995+619</f>
        <v>2614</v>
      </c>
      <c r="G202" s="171">
        <f t="shared" si="51"/>
        <v>7328</v>
      </c>
      <c r="H202" s="172">
        <f t="shared" si="52"/>
        <v>1.0268503414013247E-3</v>
      </c>
      <c r="I202" s="336"/>
      <c r="J202" s="168"/>
      <c r="K202" s="168"/>
      <c r="M202" s="364">
        <f t="shared" si="53"/>
        <v>0.24829736048520989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'[29]Sch C'!D214</f>
        <v>0</v>
      </c>
      <c r="D203" s="558">
        <f>'[29]Sch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'[29]Sch C'!D215</f>
        <v>0</v>
      </c>
      <c r="D204" s="558">
        <f>'[29]Sch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'[29]Sch C'!D216</f>
        <v>8624</v>
      </c>
      <c r="D205" s="558">
        <f>'[29]Sch C'!F216</f>
        <v>0</v>
      </c>
      <c r="E205" s="171">
        <f t="shared" si="50"/>
        <v>8624</v>
      </c>
      <c r="F205" s="171">
        <v>3506.44</v>
      </c>
      <c r="G205" s="171">
        <f t="shared" si="51"/>
        <v>12130.44</v>
      </c>
      <c r="H205" s="172">
        <f t="shared" si="52"/>
        <v>1.6998016451075717E-3</v>
      </c>
      <c r="I205" s="336"/>
      <c r="J205" s="168"/>
      <c r="K205" s="168"/>
      <c r="M205" s="364">
        <f t="shared" si="53"/>
        <v>0.41102022837393692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93554</v>
      </c>
      <c r="D206" s="558">
        <f>SUM(D200:D205)</f>
        <v>0</v>
      </c>
      <c r="E206" s="171">
        <f t="shared" ref="E206:F206" si="54">SUM(E200:E205)</f>
        <v>93554</v>
      </c>
      <c r="F206" s="171">
        <f t="shared" si="54"/>
        <v>144946.35</v>
      </c>
      <c r="G206" s="171">
        <f>SUM(G200:G205)</f>
        <v>238500.34999999998</v>
      </c>
      <c r="H206" s="172">
        <f t="shared" si="52"/>
        <v>3.3420328305381469E-2</v>
      </c>
      <c r="I206" s="336"/>
      <c r="J206" s="168"/>
      <c r="K206" s="168"/>
      <c r="M206" s="364">
        <f>G206/G$228</f>
        <v>8.0811964219157648</v>
      </c>
      <c r="N206" s="359">
        <f>SUMMARY!J209</f>
        <v>7.1515095990067339</v>
      </c>
      <c r="O206" s="354">
        <f>M206/N206-1</f>
        <v>0.12999868210176979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4777123</v>
      </c>
      <c r="D208" s="558">
        <f>SUM(D25:D206)/2</f>
        <v>-569049</v>
      </c>
      <c r="E208" s="171">
        <f t="shared" ref="E208:F208" si="55">SUM(E25:E206)/2</f>
        <v>4208074</v>
      </c>
      <c r="F208" s="171">
        <f t="shared" si="55"/>
        <v>2928311.61</v>
      </c>
      <c r="G208" s="171">
        <f>SUM(G25:G206)/2</f>
        <v>7136385.6099999994</v>
      </c>
      <c r="H208" s="172">
        <f>IF($G$208=0,0,G208/$G$208)</f>
        <v>1</v>
      </c>
      <c r="I208" s="336"/>
      <c r="J208" s="183">
        <f>SUM(J25:J200)</f>
        <v>171248</v>
      </c>
      <c r="K208" s="183">
        <f>SUM(K25:K200)</f>
        <v>177673</v>
      </c>
      <c r="M208" s="364">
        <f>G208/G$228</f>
        <v>241.80481855453527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-0.45667083978954159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'[29]Sch C'!D221</f>
        <v>4777123</v>
      </c>
      <c r="D211" s="196"/>
      <c r="E211" s="165"/>
      <c r="F211" s="445" t="s">
        <v>512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45" t="s">
        <v>513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511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-408926</v>
      </c>
      <c r="D215" s="558">
        <f>D21-D208</f>
        <v>567859</v>
      </c>
      <c r="E215" s="171">
        <f t="shared" ref="E215:F215" si="56">E21-E208</f>
        <v>158933</v>
      </c>
      <c r="F215" s="171">
        <f t="shared" si="56"/>
        <v>316009.60000000056</v>
      </c>
      <c r="G215" s="171">
        <f>G21-G208</f>
        <v>474942.60000000149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'[29]Sch D'!C9</f>
        <v>9595</v>
      </c>
      <c r="D219" s="592"/>
      <c r="E219" s="235">
        <f t="shared" ref="E219:G227" si="57">C219+D219</f>
        <v>9595</v>
      </c>
      <c r="F219" s="234">
        <v>7025</v>
      </c>
      <c r="G219" s="235">
        <f t="shared" si="57"/>
        <v>16620</v>
      </c>
      <c r="H219" s="172">
        <f t="shared" ref="H219:H228" si="58">IF($G$228=0,0,G219/$G$228)</f>
        <v>0.56314166638430518</v>
      </c>
      <c r="I219" s="336"/>
      <c r="J219" s="168"/>
      <c r="K219" s="168"/>
    </row>
    <row r="220" spans="1:17">
      <c r="A220" s="163"/>
      <c r="B220" s="170" t="s">
        <v>217</v>
      </c>
      <c r="C220" s="592">
        <f>'[29]Sch D'!D9</f>
        <v>5</v>
      </c>
      <c r="D220" s="592"/>
      <c r="E220" s="235">
        <f t="shared" ref="E220:E227" si="59">C220+D220</f>
        <v>5</v>
      </c>
      <c r="F220" s="234">
        <v>0</v>
      </c>
      <c r="G220" s="235">
        <f t="shared" si="57"/>
        <v>5</v>
      </c>
      <c r="H220" s="172">
        <f t="shared" si="58"/>
        <v>1.6941686714329278E-4</v>
      </c>
      <c r="I220" s="336"/>
      <c r="J220" s="168"/>
      <c r="K220" s="168"/>
    </row>
    <row r="221" spans="1:17">
      <c r="A221" s="163"/>
      <c r="B221" s="170" t="s">
        <v>72</v>
      </c>
      <c r="C221" s="592">
        <f>'[29]Sch D'!E9</f>
        <v>2761</v>
      </c>
      <c r="D221" s="592"/>
      <c r="E221" s="235">
        <f t="shared" si="59"/>
        <v>2761</v>
      </c>
      <c r="F221" s="234">
        <v>2149</v>
      </c>
      <c r="G221" s="235">
        <f t="shared" si="57"/>
        <v>4910</v>
      </c>
      <c r="H221" s="172">
        <f t="shared" si="58"/>
        <v>0.16636736353471351</v>
      </c>
      <c r="I221" s="336"/>
      <c r="J221" s="168"/>
      <c r="K221" s="168"/>
    </row>
    <row r="222" spans="1:17">
      <c r="A222" s="163"/>
      <c r="B222" s="202" t="s">
        <v>334</v>
      </c>
      <c r="C222" s="592">
        <f>'[29]Sch D'!F9</f>
        <v>893</v>
      </c>
      <c r="D222" s="592"/>
      <c r="E222" s="235">
        <f>C222+D222</f>
        <v>893</v>
      </c>
      <c r="F222" s="234">
        <v>0</v>
      </c>
      <c r="G222" s="235">
        <f>E222+F222</f>
        <v>893</v>
      </c>
      <c r="H222" s="172">
        <f t="shared" si="58"/>
        <v>3.0257852471792093E-2</v>
      </c>
      <c r="I222" s="336"/>
      <c r="J222" s="168"/>
      <c r="K222" s="168"/>
    </row>
    <row r="223" spans="1:17">
      <c r="A223" s="163"/>
      <c r="B223" s="170" t="s">
        <v>73</v>
      </c>
      <c r="C223" s="592">
        <f>'[29]Sch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'[29]Sch D'!H9</f>
        <v>1926</v>
      </c>
      <c r="D224" s="592"/>
      <c r="E224" s="235">
        <f t="shared" si="59"/>
        <v>1926</v>
      </c>
      <c r="F224" s="234">
        <v>2741</v>
      </c>
      <c r="G224" s="235">
        <f t="shared" si="57"/>
        <v>4667</v>
      </c>
      <c r="H224" s="172">
        <f t="shared" si="58"/>
        <v>0.15813370379154948</v>
      </c>
      <c r="I224" s="336"/>
      <c r="J224" s="168"/>
      <c r="K224" s="168"/>
    </row>
    <row r="225" spans="1:11">
      <c r="A225" s="163"/>
      <c r="B225" s="170" t="s">
        <v>236</v>
      </c>
      <c r="C225" s="592">
        <f>'[29]Sch D'!I9</f>
        <v>1370</v>
      </c>
      <c r="D225" s="592"/>
      <c r="E225" s="235">
        <f t="shared" si="59"/>
        <v>1370</v>
      </c>
      <c r="F225" s="234">
        <v>0</v>
      </c>
      <c r="G225" s="235">
        <f t="shared" si="57"/>
        <v>1370</v>
      </c>
      <c r="H225" s="172">
        <f t="shared" si="58"/>
        <v>4.6420221597262223E-2</v>
      </c>
      <c r="I225" s="336"/>
      <c r="J225" s="168"/>
      <c r="K225" s="168"/>
    </row>
    <row r="226" spans="1:11">
      <c r="A226" s="163"/>
      <c r="B226" s="170" t="s">
        <v>235</v>
      </c>
      <c r="C226" s="592">
        <f>'[29]Sch D'!J9</f>
        <v>990</v>
      </c>
      <c r="D226" s="592"/>
      <c r="E226" s="235">
        <f>C226+D226</f>
        <v>990</v>
      </c>
      <c r="F226" s="234">
        <v>0</v>
      </c>
      <c r="G226" s="235">
        <f>E226+F226</f>
        <v>990</v>
      </c>
      <c r="H226" s="172">
        <f t="shared" si="58"/>
        <v>3.3544539694371975E-2</v>
      </c>
      <c r="I226" s="336"/>
      <c r="J226" s="168"/>
      <c r="K226" s="168"/>
    </row>
    <row r="227" spans="1:11">
      <c r="A227" s="163"/>
      <c r="B227" s="170" t="s">
        <v>179</v>
      </c>
      <c r="C227" s="592">
        <f>'[29]Sch D'!K9</f>
        <v>58</v>
      </c>
      <c r="D227" s="592"/>
      <c r="E227" s="235">
        <f t="shared" si="59"/>
        <v>58</v>
      </c>
      <c r="F227" s="234">
        <v>0</v>
      </c>
      <c r="G227" s="235">
        <f t="shared" si="57"/>
        <v>58</v>
      </c>
      <c r="H227" s="172">
        <f t="shared" si="58"/>
        <v>1.9652356588621962E-3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17598</v>
      </c>
      <c r="D228" s="592">
        <f>SUM(D219:D227)</f>
        <v>0</v>
      </c>
      <c r="E228" s="237">
        <f>SUM(E219:E227)</f>
        <v>17598</v>
      </c>
      <c r="F228" s="237">
        <f>SUM(F219:F227)</f>
        <v>11915</v>
      </c>
      <c r="G228" s="237">
        <f>SUM(G219:G227)</f>
        <v>29513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506" t="s">
        <v>689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'[29]Sch D'!N22</f>
        <v>180</v>
      </c>
      <c r="D231" s="559"/>
      <c r="E231" s="235">
        <f>C231+D231</f>
        <v>180</v>
      </c>
      <c r="F231" s="235"/>
      <c r="G231" s="235">
        <f>E231+F231</f>
        <v>180</v>
      </c>
      <c r="H231" s="275"/>
      <c r="J231" s="168"/>
      <c r="K231" s="168"/>
    </row>
    <row r="232" spans="1:11">
      <c r="A232" s="163"/>
      <c r="B232" s="202" t="s">
        <v>290</v>
      </c>
      <c r="C232" s="593">
        <f>'[29]Sch D'!N24</f>
        <v>156</v>
      </c>
      <c r="D232" s="559"/>
      <c r="E232" s="235">
        <f>C232+D232</f>
        <v>156</v>
      </c>
      <c r="F232" s="235"/>
      <c r="G232" s="235">
        <f>E232+F232</f>
        <v>156</v>
      </c>
      <c r="H232" s="167"/>
      <c r="J232" s="168"/>
      <c r="K232" s="168"/>
    </row>
    <row r="233" spans="1:11">
      <c r="A233" s="163"/>
      <c r="B233" s="202" t="s">
        <v>76</v>
      </c>
      <c r="C233" s="593">
        <v>215</v>
      </c>
      <c r="D233" s="483"/>
      <c r="E233" s="235">
        <f>C233+D233</f>
        <v>215</v>
      </c>
      <c r="F233" s="607">
        <v>151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607" t="s">
        <v>621</v>
      </c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'[29]Sch D'!N28</f>
        <v>38700</v>
      </c>
      <c r="D235" s="483"/>
      <c r="E235" s="234">
        <f>E231*E233</f>
        <v>38700</v>
      </c>
      <c r="F235" s="239"/>
      <c r="G235" s="234">
        <f>G231*G233</f>
        <v>65880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'[29]Sch D'!N30</f>
        <v>0.45472868217054263</v>
      </c>
      <c r="D236" s="239"/>
      <c r="E236" s="244">
        <f>E228/E235</f>
        <v>0.45472868217054263</v>
      </c>
      <c r="F236" s="245"/>
      <c r="G236" s="244">
        <f>G228/G235</f>
        <v>0.44798117789921066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'[29]Sch D'!N32</f>
        <v>0.24806201550387597</v>
      </c>
      <c r="D237" s="239"/>
      <c r="E237" s="244">
        <f>(E219+E220)/E235</f>
        <v>0.24806201550387597</v>
      </c>
      <c r="F237" s="245"/>
      <c r="G237" s="244">
        <f>(G219+G220)/G235</f>
        <v>0.25235276259866424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'[29]Sch D'!N34</f>
        <v>0.54551653596999661</v>
      </c>
      <c r="D238" s="239"/>
      <c r="E238" s="244">
        <f>(E237/E236)</f>
        <v>0.54551653596999661</v>
      </c>
      <c r="F238" s="245"/>
      <c r="G238" s="244">
        <f>(G237/G236)</f>
        <v>0.56331108325144852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'[29]Sch B'!C85</f>
        <v>164.50220264317181</v>
      </c>
    </row>
    <row r="242" spans="2:7">
      <c r="F242" s="142" t="s">
        <v>341</v>
      </c>
      <c r="G242" s="558">
        <f>'[29]Sch B'!E85</f>
        <v>164.50125313283209</v>
      </c>
    </row>
    <row r="243" spans="2:7">
      <c r="F243" s="142" t="s">
        <v>342</v>
      </c>
      <c r="G243" s="558">
        <f>'[29]Sch B'!G85*1/3+240*2/3</f>
        <v>214.83370618941089</v>
      </c>
    </row>
    <row r="244" spans="2:7">
      <c r="F244" s="142" t="s">
        <v>343</v>
      </c>
      <c r="G244" s="558">
        <v>243.61481211236779</v>
      </c>
    </row>
    <row r="245" spans="2:7">
      <c r="F245" s="142"/>
    </row>
  </sheetData>
  <customSheetViews>
    <customSheetView guid="{00D6F160-3E2B-11D5-8BE5-C1A1C12816BD}" showPageBreaks="1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  <customSheetView guid="{8B6AA640-12E9-11D5-ABB1-E7A21A3D4A14}" showRuler="0">
      <pageMargins left="0.75" right="0.75" top="1" bottom="1" header="0.5" footer="0.5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  <ignoredErrors>
    <ignoredError sqref="F56 F202 F160 F36 F38:F3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13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369</v>
      </c>
      <c r="D2" s="144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'[3]Sch B'!E10</f>
        <v>5388497</v>
      </c>
      <c r="D11" s="558">
        <f>'[3]Sch B'!G10</f>
        <v>0</v>
      </c>
      <c r="E11" s="171">
        <f>C11+D11</f>
        <v>5388497</v>
      </c>
      <c r="F11" s="171"/>
      <c r="G11" s="171">
        <f t="shared" ref="G11:G20" si="0">E11+F11</f>
        <v>5388497</v>
      </c>
      <c r="H11" s="172">
        <f t="shared" ref="H11:H21" si="1">IF($G$21=0,0,G11/$G$21)</f>
        <v>0.55278400274930306</v>
      </c>
      <c r="I11" s="336"/>
      <c r="J11" s="368" t="s">
        <v>344</v>
      </c>
      <c r="K11" s="369">
        <f>G21</f>
        <v>9747925</v>
      </c>
      <c r="M11" s="359">
        <f>IFERROR(G11/G219,0)</f>
        <v>188.90436459246274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'[3]Sch B'!E15</f>
        <v>0</v>
      </c>
      <c r="D12" s="558">
        <f>'[3]Sch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10097642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'[3]Sch B'!E21</f>
        <v>1609193</v>
      </c>
      <c r="D13" s="558">
        <f>'[3]Sch B'!G21</f>
        <v>0</v>
      </c>
      <c r="E13" s="171">
        <f t="shared" si="2"/>
        <v>1609193</v>
      </c>
      <c r="F13" s="171"/>
      <c r="G13" s="171">
        <f t="shared" si="0"/>
        <v>1609193</v>
      </c>
      <c r="H13" s="172">
        <f t="shared" si="1"/>
        <v>0.16508056842866559</v>
      </c>
      <c r="I13" s="336"/>
      <c r="J13" s="370" t="s">
        <v>346</v>
      </c>
      <c r="K13" s="371">
        <f>G228</f>
        <v>42513</v>
      </c>
      <c r="M13" s="359">
        <f t="shared" si="3"/>
        <v>516.09781911481718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'[3]Sch B'!E27</f>
        <v>941983</v>
      </c>
      <c r="D14" s="558">
        <f>'[3]Sch B'!G27</f>
        <v>0</v>
      </c>
      <c r="E14" s="171">
        <f t="shared" si="2"/>
        <v>941983</v>
      </c>
      <c r="F14" s="175"/>
      <c r="G14" s="175">
        <f>E14+F14</f>
        <v>941983</v>
      </c>
      <c r="H14" s="176">
        <f t="shared" si="1"/>
        <v>9.6634206767081204E-2</v>
      </c>
      <c r="I14" s="337"/>
      <c r="J14" s="370" t="s">
        <v>347</v>
      </c>
      <c r="K14" s="371">
        <f>G231</f>
        <v>140</v>
      </c>
      <c r="M14" s="359">
        <f t="shared" si="3"/>
        <v>417.91614906832297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'[3]Sch B'!E32</f>
        <v>0</v>
      </c>
      <c r="D15" s="558">
        <f>'[3]Sch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51240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'[3]Sch B'!E37</f>
        <v>400215</v>
      </c>
      <c r="D16" s="558">
        <f>'[3]Sch B'!G37</f>
        <v>0</v>
      </c>
      <c r="E16" s="171">
        <f t="shared" si="2"/>
        <v>400215</v>
      </c>
      <c r="F16" s="171"/>
      <c r="G16" s="171">
        <f t="shared" si="0"/>
        <v>400215</v>
      </c>
      <c r="H16" s="172">
        <f t="shared" si="1"/>
        <v>4.1056429958170583E-2</v>
      </c>
      <c r="I16" s="336"/>
      <c r="J16" s="372"/>
      <c r="K16" s="371"/>
      <c r="M16" s="359">
        <f t="shared" si="3"/>
        <v>181.17473970122228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'[3]Sch B'!E42</f>
        <v>1078969</v>
      </c>
      <c r="D17" s="558">
        <f>'[3]Sch B'!G42</f>
        <v>0</v>
      </c>
      <c r="E17" s="171">
        <f t="shared" si="2"/>
        <v>1078969</v>
      </c>
      <c r="F17" s="171"/>
      <c r="G17" s="171">
        <f>E17+F17</f>
        <v>1078969</v>
      </c>
      <c r="H17" s="172">
        <f t="shared" si="1"/>
        <v>0.11068704365287997</v>
      </c>
      <c r="I17" s="336"/>
      <c r="J17" s="370" t="s">
        <v>156</v>
      </c>
      <c r="K17" s="371">
        <f>J208</f>
        <v>243297</v>
      </c>
      <c r="M17" s="359">
        <f t="shared" si="3"/>
        <v>188.46620087336245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'[3]Sch B'!E47</f>
        <v>0</v>
      </c>
      <c r="D18" s="558">
        <f>'[3]Sch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265480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'[3]Sch B'!E52</f>
        <v>237671</v>
      </c>
      <c r="D19" s="558">
        <f>'[3]Sch B'!G52</f>
        <v>0</v>
      </c>
      <c r="E19" s="171">
        <f t="shared" si="2"/>
        <v>237671</v>
      </c>
      <c r="F19" s="171"/>
      <c r="G19" s="171">
        <f t="shared" si="0"/>
        <v>237671</v>
      </c>
      <c r="H19" s="172">
        <f t="shared" si="1"/>
        <v>2.4381701746782006E-2</v>
      </c>
      <c r="I19" s="336"/>
      <c r="J19" s="168"/>
      <c r="K19" s="168"/>
      <c r="M19" s="359">
        <f t="shared" si="3"/>
        <v>348.49120234604106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'[3]Sch B'!E67</f>
        <v>110796</v>
      </c>
      <c r="D20" s="558">
        <f>'[3]Sch B'!G67</f>
        <v>-19399</v>
      </c>
      <c r="E20" s="171">
        <f t="shared" si="2"/>
        <v>91397</v>
      </c>
      <c r="F20" s="171"/>
      <c r="G20" s="171">
        <f t="shared" si="0"/>
        <v>91397</v>
      </c>
      <c r="H20" s="172">
        <f t="shared" si="1"/>
        <v>9.3760466971175918E-3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9767324</v>
      </c>
      <c r="D21" s="558">
        <f>SUM(D11:D20)</f>
        <v>-19399</v>
      </c>
      <c r="E21" s="171">
        <f>SUM(E11:E20)</f>
        <v>9747925</v>
      </c>
      <c r="F21" s="171">
        <f>SUM(F11:F20)</f>
        <v>0</v>
      </c>
      <c r="G21" s="171">
        <f>SUM(G11:G20)</f>
        <v>9747925</v>
      </c>
      <c r="H21" s="172">
        <f t="shared" si="1"/>
        <v>1</v>
      </c>
      <c r="I21" s="336"/>
      <c r="J21" s="168"/>
      <c r="K21" s="168"/>
      <c r="M21" s="359">
        <f>IFERROR(G21/G228,0)</f>
        <v>229.29280455390116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'[3]Sch C'!D10</f>
        <v>0</v>
      </c>
      <c r="D25" s="558">
        <f>'[3]Sch C'!F10</f>
        <v>115755</v>
      </c>
      <c r="E25" s="171">
        <f t="shared" ref="E25:E60" si="4">C25+D25</f>
        <v>115755</v>
      </c>
      <c r="F25" s="171"/>
      <c r="G25" s="182">
        <f>E25+F25</f>
        <v>115755</v>
      </c>
      <c r="H25" s="172">
        <f>IF($G$208=0,0,G25/$G$208)</f>
        <v>1.1463567434852611E-2</v>
      </c>
      <c r="I25" s="336"/>
      <c r="J25" s="183">
        <v>1608</v>
      </c>
      <c r="K25" s="183">
        <v>1932</v>
      </c>
      <c r="M25" s="359">
        <f>G25/G$228</f>
        <v>2.7228141980100204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'[3]Sch C'!D11</f>
        <v>0</v>
      </c>
      <c r="D26" s="558">
        <f>'[3]Sch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'[3]Sch C'!D12</f>
        <v>318719</v>
      </c>
      <c r="D27" s="558">
        <f>'[3]Sch C'!F12</f>
        <v>-115755</v>
      </c>
      <c r="E27" s="171">
        <f t="shared" si="4"/>
        <v>202964</v>
      </c>
      <c r="F27" s="171"/>
      <c r="G27" s="171">
        <f t="shared" si="5"/>
        <v>202964</v>
      </c>
      <c r="H27" s="172">
        <f t="shared" si="6"/>
        <v>2.0100138230291786E-2</v>
      </c>
      <c r="I27" s="336"/>
      <c r="J27" s="185">
        <v>10526</v>
      </c>
      <c r="K27" s="185">
        <v>11772</v>
      </c>
      <c r="M27" s="359">
        <f t="shared" si="7"/>
        <v>4.7741631971396981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'[3]Sch C'!D13</f>
        <v>41005</v>
      </c>
      <c r="D28" s="558">
        <f>'[3]Sch C'!F13</f>
        <v>0</v>
      </c>
      <c r="E28" s="171">
        <f t="shared" si="4"/>
        <v>41005</v>
      </c>
      <c r="F28" s="171"/>
      <c r="G28" s="171">
        <f t="shared" si="5"/>
        <v>41005</v>
      </c>
      <c r="H28" s="172">
        <f t="shared" si="6"/>
        <v>4.0608490576314752E-3</v>
      </c>
      <c r="I28" s="336"/>
      <c r="J28" s="168"/>
      <c r="K28" s="168"/>
      <c r="M28" s="359">
        <f t="shared" si="7"/>
        <v>0.96452849716557287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'[3]Sch C'!D14</f>
        <v>6000</v>
      </c>
      <c r="D29" s="558">
        <f>'[3]Sch C'!F14</f>
        <v>0</v>
      </c>
      <c r="E29" s="171">
        <f t="shared" si="4"/>
        <v>6000</v>
      </c>
      <c r="F29" s="171"/>
      <c r="G29" s="171">
        <f t="shared" si="5"/>
        <v>6000</v>
      </c>
      <c r="H29" s="172">
        <f t="shared" si="6"/>
        <v>5.9419813061306788E-4</v>
      </c>
      <c r="I29" s="336"/>
      <c r="J29" s="168"/>
      <c r="K29" s="168"/>
      <c r="M29" s="359">
        <f t="shared" si="7"/>
        <v>0.14113330040222991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'[3]Sch C'!D15</f>
        <v>0</v>
      </c>
      <c r="D30" s="558">
        <f>'[3]Sch C'!F15</f>
        <v>585687</v>
      </c>
      <c r="E30" s="171">
        <f t="shared" si="4"/>
        <v>585687</v>
      </c>
      <c r="F30" s="171"/>
      <c r="G30" s="171">
        <f t="shared" si="5"/>
        <v>585687</v>
      </c>
      <c r="H30" s="172">
        <f t="shared" si="6"/>
        <v>5.8002353420729312E-2</v>
      </c>
      <c r="I30" s="336"/>
      <c r="J30" s="168"/>
      <c r="K30" s="168"/>
      <c r="M30" s="359">
        <f t="shared" si="7"/>
        <v>13.776656552113471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'[3]Sch C'!D16</f>
        <v>585687</v>
      </c>
      <c r="D31" s="558">
        <f>'[3]Sch C'!F16</f>
        <v>-585687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'[3]Sch C'!D17</f>
        <v>407</v>
      </c>
      <c r="D32" s="558">
        <f>'[3]Sch C'!F17</f>
        <v>-407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'[3]Sch C'!D18</f>
        <v>16484</v>
      </c>
      <c r="D33" s="558">
        <f>'[3]Sch C'!F18</f>
        <v>0</v>
      </c>
      <c r="E33" s="171">
        <f t="shared" si="4"/>
        <v>16484</v>
      </c>
      <c r="F33" s="171"/>
      <c r="G33" s="171">
        <f t="shared" si="5"/>
        <v>16484</v>
      </c>
      <c r="H33" s="172">
        <f t="shared" si="6"/>
        <v>1.6324603308376351E-3</v>
      </c>
      <c r="I33" s="336"/>
      <c r="J33" s="168"/>
      <c r="K33" s="168"/>
      <c r="M33" s="359">
        <f t="shared" si="7"/>
        <v>0.38774022063839297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'[3]Sch C'!D19</f>
        <v>22019</v>
      </c>
      <c r="D34" s="558">
        <f>'[3]Sch C'!F19</f>
        <v>0</v>
      </c>
      <c r="E34" s="171">
        <f t="shared" si="4"/>
        <v>22019</v>
      </c>
      <c r="F34" s="171"/>
      <c r="G34" s="171">
        <f t="shared" si="5"/>
        <v>22019</v>
      </c>
      <c r="H34" s="172">
        <f t="shared" si="6"/>
        <v>2.1806081063281903E-3</v>
      </c>
      <c r="I34" s="336"/>
      <c r="J34" s="168"/>
      <c r="K34" s="168"/>
      <c r="M34" s="359">
        <f t="shared" si="7"/>
        <v>0.51793569025945008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'[3]Sch C'!D20</f>
        <v>15780</v>
      </c>
      <c r="D35" s="558">
        <f>'[3]Sch C'!F20</f>
        <v>0</v>
      </c>
      <c r="E35" s="171">
        <f t="shared" si="4"/>
        <v>15780</v>
      </c>
      <c r="F35" s="171"/>
      <c r="G35" s="171">
        <f t="shared" si="5"/>
        <v>15780</v>
      </c>
      <c r="H35" s="172">
        <f t="shared" si="6"/>
        <v>1.5627410835123685E-3</v>
      </c>
      <c r="I35" s="336"/>
      <c r="J35" s="168"/>
      <c r="K35" s="168"/>
      <c r="M35" s="359">
        <f t="shared" si="7"/>
        <v>0.37118058005786464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'[3]Sch C'!D21</f>
        <v>48211</v>
      </c>
      <c r="D36" s="558">
        <f>'[3]Sch C'!F21</f>
        <v>15881</v>
      </c>
      <c r="E36" s="171">
        <f t="shared" si="4"/>
        <v>64092</v>
      </c>
      <c r="F36" s="171"/>
      <c r="G36" s="171">
        <f t="shared" si="5"/>
        <v>64092</v>
      </c>
      <c r="H36" s="172">
        <f t="shared" si="6"/>
        <v>6.3472244312087912E-3</v>
      </c>
      <c r="I36" s="336"/>
      <c r="J36" s="168"/>
      <c r="K36" s="168"/>
      <c r="M36" s="359">
        <f t="shared" si="7"/>
        <v>1.5075859148966197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'[3]Sch C'!D22</f>
        <v>0</v>
      </c>
      <c r="D37" s="558">
        <f>'[3]Sch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'[3]Sch C'!D23</f>
        <v>1800</v>
      </c>
      <c r="D38" s="558">
        <f>'[3]Sch C'!F23</f>
        <v>0</v>
      </c>
      <c r="E38" s="171">
        <f t="shared" si="4"/>
        <v>1800</v>
      </c>
      <c r="F38" s="171"/>
      <c r="G38" s="171">
        <f t="shared" si="5"/>
        <v>1800</v>
      </c>
      <c r="H38" s="172">
        <f t="shared" si="6"/>
        <v>1.7825943918392035E-4</v>
      </c>
      <c r="I38" s="336"/>
      <c r="J38" s="168"/>
      <c r="K38" s="168"/>
      <c r="M38" s="359">
        <f t="shared" si="7"/>
        <v>4.2339990120668969E-2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'[3]Sch C'!D24</f>
        <v>33870</v>
      </c>
      <c r="D39" s="558">
        <f>'[3]Sch C'!F24</f>
        <v>0</v>
      </c>
      <c r="E39" s="171">
        <f t="shared" si="4"/>
        <v>33870</v>
      </c>
      <c r="F39" s="171"/>
      <c r="G39" s="171">
        <f t="shared" si="5"/>
        <v>33870</v>
      </c>
      <c r="H39" s="172">
        <f t="shared" si="6"/>
        <v>3.3542484473107681E-3</v>
      </c>
      <c r="I39" s="336"/>
      <c r="J39" s="168"/>
      <c r="K39" s="168"/>
      <c r="M39" s="359">
        <f t="shared" si="7"/>
        <v>0.79669748077058777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'[3]Sch C'!D25</f>
        <v>0</v>
      </c>
      <c r="D40" s="558">
        <f>'[3]Sch C'!F25</f>
        <v>12067</v>
      </c>
      <c r="E40" s="171">
        <f t="shared" si="4"/>
        <v>12067</v>
      </c>
      <c r="F40" s="171"/>
      <c r="G40" s="171">
        <f t="shared" si="5"/>
        <v>12067</v>
      </c>
      <c r="H40" s="172">
        <f t="shared" si="6"/>
        <v>1.1950314736846484E-3</v>
      </c>
      <c r="I40" s="336"/>
      <c r="J40" s="168"/>
      <c r="K40" s="168"/>
      <c r="M40" s="359">
        <f t="shared" si="7"/>
        <v>0.28384258932561807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'[3]Sch C'!D26</f>
        <v>677865</v>
      </c>
      <c r="D41" s="558">
        <f>'[3]Sch C'!F26</f>
        <v>0</v>
      </c>
      <c r="E41" s="171">
        <f t="shared" si="4"/>
        <v>677865</v>
      </c>
      <c r="F41" s="171"/>
      <c r="G41" s="171">
        <f t="shared" si="5"/>
        <v>677865</v>
      </c>
      <c r="H41" s="172">
        <f t="shared" si="6"/>
        <v>6.7131019301337871E-2</v>
      </c>
      <c r="I41" s="336"/>
      <c r="J41" s="168"/>
      <c r="K41" s="168"/>
      <c r="M41" s="359">
        <f t="shared" si="7"/>
        <v>15.944887446192929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'[3]Sch C'!D27</f>
        <v>939</v>
      </c>
      <c r="D42" s="558">
        <f>'[3]Sch C'!F27</f>
        <v>-395</v>
      </c>
      <c r="E42" s="171">
        <f t="shared" si="4"/>
        <v>544</v>
      </c>
      <c r="F42" s="171"/>
      <c r="G42" s="171">
        <f t="shared" si="5"/>
        <v>544</v>
      </c>
      <c r="H42" s="172">
        <f t="shared" si="6"/>
        <v>5.3873963842251485E-5</v>
      </c>
      <c r="I42" s="336"/>
      <c r="J42" s="168"/>
      <c r="K42" s="168"/>
      <c r="M42" s="359">
        <f t="shared" si="7"/>
        <v>1.2796085903135511E-2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'[3]Sch C'!D28</f>
        <v>0</v>
      </c>
      <c r="D43" s="558">
        <f>'[3]Sch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'[3]Sch C'!D29</f>
        <v>447129</v>
      </c>
      <c r="D44" s="558">
        <f>'[3]Sch C'!F29</f>
        <v>-447129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'[3]Sch C'!D30</f>
        <v>0</v>
      </c>
      <c r="D45" s="558">
        <f>'[3]Sch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'[3]Sch C'!D31</f>
        <v>0</v>
      </c>
      <c r="D46" s="558">
        <f>'[3]Sch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'[3]Sch C'!D32</f>
        <v>119336</v>
      </c>
      <c r="D47" s="558">
        <f>'[3]Sch C'!F32</f>
        <v>0</v>
      </c>
      <c r="E47" s="171">
        <f t="shared" si="4"/>
        <v>119336</v>
      </c>
      <c r="F47" s="171"/>
      <c r="G47" s="171">
        <f t="shared" si="5"/>
        <v>119336</v>
      </c>
      <c r="H47" s="172">
        <f t="shared" si="6"/>
        <v>1.1818204685806844E-2</v>
      </c>
      <c r="I47" s="336"/>
      <c r="J47" s="168"/>
      <c r="K47" s="168"/>
      <c r="M47" s="359">
        <f t="shared" si="7"/>
        <v>2.8070472561334179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'[3]Sch C'!D33</f>
        <v>0</v>
      </c>
      <c r="D48" s="558">
        <f>'[3]Sch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'[3]Sch C'!D34</f>
        <v>359</v>
      </c>
      <c r="D49" s="558">
        <f>'[3]Sch C'!F34</f>
        <v>0</v>
      </c>
      <c r="E49" s="171">
        <f t="shared" si="4"/>
        <v>359</v>
      </c>
      <c r="F49" s="171"/>
      <c r="G49" s="171">
        <f t="shared" si="5"/>
        <v>359</v>
      </c>
      <c r="H49" s="172">
        <f t="shared" si="6"/>
        <v>3.5552854815015228E-5</v>
      </c>
      <c r="I49" s="336"/>
      <c r="J49" s="168"/>
      <c r="K49" s="168"/>
      <c r="M49" s="359">
        <f t="shared" si="7"/>
        <v>8.4444758074000894E-3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'[3]Sch C'!D35</f>
        <v>0</v>
      </c>
      <c r="D50" s="558">
        <f>'[3]Sch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'[3]Sch C'!D36</f>
        <v>0</v>
      </c>
      <c r="D51" s="558">
        <f>'[3]Sch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'[3]Sch C'!D37</f>
        <v>0</v>
      </c>
      <c r="D52" s="558">
        <f>'[3]Sch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'[3]Sch C'!D38</f>
        <v>50</v>
      </c>
      <c r="D53" s="558">
        <f>'[3]Sch C'!F38</f>
        <v>-50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'[3]Sch C'!D39</f>
        <v>9354</v>
      </c>
      <c r="D54" s="558">
        <f>'[3]Sch C'!F39</f>
        <v>0</v>
      </c>
      <c r="E54" s="171">
        <f t="shared" si="4"/>
        <v>9354</v>
      </c>
      <c r="F54" s="171"/>
      <c r="G54" s="171">
        <f t="shared" si="5"/>
        <v>9354</v>
      </c>
      <c r="H54" s="172">
        <f t="shared" si="6"/>
        <v>9.2635488562577281E-4</v>
      </c>
      <c r="I54" s="336"/>
      <c r="J54" s="168"/>
      <c r="K54" s="168"/>
      <c r="M54" s="359">
        <f t="shared" si="7"/>
        <v>0.22002681532707644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'[3]Sch C'!D40</f>
        <v>59527</v>
      </c>
      <c r="D55" s="558">
        <f>'[3]Sch C'!F40</f>
        <v>-59527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'[3]Sch C'!D41</f>
        <v>198519</v>
      </c>
      <c r="D56" s="558">
        <f>'[3]Sch C'!F41</f>
        <v>0</v>
      </c>
      <c r="E56" s="171">
        <f t="shared" si="4"/>
        <v>198519</v>
      </c>
      <c r="F56" s="171"/>
      <c r="G56" s="171">
        <f t="shared" si="5"/>
        <v>198519</v>
      </c>
      <c r="H56" s="172">
        <f t="shared" si="6"/>
        <v>1.9659936448529272E-2</v>
      </c>
      <c r="I56" s="336"/>
      <c r="J56" s="168"/>
      <c r="K56" s="168"/>
      <c r="M56" s="359">
        <f t="shared" si="7"/>
        <v>4.6696069437583798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'[3]Sch C'!D42</f>
        <v>188</v>
      </c>
      <c r="D57" s="558">
        <f>'[3]Sch C'!F42</f>
        <v>0</v>
      </c>
      <c r="E57" s="171">
        <f t="shared" si="4"/>
        <v>188</v>
      </c>
      <c r="F57" s="171"/>
      <c r="G57" s="171">
        <f t="shared" si="5"/>
        <v>188</v>
      </c>
      <c r="H57" s="172">
        <f t="shared" si="6"/>
        <v>1.8618208092542794E-5</v>
      </c>
      <c r="I57" s="336"/>
      <c r="J57" s="168"/>
      <c r="K57" s="168"/>
      <c r="M57" s="359">
        <f t="shared" si="7"/>
        <v>4.4221767459365372E-3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'[3]Sch C'!D43</f>
        <v>6262</v>
      </c>
      <c r="D58" s="558">
        <f>'[3]Sch C'!F43</f>
        <v>-6262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'[3]Sch C'!D44</f>
        <v>0</v>
      </c>
      <c r="D59" s="558">
        <f>'[3]Sch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'[3]Sch C'!D45</f>
        <v>2599</v>
      </c>
      <c r="D60" s="558">
        <f>'[3]Sch C'!F45</f>
        <v>-14722</v>
      </c>
      <c r="E60" s="171">
        <f t="shared" si="4"/>
        <v>-12123</v>
      </c>
      <c r="F60" s="171"/>
      <c r="G60" s="171">
        <f t="shared" si="5"/>
        <v>-12123</v>
      </c>
      <c r="H60" s="172">
        <f t="shared" si="6"/>
        <v>-1.2005773229037038E-3</v>
      </c>
      <c r="I60" s="336"/>
      <c r="J60" s="168"/>
      <c r="K60" s="168"/>
      <c r="M60" s="359">
        <f t="shared" si="7"/>
        <v>-0.28515983346270551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2612109</v>
      </c>
      <c r="D61" s="558">
        <f>SUM(D25:D60)</f>
        <v>-500544</v>
      </c>
      <c r="E61" s="171">
        <f t="shared" ref="E61:F61" si="8">SUM(E25:E60)</f>
        <v>2111565</v>
      </c>
      <c r="F61" s="171">
        <f t="shared" si="8"/>
        <v>0</v>
      </c>
      <c r="G61" s="171">
        <f>SUM(G25:G60)</f>
        <v>2111565</v>
      </c>
      <c r="H61" s="186">
        <f t="shared" si="6"/>
        <v>0.20911466261133044</v>
      </c>
      <c r="I61" s="338"/>
      <c r="J61" s="168"/>
      <c r="K61" s="168"/>
      <c r="M61" s="364">
        <f>G61/G$228</f>
        <v>49.668689577305763</v>
      </c>
      <c r="N61" s="359">
        <f>SUMMARY!J64</f>
        <v>53.728790309602623</v>
      </c>
      <c r="O61" s="354">
        <f>M61/N61-1</f>
        <v>-7.556657629738639E-2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'[3]Sch C'!D57</f>
        <v>634243</v>
      </c>
      <c r="D64" s="558">
        <f>'[3]Sch C'!F57</f>
        <v>-634243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'[3]Sch C'!D58</f>
        <v>6148</v>
      </c>
      <c r="D65" s="558">
        <f>'[3]Sch C'!F58</f>
        <v>174817</v>
      </c>
      <c r="E65" s="171">
        <f t="shared" si="9"/>
        <v>180965</v>
      </c>
      <c r="F65" s="171"/>
      <c r="G65" s="171">
        <f t="shared" si="10"/>
        <v>180965</v>
      </c>
      <c r="H65" s="172">
        <f t="shared" si="11"/>
        <v>1.7921510784398971E-2</v>
      </c>
      <c r="I65" s="336"/>
      <c r="J65" s="190"/>
      <c r="K65" s="168"/>
      <c r="M65" s="359">
        <f t="shared" si="12"/>
        <v>4.2566979512149228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'[3]Sch C'!D59</f>
        <v>0</v>
      </c>
      <c r="D66" s="558">
        <f>'[3]Sch C'!F59</f>
        <v>222536</v>
      </c>
      <c r="E66" s="171">
        <f t="shared" si="9"/>
        <v>222536</v>
      </c>
      <c r="F66" s="171"/>
      <c r="G66" s="171">
        <f t="shared" si="10"/>
        <v>222536</v>
      </c>
      <c r="H66" s="172">
        <f t="shared" si="11"/>
        <v>2.2038412532351611E-2</v>
      </c>
      <c r="I66" s="336"/>
      <c r="J66" s="190"/>
      <c r="K66" s="168"/>
      <c r="M66" s="359">
        <f t="shared" si="12"/>
        <v>5.234540023051772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'[3]Sch C'!D60</f>
        <v>0</v>
      </c>
      <c r="D67" s="558">
        <f>'[3]Sch C'!F60</f>
        <v>60591</v>
      </c>
      <c r="E67" s="171">
        <f t="shared" si="9"/>
        <v>60591</v>
      </c>
      <c r="F67" s="171"/>
      <c r="G67" s="171">
        <f t="shared" si="10"/>
        <v>60591</v>
      </c>
      <c r="H67" s="172">
        <f t="shared" si="11"/>
        <v>6.0005098219960661E-3</v>
      </c>
      <c r="I67" s="336"/>
      <c r="J67" s="193"/>
      <c r="K67" s="168"/>
      <c r="M67" s="359">
        <f t="shared" si="12"/>
        <v>1.4252346341119186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'[3]Sch C'!D61</f>
        <v>0</v>
      </c>
      <c r="D68" s="558">
        <f>'[3]Sch C'!F61</f>
        <v>38321</v>
      </c>
      <c r="E68" s="171">
        <f t="shared" si="9"/>
        <v>38321</v>
      </c>
      <c r="F68" s="171"/>
      <c r="G68" s="171">
        <f t="shared" si="10"/>
        <v>38321</v>
      </c>
      <c r="H68" s="172">
        <f t="shared" si="11"/>
        <v>3.7950444272038955E-3</v>
      </c>
      <c r="I68" s="336"/>
      <c r="J68" s="193"/>
      <c r="K68" s="168"/>
      <c r="M68" s="359">
        <f t="shared" si="12"/>
        <v>0.90139486745230868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'[3]Sch C'!D62</f>
        <v>0</v>
      </c>
      <c r="D69" s="558">
        <f>'[3]Sch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'[3]Sch C'!D63</f>
        <v>0</v>
      </c>
      <c r="D70" s="558">
        <f>'[3]Sch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'[3]Sch C'!D64</f>
        <v>0</v>
      </c>
      <c r="D71" s="558">
        <f>'[3]Sch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'[3]Sch C'!D65</f>
        <v>0</v>
      </c>
      <c r="D72" s="558">
        <f>'[3]Sch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'[3]Sch C'!D66</f>
        <v>55150</v>
      </c>
      <c r="D73" s="558">
        <f>'[3]Sch C'!F66</f>
        <v>0</v>
      </c>
      <c r="E73" s="171">
        <f t="shared" si="9"/>
        <v>55150</v>
      </c>
      <c r="F73" s="171"/>
      <c r="G73" s="171">
        <f t="shared" si="10"/>
        <v>55150</v>
      </c>
      <c r="H73" s="172">
        <f t="shared" si="11"/>
        <v>5.4616711505517824E-3</v>
      </c>
      <c r="I73" s="336"/>
      <c r="J73" s="195"/>
      <c r="K73" s="168"/>
      <c r="M73" s="359">
        <f t="shared" si="12"/>
        <v>1.2972502528638299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'[3]Sch C'!D67</f>
        <v>35191</v>
      </c>
      <c r="D74" s="558">
        <f>'[3]Sch C'!F67</f>
        <v>93773</v>
      </c>
      <c r="E74" s="171">
        <f t="shared" si="9"/>
        <v>128964</v>
      </c>
      <c r="F74" s="171"/>
      <c r="G74" s="171">
        <f t="shared" si="10"/>
        <v>128964</v>
      </c>
      <c r="H74" s="172">
        <f t="shared" si="11"/>
        <v>1.2771694619397282E-2</v>
      </c>
      <c r="I74" s="336"/>
      <c r="J74" s="195"/>
      <c r="K74" s="168"/>
      <c r="M74" s="359">
        <f t="shared" si="12"/>
        <v>3.0335191588455297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'[3]Sch C'!D68</f>
        <v>0</v>
      </c>
      <c r="D75" s="558">
        <f>'[3]Sch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'[3]Sch C'!D69</f>
        <v>6546</v>
      </c>
      <c r="D76" s="558">
        <f>'[3]Sch C'!F69</f>
        <v>4072</v>
      </c>
      <c r="E76" s="171">
        <f t="shared" si="9"/>
        <v>10618</v>
      </c>
      <c r="F76" s="171"/>
      <c r="G76" s="171">
        <f t="shared" si="10"/>
        <v>10618</v>
      </c>
      <c r="H76" s="172">
        <f t="shared" si="11"/>
        <v>1.0515326251415926E-3</v>
      </c>
      <c r="I76" s="336"/>
      <c r="J76" s="195"/>
      <c r="K76" s="168"/>
      <c r="M76" s="359">
        <f t="shared" si="12"/>
        <v>0.24975889727847952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'[3]Sch C'!D70</f>
        <v>0</v>
      </c>
      <c r="D77" s="558">
        <f>'[3]Sch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'[3]Sch C'!D71</f>
        <v>0</v>
      </c>
      <c r="D78" s="558">
        <f>'[3]Sch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737278</v>
      </c>
      <c r="D79" s="558">
        <f>SUM(D64:D78)</f>
        <v>-40133</v>
      </c>
      <c r="E79" s="171">
        <f t="shared" ref="E79:F79" si="13">SUM(E64:E78)</f>
        <v>697145</v>
      </c>
      <c r="F79" s="171">
        <f t="shared" si="13"/>
        <v>0</v>
      </c>
      <c r="G79" s="171">
        <f>SUM(G64:G78)</f>
        <v>697145</v>
      </c>
      <c r="H79" s="172">
        <f t="shared" si="11"/>
        <v>6.9040375961041206E-2</v>
      </c>
      <c r="I79" s="336"/>
      <c r="J79" s="195"/>
      <c r="K79" s="168"/>
      <c r="M79" s="359">
        <f t="shared" si="12"/>
        <v>16.39839578481876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'[3]Sch C'!D75</f>
        <v>70202</v>
      </c>
      <c r="D82" s="558">
        <f>'[3]Sch C'!F75</f>
        <v>0</v>
      </c>
      <c r="E82" s="171">
        <f t="shared" ref="E82:E92" si="14">C82+D82</f>
        <v>70202</v>
      </c>
      <c r="F82" s="171"/>
      <c r="G82" s="171">
        <f t="shared" ref="G82:G92" si="15">E82+F82</f>
        <v>70202</v>
      </c>
      <c r="H82" s="172">
        <f t="shared" ref="H82:H93" si="16">IF($G$208=0,0,G82/$G$208)</f>
        <v>6.9523161942164321E-3</v>
      </c>
      <c r="I82" s="336"/>
      <c r="J82" s="183">
        <v>3453</v>
      </c>
      <c r="K82" s="183">
        <v>3889</v>
      </c>
      <c r="M82" s="359">
        <f t="shared" ref="M82:M92" si="17">G82/G$228</f>
        <v>1.6513066591395573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'[3]Sch C'!D76</f>
        <v>12504</v>
      </c>
      <c r="D83" s="558">
        <f>'[3]Sch C'!F76</f>
        <v>0</v>
      </c>
      <c r="E83" s="171">
        <f t="shared" si="14"/>
        <v>12504</v>
      </c>
      <c r="F83" s="171"/>
      <c r="G83" s="171">
        <f t="shared" si="15"/>
        <v>12504</v>
      </c>
      <c r="H83" s="172">
        <f t="shared" si="16"/>
        <v>1.2383089041976335E-3</v>
      </c>
      <c r="I83" s="336"/>
      <c r="J83" s="168"/>
      <c r="K83" s="168"/>
      <c r="M83" s="359">
        <f t="shared" si="17"/>
        <v>0.29412179803824712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'[3]Sch C'!D77</f>
        <v>14011</v>
      </c>
      <c r="D84" s="558">
        <f>'[3]Sch C'!F77</f>
        <v>0</v>
      </c>
      <c r="E84" s="171">
        <f t="shared" si="14"/>
        <v>14011</v>
      </c>
      <c r="F84" s="171"/>
      <c r="G84" s="171">
        <f t="shared" si="15"/>
        <v>14011</v>
      </c>
      <c r="H84" s="172">
        <f t="shared" si="16"/>
        <v>1.3875516680032824E-3</v>
      </c>
      <c r="I84" s="336"/>
      <c r="J84" s="168"/>
      <c r="K84" s="168"/>
      <c r="M84" s="359">
        <f t="shared" si="17"/>
        <v>0.32956977865594056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'[3]Sch C'!D78</f>
        <v>0</v>
      </c>
      <c r="D85" s="558">
        <f>'[3]Sch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'[3]Sch C'!D79</f>
        <v>5766</v>
      </c>
      <c r="D86" s="558">
        <f>'[3]Sch C'!F79</f>
        <v>0</v>
      </c>
      <c r="E86" s="171">
        <f t="shared" si="14"/>
        <v>5766</v>
      </c>
      <c r="F86" s="171"/>
      <c r="G86" s="171">
        <f>E86+F86</f>
        <v>5766</v>
      </c>
      <c r="H86" s="172">
        <f t="shared" si="16"/>
        <v>5.7102440351915825E-4</v>
      </c>
      <c r="I86" s="336"/>
      <c r="J86" s="168"/>
      <c r="K86" s="168"/>
      <c r="M86" s="359">
        <f t="shared" si="17"/>
        <v>0.13562910168654294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'[3]Sch C'!D80</f>
        <v>23617</v>
      </c>
      <c r="D87" s="558">
        <f>'[3]Sch C'!F80</f>
        <v>3800</v>
      </c>
      <c r="E87" s="171">
        <f t="shared" si="14"/>
        <v>27417</v>
      </c>
      <c r="F87" s="171"/>
      <c r="G87" s="171">
        <f t="shared" si="15"/>
        <v>27417</v>
      </c>
      <c r="H87" s="172">
        <f t="shared" si="16"/>
        <v>2.7151883578364136E-3</v>
      </c>
      <c r="I87" s="336"/>
      <c r="J87" s="168"/>
      <c r="K87" s="168"/>
      <c r="M87" s="359">
        <f t="shared" si="17"/>
        <v>0.64490861618798956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'[3]Sch C'!D81</f>
        <v>21027</v>
      </c>
      <c r="D88" s="558">
        <f>'[3]Sch C'!F81</f>
        <v>0</v>
      </c>
      <c r="E88" s="171">
        <f t="shared" si="14"/>
        <v>21027</v>
      </c>
      <c r="F88" s="171"/>
      <c r="G88" s="171">
        <f t="shared" si="15"/>
        <v>21027</v>
      </c>
      <c r="H88" s="172">
        <f t="shared" si="16"/>
        <v>2.0823673487334964E-3</v>
      </c>
      <c r="I88" s="336"/>
      <c r="J88" s="168"/>
      <c r="K88" s="168"/>
      <c r="M88" s="359">
        <f t="shared" si="17"/>
        <v>0.49460165125961469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'[3]Sch C'!D82</f>
        <v>24369</v>
      </c>
      <c r="D89" s="558">
        <f>'[3]Sch C'!F82</f>
        <v>0</v>
      </c>
      <c r="E89" s="171">
        <f t="shared" si="14"/>
        <v>24369</v>
      </c>
      <c r="F89" s="171"/>
      <c r="G89" s="171">
        <f t="shared" si="15"/>
        <v>24369</v>
      </c>
      <c r="H89" s="172">
        <f t="shared" si="16"/>
        <v>2.4133357074849751E-3</v>
      </c>
      <c r="I89" s="336"/>
      <c r="J89" s="168"/>
      <c r="K89" s="168"/>
      <c r="M89" s="359">
        <f t="shared" si="17"/>
        <v>0.57321289958365673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'[3]Sch C'!D83</f>
        <v>0</v>
      </c>
      <c r="D90" s="558">
        <f>'[3]Sch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'[3]Sch C'!D84</f>
        <v>156635</v>
      </c>
      <c r="D91" s="558">
        <f>'[3]Sch C'!F84</f>
        <v>0</v>
      </c>
      <c r="E91" s="171">
        <f t="shared" si="14"/>
        <v>156635</v>
      </c>
      <c r="F91" s="171"/>
      <c r="G91" s="171">
        <f t="shared" si="15"/>
        <v>156635</v>
      </c>
      <c r="H91" s="172">
        <f t="shared" si="16"/>
        <v>1.5512037364762981E-2</v>
      </c>
      <c r="I91" s="336"/>
      <c r="J91" s="168"/>
      <c r="K91" s="168"/>
      <c r="M91" s="359">
        <f t="shared" si="17"/>
        <v>3.6844024180838804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'[3]Sch C'!D85</f>
        <v>0</v>
      </c>
      <c r="D92" s="558">
        <f>'[3]Sch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328131</v>
      </c>
      <c r="D93" s="558">
        <f>SUM(D82:D92)</f>
        <v>3800</v>
      </c>
      <c r="E93" s="171">
        <f t="shared" ref="E93:F93" si="18">SUM(E82:E92)</f>
        <v>331931</v>
      </c>
      <c r="F93" s="171">
        <f t="shared" si="18"/>
        <v>0</v>
      </c>
      <c r="G93" s="171">
        <f>SUM(G82:G92)</f>
        <v>331931</v>
      </c>
      <c r="H93" s="172">
        <f t="shared" si="16"/>
        <v>3.2872129948754374E-2</v>
      </c>
      <c r="I93" s="336"/>
      <c r="J93" s="168"/>
      <c r="K93" s="168"/>
      <c r="M93" s="364">
        <f>G93/G$228</f>
        <v>7.8077529226354292</v>
      </c>
      <c r="N93" s="359">
        <f>SUMMARY!J96</f>
        <v>11.458724454710746</v>
      </c>
      <c r="O93" s="354">
        <f>M93/N93-1</f>
        <v>-0.31861936697276827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'[3]Sch C'!D89</f>
        <v>188583</v>
      </c>
      <c r="D96" s="558">
        <f>'[3]Sch C'!F89</f>
        <v>0</v>
      </c>
      <c r="E96" s="171">
        <f t="shared" ref="E96:E101" si="19">C96+D96</f>
        <v>188583</v>
      </c>
      <c r="F96" s="171"/>
      <c r="G96" s="171">
        <f t="shared" ref="G96:G101" si="20">E96+F96</f>
        <v>188583</v>
      </c>
      <c r="H96" s="172">
        <f t="shared" ref="H96:H102" si="21">IF($G$208=0,0,G96/$G$208)</f>
        <v>1.867594434423403E-2</v>
      </c>
      <c r="I96" s="336"/>
      <c r="J96" s="183">
        <v>16810</v>
      </c>
      <c r="K96" s="183">
        <v>19562</v>
      </c>
      <c r="M96" s="364">
        <f t="shared" ref="M96:M101" si="22">G96/G$228</f>
        <v>4.4358901982922871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'[3]Sch C'!D90</f>
        <v>36358</v>
      </c>
      <c r="D97" s="558">
        <f>'[3]Sch C'!F90</f>
        <v>0</v>
      </c>
      <c r="E97" s="171">
        <f t="shared" si="19"/>
        <v>36358</v>
      </c>
      <c r="F97" s="171"/>
      <c r="G97" s="171">
        <f t="shared" si="20"/>
        <v>36358</v>
      </c>
      <c r="H97" s="172">
        <f t="shared" si="21"/>
        <v>3.6006426054716535E-3</v>
      </c>
      <c r="I97" s="336"/>
      <c r="J97" s="168"/>
      <c r="K97" s="168"/>
      <c r="M97" s="364">
        <f t="shared" si="22"/>
        <v>0.85522075600404579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'[3]Sch C'!D91</f>
        <v>477578</v>
      </c>
      <c r="D98" s="558">
        <f>'[3]Sch C'!F91</f>
        <v>0</v>
      </c>
      <c r="E98" s="171">
        <f t="shared" si="19"/>
        <v>477578</v>
      </c>
      <c r="F98" s="171"/>
      <c r="G98" s="171">
        <f t="shared" si="20"/>
        <v>477578</v>
      </c>
      <c r="H98" s="172">
        <f t="shared" si="21"/>
        <v>4.7295992470321291E-2</v>
      </c>
      <c r="I98" s="336"/>
      <c r="J98" s="168"/>
      <c r="K98" s="168"/>
      <c r="M98" s="364">
        <f t="shared" si="22"/>
        <v>11.233693223249359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'[3]Sch C'!D92</f>
        <v>132352</v>
      </c>
      <c r="D99" s="558">
        <f>'[3]Sch C'!F92</f>
        <v>-3982</v>
      </c>
      <c r="E99" s="171">
        <f t="shared" si="19"/>
        <v>128370</v>
      </c>
      <c r="F99" s="171"/>
      <c r="G99" s="171">
        <f t="shared" si="20"/>
        <v>128370</v>
      </c>
      <c r="H99" s="172">
        <f t="shared" si="21"/>
        <v>1.2712869004466587E-2</v>
      </c>
      <c r="I99" s="336"/>
      <c r="J99" s="168"/>
      <c r="K99" s="168"/>
      <c r="M99" s="364">
        <f t="shared" si="22"/>
        <v>3.0195469621057089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'[3]Sch C'!D93</f>
        <v>21603</v>
      </c>
      <c r="D100" s="558">
        <f>'[3]Sch C'!F93</f>
        <v>0</v>
      </c>
      <c r="E100" s="171">
        <f t="shared" si="19"/>
        <v>21603</v>
      </c>
      <c r="F100" s="171"/>
      <c r="G100" s="171">
        <f t="shared" si="20"/>
        <v>21603</v>
      </c>
      <c r="H100" s="172">
        <f t="shared" si="21"/>
        <v>2.139410369272351E-3</v>
      </c>
      <c r="I100" s="336"/>
      <c r="J100" s="168"/>
      <c r="K100" s="168"/>
      <c r="M100" s="364">
        <f t="shared" si="22"/>
        <v>0.50815044809822874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'[3]Sch C'!D94</f>
        <v>0</v>
      </c>
      <c r="D101" s="558">
        <f>'[3]Sch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856474</v>
      </c>
      <c r="D102" s="558">
        <f>SUM(D96:D101)</f>
        <v>-3982</v>
      </c>
      <c r="E102" s="171">
        <f t="shared" ref="E102:F102" si="23">SUM(E96:E101)</f>
        <v>852492</v>
      </c>
      <c r="F102" s="171">
        <f t="shared" si="23"/>
        <v>0</v>
      </c>
      <c r="G102" s="171">
        <f>SUM(G96:G101)</f>
        <v>852492</v>
      </c>
      <c r="H102" s="172">
        <f t="shared" si="21"/>
        <v>8.4424858793765906E-2</v>
      </c>
      <c r="I102" s="336"/>
      <c r="J102" s="168"/>
      <c r="K102" s="168"/>
      <c r="M102" s="364">
        <f>G102/G$228</f>
        <v>20.052501587749628</v>
      </c>
      <c r="N102" s="359">
        <f>SUMMARY!J105</f>
        <v>19.901077037785338</v>
      </c>
      <c r="O102" s="354">
        <f>M102/N102-1</f>
        <v>7.6088620569021437E-3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'[3]Sch C'!D98</f>
        <v>0</v>
      </c>
      <c r="D105" s="558">
        <f>'[3]Sch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'[3]Sch C'!D99</f>
        <v>0</v>
      </c>
      <c r="D106" s="558">
        <f>'[3]Sch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'[3]Sch C'!D100</f>
        <v>214</v>
      </c>
      <c r="D107" s="558">
        <f>'[3]Sch C'!F100</f>
        <v>0</v>
      </c>
      <c r="E107" s="171">
        <f t="shared" si="24"/>
        <v>214</v>
      </c>
      <c r="F107" s="171"/>
      <c r="G107" s="171">
        <f t="shared" si="25"/>
        <v>214</v>
      </c>
      <c r="H107" s="172">
        <f t="shared" si="26"/>
        <v>2.1193066658532754E-5</v>
      </c>
      <c r="I107" s="336"/>
      <c r="J107" s="168"/>
      <c r="K107" s="168"/>
      <c r="M107" s="364">
        <f t="shared" si="27"/>
        <v>5.0337543810128667E-3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'[3]Sch C'!D101</f>
        <v>125718</v>
      </c>
      <c r="D108" s="558">
        <f>'[3]Sch C'!F101</f>
        <v>0</v>
      </c>
      <c r="E108" s="171">
        <f t="shared" si="24"/>
        <v>125718</v>
      </c>
      <c r="F108" s="171"/>
      <c r="G108" s="171">
        <f t="shared" si="25"/>
        <v>125718</v>
      </c>
      <c r="H108" s="172">
        <f t="shared" si="26"/>
        <v>1.2450233430735612E-2</v>
      </c>
      <c r="I108" s="336"/>
      <c r="J108" s="168"/>
      <c r="K108" s="168"/>
      <c r="M108" s="364">
        <f t="shared" si="27"/>
        <v>2.9571660433279234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'[3]Sch C'!D102</f>
        <v>7511</v>
      </c>
      <c r="D109" s="558">
        <f>'[3]Sch C'!F102</f>
        <v>0</v>
      </c>
      <c r="E109" s="171">
        <f t="shared" si="24"/>
        <v>7511</v>
      </c>
      <c r="F109" s="171"/>
      <c r="G109" s="171">
        <f t="shared" si="25"/>
        <v>7511</v>
      </c>
      <c r="H109" s="172">
        <f t="shared" si="26"/>
        <v>7.4383702650579215E-4</v>
      </c>
      <c r="I109" s="336"/>
      <c r="J109" s="168"/>
      <c r="K109" s="168"/>
      <c r="M109" s="364">
        <f t="shared" si="27"/>
        <v>0.17667536988685814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'[3]Sch C'!D103</f>
        <v>0</v>
      </c>
      <c r="D110" s="558">
        <f>'[3]Sch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133443</v>
      </c>
      <c r="D111" s="558">
        <f>SUM(D105:D110)</f>
        <v>0</v>
      </c>
      <c r="E111" s="171">
        <f t="shared" ref="E111:F111" si="28">SUM(E105:E110)</f>
        <v>133443</v>
      </c>
      <c r="F111" s="171">
        <f t="shared" si="28"/>
        <v>0</v>
      </c>
      <c r="G111" s="171">
        <f>SUM(G105:G110)</f>
        <v>133443</v>
      </c>
      <c r="H111" s="172">
        <f t="shared" si="26"/>
        <v>1.3215263523899937E-2</v>
      </c>
      <c r="I111" s="336"/>
      <c r="J111" s="168"/>
      <c r="K111" s="168"/>
      <c r="M111" s="364">
        <f>G111/G$228</f>
        <v>3.1388751675957942</v>
      </c>
      <c r="N111" s="359">
        <f>SUMMARY!J114</f>
        <v>2.4242384372309496</v>
      </c>
      <c r="O111" s="354">
        <f>M111/N111-1</f>
        <v>0.294788136096517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'[3]Sch C'!D115</f>
        <v>0</v>
      </c>
      <c r="D114" s="558">
        <f>'[3]Sch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'[3]Sch C'!D116</f>
        <v>0</v>
      </c>
      <c r="D115" s="558">
        <f>'[3]Sch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'[3]Sch C'!D117</f>
        <v>-1817</v>
      </c>
      <c r="D116" s="558">
        <f>'[3]Sch C'!F117</f>
        <v>0</v>
      </c>
      <c r="E116" s="171">
        <f t="shared" si="29"/>
        <v>-1817</v>
      </c>
      <c r="F116" s="171"/>
      <c r="G116" s="171">
        <f>E116+F116</f>
        <v>-1817</v>
      </c>
      <c r="H116" s="172">
        <f t="shared" si="30"/>
        <v>-1.7994300055399073E-4</v>
      </c>
      <c r="I116" s="336"/>
      <c r="J116" s="168"/>
      <c r="K116" s="168"/>
      <c r="M116" s="364">
        <f t="shared" si="31"/>
        <v>-4.2739867805141954E-2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'[3]Sch C'!D118</f>
        <v>187592</v>
      </c>
      <c r="D117" s="558">
        <f>'[3]Sch C'!F118</f>
        <v>0</v>
      </c>
      <c r="E117" s="171">
        <f t="shared" si="29"/>
        <v>187592</v>
      </c>
      <c r="F117" s="171"/>
      <c r="G117" s="171">
        <f>E117+F117</f>
        <v>187592</v>
      </c>
      <c r="H117" s="172">
        <f t="shared" si="30"/>
        <v>1.8577802619661105E-2</v>
      </c>
      <c r="I117" s="336"/>
      <c r="J117" s="168"/>
      <c r="K117" s="168"/>
      <c r="M117" s="364">
        <f t="shared" si="31"/>
        <v>4.4125796815091851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'[3]Sch C'!D119</f>
        <v>0</v>
      </c>
      <c r="D118" s="558">
        <f>'[3]Sch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185775</v>
      </c>
      <c r="D119" s="558">
        <f>SUM(D114:D118)</f>
        <v>0</v>
      </c>
      <c r="E119" s="171">
        <f t="shared" ref="E119:F119" si="32">SUM(E114:E118)</f>
        <v>185775</v>
      </c>
      <c r="F119" s="171">
        <f t="shared" si="32"/>
        <v>0</v>
      </c>
      <c r="G119" s="171">
        <f>SUM(G114:G118)</f>
        <v>185775</v>
      </c>
      <c r="H119" s="172">
        <f t="shared" si="30"/>
        <v>1.8397859619107115E-2</v>
      </c>
      <c r="I119" s="336"/>
      <c r="J119" s="168"/>
      <c r="K119" s="168"/>
      <c r="M119" s="364">
        <f t="shared" si="31"/>
        <v>4.3698398137040435</v>
      </c>
      <c r="N119" s="359">
        <f>SUMMARY!J122</f>
        <v>6.0247597205909562</v>
      </c>
      <c r="O119" s="354">
        <f>M119/N119-1</f>
        <v>-0.27468645782351386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'[3]Sch C'!D124</f>
        <v>0</v>
      </c>
      <c r="D123" s="558">
        <f>'[3]Sch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'[3]Sch C'!D125</f>
        <v>316205</v>
      </c>
      <c r="D124" s="558">
        <f>'[3]Sch C'!F125</f>
        <v>0</v>
      </c>
      <c r="E124" s="171">
        <f t="shared" si="33"/>
        <v>316205</v>
      </c>
      <c r="F124" s="171"/>
      <c r="G124" s="171">
        <f>E124+F124</f>
        <v>316205</v>
      </c>
      <c r="H124" s="172">
        <f>IF($G$208=0,0,G124/$G$208)</f>
        <v>3.1314736648417524E-2</v>
      </c>
      <c r="I124" s="336"/>
      <c r="J124" s="183">
        <v>10258</v>
      </c>
      <c r="K124" s="183">
        <v>11250</v>
      </c>
      <c r="M124" s="364">
        <f t="shared" si="34"/>
        <v>7.4378425422811842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'[3]Sch C'!D126</f>
        <v>0</v>
      </c>
      <c r="D125" s="558">
        <f>'[3]Sch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'[3]Sch C'!D127</f>
        <v>0</v>
      </c>
      <c r="D126" s="558">
        <f>'[3]Sch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'[3]Sch C'!D128</f>
        <v>91103</v>
      </c>
      <c r="D127" s="558">
        <f>'[3]Sch C'!F128</f>
        <v>0</v>
      </c>
      <c r="E127" s="171">
        <f t="shared" si="33"/>
        <v>91103</v>
      </c>
      <c r="F127" s="171"/>
      <c r="G127" s="171">
        <f>E127+F127</f>
        <v>91103</v>
      </c>
      <c r="H127" s="172">
        <f>IF($G$208=0,0,G127/$G$208)</f>
        <v>9.0222053822070544E-3</v>
      </c>
      <c r="I127" s="336"/>
      <c r="J127" s="183">
        <v>5809</v>
      </c>
      <c r="K127" s="183">
        <v>6514</v>
      </c>
      <c r="M127" s="364">
        <f t="shared" si="34"/>
        <v>2.1429445110907253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'[3]Sch C'!D130</f>
        <v>0</v>
      </c>
      <c r="D129" s="558">
        <f>'[3]Sch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'[3]Sch C'!D131</f>
        <v>65665</v>
      </c>
      <c r="D130" s="558">
        <f>'[3]Sch C'!F131</f>
        <v>0</v>
      </c>
      <c r="E130" s="171">
        <f t="shared" si="35"/>
        <v>65665</v>
      </c>
      <c r="F130" s="171"/>
      <c r="G130" s="171">
        <f>E130+F130</f>
        <v>65665</v>
      </c>
      <c r="H130" s="172">
        <f>IF($G$208=0,0,G130/$G$208)</f>
        <v>6.5030033744511839E-3</v>
      </c>
      <c r="I130" s="336"/>
      <c r="J130" s="204"/>
      <c r="K130" s="204"/>
      <c r="M130" s="364">
        <f t="shared" si="34"/>
        <v>1.5445863618187379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'[3]Sch C'!D132</f>
        <v>0</v>
      </c>
      <c r="D131" s="558">
        <f>'[3]Sch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'[3]Sch C'!D133</f>
        <v>0</v>
      </c>
      <c r="D132" s="558">
        <f>'[3]Sch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'[3]Sch C'!D134</f>
        <v>7544</v>
      </c>
      <c r="D133" s="558">
        <f>'[3]Sch C'!F134</f>
        <v>0</v>
      </c>
      <c r="E133" s="171">
        <f t="shared" si="35"/>
        <v>7544</v>
      </c>
      <c r="F133" s="171"/>
      <c r="G133" s="171">
        <f>E133+F133</f>
        <v>7544</v>
      </c>
      <c r="H133" s="172">
        <f>IF($G$208=0,0,G133/$G$208)</f>
        <v>7.4710511622416405E-4</v>
      </c>
      <c r="I133" s="336"/>
      <c r="J133" s="168"/>
      <c r="K133" s="168"/>
      <c r="M133" s="364">
        <f t="shared" si="34"/>
        <v>0.1774516030390704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'[3]Sch C'!D136</f>
        <v>1292787</v>
      </c>
      <c r="D135" s="558">
        <f>'[3]Sch C'!F136</f>
        <v>0</v>
      </c>
      <c r="E135" s="171">
        <f t="shared" ref="E135:E138" si="36">C135+D135</f>
        <v>1292787</v>
      </c>
      <c r="F135" s="171"/>
      <c r="G135" s="171">
        <f>E135+F135</f>
        <v>1292787</v>
      </c>
      <c r="H135" s="172">
        <f>IF($G$208=0,0,G135/$G$208)</f>
        <v>0.12802860311347936</v>
      </c>
      <c r="I135" s="336"/>
      <c r="J135" s="183">
        <v>40604</v>
      </c>
      <c r="K135" s="183">
        <v>43796</v>
      </c>
      <c r="M135" s="364">
        <f t="shared" si="34"/>
        <v>30.409216004516267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'[3]Sch C'!D137</f>
        <v>403827</v>
      </c>
      <c r="D136" s="558">
        <f>'[3]Sch C'!F137</f>
        <v>0</v>
      </c>
      <c r="E136" s="171">
        <f t="shared" si="36"/>
        <v>403827</v>
      </c>
      <c r="F136" s="171"/>
      <c r="G136" s="171">
        <f>E136+F136</f>
        <v>403827</v>
      </c>
      <c r="H136" s="172">
        <f>IF($G$208=0,0,G136/$G$208)</f>
        <v>3.9992208081847225E-2</v>
      </c>
      <c r="I136" s="336"/>
      <c r="J136" s="183">
        <v>16055</v>
      </c>
      <c r="K136" s="183">
        <v>17177</v>
      </c>
      <c r="M136" s="364">
        <f t="shared" si="34"/>
        <v>9.498906216921883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'[3]Sch C'!D138</f>
        <v>1084635</v>
      </c>
      <c r="D137" s="558">
        <f>'[3]Sch C'!F138</f>
        <v>41713</v>
      </c>
      <c r="E137" s="171">
        <f t="shared" si="36"/>
        <v>1126348</v>
      </c>
      <c r="F137" s="171"/>
      <c r="G137" s="171">
        <f>E137+F137</f>
        <v>1126348</v>
      </c>
      <c r="H137" s="172">
        <f>IF($G$208=0,0,G137/$G$208)</f>
        <v>0.11154564600329463</v>
      </c>
      <c r="I137" s="336"/>
      <c r="J137" s="183">
        <v>127135</v>
      </c>
      <c r="K137" s="183">
        <v>137603</v>
      </c>
      <c r="M137" s="364">
        <f t="shared" si="34"/>
        <v>26.494201773575142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'[3]Sch C'!D139</f>
        <v>41713</v>
      </c>
      <c r="D138" s="558">
        <f>'[3]Sch C'!F139</f>
        <v>-41713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'[3]Sch C'!D141</f>
        <v>579595</v>
      </c>
      <c r="D140" s="558">
        <f>'[3]Sch C'!F141</f>
        <v>-312775</v>
      </c>
      <c r="E140" s="171">
        <f t="shared" ref="E140:E143" si="37">C140+D140</f>
        <v>266820</v>
      </c>
      <c r="F140" s="171"/>
      <c r="G140" s="171">
        <f>E140+F140</f>
        <v>266820</v>
      </c>
      <c r="H140" s="172">
        <f>IF($G$208=0,0,G140/$G$208)</f>
        <v>2.6423990868363129E-2</v>
      </c>
      <c r="I140" s="336"/>
      <c r="J140" s="168"/>
      <c r="K140" s="168"/>
      <c r="M140" s="364">
        <f t="shared" si="34"/>
        <v>6.2761978688871638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'[3]Sch C'!D142</f>
        <v>0</v>
      </c>
      <c r="D141" s="558">
        <f>'[3]Sch C'!F142</f>
        <v>83346</v>
      </c>
      <c r="E141" s="171">
        <f t="shared" si="37"/>
        <v>83346</v>
      </c>
      <c r="F141" s="171"/>
      <c r="G141" s="171">
        <f>E141+F141</f>
        <v>83346</v>
      </c>
      <c r="H141" s="172">
        <f>IF($G$208=0,0,G141/$G$208)</f>
        <v>8.2540062323461262E-3</v>
      </c>
      <c r="I141" s="336"/>
      <c r="J141" s="168"/>
      <c r="K141" s="168"/>
      <c r="M141" s="364">
        <f t="shared" si="34"/>
        <v>1.9604826758873757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'[3]Sch C'!D143</f>
        <v>116398</v>
      </c>
      <c r="D142" s="558">
        <f>'[3]Sch C'!F143</f>
        <v>229428</v>
      </c>
      <c r="E142" s="171">
        <f t="shared" si="37"/>
        <v>345826</v>
      </c>
      <c r="F142" s="171">
        <v>-116398</v>
      </c>
      <c r="G142" s="171">
        <f>E142+F142</f>
        <v>229428</v>
      </c>
      <c r="H142" s="172">
        <f>IF($G$208=0,0,G142/$G$208)</f>
        <v>2.2720948118382489E-2</v>
      </c>
      <c r="I142" s="336" t="s">
        <v>670</v>
      </c>
      <c r="J142" s="168"/>
      <c r="K142" s="168"/>
      <c r="M142" s="364">
        <f t="shared" si="34"/>
        <v>5.3966551407804673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'[3]Sch C'!D144</f>
        <v>0</v>
      </c>
      <c r="D143" s="558">
        <f>'[3]Sch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'[3]Sch C'!D146</f>
        <v>50557</v>
      </c>
      <c r="D145" s="558">
        <f>'[3]Sch C'!F146</f>
        <v>0</v>
      </c>
      <c r="E145" s="171">
        <f t="shared" ref="E145:E153" si="38">C145+D145</f>
        <v>50557</v>
      </c>
      <c r="F145" s="171"/>
      <c r="G145" s="171">
        <f t="shared" ref="G145:G153" si="39">E145+F145</f>
        <v>50557</v>
      </c>
      <c r="H145" s="172">
        <f t="shared" ref="H145:H153" si="40">IF($G$208=0,0,G145/$G$208)</f>
        <v>5.0068124815674788E-3</v>
      </c>
      <c r="I145" s="336"/>
      <c r="J145" s="183">
        <v>188</v>
      </c>
      <c r="K145" s="183">
        <v>188</v>
      </c>
      <c r="M145" s="364">
        <f t="shared" si="34"/>
        <v>1.189212711405923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'[3]Sch C'!D147</f>
        <v>43891</v>
      </c>
      <c r="D146" s="558">
        <f>'[3]Sch C'!F147</f>
        <v>0</v>
      </c>
      <c r="E146" s="171">
        <f t="shared" si="38"/>
        <v>43891</v>
      </c>
      <c r="F146" s="171"/>
      <c r="G146" s="171">
        <f t="shared" si="39"/>
        <v>43891</v>
      </c>
      <c r="H146" s="172">
        <f t="shared" si="40"/>
        <v>4.3466583584563607E-3</v>
      </c>
      <c r="I146" s="336"/>
      <c r="J146" s="183">
        <v>832</v>
      </c>
      <c r="K146" s="183">
        <v>832</v>
      </c>
      <c r="M146" s="364">
        <f t="shared" si="34"/>
        <v>1.0324136146590455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'[3]Sch C'!D148</f>
        <v>100</v>
      </c>
      <c r="D147" s="558">
        <f>'[3]Sch C'!F148</f>
        <v>0</v>
      </c>
      <c r="E147" s="171">
        <f t="shared" si="38"/>
        <v>100</v>
      </c>
      <c r="F147" s="171"/>
      <c r="G147" s="171">
        <f t="shared" si="39"/>
        <v>100</v>
      </c>
      <c r="H147" s="172">
        <f t="shared" si="40"/>
        <v>9.903302176884465E-6</v>
      </c>
      <c r="I147" s="336"/>
      <c r="J147" s="183">
        <v>3</v>
      </c>
      <c r="K147" s="183">
        <v>3</v>
      </c>
      <c r="M147" s="364">
        <f t="shared" si="34"/>
        <v>2.3522216733704985E-3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'[3]Sch C'!D149</f>
        <v>0</v>
      </c>
      <c r="D148" s="558">
        <f>'[3]Sch C'!F149</f>
        <v>0</v>
      </c>
      <c r="E148" s="171">
        <f t="shared" si="38"/>
        <v>0</v>
      </c>
      <c r="F148" s="564">
        <v>116398</v>
      </c>
      <c r="G148" s="171">
        <f t="shared" si="39"/>
        <v>116398</v>
      </c>
      <c r="H148" s="172">
        <f t="shared" si="40"/>
        <v>1.1527245667849979E-2</v>
      </c>
      <c r="I148" s="336"/>
      <c r="J148" s="183">
        <v>0</v>
      </c>
      <c r="K148" s="183">
        <v>0</v>
      </c>
      <c r="M148" s="364">
        <f t="shared" si="34"/>
        <v>2.7379389833697929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'[3]Sch C'!D150</f>
        <v>3189</v>
      </c>
      <c r="D149" s="558">
        <f>'[3]Sch C'!F150</f>
        <v>0</v>
      </c>
      <c r="E149" s="171">
        <f t="shared" si="38"/>
        <v>3189</v>
      </c>
      <c r="F149" s="171"/>
      <c r="G149" s="171">
        <f t="shared" si="39"/>
        <v>3189</v>
      </c>
      <c r="H149" s="172">
        <f t="shared" si="40"/>
        <v>3.1581630642084558E-4</v>
      </c>
      <c r="I149" s="336"/>
      <c r="J149" s="183">
        <v>0</v>
      </c>
      <c r="K149" s="183">
        <v>0</v>
      </c>
      <c r="M149" s="364">
        <f t="shared" si="34"/>
        <v>7.50123491637852E-2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'[3]Sch C'!D151</f>
        <v>184472</v>
      </c>
      <c r="D150" s="558">
        <f>'[3]Sch C'!F151</f>
        <v>0</v>
      </c>
      <c r="E150" s="171">
        <f t="shared" si="38"/>
        <v>184472</v>
      </c>
      <c r="F150" s="171"/>
      <c r="G150" s="171">
        <f t="shared" si="39"/>
        <v>184472</v>
      </c>
      <c r="H150" s="172">
        <f t="shared" si="40"/>
        <v>1.826881959174231E-2</v>
      </c>
      <c r="I150" s="336"/>
      <c r="J150" s="168"/>
      <c r="K150" s="168"/>
      <c r="M150" s="364">
        <f t="shared" si="34"/>
        <v>4.3391903653000261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'[3]Sch C'!D152</f>
        <v>7524</v>
      </c>
      <c r="D151" s="558">
        <f>'[3]Sch C'!F152</f>
        <v>1285</v>
      </c>
      <c r="E151" s="171">
        <f t="shared" si="38"/>
        <v>8809</v>
      </c>
      <c r="F151" s="171"/>
      <c r="G151" s="171">
        <f t="shared" si="39"/>
        <v>8809</v>
      </c>
      <c r="H151" s="172">
        <f t="shared" si="40"/>
        <v>8.7238188876175254E-4</v>
      </c>
      <c r="I151" s="336"/>
      <c r="J151" s="168"/>
      <c r="K151" s="168"/>
      <c r="M151" s="364">
        <f t="shared" si="34"/>
        <v>0.2072072072072072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'[3]Sch C'!D153</f>
        <v>0</v>
      </c>
      <c r="D152" s="558">
        <f>'[3]Sch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'[3]Sch C'!D154</f>
        <v>0</v>
      </c>
      <c r="D153" s="558">
        <f>'[3]Sch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'[3]Sch C'!D156</f>
        <v>0</v>
      </c>
      <c r="D155" s="558">
        <f>'[3]Sch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'[3]Sch C'!D157</f>
        <v>0</v>
      </c>
      <c r="D156" s="558">
        <f>'[3]Sch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'[3]Sch C'!D158</f>
        <v>1265</v>
      </c>
      <c r="D157" s="558">
        <f>'[3]Sch C'!F158</f>
        <v>0</v>
      </c>
      <c r="E157" s="171">
        <f t="shared" si="41"/>
        <v>1265</v>
      </c>
      <c r="F157" s="171"/>
      <c r="G157" s="171">
        <f t="shared" si="42"/>
        <v>1265</v>
      </c>
      <c r="H157" s="172">
        <f t="shared" si="43"/>
        <v>1.2527677253758849E-4</v>
      </c>
      <c r="I157" s="336"/>
      <c r="J157" s="168"/>
      <c r="K157" s="168"/>
      <c r="M157" s="364">
        <f t="shared" si="34"/>
        <v>2.9755604168136805E-2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'[3]Sch C'!D159</f>
        <v>0</v>
      </c>
      <c r="D158" s="558">
        <f>'[3]Sch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'[3]Sch C'!D160</f>
        <v>0</v>
      </c>
      <c r="D159" s="558">
        <f>'[3]Sch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'[3]Sch C'!D161</f>
        <v>29190</v>
      </c>
      <c r="D160" s="558">
        <f>'[3]Sch C'!F161</f>
        <v>0</v>
      </c>
      <c r="E160" s="171">
        <f t="shared" si="41"/>
        <v>29190</v>
      </c>
      <c r="F160" s="171"/>
      <c r="G160" s="171">
        <f t="shared" si="42"/>
        <v>29190</v>
      </c>
      <c r="H160" s="172">
        <f t="shared" si="43"/>
        <v>2.8907739054325754E-3</v>
      </c>
      <c r="I160" s="336"/>
      <c r="J160" s="168"/>
      <c r="K160" s="168"/>
      <c r="M160" s="364">
        <f t="shared" si="34"/>
        <v>0.68661350645684849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4319660</v>
      </c>
      <c r="D161" s="558">
        <f>SUM(D123:D160)</f>
        <v>1284</v>
      </c>
      <c r="E161" s="171">
        <f t="shared" ref="E161:F161" si="44">SUM(E123:E160)</f>
        <v>4320944</v>
      </c>
      <c r="F161" s="171">
        <f t="shared" si="44"/>
        <v>0</v>
      </c>
      <c r="G161" s="171">
        <f>SUM(G123:G160)</f>
        <v>4320944</v>
      </c>
      <c r="H161" s="172">
        <f t="shared" si="43"/>
        <v>0.42791614121395866</v>
      </c>
      <c r="I161" s="336"/>
      <c r="J161" s="168"/>
      <c r="K161" s="168"/>
      <c r="M161" s="364">
        <f>G161/G$228</f>
        <v>101.63818126220215</v>
      </c>
      <c r="N161" s="359">
        <f>SUMMARY!J164</f>
        <v>105.56901037202306</v>
      </c>
      <c r="O161" s="354">
        <f>M161/N161-1</f>
        <v>-3.7234687489905771E-2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'[3]Sch C'!D175</f>
        <v>0</v>
      </c>
      <c r="D164" s="558">
        <f>'[3]Sch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'[3]Sch C'!D176</f>
        <v>0</v>
      </c>
      <c r="D165" s="558">
        <f>'[3]Sch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'[3]Sch C'!D177</f>
        <v>0</v>
      </c>
      <c r="D166" s="558">
        <f>'[3]Sch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'[3]Sch C'!D178</f>
        <v>0</v>
      </c>
      <c r="D167" s="558">
        <f>'[3]Sch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'[3]Sch C'!D179</f>
        <v>0</v>
      </c>
      <c r="D168" s="558">
        <f>'[3]Sch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'[3]Sch C'!D180</f>
        <v>0</v>
      </c>
      <c r="D169" s="558">
        <f>'[3]Sch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'[3]Sch C'!D181</f>
        <v>0</v>
      </c>
      <c r="D170" s="558">
        <f>'[3]Sch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'[3]Sch C'!D182</f>
        <v>0</v>
      </c>
      <c r="D171" s="558">
        <f>'[3]Sch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'[3]Sch C'!D183</f>
        <v>0</v>
      </c>
      <c r="D172" s="558">
        <f>'[3]Sch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'[3]Sch C'!D184</f>
        <v>0</v>
      </c>
      <c r="D173" s="558">
        <f>'[3]Sch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'[3]Sch C'!D185</f>
        <v>0</v>
      </c>
      <c r="D174" s="558">
        <f>'[3]Sch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'[3]Sch C'!D186</f>
        <v>0</v>
      </c>
      <c r="D175" s="558">
        <f>'[3]Sch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'[3]Sch C'!D187</f>
        <v>0</v>
      </c>
      <c r="D176" s="558">
        <f>'[3]Sch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'[3]Sch C'!D188</f>
        <v>1595</v>
      </c>
      <c r="D177" s="558">
        <f>'[3]Sch C'!F188</f>
        <v>0</v>
      </c>
      <c r="E177" s="171">
        <f t="shared" si="45"/>
        <v>1595</v>
      </c>
      <c r="F177" s="216"/>
      <c r="G177" s="171">
        <f t="shared" si="46"/>
        <v>1595</v>
      </c>
      <c r="H177" s="172">
        <f t="shared" si="47"/>
        <v>1.5795766972130721E-4</v>
      </c>
      <c r="I177" s="336"/>
      <c r="J177" s="223"/>
      <c r="K177" s="218"/>
      <c r="L177" s="220"/>
      <c r="M177" s="364">
        <f t="shared" si="48"/>
        <v>3.7517935690259449E-2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'[3]Sch C'!D189</f>
        <v>0</v>
      </c>
      <c r="D178" s="558">
        <f>'[3]Sch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'[3]Sch C'!D190</f>
        <v>0</v>
      </c>
      <c r="D179" s="558">
        <f>'[3]Sch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'[3]Sch C'!D191</f>
        <v>0</v>
      </c>
      <c r="D180" s="558">
        <f>'[3]Sch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'[3]Sch C'!D192</f>
        <v>0</v>
      </c>
      <c r="D181" s="558">
        <f>'[3]Sch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'[3]Sch C'!D193</f>
        <v>2157</v>
      </c>
      <c r="D182" s="558">
        <f>'[3]Sch C'!F193</f>
        <v>0</v>
      </c>
      <c r="E182" s="171">
        <f t="shared" si="45"/>
        <v>2157</v>
      </c>
      <c r="F182" s="216"/>
      <c r="G182" s="171">
        <f t="shared" si="46"/>
        <v>2157</v>
      </c>
      <c r="H182" s="172">
        <f t="shared" si="47"/>
        <v>2.136142279553979E-4</v>
      </c>
      <c r="I182" s="336"/>
      <c r="J182" s="223"/>
      <c r="K182" s="218"/>
      <c r="L182" s="220"/>
      <c r="M182" s="364">
        <f t="shared" si="48"/>
        <v>5.0737421494601649E-2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'[3]Sch C'!D194</f>
        <v>334805</v>
      </c>
      <c r="D183" s="558">
        <f>'[3]Sch C'!F194</f>
        <v>0</v>
      </c>
      <c r="E183" s="171">
        <f t="shared" si="45"/>
        <v>334805</v>
      </c>
      <c r="F183" s="216"/>
      <c r="G183" s="171">
        <f t="shared" si="46"/>
        <v>334805</v>
      </c>
      <c r="H183" s="172">
        <f t="shared" si="47"/>
        <v>3.3156750853318033E-2</v>
      </c>
      <c r="I183" s="336"/>
      <c r="J183" s="223"/>
      <c r="K183" s="218"/>
      <c r="M183" s="364">
        <f t="shared" si="48"/>
        <v>7.8753557735280975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'[3]Sch C'!D195</f>
        <v>206753</v>
      </c>
      <c r="D184" s="558">
        <f>'[3]Sch C'!F195</f>
        <v>0</v>
      </c>
      <c r="E184" s="171">
        <f t="shared" si="45"/>
        <v>206753</v>
      </c>
      <c r="F184" s="216"/>
      <c r="G184" s="171">
        <f t="shared" si="46"/>
        <v>206753</v>
      </c>
      <c r="H184" s="172">
        <f t="shared" si="47"/>
        <v>2.0475374349773937E-2</v>
      </c>
      <c r="I184" s="336"/>
      <c r="J184" s="223"/>
      <c r="K184" s="218"/>
      <c r="M184" s="364">
        <f t="shared" si="48"/>
        <v>4.8632888763437068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'[3]Sch C'!D196</f>
        <v>0</v>
      </c>
      <c r="D185" s="558">
        <f>'[3]Sch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'[3]Sch C'!D197</f>
        <v>306881</v>
      </c>
      <c r="D186" s="558">
        <f>'[3]Sch C'!F197</f>
        <v>0</v>
      </c>
      <c r="E186" s="171">
        <f t="shared" si="45"/>
        <v>306881</v>
      </c>
      <c r="F186" s="216"/>
      <c r="G186" s="171">
        <f t="shared" si="46"/>
        <v>306881</v>
      </c>
      <c r="H186" s="172">
        <f t="shared" si="47"/>
        <v>3.0391352753444813E-2</v>
      </c>
      <c r="I186" s="336"/>
      <c r="J186" s="223"/>
      <c r="K186" s="218"/>
      <c r="M186" s="364">
        <f t="shared" si="48"/>
        <v>7.2185213934561192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'[3]Sch C'!D198</f>
        <v>72504</v>
      </c>
      <c r="D187" s="558">
        <f>'[3]Sch C'!F198</f>
        <v>0</v>
      </c>
      <c r="E187" s="171">
        <f t="shared" si="45"/>
        <v>72504</v>
      </c>
      <c r="F187" s="216"/>
      <c r="G187" s="171">
        <f t="shared" si="46"/>
        <v>72504</v>
      </c>
      <c r="H187" s="172">
        <f t="shared" si="47"/>
        <v>7.1802902103283127E-3</v>
      </c>
      <c r="I187" s="336"/>
      <c r="J187" s="223"/>
      <c r="K187" s="218"/>
      <c r="M187" s="364">
        <f t="shared" si="48"/>
        <v>1.7054548020605462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'[3]Sch C'!D199</f>
        <v>0</v>
      </c>
      <c r="D188" s="558">
        <f>'[3]Sch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'[3]Sch C'!D200</f>
        <v>0</v>
      </c>
      <c r="D189" s="558">
        <f>'[3]Sch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'[3]Sch C'!D201</f>
        <v>0</v>
      </c>
      <c r="D190" s="558">
        <f>'[3]Sch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'[3]Sch C'!D202</f>
        <v>0</v>
      </c>
      <c r="D191" s="558">
        <f>'[3]Sch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'[3]Sch C'!D203</f>
        <v>0</v>
      </c>
      <c r="D192" s="558">
        <f>'[3]Sch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'[3]Sch C'!D204</f>
        <v>0</v>
      </c>
      <c r="D193" s="558">
        <f>'[3]Sch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'[3]Sch C'!D205</f>
        <v>315496</v>
      </c>
      <c r="D194" s="558">
        <f>'[3]Sch C'!F205</f>
        <v>0</v>
      </c>
      <c r="E194" s="171">
        <f t="shared" si="45"/>
        <v>315496</v>
      </c>
      <c r="F194" s="216"/>
      <c r="G194" s="171">
        <f t="shared" si="46"/>
        <v>315496</v>
      </c>
      <c r="H194" s="172">
        <f t="shared" si="47"/>
        <v>3.124452223598341E-2</v>
      </c>
      <c r="I194" s="336"/>
      <c r="J194" s="223"/>
      <c r="K194" s="218"/>
      <c r="M194" s="364">
        <f t="shared" si="48"/>
        <v>7.4211652906169876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'[3]Sch C'!D206</f>
        <v>2091</v>
      </c>
      <c r="D195" s="558">
        <f>'[3]Sch C'!F206</f>
        <v>0</v>
      </c>
      <c r="E195" s="171">
        <f t="shared" si="45"/>
        <v>2091</v>
      </c>
      <c r="F195" s="216"/>
      <c r="G195" s="171">
        <f t="shared" si="46"/>
        <v>2091</v>
      </c>
      <c r="H195" s="172">
        <f t="shared" si="47"/>
        <v>2.0707804851865415E-4</v>
      </c>
      <c r="I195" s="336"/>
      <c r="J195" s="223"/>
      <c r="K195" s="218"/>
      <c r="M195" s="364">
        <f t="shared" si="48"/>
        <v>4.918495519017712E-2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'[3]Sch C'!D207</f>
        <v>1553</v>
      </c>
      <c r="D196" s="558">
        <f>'[3]Sch C'!F207</f>
        <v>0</v>
      </c>
      <c r="E196" s="171">
        <f t="shared" si="45"/>
        <v>1553</v>
      </c>
      <c r="F196" s="216"/>
      <c r="G196" s="171">
        <f t="shared" si="46"/>
        <v>1553</v>
      </c>
      <c r="H196" s="172">
        <f t="shared" si="47"/>
        <v>1.5379828280701573E-4</v>
      </c>
      <c r="I196" s="336"/>
      <c r="J196" s="223"/>
      <c r="K196" s="218"/>
      <c r="M196" s="364">
        <f t="shared" si="48"/>
        <v>3.6530002587443842E-2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1243835</v>
      </c>
      <c r="D197" s="558">
        <f>SUM(D164:D196)</f>
        <v>0</v>
      </c>
      <c r="E197" s="171">
        <f t="shared" ref="E197:F197" si="49">SUM(E164:E196)</f>
        <v>1243835</v>
      </c>
      <c r="F197" s="171">
        <f t="shared" si="49"/>
        <v>0</v>
      </c>
      <c r="G197" s="171">
        <f>SUM(G164:G196)</f>
        <v>1243835</v>
      </c>
      <c r="H197" s="172">
        <f>IF($G$208=0,0,G197/$G$208)</f>
        <v>0.12318073863185088</v>
      </c>
      <c r="I197" s="336"/>
      <c r="J197" s="168"/>
      <c r="K197" s="168"/>
      <c r="M197" s="364">
        <f>G197/G$228</f>
        <v>29.257756450967939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'[3]Sch C'!D211</f>
        <v>156881</v>
      </c>
      <c r="D200" s="558">
        <f>'[3]Sch C'!F211</f>
        <v>0</v>
      </c>
      <c r="E200" s="171">
        <f t="shared" ref="E200:E205" si="50">C200+D200</f>
        <v>156881</v>
      </c>
      <c r="F200" s="171"/>
      <c r="G200" s="171">
        <f t="shared" ref="G200:G205" si="51">E200+F200</f>
        <v>156881</v>
      </c>
      <c r="H200" s="172">
        <f t="shared" ref="H200:H206" si="52">IF($G$208=0,0,G200/$G$208)</f>
        <v>1.5536399488118116E-2</v>
      </c>
      <c r="I200" s="336"/>
      <c r="J200" s="183">
        <v>10016</v>
      </c>
      <c r="K200" s="183">
        <v>10962</v>
      </c>
      <c r="M200" s="364">
        <f t="shared" ref="M200:M205" si="53">G200/G$228</f>
        <v>3.6901888834003715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'[3]Sch C'!D212</f>
        <v>55137</v>
      </c>
      <c r="D201" s="558">
        <f>'[3]Sch C'!F212</f>
        <v>0</v>
      </c>
      <c r="E201" s="171">
        <f t="shared" si="50"/>
        <v>55137</v>
      </c>
      <c r="F201" s="171"/>
      <c r="G201" s="171">
        <f t="shared" si="51"/>
        <v>55137</v>
      </c>
      <c r="H201" s="172">
        <f t="shared" si="52"/>
        <v>5.460383721268787E-3</v>
      </c>
      <c r="I201" s="336"/>
      <c r="J201" s="168"/>
      <c r="K201" s="168"/>
      <c r="M201" s="364">
        <f t="shared" si="53"/>
        <v>1.2969444640462917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'[3]Sch C'!D213</f>
        <v>5962</v>
      </c>
      <c r="D202" s="558">
        <f>'[3]Sch C'!F213</f>
        <v>0</v>
      </c>
      <c r="E202" s="171">
        <f t="shared" si="50"/>
        <v>5962</v>
      </c>
      <c r="F202" s="171"/>
      <c r="G202" s="171">
        <f t="shared" si="51"/>
        <v>5962</v>
      </c>
      <c r="H202" s="172">
        <f t="shared" si="52"/>
        <v>5.9043487578585175E-4</v>
      </c>
      <c r="I202" s="336"/>
      <c r="J202" s="168"/>
      <c r="K202" s="168"/>
      <c r="M202" s="364">
        <f t="shared" si="53"/>
        <v>0.14023945616634911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'[3]Sch C'!D214</f>
        <v>0</v>
      </c>
      <c r="D203" s="558">
        <f>'[3]Sch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'[3]Sch C'!D215</f>
        <v>0</v>
      </c>
      <c r="D204" s="558">
        <f>'[3]Sch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'[3]Sch C'!D216</f>
        <v>2532</v>
      </c>
      <c r="D205" s="558">
        <f>'[3]Sch C'!F216</f>
        <v>0</v>
      </c>
      <c r="E205" s="171">
        <f t="shared" si="50"/>
        <v>2532</v>
      </c>
      <c r="F205" s="171"/>
      <c r="G205" s="171">
        <f t="shared" si="51"/>
        <v>2532</v>
      </c>
      <c r="H205" s="172">
        <f t="shared" si="52"/>
        <v>2.5075161111871467E-4</v>
      </c>
      <c r="I205" s="336"/>
      <c r="J205" s="168"/>
      <c r="K205" s="168"/>
      <c r="M205" s="364">
        <f t="shared" si="53"/>
        <v>5.955825276974102E-2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220512</v>
      </c>
      <c r="D206" s="558">
        <f>SUM(D200:D205)</f>
        <v>0</v>
      </c>
      <c r="E206" s="171">
        <f t="shared" ref="E206:F206" si="54">SUM(E200:E205)</f>
        <v>220512</v>
      </c>
      <c r="F206" s="171">
        <f t="shared" si="54"/>
        <v>0</v>
      </c>
      <c r="G206" s="171">
        <f>SUM(G200:G205)</f>
        <v>220512</v>
      </c>
      <c r="H206" s="172">
        <f t="shared" si="52"/>
        <v>2.1837969696291471E-2</v>
      </c>
      <c r="I206" s="336"/>
      <c r="J206" s="168"/>
      <c r="K206" s="168"/>
      <c r="M206" s="364">
        <f>G206/G$228</f>
        <v>5.1869310563827531</v>
      </c>
      <c r="N206" s="359">
        <f>SUMMARY!J209</f>
        <v>7.1515095990067339</v>
      </c>
      <c r="O206" s="354">
        <f>M206/N206-1</f>
        <v>-0.27470822983959065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10637217</v>
      </c>
      <c r="D208" s="558">
        <f>SUM(D25:D206)/2</f>
        <v>-539575</v>
      </c>
      <c r="E208" s="171">
        <f t="shared" ref="E208:F208" si="55">SUM(E25:E206)/2</f>
        <v>10097642</v>
      </c>
      <c r="F208" s="171">
        <f t="shared" si="55"/>
        <v>0</v>
      </c>
      <c r="G208" s="171">
        <f>SUM(G25:G206)/2</f>
        <v>10097642</v>
      </c>
      <c r="H208" s="172">
        <f>IF($G$208=0,0,G208/$G$208)</f>
        <v>1</v>
      </c>
      <c r="I208" s="336"/>
      <c r="J208" s="183">
        <f>SUM(J25:J200)</f>
        <v>243297</v>
      </c>
      <c r="K208" s="183">
        <f>SUM(K25:K200)</f>
        <v>265480</v>
      </c>
      <c r="M208" s="364">
        <f>G208/G$228</f>
        <v>237.51892362336227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-0.6784183202697458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'[3]Sch C'!D221</f>
        <v>10637217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-869893</v>
      </c>
      <c r="D215" s="558">
        <f>D21-D208</f>
        <v>520176</v>
      </c>
      <c r="E215" s="171">
        <f t="shared" ref="E215:F215" si="56">E21-E208</f>
        <v>-349717</v>
      </c>
      <c r="F215" s="171">
        <f t="shared" si="56"/>
        <v>0</v>
      </c>
      <c r="G215" s="171">
        <f>G21-G208</f>
        <v>-349717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'[3]Sch D'!C9</f>
        <v>28525</v>
      </c>
      <c r="D219" s="592"/>
      <c r="E219" s="235">
        <f t="shared" ref="E219:G227" si="57">C219+D219</f>
        <v>28525</v>
      </c>
      <c r="F219" s="234"/>
      <c r="G219" s="235">
        <f t="shared" si="57"/>
        <v>28525</v>
      </c>
      <c r="H219" s="172">
        <f t="shared" ref="H219:H228" si="58">IF($G$228=0,0,G219/$G$228)</f>
        <v>0.67097123232893463</v>
      </c>
      <c r="I219" s="336"/>
      <c r="J219" s="168"/>
      <c r="K219" s="168"/>
    </row>
    <row r="220" spans="1:17">
      <c r="A220" s="163"/>
      <c r="B220" s="170" t="s">
        <v>217</v>
      </c>
      <c r="C220" s="592">
        <f>'[3]Sch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'[3]Sch D'!E9</f>
        <v>3118</v>
      </c>
      <c r="D221" s="592"/>
      <c r="E221" s="235">
        <f t="shared" si="59"/>
        <v>3118</v>
      </c>
      <c r="F221" s="234"/>
      <c r="G221" s="235">
        <f t="shared" si="57"/>
        <v>3118</v>
      </c>
      <c r="H221" s="172">
        <f t="shared" si="58"/>
        <v>7.3342271775692136E-2</v>
      </c>
      <c r="I221" s="336"/>
      <c r="J221" s="168"/>
      <c r="K221" s="168"/>
    </row>
    <row r="222" spans="1:17">
      <c r="A222" s="163"/>
      <c r="B222" s="202" t="s">
        <v>334</v>
      </c>
      <c r="C222" s="592">
        <f>'[3]Sch D'!F9</f>
        <v>2254</v>
      </c>
      <c r="D222" s="592"/>
      <c r="E222" s="235">
        <f>C222+D222</f>
        <v>2254</v>
      </c>
      <c r="F222" s="234"/>
      <c r="G222" s="235">
        <f>E222+F222</f>
        <v>2254</v>
      </c>
      <c r="H222" s="172">
        <f t="shared" si="58"/>
        <v>5.3019076517771033E-2</v>
      </c>
      <c r="I222" s="336"/>
      <c r="J222" s="168"/>
      <c r="K222" s="168"/>
    </row>
    <row r="223" spans="1:17">
      <c r="A223" s="163"/>
      <c r="B223" s="170" t="s">
        <v>73</v>
      </c>
      <c r="C223" s="592">
        <f>'[3]Sch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'[3]Sch D'!H9</f>
        <v>2209</v>
      </c>
      <c r="D224" s="592"/>
      <c r="E224" s="235">
        <f t="shared" si="59"/>
        <v>2209</v>
      </c>
      <c r="F224" s="234"/>
      <c r="G224" s="235">
        <f t="shared" si="57"/>
        <v>2209</v>
      </c>
      <c r="H224" s="172">
        <f t="shared" si="58"/>
        <v>5.196057676475431E-2</v>
      </c>
      <c r="I224" s="336"/>
      <c r="J224" s="168"/>
      <c r="K224" s="168"/>
    </row>
    <row r="225" spans="1:11">
      <c r="A225" s="163"/>
      <c r="B225" s="170" t="s">
        <v>236</v>
      </c>
      <c r="C225" s="592">
        <f>'[3]Sch D'!I9</f>
        <v>5725</v>
      </c>
      <c r="D225" s="592"/>
      <c r="E225" s="235">
        <f t="shared" si="59"/>
        <v>5725</v>
      </c>
      <c r="F225" s="234"/>
      <c r="G225" s="235">
        <f t="shared" si="57"/>
        <v>5725</v>
      </c>
      <c r="H225" s="172">
        <f t="shared" si="58"/>
        <v>0.13466469080046103</v>
      </c>
      <c r="I225" s="336"/>
      <c r="J225" s="168"/>
      <c r="K225" s="168"/>
    </row>
    <row r="226" spans="1:11">
      <c r="A226" s="163"/>
      <c r="B226" s="170" t="s">
        <v>235</v>
      </c>
      <c r="C226" s="592">
        <f>'[3]Sch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'[3]Sch D'!K9</f>
        <v>682</v>
      </c>
      <c r="D227" s="592"/>
      <c r="E227" s="235">
        <f t="shared" si="59"/>
        <v>682</v>
      </c>
      <c r="F227" s="234"/>
      <c r="G227" s="235">
        <f t="shared" si="57"/>
        <v>682</v>
      </c>
      <c r="H227" s="172">
        <f t="shared" si="58"/>
        <v>1.6042151812386798E-2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42513</v>
      </c>
      <c r="D228" s="592">
        <f>SUM(D219:D227)</f>
        <v>0</v>
      </c>
      <c r="E228" s="237">
        <f>SUM(E219:E227)</f>
        <v>42513</v>
      </c>
      <c r="F228" s="237">
        <f>SUM(F219:F227)</f>
        <v>0</v>
      </c>
      <c r="G228" s="237">
        <f>SUM(G219:G227)</f>
        <v>42513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'[3]Sch D'!N22</f>
        <v>140</v>
      </c>
      <c r="D231" s="559"/>
      <c r="E231" s="235">
        <f>C231+D231</f>
        <v>140</v>
      </c>
      <c r="F231" s="235"/>
      <c r="G231" s="235">
        <f>E231+F231</f>
        <v>140</v>
      </c>
      <c r="H231" s="167"/>
      <c r="J231" s="168"/>
      <c r="K231" s="168"/>
    </row>
    <row r="232" spans="1:11">
      <c r="A232" s="163"/>
      <c r="B232" s="202" t="s">
        <v>290</v>
      </c>
      <c r="C232" s="593">
        <f>'[3]Sch D'!N24</f>
        <v>140</v>
      </c>
      <c r="D232" s="559"/>
      <c r="E232" s="235">
        <f>C232+D232</f>
        <v>140</v>
      </c>
      <c r="F232" s="235"/>
      <c r="G232" s="235">
        <f>E232+F232</f>
        <v>140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'[3]Sch D'!N28</f>
        <v>51240</v>
      </c>
      <c r="D235" s="483"/>
      <c r="E235" s="234">
        <f>E231*E233</f>
        <v>51240</v>
      </c>
      <c r="F235" s="239"/>
      <c r="G235" s="234">
        <f>G231*G233</f>
        <v>51240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'[3]Sch D'!N30</f>
        <v>0.82968384074941448</v>
      </c>
      <c r="D236" s="239"/>
      <c r="E236" s="244">
        <f>E228/E235</f>
        <v>0.82968384074941448</v>
      </c>
      <c r="F236" s="245"/>
      <c r="G236" s="244">
        <f>G228/G235</f>
        <v>0.82968384074941448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'[3]Sch D'!N32</f>
        <v>0.55669398907103829</v>
      </c>
      <c r="D237" s="239"/>
      <c r="E237" s="244">
        <f>(E219+E220)/E235</f>
        <v>0.55669398907103829</v>
      </c>
      <c r="F237" s="245"/>
      <c r="G237" s="244">
        <f>(G219+G220)/G235</f>
        <v>0.55669398907103829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'[3]Sch D'!N34</f>
        <v>0.67097123232893474</v>
      </c>
      <c r="D238" s="239"/>
      <c r="E238" s="244">
        <f>(E237/E236)</f>
        <v>0.67097123232893474</v>
      </c>
      <c r="F238" s="245"/>
      <c r="G238" s="244">
        <f>(G237/G236)</f>
        <v>0.67097123232893474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'[3]Sch B'!C85</f>
        <v>181.17711171662125</v>
      </c>
    </row>
    <row r="242" spans="2:7">
      <c r="F242" s="142" t="s">
        <v>341</v>
      </c>
      <c r="G242" s="558">
        <f>'[3]Sch B'!E85</f>
        <v>181.17518248175182</v>
      </c>
    </row>
    <row r="243" spans="2:7">
      <c r="F243" s="142" t="s">
        <v>342</v>
      </c>
      <c r="G243" s="558">
        <f>'[3]Sch B'!G85</f>
        <v>181.17224880382776</v>
      </c>
    </row>
    <row r="244" spans="2:7">
      <c r="F244" s="142" t="s">
        <v>343</v>
      </c>
      <c r="G244" s="558">
        <f>'[3]Sch B'!I85</f>
        <v>181.17757009345794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0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377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'[30]Sch B'!E10</f>
        <v>1819468</v>
      </c>
      <c r="D11" s="558">
        <f>'[30]Sch B'!G10</f>
        <v>0</v>
      </c>
      <c r="E11" s="171">
        <f>C11+D11</f>
        <v>1819468</v>
      </c>
      <c r="F11" s="171"/>
      <c r="G11" s="171">
        <f t="shared" ref="G11:G20" si="0">E11+F11</f>
        <v>1819468</v>
      </c>
      <c r="H11" s="172">
        <f t="shared" ref="H11:H21" si="1">IF($G$21=0,0,G11/$G$21)</f>
        <v>0.30272780938677363</v>
      </c>
      <c r="I11" s="336"/>
      <c r="J11" s="368" t="s">
        <v>344</v>
      </c>
      <c r="K11" s="369">
        <f>G21</f>
        <v>6010244</v>
      </c>
      <c r="M11" s="359">
        <f>IFERROR(G11/G219,0)</f>
        <v>174.21179624664879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'[30]Sch B'!E15</f>
        <v>0</v>
      </c>
      <c r="D12" s="558">
        <f>'[30]Sch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6541365.8510024045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'[30]Sch B'!E21</f>
        <v>2349909</v>
      </c>
      <c r="D13" s="558">
        <f>'[30]Sch B'!G21</f>
        <v>0</v>
      </c>
      <c r="E13" s="171">
        <f t="shared" si="2"/>
        <v>2349909</v>
      </c>
      <c r="F13" s="171"/>
      <c r="G13" s="171">
        <f t="shared" si="0"/>
        <v>2349909</v>
      </c>
      <c r="H13" s="172">
        <f t="shared" si="1"/>
        <v>0.3909839600522042</v>
      </c>
      <c r="I13" s="336"/>
      <c r="J13" s="370" t="s">
        <v>346</v>
      </c>
      <c r="K13" s="371">
        <f>G228</f>
        <v>22232</v>
      </c>
      <c r="M13" s="359">
        <f t="shared" si="3"/>
        <v>530.45349887133182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'[30]Sch B'!E27</f>
        <v>230677</v>
      </c>
      <c r="D14" s="558">
        <f>'[30]Sch B'!G27</f>
        <v>289086.72609695443</v>
      </c>
      <c r="E14" s="171">
        <f t="shared" si="2"/>
        <v>519763.72609695443</v>
      </c>
      <c r="F14" s="175"/>
      <c r="G14" s="175">
        <f>E14+F14</f>
        <v>519763.72609695443</v>
      </c>
      <c r="H14" s="176">
        <f t="shared" si="1"/>
        <v>8.647963811401907E-2</v>
      </c>
      <c r="I14" s="337"/>
      <c r="J14" s="370" t="s">
        <v>347</v>
      </c>
      <c r="K14" s="371">
        <f>G231</f>
        <v>100</v>
      </c>
      <c r="M14" s="359">
        <f t="shared" si="3"/>
        <v>396.76620312744615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'[30]Sch B'!E32</f>
        <v>0</v>
      </c>
      <c r="D15" s="558">
        <f>'[30]Sch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36600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'[30]Sch B'!E37</f>
        <v>878366</v>
      </c>
      <c r="D16" s="558">
        <f>'[30]Sch B'!G37</f>
        <v>0</v>
      </c>
      <c r="E16" s="171">
        <f t="shared" si="2"/>
        <v>878366</v>
      </c>
      <c r="F16" s="171"/>
      <c r="G16" s="171">
        <f t="shared" si="0"/>
        <v>878366</v>
      </c>
      <c r="H16" s="172">
        <f t="shared" si="1"/>
        <v>0.14614481541847552</v>
      </c>
      <c r="I16" s="336"/>
      <c r="J16" s="372"/>
      <c r="K16" s="371"/>
      <c r="M16" s="359">
        <f t="shared" si="3"/>
        <v>204.27116279069767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'[30]Sch B'!E42</f>
        <v>106493</v>
      </c>
      <c r="D17" s="558">
        <f>'[30]Sch B'!G42</f>
        <v>89108.661048333481</v>
      </c>
      <c r="E17" s="171">
        <f t="shared" si="2"/>
        <v>195601.66104833348</v>
      </c>
      <c r="F17" s="171"/>
      <c r="G17" s="171">
        <f>E17+F17</f>
        <v>195601.66104833348</v>
      </c>
      <c r="H17" s="172">
        <f t="shared" si="1"/>
        <v>3.2544712169478227E-2</v>
      </c>
      <c r="I17" s="336"/>
      <c r="J17" s="370" t="s">
        <v>156</v>
      </c>
      <c r="K17" s="371">
        <f>J208</f>
        <v>158351.04571428572</v>
      </c>
      <c r="M17" s="359">
        <f t="shared" si="3"/>
        <v>185.933137878644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'[30]Sch B'!E47</f>
        <v>0</v>
      </c>
      <c r="D18" s="558">
        <f>'[30]Sch B'!G47</f>
        <v>1487.4651030291518</v>
      </c>
      <c r="E18" s="171">
        <f t="shared" si="2"/>
        <v>1487.4651030291518</v>
      </c>
      <c r="F18" s="171"/>
      <c r="G18" s="171">
        <f>E18+F18</f>
        <v>1487.4651030291518</v>
      </c>
      <c r="H18" s="172">
        <f t="shared" si="1"/>
        <v>2.4748830547131727E-4</v>
      </c>
      <c r="I18" s="336"/>
      <c r="J18" s="373" t="s">
        <v>252</v>
      </c>
      <c r="K18" s="374">
        <f>K208</f>
        <v>175956.80285714281</v>
      </c>
      <c r="M18" s="359">
        <f t="shared" si="3"/>
        <v>185.93313787864398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'[30]Sch B'!E52</f>
        <v>652658</v>
      </c>
      <c r="D19" s="558">
        <f>'[30]Sch B'!G52</f>
        <v>-379682.8522483171</v>
      </c>
      <c r="E19" s="171">
        <f t="shared" si="2"/>
        <v>272975.1477516829</v>
      </c>
      <c r="F19" s="171"/>
      <c r="G19" s="171">
        <f t="shared" si="0"/>
        <v>272975.1477516829</v>
      </c>
      <c r="H19" s="172">
        <f t="shared" si="1"/>
        <v>4.5418313757591686E-2</v>
      </c>
      <c r="I19" s="336"/>
      <c r="J19" s="168"/>
      <c r="K19" s="168"/>
      <c r="M19" s="359">
        <f t="shared" si="3"/>
        <v>396.76620312744609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'[30]Sch B'!E67</f>
        <v>-200455</v>
      </c>
      <c r="D20" s="558">
        <f>'[30]Sch B'!G67</f>
        <v>173128</v>
      </c>
      <c r="E20" s="171">
        <f t="shared" si="2"/>
        <v>-27327</v>
      </c>
      <c r="F20" s="171"/>
      <c r="G20" s="171">
        <f t="shared" si="0"/>
        <v>-27327</v>
      </c>
      <c r="H20" s="172">
        <f t="shared" si="1"/>
        <v>-4.5467372040136804E-3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5837116</v>
      </c>
      <c r="D21" s="558">
        <f>SUM(D11:D20)</f>
        <v>173128</v>
      </c>
      <c r="E21" s="171">
        <f>SUM(E11:E20)</f>
        <v>6010244</v>
      </c>
      <c r="F21" s="171">
        <f>SUM(F11:F20)</f>
        <v>0</v>
      </c>
      <c r="G21" s="171">
        <f>SUM(G11:G20)</f>
        <v>6010244</v>
      </c>
      <c r="H21" s="172">
        <f t="shared" si="1"/>
        <v>1</v>
      </c>
      <c r="I21" s="336"/>
      <c r="J21" s="168"/>
      <c r="K21" s="168"/>
      <c r="M21" s="359">
        <f>IFERROR(G21/G228,0)</f>
        <v>270.34202950701689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'[30]Sch C'!D10</f>
        <v>92160</v>
      </c>
      <c r="D25" s="558">
        <f>'[30]Sch C'!F10</f>
        <v>-12206.47</v>
      </c>
      <c r="E25" s="171">
        <f t="shared" ref="E25:E60" si="4">C25+D25</f>
        <v>79953.53</v>
      </c>
      <c r="F25" s="171"/>
      <c r="G25" s="182">
        <f>E25+F25</f>
        <v>79953.53</v>
      </c>
      <c r="H25" s="172">
        <f>IF($G$208=0,0,G25/$G$208)</f>
        <v>1.2222757726927604E-2</v>
      </c>
      <c r="I25" s="336"/>
      <c r="J25" s="486">
        <v>1907</v>
      </c>
      <c r="K25" s="486">
        <v>1907</v>
      </c>
      <c r="M25" s="359">
        <f>G25/G$228</f>
        <v>3.596326466354804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'[30]Sch C'!D11</f>
        <v>0</v>
      </c>
      <c r="D26" s="558">
        <f>'[30]Sch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486">
        <v>0</v>
      </c>
      <c r="K26" s="486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'[30]Sch C'!D12</f>
        <v>184544</v>
      </c>
      <c r="D27" s="558">
        <f>'[30]Sch C'!F12</f>
        <v>23079.170881533748</v>
      </c>
      <c r="E27" s="171">
        <f t="shared" si="4"/>
        <v>207623.17088153376</v>
      </c>
      <c r="F27" s="171"/>
      <c r="G27" s="171">
        <f t="shared" si="5"/>
        <v>207623.17088153376</v>
      </c>
      <c r="H27" s="172">
        <f t="shared" si="6"/>
        <v>3.1740033444195362E-2</v>
      </c>
      <c r="I27" s="336"/>
      <c r="J27" s="486">
        <v>8194.6942857142858</v>
      </c>
      <c r="K27" s="486">
        <v>9692.5071428571428</v>
      </c>
      <c r="M27" s="359">
        <f t="shared" si="7"/>
        <v>9.3389335589031024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'[30]Sch C'!D13</f>
        <v>290286</v>
      </c>
      <c r="D28" s="558">
        <f>'[30]Sch C'!F13</f>
        <v>-268160.38</v>
      </c>
      <c r="E28" s="171">
        <f t="shared" si="4"/>
        <v>22125.619999999995</v>
      </c>
      <c r="F28" s="171"/>
      <c r="G28" s="171">
        <f t="shared" si="5"/>
        <v>22125.619999999995</v>
      </c>
      <c r="H28" s="172">
        <f t="shared" si="6"/>
        <v>3.3824159210739521E-3</v>
      </c>
      <c r="I28" s="336"/>
      <c r="J28" s="513"/>
      <c r="K28" s="513"/>
      <c r="M28" s="359">
        <f t="shared" si="7"/>
        <v>0.99521500539762486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'[30]Sch C'!D14</f>
        <v>0</v>
      </c>
      <c r="D29" s="558">
        <f>'[30]Sch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513"/>
      <c r="K29" s="513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'[30]Sch C'!D15</f>
        <v>0</v>
      </c>
      <c r="D30" s="558">
        <f>'[30]Sch C'!F15</f>
        <v>230683.05623399999</v>
      </c>
      <c r="E30" s="171">
        <f t="shared" si="4"/>
        <v>230683.05623399999</v>
      </c>
      <c r="F30" s="171"/>
      <c r="G30" s="171">
        <f t="shared" si="5"/>
        <v>230683.05623399999</v>
      </c>
      <c r="H30" s="172">
        <f t="shared" si="6"/>
        <v>3.5265273566475408E-2</v>
      </c>
      <c r="I30" s="336"/>
      <c r="J30" s="513"/>
      <c r="K30" s="513"/>
      <c r="M30" s="359">
        <f t="shared" si="7"/>
        <v>10.376172014843469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'[30]Sch C'!D16</f>
        <v>0</v>
      </c>
      <c r="D31" s="558">
        <f>'[30]Sch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513"/>
      <c r="K31" s="513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'[30]Sch C'!D17</f>
        <v>0</v>
      </c>
      <c r="D32" s="558">
        <f>'[30]Sch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513"/>
      <c r="K32" s="513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'[30]Sch C'!D18</f>
        <v>28118</v>
      </c>
      <c r="D33" s="558">
        <f>'[30]Sch C'!F18</f>
        <v>0</v>
      </c>
      <c r="E33" s="171">
        <f t="shared" si="4"/>
        <v>28118</v>
      </c>
      <c r="F33" s="171"/>
      <c r="G33" s="171">
        <f t="shared" si="5"/>
        <v>28118</v>
      </c>
      <c r="H33" s="172">
        <f t="shared" si="6"/>
        <v>4.2984906578327478E-3</v>
      </c>
      <c r="I33" s="336"/>
      <c r="J33" s="513"/>
      <c r="K33" s="513"/>
      <c r="M33" s="359">
        <f t="shared" si="7"/>
        <v>1.2647535084562793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'[30]Sch C'!D19</f>
        <v>25720</v>
      </c>
      <c r="D34" s="558">
        <f>'[30]Sch C'!F19</f>
        <v>-3151</v>
      </c>
      <c r="E34" s="171">
        <f t="shared" si="4"/>
        <v>22569</v>
      </c>
      <c r="F34" s="171"/>
      <c r="G34" s="171">
        <f t="shared" si="5"/>
        <v>22569</v>
      </c>
      <c r="H34" s="172">
        <f t="shared" si="6"/>
        <v>3.4501968723460877E-3</v>
      </c>
      <c r="I34" s="336"/>
      <c r="J34" s="513"/>
      <c r="K34" s="513"/>
      <c r="M34" s="359">
        <f t="shared" si="7"/>
        <v>1.0151583303346527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'[30]Sch C'!D20</f>
        <v>26029</v>
      </c>
      <c r="D35" s="558">
        <f>'[30]Sch C'!F20</f>
        <v>-93.88</v>
      </c>
      <c r="E35" s="171">
        <f t="shared" si="4"/>
        <v>25935.119999999999</v>
      </c>
      <c r="F35" s="171"/>
      <c r="G35" s="171">
        <f t="shared" si="5"/>
        <v>25935.119999999999</v>
      </c>
      <c r="H35" s="172">
        <f t="shared" si="6"/>
        <v>3.9647866501803563E-3</v>
      </c>
      <c r="I35" s="336"/>
      <c r="J35" s="513"/>
      <c r="K35" s="513"/>
      <c r="M35" s="359">
        <f t="shared" si="7"/>
        <v>1.1665671104713926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'[30]Sch C'!D21</f>
        <v>3024</v>
      </c>
      <c r="D36" s="558">
        <f>'[30]Sch C'!F21</f>
        <v>90</v>
      </c>
      <c r="E36" s="171">
        <f t="shared" si="4"/>
        <v>3114</v>
      </c>
      <c r="F36" s="171"/>
      <c r="G36" s="171">
        <f t="shared" si="5"/>
        <v>3114</v>
      </c>
      <c r="H36" s="172">
        <f t="shared" si="6"/>
        <v>4.7604736853585527E-4</v>
      </c>
      <c r="I36" s="336"/>
      <c r="J36" s="513"/>
      <c r="K36" s="513"/>
      <c r="M36" s="359">
        <f t="shared" si="7"/>
        <v>0.14006836991723642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'[30]Sch C'!D22</f>
        <v>0</v>
      </c>
      <c r="D37" s="558">
        <f>'[30]Sch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513"/>
      <c r="K37" s="513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'[30]Sch C'!D23</f>
        <v>21598</v>
      </c>
      <c r="D38" s="558">
        <f>'[30]Sch C'!F23</f>
        <v>-3272.8500000000004</v>
      </c>
      <c r="E38" s="171">
        <f t="shared" si="4"/>
        <v>18325.150000000001</v>
      </c>
      <c r="F38" s="171"/>
      <c r="G38" s="171">
        <f t="shared" si="5"/>
        <v>18325.150000000001</v>
      </c>
      <c r="H38" s="172">
        <f t="shared" si="6"/>
        <v>2.8014256376123407E-3</v>
      </c>
      <c r="I38" s="336"/>
      <c r="J38" s="513"/>
      <c r="K38" s="513"/>
      <c r="M38" s="359">
        <f t="shared" si="7"/>
        <v>0.82426907160849228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'[30]Sch C'!D24</f>
        <v>0</v>
      </c>
      <c r="D39" s="558">
        <f>'[30]Sch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513"/>
      <c r="K39" s="513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'[30]Sch C'!D25</f>
        <v>0</v>
      </c>
      <c r="D40" s="558">
        <f>'[30]Sch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513"/>
      <c r="K40" s="513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'[30]Sch C'!D26</f>
        <v>300478</v>
      </c>
      <c r="D41" s="558">
        <f>'[30]Sch C'!F26</f>
        <v>1325</v>
      </c>
      <c r="E41" s="171">
        <f t="shared" si="4"/>
        <v>301803</v>
      </c>
      <c r="F41" s="171"/>
      <c r="G41" s="171">
        <f t="shared" si="5"/>
        <v>301803</v>
      </c>
      <c r="H41" s="172">
        <f t="shared" si="6"/>
        <v>4.6137612063656623E-2</v>
      </c>
      <c r="I41" s="336"/>
      <c r="J41" s="513"/>
      <c r="K41" s="513"/>
      <c r="M41" s="359">
        <f t="shared" si="7"/>
        <v>13.575161928751349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'[30]Sch C'!D27</f>
        <v>2776</v>
      </c>
      <c r="D42" s="558">
        <f>'[30]Sch C'!F27</f>
        <v>-2776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513"/>
      <c r="K42" s="513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'[30]Sch C'!D28</f>
        <v>0</v>
      </c>
      <c r="D43" s="558">
        <f>'[30]Sch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513"/>
      <c r="K43" s="513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'[30]Sch C'!D29</f>
        <v>0</v>
      </c>
      <c r="D44" s="558">
        <f>'[30]Sch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513"/>
      <c r="K44" s="513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'[30]Sch C'!D30</f>
        <v>0</v>
      </c>
      <c r="D45" s="558">
        <f>'[30]Sch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513"/>
      <c r="K45" s="513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'[30]Sch C'!D31</f>
        <v>42618</v>
      </c>
      <c r="D46" s="558">
        <f>'[30]Sch C'!F31</f>
        <v>-42618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513"/>
      <c r="K46" s="513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'[30]Sch C'!D32</f>
        <v>65011</v>
      </c>
      <c r="D47" s="558">
        <f>'[30]Sch C'!F32</f>
        <v>-13754</v>
      </c>
      <c r="E47" s="171">
        <f t="shared" si="4"/>
        <v>51257</v>
      </c>
      <c r="F47" s="171"/>
      <c r="G47" s="171">
        <f t="shared" si="5"/>
        <v>51257</v>
      </c>
      <c r="H47" s="172">
        <f t="shared" si="6"/>
        <v>7.8358252951324127E-3</v>
      </c>
      <c r="I47" s="336"/>
      <c r="J47" s="513"/>
      <c r="K47" s="513"/>
      <c r="M47" s="359">
        <f t="shared" si="7"/>
        <v>2.3055505577545881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'[30]Sch C'!D33</f>
        <v>7286</v>
      </c>
      <c r="D48" s="558">
        <f>'[30]Sch C'!F33</f>
        <v>-7286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513"/>
      <c r="K48" s="513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'[30]Sch C'!D34</f>
        <v>1397</v>
      </c>
      <c r="D49" s="558">
        <f>'[30]Sch C'!F34</f>
        <v>0</v>
      </c>
      <c r="E49" s="171">
        <f t="shared" si="4"/>
        <v>1397</v>
      </c>
      <c r="F49" s="171"/>
      <c r="G49" s="171">
        <f t="shared" si="5"/>
        <v>1397</v>
      </c>
      <c r="H49" s="172">
        <f t="shared" si="6"/>
        <v>2.1356396077218683E-4</v>
      </c>
      <c r="I49" s="336"/>
      <c r="J49" s="513"/>
      <c r="K49" s="513"/>
      <c r="M49" s="359">
        <f t="shared" si="7"/>
        <v>6.283735156531127E-2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'[30]Sch C'!D35</f>
        <v>102</v>
      </c>
      <c r="D50" s="558">
        <f>'[30]Sch C'!F35</f>
        <v>-102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513"/>
      <c r="K50" s="513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'[30]Sch C'!D36</f>
        <v>0</v>
      </c>
      <c r="D51" s="558">
        <f>'[30]Sch C'!F36</f>
        <v>47451.133500000004</v>
      </c>
      <c r="E51" s="171">
        <f t="shared" si="4"/>
        <v>47451.133500000004</v>
      </c>
      <c r="F51" s="171"/>
      <c r="G51" s="171">
        <f t="shared" si="5"/>
        <v>47451.133500000004</v>
      </c>
      <c r="H51" s="172">
        <f t="shared" si="6"/>
        <v>7.2540100310592706E-3</v>
      </c>
      <c r="I51" s="336"/>
      <c r="J51" s="486">
        <v>2092.2685714285712</v>
      </c>
      <c r="K51" s="486">
        <v>2350.6385714285711</v>
      </c>
      <c r="M51" s="359">
        <f t="shared" si="7"/>
        <v>2.1343618882691615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'[30]Sch C'!D37</f>
        <v>0</v>
      </c>
      <c r="D52" s="558">
        <f>'[30]Sch C'!F37</f>
        <v>7857.8808421995873</v>
      </c>
      <c r="E52" s="171">
        <f t="shared" si="4"/>
        <v>7857.8808421995873</v>
      </c>
      <c r="F52" s="171"/>
      <c r="G52" s="171">
        <f t="shared" si="5"/>
        <v>7857.8808421995873</v>
      </c>
      <c r="H52" s="172">
        <f t="shared" si="6"/>
        <v>1.2012599541417544E-3</v>
      </c>
      <c r="I52" s="336"/>
      <c r="J52" s="513"/>
      <c r="K52" s="513"/>
      <c r="M52" s="359">
        <f t="shared" si="7"/>
        <v>0.35344912028605557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'[30]Sch C'!D38</f>
        <v>-464</v>
      </c>
      <c r="D53" s="558">
        <f>'[30]Sch C'!F38</f>
        <v>0</v>
      </c>
      <c r="E53" s="171">
        <f t="shared" si="4"/>
        <v>-464</v>
      </c>
      <c r="F53" s="171"/>
      <c r="G53" s="171">
        <f t="shared" si="5"/>
        <v>-464</v>
      </c>
      <c r="H53" s="172">
        <f t="shared" si="6"/>
        <v>-7.0933198137648304E-5</v>
      </c>
      <c r="I53" s="336"/>
      <c r="J53" s="513"/>
      <c r="K53" s="513"/>
      <c r="M53" s="359">
        <f t="shared" si="7"/>
        <v>-2.087081684059014E-2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'[30]Sch C'!D39</f>
        <v>5216</v>
      </c>
      <c r="D54" s="558">
        <f>'[30]Sch C'!F39</f>
        <v>0</v>
      </c>
      <c r="E54" s="171">
        <f t="shared" si="4"/>
        <v>5216</v>
      </c>
      <c r="F54" s="171"/>
      <c r="G54" s="171">
        <f t="shared" si="5"/>
        <v>5216</v>
      </c>
      <c r="H54" s="172">
        <f t="shared" si="6"/>
        <v>7.9738698596114994E-4</v>
      </c>
      <c r="I54" s="336"/>
      <c r="J54" s="513"/>
      <c r="K54" s="513"/>
      <c r="M54" s="359">
        <f t="shared" si="7"/>
        <v>0.23461676862180642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'[30]Sch C'!D40</f>
        <v>144987</v>
      </c>
      <c r="D55" s="558">
        <f>'[30]Sch C'!F40</f>
        <v>-144987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513"/>
      <c r="K55" s="513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'[30]Sch C'!D41</f>
        <v>40438</v>
      </c>
      <c r="D56" s="558">
        <f>'[30]Sch C'!F41</f>
        <v>0</v>
      </c>
      <c r="E56" s="171">
        <f t="shared" si="4"/>
        <v>40438</v>
      </c>
      <c r="F56" s="171"/>
      <c r="G56" s="171">
        <f t="shared" si="5"/>
        <v>40438</v>
      </c>
      <c r="H56" s="172">
        <f t="shared" si="6"/>
        <v>6.1818893670047897E-3</v>
      </c>
      <c r="I56" s="336"/>
      <c r="J56" s="513"/>
      <c r="K56" s="513"/>
      <c r="M56" s="359">
        <f t="shared" si="7"/>
        <v>1.8189096797409139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'[30]Sch C'!D42</f>
        <v>14825</v>
      </c>
      <c r="D57" s="558">
        <f>'[30]Sch C'!F42</f>
        <v>0</v>
      </c>
      <c r="E57" s="171">
        <f t="shared" si="4"/>
        <v>14825</v>
      </c>
      <c r="F57" s="171"/>
      <c r="G57" s="171">
        <f t="shared" si="5"/>
        <v>14825</v>
      </c>
      <c r="H57" s="172">
        <f t="shared" si="6"/>
        <v>2.2663462551522329E-3</v>
      </c>
      <c r="I57" s="336"/>
      <c r="J57" s="513"/>
      <c r="K57" s="513"/>
      <c r="M57" s="359">
        <f t="shared" si="7"/>
        <v>0.6668315940985966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'[30]Sch C'!D43</f>
        <v>11544</v>
      </c>
      <c r="D58" s="558">
        <f>'[30]Sch C'!F43</f>
        <v>0</v>
      </c>
      <c r="E58" s="171">
        <f t="shared" si="4"/>
        <v>11544</v>
      </c>
      <c r="F58" s="171"/>
      <c r="G58" s="171">
        <f t="shared" si="5"/>
        <v>11544</v>
      </c>
      <c r="H58" s="172">
        <f t="shared" si="6"/>
        <v>1.7647690502176985E-3</v>
      </c>
      <c r="I58" s="336"/>
      <c r="J58" s="513"/>
      <c r="K58" s="513"/>
      <c r="M58" s="359">
        <f t="shared" si="7"/>
        <v>0.51925152932709606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'[30]Sch C'!D44</f>
        <v>382</v>
      </c>
      <c r="D59" s="558">
        <f>'[30]Sch C'!F44</f>
        <v>0</v>
      </c>
      <c r="E59" s="171">
        <f t="shared" si="4"/>
        <v>382</v>
      </c>
      <c r="F59" s="171"/>
      <c r="G59" s="171">
        <f t="shared" si="5"/>
        <v>382</v>
      </c>
      <c r="H59" s="172">
        <f t="shared" si="6"/>
        <v>5.8397589846081148E-5</v>
      </c>
      <c r="I59" s="336"/>
      <c r="J59" s="513"/>
      <c r="K59" s="513"/>
      <c r="M59" s="359">
        <f t="shared" si="7"/>
        <v>1.7182439726520331E-2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'[30]Sch C'!D45</f>
        <v>33855</v>
      </c>
      <c r="D60" s="558">
        <f>'[30]Sch C'!F45</f>
        <v>-4942</v>
      </c>
      <c r="E60" s="171">
        <f t="shared" si="4"/>
        <v>28913</v>
      </c>
      <c r="F60" s="171"/>
      <c r="G60" s="171">
        <f t="shared" si="5"/>
        <v>28913</v>
      </c>
      <c r="H60" s="172">
        <f t="shared" si="6"/>
        <v>4.4200249089522102E-3</v>
      </c>
      <c r="I60" s="336"/>
      <c r="J60" s="513"/>
      <c r="K60" s="513"/>
      <c r="M60" s="359">
        <f t="shared" si="7"/>
        <v>1.300512774379273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1341930</v>
      </c>
      <c r="D61" s="558">
        <f>SUM(D25:D60)</f>
        <v>-192863.33854226669</v>
      </c>
      <c r="E61" s="171">
        <f t="shared" ref="E61:F61" si="8">SUM(E25:E60)</f>
        <v>1149066.6614577333</v>
      </c>
      <c r="F61" s="171">
        <f t="shared" si="8"/>
        <v>0</v>
      </c>
      <c r="G61" s="171">
        <f>SUM(G25:G60)</f>
        <v>1149066.6614577333</v>
      </c>
      <c r="H61" s="186">
        <f t="shared" si="6"/>
        <v>0.17566158010893845</v>
      </c>
      <c r="I61" s="338"/>
      <c r="J61" s="513"/>
      <c r="K61" s="513"/>
      <c r="M61" s="364">
        <f>G61/G$228</f>
        <v>51.685258251967127</v>
      </c>
      <c r="N61" s="359">
        <f>SUMMARY!J64</f>
        <v>53.728790309602623</v>
      </c>
      <c r="O61" s="354">
        <f>M61/N61-1</f>
        <v>-3.8034209329113944E-2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513"/>
      <c r="K62" s="513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513"/>
      <c r="K63" s="513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'[30]Sch C'!D57</f>
        <v>248129</v>
      </c>
      <c r="D64" s="558">
        <f>'[30]Sch C'!F57</f>
        <v>-243449</v>
      </c>
      <c r="E64" s="171">
        <f t="shared" ref="E64:E78" si="9">C64+D64</f>
        <v>4680</v>
      </c>
      <c r="F64" s="171"/>
      <c r="G64" s="171">
        <f t="shared" ref="G64:G78" si="10">E64+F64</f>
        <v>4680</v>
      </c>
      <c r="H64" s="172">
        <f t="shared" ref="H64:H79" si="11">IF($G$208=0,0,G64/$G$208)</f>
        <v>7.1544691225041833E-4</v>
      </c>
      <c r="I64" s="336"/>
      <c r="J64" s="514"/>
      <c r="K64" s="513"/>
      <c r="M64" s="359">
        <f t="shared" ref="M64:M79" si="12">G64/G$228</f>
        <v>0.21050737675422815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'[30]Sch C'!D58</f>
        <v>0</v>
      </c>
      <c r="D65" s="558">
        <f>'[30]Sch C'!F58</f>
        <v>352956.01</v>
      </c>
      <c r="E65" s="171">
        <f t="shared" si="9"/>
        <v>352956.01</v>
      </c>
      <c r="F65" s="171"/>
      <c r="G65" s="171">
        <f t="shared" si="10"/>
        <v>352956.01</v>
      </c>
      <c r="H65" s="172">
        <f t="shared" si="11"/>
        <v>5.3957540067249524E-2</v>
      </c>
      <c r="I65" s="336"/>
      <c r="J65" s="514"/>
      <c r="K65" s="513"/>
      <c r="M65" s="359">
        <f t="shared" si="12"/>
        <v>15.876034994602376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'[30]Sch C'!D59</f>
        <v>0</v>
      </c>
      <c r="D66" s="558">
        <f>'[30]Sch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514"/>
      <c r="K66" s="513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'[30]Sch C'!D60</f>
        <v>28298</v>
      </c>
      <c r="D67" s="558">
        <f>'[30]Sch C'!F60</f>
        <v>0</v>
      </c>
      <c r="E67" s="171">
        <f t="shared" si="9"/>
        <v>28298</v>
      </c>
      <c r="F67" s="171"/>
      <c r="G67" s="171">
        <f t="shared" si="10"/>
        <v>28298</v>
      </c>
      <c r="H67" s="172">
        <f t="shared" si="11"/>
        <v>4.3260078467654561E-3</v>
      </c>
      <c r="I67" s="336"/>
      <c r="J67" s="515"/>
      <c r="K67" s="513"/>
      <c r="M67" s="359">
        <f t="shared" si="12"/>
        <v>1.2728499460237495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'[30]Sch C'!D61</f>
        <v>14374</v>
      </c>
      <c r="D68" s="558">
        <f>'[30]Sch C'!F61</f>
        <v>0</v>
      </c>
      <c r="E68" s="171">
        <f t="shared" si="9"/>
        <v>14374</v>
      </c>
      <c r="F68" s="171"/>
      <c r="G68" s="171">
        <f t="shared" si="10"/>
        <v>14374</v>
      </c>
      <c r="H68" s="172">
        <f t="shared" si="11"/>
        <v>2.1974004095486137E-3</v>
      </c>
      <c r="I68" s="336"/>
      <c r="J68" s="515"/>
      <c r="K68" s="513"/>
      <c r="M68" s="359">
        <f t="shared" si="12"/>
        <v>0.64654551997121268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'[30]Sch C'!D62</f>
        <v>0</v>
      </c>
      <c r="D69" s="558">
        <f>'[30]Sch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516"/>
      <c r="K69" s="513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'[30]Sch C'!D63</f>
        <v>0</v>
      </c>
      <c r="D70" s="558">
        <f>'[30]Sch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516"/>
      <c r="K70" s="513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'[30]Sch C'!D64</f>
        <v>0</v>
      </c>
      <c r="D71" s="558">
        <f>'[30]Sch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516"/>
      <c r="K71" s="513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'[30]Sch C'!D65</f>
        <v>4043</v>
      </c>
      <c r="D72" s="558">
        <f>'[30]Sch C'!F65</f>
        <v>-2627</v>
      </c>
      <c r="E72" s="171">
        <f t="shared" si="9"/>
        <v>1416</v>
      </c>
      <c r="F72" s="171"/>
      <c r="G72" s="171">
        <f t="shared" si="10"/>
        <v>1416</v>
      </c>
      <c r="H72" s="172">
        <f t="shared" si="11"/>
        <v>2.1646855293730604E-4</v>
      </c>
      <c r="I72" s="336"/>
      <c r="J72" s="516"/>
      <c r="K72" s="513"/>
      <c r="M72" s="359">
        <f t="shared" si="12"/>
        <v>6.3691975530766456E-2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'[30]Sch C'!D66</f>
        <v>1858</v>
      </c>
      <c r="D73" s="558">
        <f>'[30]Sch C'!F66</f>
        <v>0</v>
      </c>
      <c r="E73" s="171">
        <f t="shared" si="9"/>
        <v>1858</v>
      </c>
      <c r="F73" s="171"/>
      <c r="G73" s="171">
        <f t="shared" si="10"/>
        <v>1858</v>
      </c>
      <c r="H73" s="172">
        <f t="shared" si="11"/>
        <v>2.8403853909429001E-4</v>
      </c>
      <c r="I73" s="336"/>
      <c r="J73" s="516"/>
      <c r="K73" s="513"/>
      <c r="M73" s="359">
        <f t="shared" si="12"/>
        <v>8.3573227779776896E-2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'[30]Sch C'!D67</f>
        <v>89642</v>
      </c>
      <c r="D74" s="558">
        <f>'[30]Sch C'!F67</f>
        <v>35063.060000000005</v>
      </c>
      <c r="E74" s="171">
        <f t="shared" si="9"/>
        <v>124705.06</v>
      </c>
      <c r="F74" s="171"/>
      <c r="G74" s="171">
        <f t="shared" si="10"/>
        <v>124705.06</v>
      </c>
      <c r="H74" s="172">
        <f t="shared" si="11"/>
        <v>1.9064070538248535E-2</v>
      </c>
      <c r="I74" s="336"/>
      <c r="J74" s="516"/>
      <c r="K74" s="513"/>
      <c r="M74" s="359">
        <f t="shared" si="12"/>
        <v>5.6092596257646639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'[30]Sch C'!D68</f>
        <v>952</v>
      </c>
      <c r="D75" s="558">
        <f>'[30]Sch C'!F68</f>
        <v>-179</v>
      </c>
      <c r="E75" s="171">
        <f t="shared" si="9"/>
        <v>773</v>
      </c>
      <c r="F75" s="171"/>
      <c r="G75" s="171">
        <f t="shared" si="10"/>
        <v>773</v>
      </c>
      <c r="H75" s="172">
        <f t="shared" si="11"/>
        <v>1.1817103913879772E-4</v>
      </c>
      <c r="I75" s="336"/>
      <c r="J75" s="516"/>
      <c r="K75" s="513"/>
      <c r="M75" s="359">
        <f t="shared" si="12"/>
        <v>3.4769701331414181E-2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'[30]Sch C'!D69</f>
        <v>3460</v>
      </c>
      <c r="D76" s="558">
        <f>'[30]Sch C'!F69</f>
        <v>2333</v>
      </c>
      <c r="E76" s="171">
        <f t="shared" si="9"/>
        <v>5793</v>
      </c>
      <c r="F76" s="171"/>
      <c r="G76" s="171">
        <f t="shared" si="10"/>
        <v>5793</v>
      </c>
      <c r="H76" s="172">
        <f t="shared" si="11"/>
        <v>8.8559486381766515E-4</v>
      </c>
      <c r="I76" s="336"/>
      <c r="J76" s="516"/>
      <c r="K76" s="513"/>
      <c r="M76" s="359">
        <f t="shared" si="12"/>
        <v>0.26057034904641957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'[30]Sch C'!D70</f>
        <v>1234</v>
      </c>
      <c r="D77" s="558">
        <f>'[30]Sch C'!F70</f>
        <v>-1234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516"/>
      <c r="K77" s="513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'[30]Sch C'!D71</f>
        <v>0</v>
      </c>
      <c r="D78" s="558">
        <f>'[30]Sch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516"/>
      <c r="K78" s="513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391990</v>
      </c>
      <c r="D79" s="558">
        <f>SUM(D64:D78)</f>
        <v>142863.07</v>
      </c>
      <c r="E79" s="171">
        <f t="shared" ref="E79:F79" si="13">SUM(E64:E78)</f>
        <v>534853.07000000007</v>
      </c>
      <c r="F79" s="171">
        <f t="shared" si="13"/>
        <v>0</v>
      </c>
      <c r="G79" s="171">
        <f>SUM(G64:G78)</f>
        <v>534853.07000000007</v>
      </c>
      <c r="H79" s="172">
        <f t="shared" si="11"/>
        <v>8.1764738769050618E-2</v>
      </c>
      <c r="I79" s="336"/>
      <c r="J79" s="516"/>
      <c r="K79" s="513"/>
      <c r="M79" s="359">
        <f t="shared" si="12"/>
        <v>24.057802716804609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513"/>
      <c r="K80" s="513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513"/>
      <c r="K81" s="513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'[30]Sch C'!D75</f>
        <v>121508</v>
      </c>
      <c r="D82" s="558">
        <f>'[30]Sch C'!F75</f>
        <v>-39240.09106330802</v>
      </c>
      <c r="E82" s="171">
        <f t="shared" ref="E82:E92" si="14">C82+D82</f>
        <v>82267.90893669198</v>
      </c>
      <c r="F82" s="171"/>
      <c r="G82" s="171">
        <f t="shared" ref="G82:G92" si="15">E82+F82</f>
        <v>82267.90893669198</v>
      </c>
      <c r="H82" s="172">
        <f t="shared" ref="H82:H93" si="16">IF($G$208=0,0,G82/$G$208)</f>
        <v>1.2576564407276681E-2</v>
      </c>
      <c r="I82" s="336"/>
      <c r="J82" s="486">
        <v>3626.7000000000003</v>
      </c>
      <c r="K82" s="486">
        <v>4007.2714285714292</v>
      </c>
      <c r="M82" s="359">
        <f t="shared" ref="M82:M92" si="17">G82/G$228</f>
        <v>3.7004277139569979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'[30]Sch C'!D76</f>
        <v>10166</v>
      </c>
      <c r="D83" s="558">
        <f>'[30]Sch C'!F76</f>
        <v>-3389.7411428571431</v>
      </c>
      <c r="E83" s="171">
        <f t="shared" si="14"/>
        <v>6776.2588571428569</v>
      </c>
      <c r="F83" s="171"/>
      <c r="G83" s="171">
        <f t="shared" si="15"/>
        <v>6776.2588571428569</v>
      </c>
      <c r="H83" s="172">
        <f t="shared" si="16"/>
        <v>1.0359088623829926E-3</v>
      </c>
      <c r="I83" s="336"/>
      <c r="J83" s="513"/>
      <c r="K83" s="513"/>
      <c r="M83" s="359">
        <f t="shared" si="17"/>
        <v>0.3047975376548604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'[30]Sch C'!D77</f>
        <v>13607</v>
      </c>
      <c r="D84" s="558">
        <f>'[30]Sch C'!F77</f>
        <v>-60.58</v>
      </c>
      <c r="E84" s="171">
        <f t="shared" si="14"/>
        <v>13546.42</v>
      </c>
      <c r="F84" s="171"/>
      <c r="G84" s="171">
        <f t="shared" si="15"/>
        <v>13546.42</v>
      </c>
      <c r="H84" s="172">
        <f t="shared" si="16"/>
        <v>2.0708855472323317E-3</v>
      </c>
      <c r="I84" s="336"/>
      <c r="J84" s="513"/>
      <c r="K84" s="513"/>
      <c r="M84" s="359">
        <f t="shared" si="17"/>
        <v>0.60932079884850665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'[30]Sch C'!D78</f>
        <v>0</v>
      </c>
      <c r="D85" s="558">
        <f>'[30]Sch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513"/>
      <c r="K85" s="513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'[30]Sch C'!D79</f>
        <v>51595</v>
      </c>
      <c r="D86" s="558">
        <f>'[30]Sch C'!F79</f>
        <v>-35816.769999999997</v>
      </c>
      <c r="E86" s="171">
        <f t="shared" si="14"/>
        <v>15778.230000000003</v>
      </c>
      <c r="F86" s="171"/>
      <c r="G86" s="171">
        <f>E86+F86</f>
        <v>15778.230000000003</v>
      </c>
      <c r="H86" s="172">
        <f t="shared" si="16"/>
        <v>2.4120696440762647E-3</v>
      </c>
      <c r="I86" s="336"/>
      <c r="J86" s="513"/>
      <c r="K86" s="513"/>
      <c r="M86" s="359">
        <f t="shared" si="17"/>
        <v>0.70970807844548411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'[30]Sch C'!D80</f>
        <v>47357</v>
      </c>
      <c r="D87" s="558">
        <f>'[30]Sch C'!F80</f>
        <v>0</v>
      </c>
      <c r="E87" s="171">
        <f t="shared" si="14"/>
        <v>47357</v>
      </c>
      <c r="F87" s="171"/>
      <c r="G87" s="171">
        <f t="shared" si="15"/>
        <v>47357</v>
      </c>
      <c r="H87" s="172">
        <f t="shared" si="16"/>
        <v>7.2396195349237304E-3</v>
      </c>
      <c r="I87" s="336"/>
      <c r="J87" s="513"/>
      <c r="K87" s="513"/>
      <c r="M87" s="359">
        <f t="shared" si="17"/>
        <v>2.1301277437927313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'[30]Sch C'!D81</f>
        <v>0</v>
      </c>
      <c r="D88" s="558">
        <f>'[30]Sch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513"/>
      <c r="K88" s="513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'[30]Sch C'!D82</f>
        <v>40935</v>
      </c>
      <c r="D89" s="558">
        <f>'[30]Sch C'!F82</f>
        <v>-3569.78</v>
      </c>
      <c r="E89" s="171">
        <f t="shared" si="14"/>
        <v>37365.22</v>
      </c>
      <c r="F89" s="171"/>
      <c r="G89" s="171">
        <f t="shared" si="15"/>
        <v>37365.22</v>
      </c>
      <c r="H89" s="172">
        <f t="shared" si="16"/>
        <v>5.7121434347345247E-3</v>
      </c>
      <c r="I89" s="336"/>
      <c r="J89" s="513"/>
      <c r="K89" s="513"/>
      <c r="M89" s="359">
        <f t="shared" si="17"/>
        <v>1.6806953940266283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'[30]Sch C'!D83</f>
        <v>8306</v>
      </c>
      <c r="D90" s="558">
        <f>'[30]Sch C'!F83</f>
        <v>0</v>
      </c>
      <c r="E90" s="171">
        <f t="shared" si="14"/>
        <v>8306</v>
      </c>
      <c r="F90" s="171"/>
      <c r="G90" s="171">
        <f t="shared" si="15"/>
        <v>8306</v>
      </c>
      <c r="H90" s="172">
        <f t="shared" si="16"/>
        <v>1.2697653959726442E-3</v>
      </c>
      <c r="I90" s="336"/>
      <c r="J90" s="513"/>
      <c r="K90" s="513"/>
      <c r="M90" s="359">
        <f t="shared" si="17"/>
        <v>0.37360561353004679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'[30]Sch C'!D84</f>
        <v>105500</v>
      </c>
      <c r="D91" s="558">
        <f>'[30]Sch C'!F84</f>
        <v>0</v>
      </c>
      <c r="E91" s="171">
        <f t="shared" si="14"/>
        <v>105500</v>
      </c>
      <c r="F91" s="171"/>
      <c r="G91" s="171">
        <f t="shared" si="15"/>
        <v>105500</v>
      </c>
      <c r="H91" s="172">
        <f t="shared" si="16"/>
        <v>1.6128130180004089E-2</v>
      </c>
      <c r="I91" s="336"/>
      <c r="J91" s="513"/>
      <c r="K91" s="513"/>
      <c r="M91" s="359">
        <f t="shared" si="17"/>
        <v>4.7454120187117672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'[30]Sch C'!D85</f>
        <v>489</v>
      </c>
      <c r="D92" s="558">
        <f>'[30]Sch C'!F85</f>
        <v>0</v>
      </c>
      <c r="E92" s="171">
        <f t="shared" si="14"/>
        <v>489</v>
      </c>
      <c r="F92" s="171"/>
      <c r="G92" s="171">
        <f t="shared" si="15"/>
        <v>489</v>
      </c>
      <c r="H92" s="172">
        <f t="shared" si="16"/>
        <v>7.4755029933857813E-5</v>
      </c>
      <c r="I92" s="336"/>
      <c r="J92" s="513"/>
      <c r="K92" s="513"/>
      <c r="M92" s="359">
        <f t="shared" si="17"/>
        <v>2.199532205829435E-2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399463</v>
      </c>
      <c r="D93" s="558">
        <f>SUM(D82:D92)</f>
        <v>-82076.962206165161</v>
      </c>
      <c r="E93" s="171">
        <f t="shared" ref="E93:F93" si="18">SUM(E82:E92)</f>
        <v>317386.03779383481</v>
      </c>
      <c r="F93" s="171">
        <f t="shared" si="18"/>
        <v>0</v>
      </c>
      <c r="G93" s="171">
        <f>SUM(G82:G92)</f>
        <v>317386.03779383481</v>
      </c>
      <c r="H93" s="172">
        <f t="shared" si="16"/>
        <v>4.8519842036537107E-2</v>
      </c>
      <c r="I93" s="336"/>
      <c r="J93" s="513"/>
      <c r="K93" s="513"/>
      <c r="M93" s="364">
        <f>G93/G$228</f>
        <v>14.276090221025315</v>
      </c>
      <c r="N93" s="359">
        <f>SUMMARY!J96</f>
        <v>11.458724454710746</v>
      </c>
      <c r="O93" s="354">
        <f>M93/N93-1</f>
        <v>0.24587080154077134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513"/>
      <c r="K94" s="513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513"/>
      <c r="K95" s="513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'[30]Sch C'!D89</f>
        <v>245703</v>
      </c>
      <c r="D96" s="558">
        <f>'[30]Sch C'!F89</f>
        <v>22298.337695162743</v>
      </c>
      <c r="E96" s="171">
        <f t="shared" ref="E96:E101" si="19">C96+D96</f>
        <v>268001.33769516274</v>
      </c>
      <c r="F96" s="171"/>
      <c r="G96" s="171">
        <f t="shared" ref="G96:G101" si="20">E96+F96</f>
        <v>268001.33769516274</v>
      </c>
      <c r="H96" s="172">
        <f t="shared" ref="H96:H102" si="21">IF($G$208=0,0,G96/$G$208)</f>
        <v>4.0970241353202097E-2</v>
      </c>
      <c r="I96" s="336"/>
      <c r="J96" s="486">
        <v>16311.099999999999</v>
      </c>
      <c r="K96" s="486">
        <v>17745.477142857148</v>
      </c>
      <c r="M96" s="364">
        <f t="shared" ref="M96:M101" si="22">G96/G$228</f>
        <v>12.054756103596741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'[30]Sch C'!D90</f>
        <v>18487</v>
      </c>
      <c r="D97" s="558">
        <f>'[30]Sch C'!F90</f>
        <v>326.58</v>
      </c>
      <c r="E97" s="171">
        <f t="shared" si="19"/>
        <v>18813.580000000002</v>
      </c>
      <c r="F97" s="171"/>
      <c r="G97" s="171">
        <f t="shared" si="20"/>
        <v>18813.580000000002</v>
      </c>
      <c r="H97" s="172">
        <f t="shared" si="21"/>
        <v>2.8760935297812446E-3</v>
      </c>
      <c r="I97" s="336"/>
      <c r="J97" s="513"/>
      <c r="K97" s="513"/>
      <c r="M97" s="364">
        <f t="shared" si="22"/>
        <v>0.84623875494782308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'[30]Sch C'!D91</f>
        <v>29142</v>
      </c>
      <c r="D98" s="558">
        <f>'[30]Sch C'!F91</f>
        <v>0</v>
      </c>
      <c r="E98" s="171">
        <f t="shared" si="19"/>
        <v>29142</v>
      </c>
      <c r="F98" s="171"/>
      <c r="G98" s="171">
        <f t="shared" si="20"/>
        <v>29142</v>
      </c>
      <c r="H98" s="172">
        <f t="shared" si="21"/>
        <v>4.4550328882054895E-3</v>
      </c>
      <c r="I98" s="336"/>
      <c r="J98" s="513"/>
      <c r="K98" s="513"/>
      <c r="M98" s="364">
        <f t="shared" si="22"/>
        <v>1.3108132421734437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'[30]Sch C'!D92</f>
        <v>167187</v>
      </c>
      <c r="D99" s="558">
        <f>'[30]Sch C'!F92</f>
        <v>-5904.6</v>
      </c>
      <c r="E99" s="171">
        <f t="shared" si="19"/>
        <v>161282.4</v>
      </c>
      <c r="F99" s="171"/>
      <c r="G99" s="171">
        <f t="shared" si="20"/>
        <v>161282.4</v>
      </c>
      <c r="H99" s="172">
        <f t="shared" si="21"/>
        <v>2.4655768179559157E-2</v>
      </c>
      <c r="I99" s="336"/>
      <c r="J99" s="513"/>
      <c r="K99" s="513"/>
      <c r="M99" s="364">
        <f t="shared" si="22"/>
        <v>7.2545160129542996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'[30]Sch C'!D93</f>
        <v>16594</v>
      </c>
      <c r="D100" s="558">
        <f>'[30]Sch C'!F93</f>
        <v>-322.13</v>
      </c>
      <c r="E100" s="171">
        <f t="shared" si="19"/>
        <v>16271.87</v>
      </c>
      <c r="F100" s="171"/>
      <c r="G100" s="171">
        <f t="shared" si="20"/>
        <v>16271.87</v>
      </c>
      <c r="H100" s="172">
        <f t="shared" si="21"/>
        <v>2.487534005991499E-3</v>
      </c>
      <c r="I100" s="336"/>
      <c r="J100" s="513"/>
      <c r="K100" s="513"/>
      <c r="M100" s="364">
        <f t="shared" si="22"/>
        <v>0.73191210867218426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'[30]Sch C'!D94</f>
        <v>0</v>
      </c>
      <c r="D101" s="558">
        <f>'[30]Sch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513"/>
      <c r="K101" s="513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477113</v>
      </c>
      <c r="D102" s="558">
        <f>SUM(D96:D101)</f>
        <v>16398.187695162746</v>
      </c>
      <c r="E102" s="171">
        <f t="shared" ref="E102:F102" si="23">SUM(E96:E101)</f>
        <v>493511.18769516272</v>
      </c>
      <c r="F102" s="171">
        <f t="shared" si="23"/>
        <v>0</v>
      </c>
      <c r="G102" s="171">
        <f>SUM(G96:G101)</f>
        <v>493511.18769516272</v>
      </c>
      <c r="H102" s="172">
        <f t="shared" si="21"/>
        <v>7.5444669956739485E-2</v>
      </c>
      <c r="I102" s="336"/>
      <c r="J102" s="513"/>
      <c r="K102" s="513"/>
      <c r="M102" s="364">
        <f>G102/G$228</f>
        <v>22.198236222344491</v>
      </c>
      <c r="N102" s="359">
        <f>SUMMARY!J105</f>
        <v>19.901077037785338</v>
      </c>
      <c r="O102" s="354">
        <f>M102/N102-1</f>
        <v>0.11542888760229575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513"/>
      <c r="K103" s="513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513"/>
      <c r="K104" s="513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'[30]Sch C'!D98</f>
        <v>45227</v>
      </c>
      <c r="D105" s="558">
        <f>'[30]Sch C'!F98</f>
        <v>4170.152749800186</v>
      </c>
      <c r="E105" s="171">
        <f t="shared" ref="E105:E110" si="24">C105+D105</f>
        <v>49397.152749800189</v>
      </c>
      <c r="F105" s="171"/>
      <c r="G105" s="171">
        <f t="shared" ref="G105:G110" si="25">E105+F105</f>
        <v>49397.152749800189</v>
      </c>
      <c r="H105" s="172">
        <f t="shared" ref="H105:H111" si="26">IF($G$208=0,0,G105/$G$208)</f>
        <v>7.5515043608561545E-3</v>
      </c>
      <c r="I105" s="336"/>
      <c r="J105" s="486">
        <v>3152.19</v>
      </c>
      <c r="K105" s="486">
        <v>3710.7614285714285</v>
      </c>
      <c r="M105" s="364">
        <f t="shared" ref="M105:M110" si="27">G105/G$228</f>
        <v>2.2218942402752875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'[30]Sch C'!D99</f>
        <v>3647</v>
      </c>
      <c r="D106" s="558">
        <f>'[30]Sch C'!F99</f>
        <v>0</v>
      </c>
      <c r="E106" s="171">
        <f t="shared" si="24"/>
        <v>3647</v>
      </c>
      <c r="F106" s="171"/>
      <c r="G106" s="171">
        <f t="shared" si="25"/>
        <v>3647</v>
      </c>
      <c r="H106" s="172">
        <f t="shared" si="26"/>
        <v>5.5752882243104173E-4</v>
      </c>
      <c r="I106" s="336"/>
      <c r="J106" s="513"/>
      <c r="K106" s="513"/>
      <c r="M106" s="364">
        <f t="shared" si="27"/>
        <v>0.16404282115869018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'[30]Sch C'!D100</f>
        <v>3764</v>
      </c>
      <c r="D107" s="558">
        <f>'[30]Sch C'!F100</f>
        <v>-49</v>
      </c>
      <c r="E107" s="171">
        <f t="shared" si="24"/>
        <v>3715</v>
      </c>
      <c r="F107" s="171"/>
      <c r="G107" s="171">
        <f t="shared" si="25"/>
        <v>3715</v>
      </c>
      <c r="H107" s="172">
        <f t="shared" si="26"/>
        <v>5.6792420491673162E-4</v>
      </c>
      <c r="I107" s="336"/>
      <c r="J107" s="513"/>
      <c r="K107" s="513"/>
      <c r="M107" s="364">
        <f t="shared" si="27"/>
        <v>0.16710147535084563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'[30]Sch C'!D101</f>
        <v>0</v>
      </c>
      <c r="D108" s="558">
        <f>'[30]Sch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513"/>
      <c r="K108" s="513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'[30]Sch C'!D102</f>
        <v>10170</v>
      </c>
      <c r="D109" s="558">
        <f>'[30]Sch C'!F102</f>
        <v>0</v>
      </c>
      <c r="E109" s="171">
        <f t="shared" si="24"/>
        <v>10170</v>
      </c>
      <c r="F109" s="171"/>
      <c r="G109" s="171">
        <f t="shared" si="25"/>
        <v>10170</v>
      </c>
      <c r="H109" s="172">
        <f t="shared" si="26"/>
        <v>1.5547211746980243E-3</v>
      </c>
      <c r="I109" s="336"/>
      <c r="J109" s="513"/>
      <c r="K109" s="513"/>
      <c r="M109" s="364">
        <f t="shared" si="27"/>
        <v>0.4574487225620727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'[30]Sch C'!D103</f>
        <v>0</v>
      </c>
      <c r="D110" s="558">
        <f>'[30]Sch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513"/>
      <c r="K110" s="513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62808</v>
      </c>
      <c r="D111" s="558">
        <f>SUM(D105:D110)</f>
        <v>4121.152749800186</v>
      </c>
      <c r="E111" s="171">
        <f t="shared" ref="E111:F111" si="28">SUM(E105:E110)</f>
        <v>66929.152749800181</v>
      </c>
      <c r="F111" s="171">
        <f t="shared" si="28"/>
        <v>0</v>
      </c>
      <c r="G111" s="171">
        <f>SUM(G105:G110)</f>
        <v>66929.152749800181</v>
      </c>
      <c r="H111" s="172">
        <f t="shared" si="26"/>
        <v>1.0231678562901952E-2</v>
      </c>
      <c r="I111" s="336"/>
      <c r="J111" s="513"/>
      <c r="K111" s="513"/>
      <c r="M111" s="364">
        <f>G111/G$228</f>
        <v>3.0104872593468954</v>
      </c>
      <c r="N111" s="359">
        <f>SUMMARY!J114</f>
        <v>2.4242384372309496</v>
      </c>
      <c r="O111" s="354">
        <f>M111/N111-1</f>
        <v>0.24182803684343024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513"/>
      <c r="K112" s="513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513"/>
      <c r="K113" s="513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'[30]Sch C'!D115</f>
        <v>90850</v>
      </c>
      <c r="D114" s="558">
        <f>'[30]Sch C'!F115</f>
        <v>8376.8186552136303</v>
      </c>
      <c r="E114" s="171">
        <f t="shared" ref="E114:E118" si="29">C114+D114</f>
        <v>99226.818655213632</v>
      </c>
      <c r="F114" s="171"/>
      <c r="G114" s="171">
        <f>E114+F114</f>
        <v>99226.818655213632</v>
      </c>
      <c r="H114" s="172">
        <f t="shared" ref="H114:H119" si="30">IF($G$208=0,0,G114/$G$208)</f>
        <v>1.5169128422928375E-2</v>
      </c>
      <c r="I114" s="336"/>
      <c r="J114" s="486">
        <v>7233.4414285714292</v>
      </c>
      <c r="K114" s="486">
        <v>8365.7271428571439</v>
      </c>
      <c r="M114" s="364">
        <f t="shared" ref="M114:M119" si="31">G114/G$228</f>
        <v>4.4632430125590874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'[30]Sch C'!D116</f>
        <v>6989</v>
      </c>
      <c r="D115" s="558">
        <f>'[30]Sch C'!F116</f>
        <v>0</v>
      </c>
      <c r="E115" s="171">
        <f t="shared" si="29"/>
        <v>6989</v>
      </c>
      <c r="F115" s="171"/>
      <c r="G115" s="171">
        <f>E115+F115</f>
        <v>6989</v>
      </c>
      <c r="H115" s="172">
        <f t="shared" si="30"/>
        <v>1.0684312969483276E-3</v>
      </c>
      <c r="I115" s="336"/>
      <c r="J115" s="513"/>
      <c r="K115" s="513"/>
      <c r="M115" s="364">
        <f t="shared" si="31"/>
        <v>0.31436667866138901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'[30]Sch C'!D117</f>
        <v>17492</v>
      </c>
      <c r="D116" s="558">
        <f>'[30]Sch C'!F117</f>
        <v>-15.21</v>
      </c>
      <c r="E116" s="171">
        <f t="shared" si="29"/>
        <v>17476.79</v>
      </c>
      <c r="F116" s="171"/>
      <c r="G116" s="171">
        <f>E116+F116</f>
        <v>17476.79</v>
      </c>
      <c r="H116" s="172">
        <f t="shared" si="30"/>
        <v>2.671734068707049E-3</v>
      </c>
      <c r="I116" s="336"/>
      <c r="J116" s="513"/>
      <c r="K116" s="513"/>
      <c r="M116" s="364">
        <f t="shared" si="31"/>
        <v>0.78610966174883057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'[30]Sch C'!D118</f>
        <v>3330</v>
      </c>
      <c r="D117" s="558">
        <f>'[30]Sch C'!F118</f>
        <v>0</v>
      </c>
      <c r="E117" s="171">
        <f t="shared" si="29"/>
        <v>3330</v>
      </c>
      <c r="F117" s="171"/>
      <c r="G117" s="171">
        <f>E117+F117</f>
        <v>3330</v>
      </c>
      <c r="H117" s="172">
        <f t="shared" si="30"/>
        <v>5.0906799525510531E-4</v>
      </c>
      <c r="I117" s="336"/>
      <c r="J117" s="513"/>
      <c r="K117" s="513"/>
      <c r="M117" s="364">
        <f t="shared" si="31"/>
        <v>0.14978409499820078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'[30]Sch C'!D119</f>
        <v>0</v>
      </c>
      <c r="D118" s="558">
        <f>'[30]Sch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513"/>
      <c r="K118" s="513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118661</v>
      </c>
      <c r="D119" s="558">
        <f>SUM(D114:D118)</f>
        <v>8361.6086552136312</v>
      </c>
      <c r="E119" s="171">
        <f t="shared" ref="E119:F119" si="32">SUM(E114:E118)</f>
        <v>127022.60865521364</v>
      </c>
      <c r="F119" s="171">
        <f t="shared" si="32"/>
        <v>0</v>
      </c>
      <c r="G119" s="171">
        <f>SUM(G114:G118)</f>
        <v>127022.60865521364</v>
      </c>
      <c r="H119" s="172">
        <f t="shared" si="30"/>
        <v>1.9418361783838857E-2</v>
      </c>
      <c r="I119" s="336"/>
      <c r="J119" s="513"/>
      <c r="K119" s="513"/>
      <c r="M119" s="364">
        <f t="shared" si="31"/>
        <v>5.7135034479675078</v>
      </c>
      <c r="N119" s="359">
        <f>SUMMARY!J122</f>
        <v>6.0247597205909562</v>
      </c>
      <c r="O119" s="354">
        <f>M119/N119-1</f>
        <v>-5.1662852471885512E-2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483"/>
      <c r="K121" s="483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483"/>
      <c r="K122" s="483"/>
      <c r="M122" s="359"/>
      <c r="N122" s="359"/>
      <c r="P122"/>
      <c r="Q122"/>
    </row>
    <row r="123" spans="1:17" s="167" customFormat="1">
      <c r="B123" s="163" t="s">
        <v>232</v>
      </c>
      <c r="C123" s="558">
        <f>'[30]Sch C'!D124</f>
        <v>0</v>
      </c>
      <c r="D123" s="558">
        <f>'[30]Sch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486">
        <v>0</v>
      </c>
      <c r="K123" s="486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'[30]Sch C'!D125</f>
        <v>0</v>
      </c>
      <c r="D124" s="558">
        <f>'[30]Sch C'!F125</f>
        <v>285085.05557955254</v>
      </c>
      <c r="E124" s="171">
        <f t="shared" si="33"/>
        <v>285085.05557955254</v>
      </c>
      <c r="F124" s="171"/>
      <c r="G124" s="171">
        <f>E124+F124</f>
        <v>285085.05557955254</v>
      </c>
      <c r="H124" s="172">
        <f>IF($G$208=0,0,G124/$G$208)</f>
        <v>4.3581885201523451E-2</v>
      </c>
      <c r="I124" s="336"/>
      <c r="J124" s="486">
        <v>6838.63</v>
      </c>
      <c r="K124" s="486">
        <v>7489.1014285714291</v>
      </c>
      <c r="M124" s="364">
        <f t="shared" si="34"/>
        <v>12.823185299548063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'[30]Sch C'!D126</f>
        <v>0</v>
      </c>
      <c r="D125" s="558">
        <f>'[30]Sch C'!F126</f>
        <v>43523.743606755786</v>
      </c>
      <c r="E125" s="171">
        <f t="shared" si="33"/>
        <v>43523.743606755786</v>
      </c>
      <c r="F125" s="171"/>
      <c r="G125" s="171">
        <f>E125+F125</f>
        <v>43523.743606755786</v>
      </c>
      <c r="H125" s="172">
        <f>IF($G$208=0,0,G125/$G$208)</f>
        <v>6.6536170882547669E-3</v>
      </c>
      <c r="I125" s="336"/>
      <c r="J125" s="486">
        <v>1224.19</v>
      </c>
      <c r="K125" s="486">
        <v>1378.1857142857143</v>
      </c>
      <c r="M125" s="364">
        <f t="shared" si="34"/>
        <v>1.9577070711926856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'[30]Sch C'!D127</f>
        <v>0</v>
      </c>
      <c r="D126" s="558">
        <f>'[30]Sch C'!F127</f>
        <v>18956.200813691685</v>
      </c>
      <c r="E126" s="171">
        <f t="shared" si="33"/>
        <v>18956.200813691685</v>
      </c>
      <c r="F126" s="171"/>
      <c r="G126" s="171">
        <f>E126+F126</f>
        <v>18956.200813691685</v>
      </c>
      <c r="H126" s="172">
        <f>IF($G$208=0,0,G126/$G$208)</f>
        <v>2.8978964402039706E-3</v>
      </c>
      <c r="I126" s="336"/>
      <c r="J126" s="486">
        <v>829.26</v>
      </c>
      <c r="K126" s="486">
        <v>957.26</v>
      </c>
      <c r="M126" s="364">
        <f t="shared" si="34"/>
        <v>0.85265386891380379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'[30]Sch C'!D128</f>
        <v>427593</v>
      </c>
      <c r="D127" s="558">
        <f>'[30]Sch C'!F128</f>
        <v>-347565</v>
      </c>
      <c r="E127" s="171">
        <f t="shared" si="33"/>
        <v>80028</v>
      </c>
      <c r="F127" s="171"/>
      <c r="G127" s="171">
        <f>E127+F127</f>
        <v>80028</v>
      </c>
      <c r="H127" s="172">
        <f>IF($G$208=0,0,G127/$G$208)</f>
        <v>1.2234142199482153E-2</v>
      </c>
      <c r="I127" s="336"/>
      <c r="J127" s="486">
        <v>4027.05</v>
      </c>
      <c r="K127" s="486">
        <v>5081.2057142857138</v>
      </c>
      <c r="M127" s="364">
        <f t="shared" si="34"/>
        <v>3.5996761424973012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517"/>
      <c r="K128" s="51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'[30]Sch C'!D130</f>
        <v>0</v>
      </c>
      <c r="D129" s="558">
        <f>'[30]Sch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483"/>
      <c r="K129" s="483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'[30]Sch C'!D131</f>
        <v>0</v>
      </c>
      <c r="D130" s="558">
        <f>'[30]Sch C'!F131</f>
        <v>51117.759097654009</v>
      </c>
      <c r="E130" s="171">
        <f t="shared" si="35"/>
        <v>51117.759097654009</v>
      </c>
      <c r="F130" s="171"/>
      <c r="G130" s="171">
        <f>E130+F130</f>
        <v>51117.759097654009</v>
      </c>
      <c r="H130" s="172">
        <f>IF($G$208=0,0,G130/$G$208)</f>
        <v>7.8145390828156594E-3</v>
      </c>
      <c r="I130" s="336"/>
      <c r="J130" s="483"/>
      <c r="K130" s="483"/>
      <c r="M130" s="364">
        <f t="shared" si="34"/>
        <v>2.2992874729063515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'[30]Sch C'!D132</f>
        <v>0</v>
      </c>
      <c r="D131" s="558">
        <f>'[30]Sch C'!F132</f>
        <v>7820.2830936589353</v>
      </c>
      <c r="E131" s="171">
        <f t="shared" si="35"/>
        <v>7820.2830936589353</v>
      </c>
      <c r="F131" s="171"/>
      <c r="G131" s="171">
        <f>E131+F131</f>
        <v>7820.2830936589353</v>
      </c>
      <c r="H131" s="172">
        <f>IF($G$208=0,0,G131/$G$208)</f>
        <v>1.1955122633082124E-3</v>
      </c>
      <c r="I131" s="336"/>
      <c r="J131" s="513"/>
      <c r="K131" s="513"/>
      <c r="M131" s="364">
        <f t="shared" si="34"/>
        <v>0.35175796570973983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'[30]Sch C'!D133</f>
        <v>0</v>
      </c>
      <c r="D132" s="558">
        <f>'[30]Sch C'!F133</f>
        <v>3511.9326547310711</v>
      </c>
      <c r="E132" s="171">
        <f t="shared" si="35"/>
        <v>3511.9326547310711</v>
      </c>
      <c r="F132" s="171"/>
      <c r="G132" s="171">
        <f>E132+F132</f>
        <v>3511.9326547310711</v>
      </c>
      <c r="H132" s="172">
        <f>IF($G$208=0,0,G132/$G$208)</f>
        <v>5.3688063543990577E-4</v>
      </c>
      <c r="I132" s="336"/>
      <c r="J132" s="513"/>
      <c r="K132" s="513"/>
      <c r="M132" s="364">
        <f t="shared" si="34"/>
        <v>0.15796746377883553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'[30]Sch C'!D134</f>
        <v>37487</v>
      </c>
      <c r="D133" s="558">
        <f>'[30]Sch C'!F134</f>
        <v>-23014.023188338619</v>
      </c>
      <c r="E133" s="171">
        <f t="shared" si="35"/>
        <v>14472.976811661381</v>
      </c>
      <c r="F133" s="171"/>
      <c r="G133" s="171">
        <f>E133+F133</f>
        <v>14472.976811661381</v>
      </c>
      <c r="H133" s="172">
        <f>IF($G$208=0,0,G133/$G$208)</f>
        <v>2.2125313185844099E-3</v>
      </c>
      <c r="I133" s="336"/>
      <c r="J133" s="513"/>
      <c r="K133" s="513"/>
      <c r="M133" s="364">
        <f t="shared" si="34"/>
        <v>0.65099751761701063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483"/>
      <c r="K134" s="483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'[30]Sch C'!D136</f>
        <v>0</v>
      </c>
      <c r="D135" s="558">
        <f>'[30]Sch C'!F136</f>
        <v>517321.53210119792</v>
      </c>
      <c r="E135" s="171">
        <f t="shared" ref="E135:E138" si="36">C135+D135</f>
        <v>517321.53210119792</v>
      </c>
      <c r="F135" s="171"/>
      <c r="G135" s="171">
        <f>E135+F135</f>
        <v>517321.53210119792</v>
      </c>
      <c r="H135" s="172">
        <f>IF($G$208=0,0,G135/$G$208)</f>
        <v>7.9084635209926854E-2</v>
      </c>
      <c r="I135" s="336"/>
      <c r="J135" s="486">
        <v>14584.757142857145</v>
      </c>
      <c r="K135" s="486">
        <v>16014.477142857144</v>
      </c>
      <c r="M135" s="364">
        <f t="shared" si="34"/>
        <v>23.269230483141325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'[30]Sch C'!D137</f>
        <v>0</v>
      </c>
      <c r="D136" s="558">
        <f>'[30]Sch C'!F137</f>
        <v>397548.68985584466</v>
      </c>
      <c r="E136" s="171">
        <f t="shared" si="36"/>
        <v>397548.68985584466</v>
      </c>
      <c r="F136" s="171"/>
      <c r="G136" s="171">
        <f>E136+F136</f>
        <v>397548.68985584466</v>
      </c>
      <c r="H136" s="172">
        <f>IF($G$208=0,0,G136/$G$208)</f>
        <v>6.0774568937299836E-2</v>
      </c>
      <c r="I136" s="336"/>
      <c r="J136" s="486">
        <v>13164.887142857142</v>
      </c>
      <c r="K136" s="486">
        <v>14361.597142857143</v>
      </c>
      <c r="M136" s="364">
        <f t="shared" si="34"/>
        <v>17.881823041374805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'[30]Sch C'!D138</f>
        <v>0</v>
      </c>
      <c r="D137" s="558">
        <f>'[30]Sch C'!F138</f>
        <v>714041.16474735108</v>
      </c>
      <c r="E137" s="171">
        <f t="shared" si="36"/>
        <v>714041.16474735108</v>
      </c>
      <c r="F137" s="171"/>
      <c r="G137" s="171">
        <f>E137+F137</f>
        <v>714041.16474735108</v>
      </c>
      <c r="H137" s="172">
        <f>IF($G$208=0,0,G137/$G$208)</f>
        <v>0.10915780908935567</v>
      </c>
      <c r="I137" s="336"/>
      <c r="J137" s="486">
        <v>51657.275714285708</v>
      </c>
      <c r="K137" s="486">
        <v>55937.96142857142</v>
      </c>
      <c r="M137" s="364">
        <f t="shared" si="34"/>
        <v>32.117720616559509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'[30]Sch C'!D139</f>
        <v>1630610</v>
      </c>
      <c r="D138" s="558">
        <f>'[30]Sch C'!F139</f>
        <v>-1628911.3867043937</v>
      </c>
      <c r="E138" s="171">
        <f t="shared" si="36"/>
        <v>1698.6132956063375</v>
      </c>
      <c r="F138" s="171"/>
      <c r="G138" s="171">
        <f>E138+F138</f>
        <v>1698.6132956063375</v>
      </c>
      <c r="H138" s="172">
        <f>IF($G$208=0,0,G138/$G$208)</f>
        <v>2.5967257210450024E-4</v>
      </c>
      <c r="I138" s="336"/>
      <c r="J138" s="486">
        <v>93.210000000000008</v>
      </c>
      <c r="K138" s="486">
        <v>120.05285714285715</v>
      </c>
      <c r="M138" s="364">
        <f t="shared" si="34"/>
        <v>7.6403980550842812E-2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518"/>
      <c r="K139" s="51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'[30]Sch C'!D141</f>
        <v>0</v>
      </c>
      <c r="D140" s="558">
        <f>'[30]Sch C'!F141</f>
        <v>92150.708670795168</v>
      </c>
      <c r="E140" s="171">
        <f t="shared" ref="E140:E143" si="37">C140+D140</f>
        <v>92150.708670795168</v>
      </c>
      <c r="F140" s="171"/>
      <c r="G140" s="171">
        <f>E140+F140</f>
        <v>92150.708670795168</v>
      </c>
      <c r="H140" s="172">
        <f>IF($G$208=0,0,G140/$G$208)</f>
        <v>1.4087380337651336E-2</v>
      </c>
      <c r="I140" s="336"/>
      <c r="J140" s="513"/>
      <c r="K140" s="513"/>
      <c r="M140" s="364">
        <f t="shared" si="34"/>
        <v>4.144958108617991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'[30]Sch C'!D142</f>
        <v>0</v>
      </c>
      <c r="D141" s="558">
        <f>'[30]Sch C'!F142</f>
        <v>70815.520383551062</v>
      </c>
      <c r="E141" s="171">
        <f t="shared" si="37"/>
        <v>70815.520383551062</v>
      </c>
      <c r="F141" s="171"/>
      <c r="G141" s="171">
        <f>E141+F141</f>
        <v>70815.520383551062</v>
      </c>
      <c r="H141" s="172">
        <f>IF($G$208=0,0,G141/$G$208)</f>
        <v>1.0825800298679095E-2</v>
      </c>
      <c r="I141" s="336"/>
      <c r="J141" s="513"/>
      <c r="K141" s="513"/>
      <c r="M141" s="364">
        <f t="shared" si="34"/>
        <v>3.1852968866296809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'[30]Sch C'!D143</f>
        <v>0</v>
      </c>
      <c r="D142" s="558">
        <f>'[30]Sch C'!F143</f>
        <v>127192.46207350366</v>
      </c>
      <c r="E142" s="171">
        <f t="shared" si="37"/>
        <v>127192.46207350366</v>
      </c>
      <c r="F142" s="171"/>
      <c r="G142" s="171">
        <f>E142+F142</f>
        <v>127192.46207350366</v>
      </c>
      <c r="H142" s="172">
        <f>IF($G$208=0,0,G142/$G$208)</f>
        <v>1.9444327831627483E-2</v>
      </c>
      <c r="I142" s="336"/>
      <c r="J142" s="513"/>
      <c r="K142" s="513"/>
      <c r="M142" s="364">
        <f t="shared" si="34"/>
        <v>5.7211434901719889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'[30]Sch C'!D144</f>
        <v>140118</v>
      </c>
      <c r="D143" s="558">
        <f>'[30]Sch C'!F144</f>
        <v>-139815.42527763732</v>
      </c>
      <c r="E143" s="171">
        <f t="shared" si="37"/>
        <v>302.57472236268222</v>
      </c>
      <c r="F143" s="171"/>
      <c r="G143" s="171">
        <f>E143+F143</f>
        <v>302.57472236268222</v>
      </c>
      <c r="H143" s="172">
        <f>IF($G$208=0,0,G143/$G$208)</f>
        <v>4.6255587786198413E-5</v>
      </c>
      <c r="I143" s="336"/>
      <c r="J143" s="513"/>
      <c r="K143" s="513"/>
      <c r="M143" s="364">
        <f t="shared" si="34"/>
        <v>1.3609874161689557E-2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483"/>
      <c r="K144" s="483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'[30]Sch C'!D146</f>
        <v>0</v>
      </c>
      <c r="D145" s="558">
        <f>'[30]Sch C'!F146</f>
        <v>38400</v>
      </c>
      <c r="E145" s="171">
        <f t="shared" ref="E145:E153" si="38">C145+D145</f>
        <v>38400</v>
      </c>
      <c r="F145" s="171"/>
      <c r="G145" s="171">
        <f t="shared" ref="G145:G153" si="39">E145+F145</f>
        <v>38400</v>
      </c>
      <c r="H145" s="172">
        <f t="shared" ref="H145:H153" si="40">IF($G$208=0,0,G145/$G$208)</f>
        <v>5.870333638977791E-3</v>
      </c>
      <c r="I145" s="336"/>
      <c r="J145" s="486">
        <v>192</v>
      </c>
      <c r="K145" s="486">
        <v>192</v>
      </c>
      <c r="M145" s="364">
        <f t="shared" si="34"/>
        <v>1.7272400143936668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'[30]Sch C'!D147</f>
        <v>0</v>
      </c>
      <c r="D146" s="558">
        <f>'[30]Sch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486">
        <v>0</v>
      </c>
      <c r="K146" s="486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'[30]Sch C'!D148</f>
        <v>0</v>
      </c>
      <c r="D147" s="558">
        <f>'[30]Sch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486">
        <v>0</v>
      </c>
      <c r="K147" s="486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'[30]Sch C'!D149</f>
        <v>0</v>
      </c>
      <c r="D148" s="558">
        <f>'[30]Sch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486">
        <v>0</v>
      </c>
      <c r="K148" s="486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'[30]Sch C'!D150</f>
        <v>39150</v>
      </c>
      <c r="D149" s="558">
        <f>'[30]Sch C'!F150</f>
        <v>-38400</v>
      </c>
      <c r="E149" s="171">
        <f t="shared" si="38"/>
        <v>750</v>
      </c>
      <c r="F149" s="171"/>
      <c r="G149" s="171">
        <f t="shared" si="39"/>
        <v>750</v>
      </c>
      <c r="H149" s="172">
        <f t="shared" si="40"/>
        <v>1.1465495388628499E-4</v>
      </c>
      <c r="I149" s="336"/>
      <c r="J149" s="486">
        <v>12.5</v>
      </c>
      <c r="K149" s="486">
        <v>12.5</v>
      </c>
      <c r="M149" s="364">
        <f t="shared" si="34"/>
        <v>3.3735156531126305E-2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'[30]Sch C'!D151</f>
        <v>161933</v>
      </c>
      <c r="D150" s="558">
        <f>'[30]Sch C'!F151</f>
        <v>-917.92</v>
      </c>
      <c r="E150" s="171">
        <f t="shared" si="38"/>
        <v>161015.07999999999</v>
      </c>
      <c r="F150" s="171"/>
      <c r="G150" s="171">
        <f t="shared" si="39"/>
        <v>161015.07999999999</v>
      </c>
      <c r="H150" s="172">
        <f t="shared" si="40"/>
        <v>2.4614902096528647E-2</v>
      </c>
      <c r="I150" s="336"/>
      <c r="J150" s="513"/>
      <c r="K150" s="513"/>
      <c r="M150" s="364">
        <f t="shared" si="34"/>
        <v>7.2424919035624322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'[30]Sch C'!D152</f>
        <v>5224</v>
      </c>
      <c r="D151" s="558">
        <f>'[30]Sch C'!F152</f>
        <v>0</v>
      </c>
      <c r="E151" s="171">
        <f t="shared" si="38"/>
        <v>5224</v>
      </c>
      <c r="F151" s="171"/>
      <c r="G151" s="171">
        <f t="shared" si="39"/>
        <v>5224</v>
      </c>
      <c r="H151" s="172">
        <f t="shared" si="40"/>
        <v>7.98609972135937E-4</v>
      </c>
      <c r="I151" s="336"/>
      <c r="J151" s="513"/>
      <c r="K151" s="513"/>
      <c r="M151" s="364">
        <f t="shared" si="34"/>
        <v>0.23497661029147177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'[30]Sch C'!D153</f>
        <v>0</v>
      </c>
      <c r="D152" s="558">
        <f>'[30]Sch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513"/>
      <c r="K152" s="513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'[30]Sch C'!D154</f>
        <v>0</v>
      </c>
      <c r="D153" s="558">
        <f>'[30]Sch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513"/>
      <c r="K153" s="513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513"/>
      <c r="K154" s="513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'[30]Sch C'!D156</f>
        <v>0</v>
      </c>
      <c r="D155" s="558">
        <f>'[30]Sch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513"/>
      <c r="K155" s="513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'[30]Sch C'!D157</f>
        <v>0</v>
      </c>
      <c r="D156" s="558">
        <f>'[30]Sch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513"/>
      <c r="K156" s="513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'[30]Sch C'!D158</f>
        <v>0</v>
      </c>
      <c r="D157" s="558">
        <f>'[30]Sch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513"/>
      <c r="K157" s="513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'[30]Sch C'!D159</f>
        <v>0</v>
      </c>
      <c r="D158" s="558">
        <f>'[30]Sch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513"/>
      <c r="K158" s="513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'[30]Sch C'!D160</f>
        <v>0</v>
      </c>
      <c r="D159" s="558">
        <f>'[30]Sch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513"/>
      <c r="K159" s="513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'[30]Sch C'!D161</f>
        <v>4953</v>
      </c>
      <c r="D160" s="558">
        <f>'[30]Sch C'!F161</f>
        <v>0</v>
      </c>
      <c r="E160" s="171">
        <f t="shared" si="41"/>
        <v>4953</v>
      </c>
      <c r="F160" s="171"/>
      <c r="G160" s="171">
        <f t="shared" si="42"/>
        <v>4953</v>
      </c>
      <c r="H160" s="172">
        <f t="shared" si="43"/>
        <v>7.5718131546502606E-4</v>
      </c>
      <c r="I160" s="336"/>
      <c r="J160" s="513"/>
      <c r="K160" s="513"/>
      <c r="M160" s="364">
        <f t="shared" si="34"/>
        <v>0.22278697373155812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2447068</v>
      </c>
      <c r="D161" s="558">
        <f>SUM(D123:D160)</f>
        <v>188861.297507918</v>
      </c>
      <c r="E161" s="171">
        <f t="shared" ref="E161:F161" si="44">SUM(E123:E160)</f>
        <v>2635929.297507918</v>
      </c>
      <c r="F161" s="171">
        <f t="shared" si="44"/>
        <v>0</v>
      </c>
      <c r="G161" s="171">
        <f>SUM(G123:G160)</f>
        <v>2635929.297507918</v>
      </c>
      <c r="H161" s="172">
        <f t="shared" si="43"/>
        <v>0.40296313607103718</v>
      </c>
      <c r="I161" s="336"/>
      <c r="J161" s="513"/>
      <c r="K161" s="513"/>
      <c r="M161" s="364">
        <f>G161/G$228</f>
        <v>118.56464994188188</v>
      </c>
      <c r="N161" s="359">
        <f>SUMMARY!J164</f>
        <v>105.56901037202306</v>
      </c>
      <c r="O161" s="354">
        <f>M161/N161-1</f>
        <v>0.12310089413609604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513"/>
      <c r="K162" s="513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513"/>
      <c r="K163" s="513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'[30]Sch C'!D175</f>
        <v>0</v>
      </c>
      <c r="D164" s="558">
        <f>'[30]Sch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486">
        <v>0</v>
      </c>
      <c r="K164" s="486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'[30]Sch C'!D176</f>
        <v>0</v>
      </c>
      <c r="D165" s="558">
        <f>'[30]Sch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519"/>
      <c r="K165" s="519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'[30]Sch C'!D177</f>
        <v>284944</v>
      </c>
      <c r="D166" s="558">
        <f>'[30]Sch C'!F177</f>
        <v>26273.243972385171</v>
      </c>
      <c r="E166" s="171">
        <f t="shared" si="45"/>
        <v>311217.24397238519</v>
      </c>
      <c r="F166" s="216"/>
      <c r="G166" s="171">
        <f t="shared" si="46"/>
        <v>311217.24397238519</v>
      </c>
      <c r="H166" s="172">
        <f t="shared" si="47"/>
        <v>4.7576798341694038E-2</v>
      </c>
      <c r="I166" s="342"/>
      <c r="J166" s="486">
        <v>8761.6971428571433</v>
      </c>
      <c r="K166" s="486">
        <v>10066.487142857142</v>
      </c>
      <c r="L166" s="218"/>
      <c r="M166" s="364">
        <f t="shared" si="48"/>
        <v>13.998616587458852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'[30]Sch C'!D178</f>
        <v>22310</v>
      </c>
      <c r="D167" s="558">
        <f>'[30]Sch C'!F178</f>
        <v>0</v>
      </c>
      <c r="E167" s="171">
        <f t="shared" si="45"/>
        <v>22310</v>
      </c>
      <c r="F167" s="216"/>
      <c r="G167" s="171">
        <f t="shared" si="46"/>
        <v>22310</v>
      </c>
      <c r="H167" s="172">
        <f t="shared" si="47"/>
        <v>3.4106026949373572E-3</v>
      </c>
      <c r="I167" s="343"/>
      <c r="J167" s="519"/>
      <c r="K167" s="519"/>
      <c r="L167" s="218"/>
      <c r="M167" s="364">
        <f t="shared" si="48"/>
        <v>1.0035084562792371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'[30]Sch C'!D179</f>
        <v>72516</v>
      </c>
      <c r="D168" s="558">
        <f>'[30]Sch C'!F179</f>
        <v>6540.1962935102265</v>
      </c>
      <c r="E168" s="171">
        <f t="shared" si="45"/>
        <v>79056.19629351022</v>
      </c>
      <c r="F168" s="216"/>
      <c r="G168" s="171">
        <f t="shared" si="46"/>
        <v>79056.19629351022</v>
      </c>
      <c r="H168" s="172">
        <f t="shared" si="47"/>
        <v>1.2085579387276677E-2</v>
      </c>
      <c r="I168" s="342"/>
      <c r="J168" s="486">
        <v>1354.5514285714285</v>
      </c>
      <c r="K168" s="486">
        <v>1798.0871428571427</v>
      </c>
      <c r="L168" s="218"/>
      <c r="M168" s="364">
        <f t="shared" si="48"/>
        <v>3.5559642089560191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'[30]Sch C'!D180</f>
        <v>5618</v>
      </c>
      <c r="D169" s="558">
        <f>'[30]Sch C'!F180</f>
        <v>133.80000000000001</v>
      </c>
      <c r="E169" s="171">
        <f t="shared" si="45"/>
        <v>5751.8</v>
      </c>
      <c r="F169" s="216"/>
      <c r="G169" s="171">
        <f t="shared" si="46"/>
        <v>5751.8</v>
      </c>
      <c r="H169" s="172">
        <f t="shared" si="47"/>
        <v>8.7929648501751194E-4</v>
      </c>
      <c r="I169" s="343"/>
      <c r="J169" s="519"/>
      <c r="K169" s="519"/>
      <c r="L169" s="218"/>
      <c r="M169" s="364">
        <f t="shared" si="48"/>
        <v>0.25871716444764303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'[30]Sch C'!D181</f>
        <v>0</v>
      </c>
      <c r="D170" s="558">
        <f>'[30]Sch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486">
        <v>0</v>
      </c>
      <c r="K170" s="486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'[30]Sch C'!D182</f>
        <v>0</v>
      </c>
      <c r="D171" s="558">
        <f>'[30]Sch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519"/>
      <c r="K171" s="519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'[30]Sch C'!D183</f>
        <v>325510</v>
      </c>
      <c r="D172" s="558">
        <f>'[30]Sch C'!F183</f>
        <v>29974.506723328115</v>
      </c>
      <c r="E172" s="171">
        <f t="shared" si="45"/>
        <v>355484.50672332814</v>
      </c>
      <c r="F172" s="216"/>
      <c r="G172" s="171">
        <f t="shared" si="46"/>
        <v>355484.50672332814</v>
      </c>
      <c r="H172" s="172">
        <f t="shared" si="47"/>
        <v>5.4344079634202604E-2</v>
      </c>
      <c r="I172" s="342"/>
      <c r="J172" s="486">
        <v>7153.7314285714283</v>
      </c>
      <c r="K172" s="486">
        <v>8144.982857142857</v>
      </c>
      <c r="L172" s="218"/>
      <c r="M172" s="364">
        <f t="shared" si="48"/>
        <v>15.989767304935596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'[30]Sch C'!D184</f>
        <v>24525</v>
      </c>
      <c r="D173" s="558">
        <f>'[30]Sch C'!F184</f>
        <v>35.82</v>
      </c>
      <c r="E173" s="171">
        <f t="shared" si="45"/>
        <v>24560.82</v>
      </c>
      <c r="F173" s="216"/>
      <c r="G173" s="171">
        <f t="shared" si="46"/>
        <v>24560.82</v>
      </c>
      <c r="H173" s="172">
        <f t="shared" si="47"/>
        <v>3.754692912679128E-3</v>
      </c>
      <c r="I173" s="343"/>
      <c r="J173" s="519"/>
      <c r="K173" s="519"/>
      <c r="L173" s="218"/>
      <c r="M173" s="364">
        <f t="shared" si="48"/>
        <v>1.1047508096437568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'[30]Sch C'!D185</f>
        <v>0</v>
      </c>
      <c r="D174" s="558">
        <f>'[30]Sch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486">
        <v>0</v>
      </c>
      <c r="K174" s="486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'[30]Sch C'!D186</f>
        <v>0</v>
      </c>
      <c r="D175" s="558">
        <f>'[30]Sch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520"/>
      <c r="K175" s="521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'[30]Sch C'!D187</f>
        <v>0</v>
      </c>
      <c r="D176" s="558">
        <f>'[30]Sch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520"/>
      <c r="K176" s="521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'[30]Sch C'!D188</f>
        <v>12365</v>
      </c>
      <c r="D177" s="558">
        <f>'[30]Sch C'!F188</f>
        <v>0</v>
      </c>
      <c r="E177" s="171">
        <f t="shared" si="45"/>
        <v>12365</v>
      </c>
      <c r="F177" s="216"/>
      <c r="G177" s="171">
        <f t="shared" si="46"/>
        <v>12365</v>
      </c>
      <c r="H177" s="172">
        <f t="shared" si="47"/>
        <v>1.8902780064052184E-3</v>
      </c>
      <c r="I177" s="336"/>
      <c r="J177" s="520"/>
      <c r="K177" s="521"/>
      <c r="L177" s="220"/>
      <c r="M177" s="364">
        <f t="shared" si="48"/>
        <v>0.55618028067650238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'[30]Sch C'!D189</f>
        <v>118</v>
      </c>
      <c r="D178" s="558">
        <f>'[30]Sch C'!F189</f>
        <v>0</v>
      </c>
      <c r="E178" s="171">
        <f t="shared" si="45"/>
        <v>118</v>
      </c>
      <c r="F178" s="216"/>
      <c r="G178" s="171">
        <f t="shared" si="46"/>
        <v>118</v>
      </c>
      <c r="H178" s="172">
        <f t="shared" si="47"/>
        <v>1.8039046078108839E-5</v>
      </c>
      <c r="I178" s="336"/>
      <c r="J178" s="520"/>
      <c r="K178" s="521"/>
      <c r="L178" s="220"/>
      <c r="M178" s="364">
        <f t="shared" si="48"/>
        <v>5.3076646275638717E-3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'[30]Sch C'!D190</f>
        <v>0</v>
      </c>
      <c r="D179" s="558">
        <f>'[30]Sch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520"/>
      <c r="K179" s="521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'[30]Sch C'!D191</f>
        <v>1543</v>
      </c>
      <c r="D180" s="558">
        <f>'[30]Sch C'!F191</f>
        <v>0</v>
      </c>
      <c r="E180" s="171">
        <f t="shared" si="45"/>
        <v>1543</v>
      </c>
      <c r="F180" s="216"/>
      <c r="G180" s="171">
        <f t="shared" si="46"/>
        <v>1543</v>
      </c>
      <c r="H180" s="172">
        <f t="shared" si="47"/>
        <v>2.358834584620503E-4</v>
      </c>
      <c r="I180" s="336"/>
      <c r="J180" s="520"/>
      <c r="K180" s="521"/>
      <c r="L180" s="220"/>
      <c r="M180" s="364">
        <f t="shared" si="48"/>
        <v>6.9404462036703848E-2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'[30]Sch C'!D192</f>
        <v>192</v>
      </c>
      <c r="D181" s="558">
        <f>'[30]Sch C'!F192</f>
        <v>0</v>
      </c>
      <c r="E181" s="171">
        <f t="shared" si="45"/>
        <v>192</v>
      </c>
      <c r="F181" s="216"/>
      <c r="G181" s="171">
        <f t="shared" si="46"/>
        <v>192</v>
      </c>
      <c r="H181" s="172">
        <f t="shared" si="47"/>
        <v>2.9351668194888954E-5</v>
      </c>
      <c r="I181" s="336"/>
      <c r="J181" s="520"/>
      <c r="K181" s="521"/>
      <c r="L181" s="220"/>
      <c r="M181" s="364">
        <f t="shared" si="48"/>
        <v>8.6362000719683342E-3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'[30]Sch C'!D193</f>
        <v>0</v>
      </c>
      <c r="D182" s="558">
        <f>'[30]Sch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520"/>
      <c r="K182" s="521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'[30]Sch C'!D194</f>
        <v>0</v>
      </c>
      <c r="D183" s="558">
        <f>'[30]Sch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520"/>
      <c r="K183" s="521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'[30]Sch C'!D195</f>
        <v>-834</v>
      </c>
      <c r="D184" s="558">
        <f>'[30]Sch C'!F195</f>
        <v>0</v>
      </c>
      <c r="E184" s="171">
        <f t="shared" si="45"/>
        <v>-834</v>
      </c>
      <c r="F184" s="216"/>
      <c r="G184" s="171">
        <f t="shared" si="46"/>
        <v>-834</v>
      </c>
      <c r="H184" s="172">
        <f t="shared" si="47"/>
        <v>-1.274963087215489E-4</v>
      </c>
      <c r="I184" s="336"/>
      <c r="J184" s="520"/>
      <c r="K184" s="521"/>
      <c r="M184" s="364">
        <f t="shared" si="48"/>
        <v>-3.7513494062612451E-2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'[30]Sch C'!D196</f>
        <v>0</v>
      </c>
      <c r="D185" s="558">
        <f>'[30]Sch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520"/>
      <c r="K185" s="521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'[30]Sch C'!D197</f>
        <v>0</v>
      </c>
      <c r="D186" s="558">
        <f>'[30]Sch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520"/>
      <c r="K186" s="521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'[30]Sch C'!D198</f>
        <v>36950</v>
      </c>
      <c r="D187" s="558">
        <f>'[30]Sch C'!F198</f>
        <v>0</v>
      </c>
      <c r="E187" s="171">
        <f t="shared" si="45"/>
        <v>36950</v>
      </c>
      <c r="F187" s="216"/>
      <c r="G187" s="171">
        <f t="shared" si="46"/>
        <v>36950</v>
      </c>
      <c r="H187" s="172">
        <f t="shared" si="47"/>
        <v>5.6486673947976403E-3</v>
      </c>
      <c r="I187" s="336"/>
      <c r="J187" s="520"/>
      <c r="K187" s="521"/>
      <c r="M187" s="364">
        <f t="shared" si="48"/>
        <v>1.6620187117668226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'[30]Sch C'!D199</f>
        <v>0</v>
      </c>
      <c r="D188" s="558">
        <f>'[30]Sch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520"/>
      <c r="K188" s="521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'[30]Sch C'!D200</f>
        <v>0</v>
      </c>
      <c r="D189" s="558">
        <f>'[30]Sch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520"/>
      <c r="K189" s="521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'[30]Sch C'!D201</f>
        <v>0</v>
      </c>
      <c r="D190" s="558">
        <f>'[30]Sch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520"/>
      <c r="K190" s="521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'[30]Sch C'!D202</f>
        <v>0</v>
      </c>
      <c r="D191" s="558">
        <f>'[30]Sch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520"/>
      <c r="K191" s="521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'[30]Sch C'!D203</f>
        <v>0</v>
      </c>
      <c r="D192" s="558">
        <f>'[30]Sch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520"/>
      <c r="K192" s="521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'[30]Sch C'!D204</f>
        <v>0</v>
      </c>
      <c r="D193" s="558">
        <f>'[30]Sch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520"/>
      <c r="K193" s="521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'[30]Sch C'!D205</f>
        <v>172827</v>
      </c>
      <c r="D194" s="558">
        <f>'[30]Sch C'!F205</f>
        <v>0</v>
      </c>
      <c r="E194" s="171">
        <f t="shared" si="45"/>
        <v>172827</v>
      </c>
      <c r="F194" s="216"/>
      <c r="G194" s="171">
        <f t="shared" si="46"/>
        <v>172827</v>
      </c>
      <c r="H194" s="172">
        <f t="shared" si="47"/>
        <v>2.6420628953739967E-2</v>
      </c>
      <c r="I194" s="336"/>
      <c r="J194" s="520"/>
      <c r="K194" s="521"/>
      <c r="M194" s="364">
        <f t="shared" si="48"/>
        <v>7.7737945304066214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'[30]Sch C'!D206</f>
        <v>19938</v>
      </c>
      <c r="D195" s="558">
        <f>'[30]Sch C'!F206</f>
        <v>0</v>
      </c>
      <c r="E195" s="171">
        <f t="shared" si="45"/>
        <v>19938</v>
      </c>
      <c r="F195" s="216"/>
      <c r="G195" s="171">
        <f t="shared" si="46"/>
        <v>19938</v>
      </c>
      <c r="H195" s="172">
        <f t="shared" si="47"/>
        <v>3.0479872941129998E-3</v>
      </c>
      <c r="I195" s="336"/>
      <c r="J195" s="520"/>
      <c r="K195" s="521"/>
      <c r="M195" s="364">
        <f t="shared" si="48"/>
        <v>0.89681540122346171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'[30]Sch C'!D207</f>
        <v>11132</v>
      </c>
      <c r="D196" s="558">
        <f>'[30]Sch C'!F207</f>
        <v>-3542.75</v>
      </c>
      <c r="E196" s="171">
        <f t="shared" si="45"/>
        <v>7589.25</v>
      </c>
      <c r="F196" s="216"/>
      <c r="G196" s="171">
        <f t="shared" si="46"/>
        <v>7589.25</v>
      </c>
      <c r="H196" s="172">
        <f t="shared" si="47"/>
        <v>1.1601934783753178E-3</v>
      </c>
      <c r="I196" s="336"/>
      <c r="J196" s="520"/>
      <c r="K196" s="521"/>
      <c r="M196" s="364">
        <f t="shared" si="48"/>
        <v>0.34136604893846706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989654</v>
      </c>
      <c r="D197" s="558">
        <f>SUM(D164:D196)</f>
        <v>59414.816989223516</v>
      </c>
      <c r="E197" s="171">
        <f t="shared" ref="E197:F197" si="49">SUM(E164:E196)</f>
        <v>1049068.8169892235</v>
      </c>
      <c r="F197" s="171">
        <f t="shared" si="49"/>
        <v>0</v>
      </c>
      <c r="G197" s="171">
        <f>SUM(G164:G196)</f>
        <v>1049068.8169892235</v>
      </c>
      <c r="H197" s="172">
        <f>IF($G$208=0,0,G197/$G$208)</f>
        <v>0.16037458244725195</v>
      </c>
      <c r="I197" s="336"/>
      <c r="J197" s="513"/>
      <c r="K197" s="513"/>
      <c r="M197" s="364">
        <f>G197/G$228</f>
        <v>47.187334337406597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513"/>
      <c r="K198" s="513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513"/>
      <c r="K199" s="513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'[30]Sch C'!D211</f>
        <v>119826</v>
      </c>
      <c r="D200" s="558">
        <f>'[30]Sch C'!F211</f>
        <v>9603.8890106615054</v>
      </c>
      <c r="E200" s="171">
        <f t="shared" ref="E200:E205" si="50">C200+D200</f>
        <v>129429.8890106615</v>
      </c>
      <c r="F200" s="171"/>
      <c r="G200" s="171">
        <f t="shared" ref="G200:G205" si="51">E200+F200</f>
        <v>129429.8890106615</v>
      </c>
      <c r="H200" s="172">
        <f t="shared" ref="H200:H206" si="52">IF($G$208=0,0,G200/$G$208)</f>
        <v>1.9786370608032504E-2</v>
      </c>
      <c r="I200" s="336"/>
      <c r="J200" s="486">
        <v>5939.9114285714277</v>
      </c>
      <c r="K200" s="486">
        <v>6623.5214285714283</v>
      </c>
      <c r="M200" s="364">
        <f t="shared" ref="M200:M205" si="53">G200/G$228</f>
        <v>5.8217834207746266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'[30]Sch C'!D212</f>
        <v>9783</v>
      </c>
      <c r="D201" s="558">
        <f>'[30]Sch C'!F212</f>
        <v>-36.120857142857155</v>
      </c>
      <c r="E201" s="171">
        <f t="shared" si="50"/>
        <v>9746.8791428571421</v>
      </c>
      <c r="F201" s="171"/>
      <c r="G201" s="171">
        <f t="shared" si="51"/>
        <v>9746.8791428571421</v>
      </c>
      <c r="H201" s="172">
        <f t="shared" si="52"/>
        <v>1.4900373048793048E-3</v>
      </c>
      <c r="I201" s="336"/>
      <c r="J201" s="513"/>
      <c r="K201" s="513"/>
      <c r="M201" s="364">
        <f t="shared" si="53"/>
        <v>0.43841665809900782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'[30]Sch C'!D213</f>
        <v>17231</v>
      </c>
      <c r="D202" s="558">
        <f>'[30]Sch C'!F213</f>
        <v>-217.5</v>
      </c>
      <c r="E202" s="171">
        <f t="shared" si="50"/>
        <v>17013.5</v>
      </c>
      <c r="F202" s="171"/>
      <c r="G202" s="171">
        <f t="shared" si="51"/>
        <v>17013.5</v>
      </c>
      <c r="H202" s="172">
        <f t="shared" si="52"/>
        <v>2.6009094105924127E-3</v>
      </c>
      <c r="I202" s="336"/>
      <c r="J202" s="513"/>
      <c r="K202" s="513"/>
      <c r="M202" s="364">
        <f t="shared" si="53"/>
        <v>0.76527078085642319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'[30]Sch C'!D214</f>
        <v>0</v>
      </c>
      <c r="D203" s="558">
        <f>'[30]Sch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513"/>
      <c r="K203" s="513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'[30]Sch C'!D215</f>
        <v>0</v>
      </c>
      <c r="D204" s="558">
        <f>'[30]Sch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513"/>
      <c r="K204" s="513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'[30]Sch C'!D216</f>
        <v>7866</v>
      </c>
      <c r="D205" s="558">
        <f>'[30]Sch C'!F216</f>
        <v>3542.75</v>
      </c>
      <c r="E205" s="171">
        <f t="shared" si="50"/>
        <v>11408.75</v>
      </c>
      <c r="F205" s="171"/>
      <c r="G205" s="171">
        <f t="shared" si="51"/>
        <v>11408.75</v>
      </c>
      <c r="H205" s="172">
        <f t="shared" si="52"/>
        <v>1.7440929402002051E-3</v>
      </c>
      <c r="I205" s="336"/>
      <c r="J205" s="513"/>
      <c r="K205" s="513"/>
      <c r="M205" s="364">
        <f t="shared" si="53"/>
        <v>0.51316795609931631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154706</v>
      </c>
      <c r="D206" s="558">
        <f>SUM(D200:D205)</f>
        <v>12893.018153518648</v>
      </c>
      <c r="E206" s="171">
        <f t="shared" ref="E206:F206" si="54">SUM(E200:E205)</f>
        <v>167599.01815351864</v>
      </c>
      <c r="F206" s="171">
        <f t="shared" si="54"/>
        <v>0</v>
      </c>
      <c r="G206" s="171">
        <f>SUM(G200:G205)</f>
        <v>167599.01815351864</v>
      </c>
      <c r="H206" s="172">
        <f t="shared" si="52"/>
        <v>2.5621410263704427E-2</v>
      </c>
      <c r="I206" s="336"/>
      <c r="J206" s="513"/>
      <c r="K206" s="513"/>
      <c r="M206" s="364">
        <f>G206/G$228</f>
        <v>7.5386388158293736</v>
      </c>
      <c r="N206" s="359">
        <f>SUMMARY!J209</f>
        <v>7.1515095990067339</v>
      </c>
      <c r="O206" s="354">
        <f>M206/N206-1</f>
        <v>5.413251726270607E-2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513"/>
      <c r="K207" s="513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6383393</v>
      </c>
      <c r="D208" s="558">
        <f>SUM(D25:D206)/2</f>
        <v>157972.85100240493</v>
      </c>
      <c r="E208" s="171">
        <f t="shared" ref="E208:F208" si="55">SUM(E25:E206)/2</f>
        <v>6541365.8510024045</v>
      </c>
      <c r="F208" s="171">
        <f t="shared" si="55"/>
        <v>0</v>
      </c>
      <c r="G208" s="171">
        <f>SUM(G25:G206)/2</f>
        <v>6541365.8510024045</v>
      </c>
      <c r="H208" s="172">
        <f>IF($G$208=0,0,G208/$G$208)</f>
        <v>1</v>
      </c>
      <c r="I208" s="336"/>
      <c r="J208" s="183">
        <f>SUM(J25:J200)</f>
        <v>158351.04571428572</v>
      </c>
      <c r="K208" s="183">
        <f>SUM(K25:K200)</f>
        <v>175956.80285714281</v>
      </c>
      <c r="M208" s="364">
        <f>G208/G$228</f>
        <v>294.23200121457381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0.69066407558429999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'[30]Sch C'!D221</f>
        <v>6383393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-546277</v>
      </c>
      <c r="D215" s="558">
        <f>D21-D208</f>
        <v>15155.148997595068</v>
      </c>
      <c r="E215" s="171">
        <f t="shared" ref="E215:F215" si="56">E21-E208</f>
        <v>-531121.85100240447</v>
      </c>
      <c r="F215" s="171">
        <f t="shared" si="56"/>
        <v>0</v>
      </c>
      <c r="G215" s="171">
        <f>G21-G208</f>
        <v>-531121.85100240447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'[30]Sch D'!C9</f>
        <v>10444</v>
      </c>
      <c r="D219" s="592"/>
      <c r="E219" s="235">
        <f t="shared" ref="E219:G227" si="57">C219+D219</f>
        <v>10444</v>
      </c>
      <c r="F219" s="234"/>
      <c r="G219" s="235">
        <f t="shared" si="57"/>
        <v>10444</v>
      </c>
      <c r="H219" s="172">
        <f t="shared" ref="H219:H228" si="58">IF($G$228=0,0,G219/$G$228)</f>
        <v>0.46977329974811083</v>
      </c>
      <c r="I219" s="336"/>
      <c r="J219" s="168"/>
      <c r="K219" s="168"/>
    </row>
    <row r="220" spans="1:17">
      <c r="A220" s="163"/>
      <c r="B220" s="170" t="s">
        <v>217</v>
      </c>
      <c r="C220" s="592">
        <f>'[30]Sch D'!D9</f>
        <v>0</v>
      </c>
      <c r="D220" s="592"/>
      <c r="E220" s="235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'[30]Sch D'!E9</f>
        <v>4430</v>
      </c>
      <c r="D221" s="592"/>
      <c r="E221" s="235">
        <f t="shared" si="57"/>
        <v>4430</v>
      </c>
      <c r="F221" s="234"/>
      <c r="G221" s="235">
        <f t="shared" si="57"/>
        <v>4430</v>
      </c>
      <c r="H221" s="172">
        <f t="shared" si="58"/>
        <v>0.19926232457718604</v>
      </c>
      <c r="I221" s="336"/>
      <c r="J221" s="168"/>
      <c r="K221" s="168"/>
    </row>
    <row r="222" spans="1:17">
      <c r="A222" s="163"/>
      <c r="B222" s="202" t="s">
        <v>334</v>
      </c>
      <c r="C222" s="592">
        <f>'[30]Sch D'!F9</f>
        <v>1310</v>
      </c>
      <c r="D222" s="592"/>
      <c r="E222" s="235">
        <f t="shared" si="57"/>
        <v>1310</v>
      </c>
      <c r="F222" s="234"/>
      <c r="G222" s="235">
        <f>E222+F222</f>
        <v>1310</v>
      </c>
      <c r="H222" s="172">
        <f t="shared" si="58"/>
        <v>5.892407340770061E-2</v>
      </c>
      <c r="I222" s="336"/>
      <c r="J222" s="168"/>
      <c r="K222" s="168"/>
    </row>
    <row r="223" spans="1:17">
      <c r="A223" s="163"/>
      <c r="B223" s="170" t="s">
        <v>73</v>
      </c>
      <c r="C223" s="592">
        <f>'[30]Sch D'!G9</f>
        <v>0</v>
      </c>
      <c r="D223" s="592"/>
      <c r="E223" s="235">
        <f t="shared" si="57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'[30]Sch D'!H9</f>
        <v>4300</v>
      </c>
      <c r="D224" s="592"/>
      <c r="E224" s="235">
        <f t="shared" si="57"/>
        <v>4300</v>
      </c>
      <c r="F224" s="234"/>
      <c r="G224" s="235">
        <f t="shared" si="57"/>
        <v>4300</v>
      </c>
      <c r="H224" s="172">
        <f t="shared" si="58"/>
        <v>0.19341489744512413</v>
      </c>
      <c r="I224" s="336"/>
      <c r="J224" s="168"/>
      <c r="K224" s="168"/>
    </row>
    <row r="225" spans="1:11">
      <c r="A225" s="163"/>
      <c r="B225" s="170" t="s">
        <v>236</v>
      </c>
      <c r="C225" s="592">
        <f>'[30]Sch D'!I9</f>
        <v>1052</v>
      </c>
      <c r="D225" s="592"/>
      <c r="E225" s="235">
        <f t="shared" si="57"/>
        <v>1052</v>
      </c>
      <c r="F225" s="234"/>
      <c r="G225" s="235">
        <f t="shared" si="57"/>
        <v>1052</v>
      </c>
      <c r="H225" s="172">
        <f t="shared" si="58"/>
        <v>4.7319179560993165E-2</v>
      </c>
      <c r="I225" s="336"/>
      <c r="J225" s="168"/>
      <c r="K225" s="168"/>
    </row>
    <row r="226" spans="1:11">
      <c r="A226" s="163"/>
      <c r="B226" s="170" t="s">
        <v>235</v>
      </c>
      <c r="C226" s="592">
        <f>'[30]Sch D'!J9</f>
        <v>8</v>
      </c>
      <c r="D226" s="592"/>
      <c r="E226" s="235">
        <f t="shared" si="57"/>
        <v>8</v>
      </c>
      <c r="F226" s="234"/>
      <c r="G226" s="235">
        <f>E226+F226</f>
        <v>8</v>
      </c>
      <c r="H226" s="172">
        <f t="shared" si="58"/>
        <v>3.5984166966534722E-4</v>
      </c>
      <c r="I226" s="336"/>
      <c r="J226" s="168"/>
      <c r="K226" s="168"/>
    </row>
    <row r="227" spans="1:11">
      <c r="A227" s="163"/>
      <c r="B227" s="170" t="s">
        <v>179</v>
      </c>
      <c r="C227" s="592">
        <f>'[30]Sch D'!K9</f>
        <v>688</v>
      </c>
      <c r="D227" s="592"/>
      <c r="E227" s="235">
        <f t="shared" si="57"/>
        <v>688</v>
      </c>
      <c r="F227" s="234"/>
      <c r="G227" s="235">
        <f t="shared" si="57"/>
        <v>688</v>
      </c>
      <c r="H227" s="172">
        <f t="shared" si="58"/>
        <v>3.0946383591219862E-2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22232</v>
      </c>
      <c r="D228" s="592">
        <f>SUM(D219:D227)</f>
        <v>0</v>
      </c>
      <c r="E228" s="237">
        <f t="shared" ref="E228:F228" si="59">SUM(E219:E227)</f>
        <v>22232</v>
      </c>
      <c r="F228" s="237">
        <f t="shared" si="59"/>
        <v>0</v>
      </c>
      <c r="G228" s="237">
        <f>SUM(G219:G227)</f>
        <v>22232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'[30]Sch D'!N22</f>
        <v>100</v>
      </c>
      <c r="D231" s="559"/>
      <c r="E231" s="235">
        <f>C231+D231</f>
        <v>100</v>
      </c>
      <c r="F231" s="235"/>
      <c r="G231" s="235">
        <f>E231+F231</f>
        <v>100</v>
      </c>
      <c r="H231" s="167"/>
      <c r="J231" s="168"/>
      <c r="K231" s="168"/>
    </row>
    <row r="232" spans="1:11">
      <c r="A232" s="163"/>
      <c r="B232" s="202" t="s">
        <v>290</v>
      </c>
      <c r="C232" s="593">
        <f>'[30]Sch D'!N24</f>
        <v>100</v>
      </c>
      <c r="D232" s="559"/>
      <c r="E232" s="235">
        <f>C232+D232</f>
        <v>100</v>
      </c>
      <c r="F232" s="235"/>
      <c r="G232" s="235">
        <f>E232+F232</f>
        <v>100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'[30]Sch D'!N28</f>
        <v>36600</v>
      </c>
      <c r="D235" s="483"/>
      <c r="E235" s="234">
        <f>E231*E233</f>
        <v>36600</v>
      </c>
      <c r="F235" s="239"/>
      <c r="G235" s="234">
        <f>G231*G233</f>
        <v>36600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'[30]Sch D'!N30</f>
        <v>0.60743169398907104</v>
      </c>
      <c r="D236" s="239"/>
      <c r="E236" s="244">
        <f>E228/E235</f>
        <v>0.60743169398907104</v>
      </c>
      <c r="F236" s="245"/>
      <c r="G236" s="244">
        <f>G228/G235</f>
        <v>0.60743169398907104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'[30]Sch D'!N32</f>
        <v>0.28535519125683062</v>
      </c>
      <c r="D237" s="239"/>
      <c r="E237" s="244">
        <f>(E219+E220)/E235</f>
        <v>0.28535519125683062</v>
      </c>
      <c r="F237" s="245"/>
      <c r="G237" s="244">
        <f>(G219+G220)/G235</f>
        <v>0.28535519125683062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'[30]Sch D'!N34</f>
        <v>0.46977329974811088</v>
      </c>
      <c r="D238" s="239"/>
      <c r="E238" s="244">
        <f>(E237/E236)</f>
        <v>0.46977329974811088</v>
      </c>
      <c r="F238" s="245"/>
      <c r="G238" s="244">
        <f>(G237/G236)</f>
        <v>0.46977329974811088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'[30]Sch B'!C85</f>
        <v>191.66211604095562</v>
      </c>
    </row>
    <row r="242" spans="2:7">
      <c r="F242" s="142" t="s">
        <v>341</v>
      </c>
      <c r="G242" s="558">
        <f>'[30]Sch B'!E85</f>
        <v>187.40245051837888</v>
      </c>
    </row>
    <row r="243" spans="2:7">
      <c r="F243" s="142" t="s">
        <v>342</v>
      </c>
      <c r="G243" s="558">
        <f>'[30]Sch B'!G85</f>
        <v>186.86724137931034</v>
      </c>
    </row>
    <row r="244" spans="2:7">
      <c r="F244" s="142" t="s">
        <v>343</v>
      </c>
      <c r="G244" s="558">
        <f>'[30]Sch B'!I85</f>
        <v>262.55567805953694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28CAB"/>
  </sheetPr>
  <dimension ref="A1:Q248"/>
  <sheetViews>
    <sheetView showGridLines="0" zoomScale="125" zoomScaleNormal="125" workbookViewId="0">
      <pane xSplit="2" ySplit="10" topLeftCell="C11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6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540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514</v>
      </c>
      <c r="D2" s="375"/>
    </row>
    <row r="3" spans="1:17">
      <c r="A3" s="145"/>
      <c r="B3" s="140" t="s">
        <v>79</v>
      </c>
      <c r="C3" s="489">
        <v>42370</v>
      </c>
      <c r="D3" s="144"/>
      <c r="E3"/>
      <c r="F3" s="511"/>
    </row>
    <row r="4" spans="1:17">
      <c r="A4" s="145"/>
      <c r="B4" s="148" t="s">
        <v>80</v>
      </c>
      <c r="C4" s="489">
        <v>42551</v>
      </c>
      <c r="D4" s="144"/>
      <c r="E4"/>
      <c r="F4" s="511"/>
      <c r="G4" s="150"/>
    </row>
    <row r="5" spans="1:17">
      <c r="A5" s="145"/>
      <c r="B5" s="148"/>
      <c r="C5" s="151"/>
      <c r="D5" s="144"/>
      <c r="F5" s="510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'[31]Sch B'!E10</f>
        <v>46942</v>
      </c>
      <c r="D11" s="558">
        <f>'[31]Sch B'!G10</f>
        <v>0</v>
      </c>
      <c r="E11" s="171">
        <f>C11+D11</f>
        <v>46942</v>
      </c>
      <c r="F11" s="484"/>
      <c r="G11" s="171">
        <f t="shared" ref="G11:G20" si="0">E11+F11</f>
        <v>46942</v>
      </c>
      <c r="H11" s="172">
        <f t="shared" ref="H11:H21" si="1">IF($G$21=0,0,G11/$G$21)</f>
        <v>1.2127390562326295E-2</v>
      </c>
      <c r="I11" s="336"/>
      <c r="J11" s="368" t="s">
        <v>344</v>
      </c>
      <c r="K11" s="369">
        <f>G21</f>
        <v>3870741.9999999995</v>
      </c>
      <c r="M11" s="359">
        <f>IFERROR(G11/G219,0)</f>
        <v>158.05387205387206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'[31]Sch B'!E15</f>
        <v>0</v>
      </c>
      <c r="D12" s="558">
        <f>'[31]Sch B'!G15</f>
        <v>0</v>
      </c>
      <c r="E12" s="171">
        <f t="shared" ref="E12:E20" si="2">C12+D12</f>
        <v>0</v>
      </c>
      <c r="F12" s="484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3870699.1355445147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'[31]Sch B'!E21</f>
        <v>1415689</v>
      </c>
      <c r="D13" s="558">
        <f>'[31]Sch B'!G21</f>
        <v>0</v>
      </c>
      <c r="E13" s="171">
        <f t="shared" si="2"/>
        <v>1415689</v>
      </c>
      <c r="F13" s="484"/>
      <c r="G13" s="171">
        <f t="shared" si="0"/>
        <v>1415689</v>
      </c>
      <c r="H13" s="172">
        <f t="shared" si="1"/>
        <v>0.36574098712856606</v>
      </c>
      <c r="I13" s="336"/>
      <c r="J13" s="370" t="s">
        <v>346</v>
      </c>
      <c r="K13" s="371">
        <f>G228</f>
        <v>12008</v>
      </c>
      <c r="M13" s="359">
        <f t="shared" si="3"/>
        <v>500.42028985507244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'[31]Sch B'!E27</f>
        <v>929979</v>
      </c>
      <c r="D14" s="558">
        <f>'[31]Sch B'!G27</f>
        <v>-31013.479502396523</v>
      </c>
      <c r="E14" s="171">
        <f t="shared" si="2"/>
        <v>898965.52049760346</v>
      </c>
      <c r="F14" s="484"/>
      <c r="G14" s="175">
        <f>E14+F14</f>
        <v>898965.52049760346</v>
      </c>
      <c r="H14" s="176">
        <f t="shared" si="1"/>
        <v>0.23224630329213458</v>
      </c>
      <c r="I14" s="337"/>
      <c r="J14" s="370" t="s">
        <v>347</v>
      </c>
      <c r="K14" s="371">
        <f>G231</f>
        <v>120</v>
      </c>
      <c r="M14" s="359">
        <f t="shared" si="3"/>
        <v>434.70286290986627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'[31]Sch B'!E32</f>
        <v>0</v>
      </c>
      <c r="D15" s="558">
        <f>'[31]Sch B'!G32</f>
        <v>0</v>
      </c>
      <c r="E15" s="171">
        <f t="shared" si="2"/>
        <v>0</v>
      </c>
      <c r="F15" s="484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21840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'[31]Sch B'!E37</f>
        <v>1243869</v>
      </c>
      <c r="D16" s="558">
        <f>'[31]Sch B'!G37</f>
        <v>0</v>
      </c>
      <c r="E16" s="171">
        <f t="shared" si="2"/>
        <v>1243869</v>
      </c>
      <c r="F16" s="484"/>
      <c r="G16" s="171">
        <f t="shared" si="0"/>
        <v>1243869</v>
      </c>
      <c r="H16" s="172">
        <f t="shared" si="1"/>
        <v>0.32135156515210783</v>
      </c>
      <c r="I16" s="336"/>
      <c r="J16" s="372"/>
      <c r="K16" s="371"/>
      <c r="M16" s="359">
        <f t="shared" si="3"/>
        <v>205.39448480845442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'[31]Sch B'!E42</f>
        <v>36611</v>
      </c>
      <c r="D17" s="558">
        <f>'[31]Sch B'!G42</f>
        <v>-1410.9443039808439</v>
      </c>
      <c r="E17" s="171">
        <f t="shared" si="2"/>
        <v>35200.055696019153</v>
      </c>
      <c r="F17" s="484"/>
      <c r="G17" s="171">
        <f>E17+F17</f>
        <v>35200.055696019153</v>
      </c>
      <c r="H17" s="172">
        <f t="shared" si="1"/>
        <v>9.0938780461263385E-3</v>
      </c>
      <c r="I17" s="336"/>
      <c r="J17" s="370" t="s">
        <v>156</v>
      </c>
      <c r="K17" s="371">
        <f>J208</f>
        <v>90056.745714285731</v>
      </c>
      <c r="M17" s="359">
        <f t="shared" si="3"/>
        <v>183.33362341676641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'[31]Sch B'!E47</f>
        <v>0</v>
      </c>
      <c r="D18" s="558">
        <f>'[31]Sch B'!G47</f>
        <v>936.17169404306253</v>
      </c>
      <c r="E18" s="171">
        <f t="shared" si="2"/>
        <v>936.17169404306253</v>
      </c>
      <c r="F18" s="484"/>
      <c r="G18" s="171">
        <f>E18+F18</f>
        <v>936.17169404306253</v>
      </c>
      <c r="H18" s="172">
        <f t="shared" si="1"/>
        <v>2.4185845867357282E-4</v>
      </c>
      <c r="I18" s="336"/>
      <c r="J18" s="373" t="s">
        <v>252</v>
      </c>
      <c r="K18" s="374">
        <f>K208</f>
        <v>97694.892857142841</v>
      </c>
      <c r="M18" s="359">
        <f t="shared" si="3"/>
        <v>187.23433880861251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'[31]Sch B'!E52</f>
        <v>217708</v>
      </c>
      <c r="D19" s="558">
        <f>'[31]Sch B'!G52</f>
        <v>31488.252112334168</v>
      </c>
      <c r="E19" s="171">
        <f t="shared" si="2"/>
        <v>249196.25211233416</v>
      </c>
      <c r="F19" s="484"/>
      <c r="G19" s="171">
        <f t="shared" si="0"/>
        <v>249196.25211233416</v>
      </c>
      <c r="H19" s="172">
        <f t="shared" si="1"/>
        <v>6.4379452857445466E-2</v>
      </c>
      <c r="I19" s="336"/>
      <c r="J19" s="168"/>
      <c r="K19" s="168"/>
      <c r="M19" s="359">
        <f t="shared" si="3"/>
        <v>444.20009289186123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'[31]Sch B'!E67</f>
        <v>-26810</v>
      </c>
      <c r="D20" s="558">
        <f>'[31]Sch B'!G67</f>
        <v>6754</v>
      </c>
      <c r="E20" s="171">
        <f t="shared" si="2"/>
        <v>-20056</v>
      </c>
      <c r="F20" s="484"/>
      <c r="G20" s="171">
        <f t="shared" si="0"/>
        <v>-20056</v>
      </c>
      <c r="H20" s="172">
        <f t="shared" si="1"/>
        <v>-5.1814354973800892E-3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3863988</v>
      </c>
      <c r="D21" s="558">
        <f>SUM(D11:D20)</f>
        <v>6753.9999999998654</v>
      </c>
      <c r="E21" s="171">
        <f>SUM(E11:E20)</f>
        <v>3870741.9999999995</v>
      </c>
      <c r="F21" s="171">
        <f>SUM(F11:F20)</f>
        <v>0</v>
      </c>
      <c r="G21" s="171">
        <f>SUM(G11:G20)</f>
        <v>3870741.9999999995</v>
      </c>
      <c r="H21" s="172">
        <f t="shared" si="1"/>
        <v>1</v>
      </c>
      <c r="I21" s="336"/>
      <c r="J21" s="168"/>
      <c r="K21" s="168"/>
      <c r="M21" s="359">
        <f>IFERROR(G21/G228,0)</f>
        <v>322.34693537641567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'[31]Sch C'!D10</f>
        <v>60726</v>
      </c>
      <c r="D25" s="558">
        <f>'[31]Sch C'!F10</f>
        <v>-4482</v>
      </c>
      <c r="E25" s="171">
        <f t="shared" ref="E25:E60" si="4">C25+D25</f>
        <v>56244</v>
      </c>
      <c r="F25" s="484"/>
      <c r="G25" s="182">
        <f>E25+F25</f>
        <v>56244</v>
      </c>
      <c r="H25" s="172">
        <f>IF($G$208=0,0,G25/$G$208)</f>
        <v>1.4530708285620296E-2</v>
      </c>
      <c r="I25" s="336"/>
      <c r="J25" s="183">
        <v>1040</v>
      </c>
      <c r="K25" s="183">
        <v>1040</v>
      </c>
      <c r="M25" s="359">
        <f>G25/G$228</f>
        <v>4.6838774150566289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'[31]Sch C'!D11</f>
        <v>0</v>
      </c>
      <c r="D26" s="558">
        <f>'[31]Sch C'!F11</f>
        <v>0</v>
      </c>
      <c r="E26" s="171">
        <f t="shared" si="4"/>
        <v>0</v>
      </c>
      <c r="F26" s="484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'[31]Sch C'!D12</f>
        <v>96570</v>
      </c>
      <c r="D27" s="558">
        <f>'[31]Sch C'!F12</f>
        <v>10273.090473422415</v>
      </c>
      <c r="E27" s="171">
        <f t="shared" si="4"/>
        <v>106843.09047342242</v>
      </c>
      <c r="F27" s="484"/>
      <c r="G27" s="171">
        <f t="shared" si="5"/>
        <v>106843.09047342242</v>
      </c>
      <c r="H27" s="172">
        <f t="shared" si="6"/>
        <v>2.7603047080638612E-2</v>
      </c>
      <c r="I27" s="336"/>
      <c r="J27" s="185">
        <v>4477.5671428571432</v>
      </c>
      <c r="K27" s="185">
        <v>4633.1657142857139</v>
      </c>
      <c r="M27" s="359">
        <f t="shared" si="7"/>
        <v>8.8976591000518344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'[31]Sch C'!D13</f>
        <v>201794</v>
      </c>
      <c r="D28" s="558">
        <f>'[31]Sch C'!F13</f>
        <v>-190344.91</v>
      </c>
      <c r="E28" s="171">
        <f t="shared" si="4"/>
        <v>11449.089999999997</v>
      </c>
      <c r="F28" s="484"/>
      <c r="G28" s="171">
        <f t="shared" si="5"/>
        <v>11449.089999999997</v>
      </c>
      <c r="H28" s="172">
        <f t="shared" si="6"/>
        <v>2.9578868310542001E-3</v>
      </c>
      <c r="I28" s="336"/>
      <c r="J28" s="168"/>
      <c r="K28" s="168"/>
      <c r="M28" s="359">
        <f t="shared" si="7"/>
        <v>0.95345519653564259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'[31]Sch C'!D14</f>
        <v>0</v>
      </c>
      <c r="D29" s="558">
        <f>'[31]Sch C'!F14</f>
        <v>0</v>
      </c>
      <c r="E29" s="171">
        <f t="shared" si="4"/>
        <v>0</v>
      </c>
      <c r="F29" s="484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'[31]Sch C'!D15</f>
        <v>0</v>
      </c>
      <c r="D30" s="558">
        <f>'[31]Sch C'!F15</f>
        <v>137662.83236999999</v>
      </c>
      <c r="E30" s="171">
        <f t="shared" si="4"/>
        <v>137662.83236999999</v>
      </c>
      <c r="F30" s="484"/>
      <c r="G30" s="171">
        <f t="shared" si="5"/>
        <v>137662.83236999999</v>
      </c>
      <c r="H30" s="172">
        <f t="shared" si="6"/>
        <v>3.5565366242456382E-2</v>
      </c>
      <c r="I30" s="336"/>
      <c r="J30" s="168"/>
      <c r="K30" s="168"/>
      <c r="M30" s="359">
        <f t="shared" si="7"/>
        <v>11.464259857594936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'[31]Sch C'!D16</f>
        <v>0</v>
      </c>
      <c r="D31" s="558">
        <f>'[31]Sch C'!F16</f>
        <v>0</v>
      </c>
      <c r="E31" s="171">
        <f t="shared" si="4"/>
        <v>0</v>
      </c>
      <c r="F31" s="484"/>
      <c r="G31" s="171">
        <f>E31+F31</f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'[31]Sch C'!D17</f>
        <v>0</v>
      </c>
      <c r="D32" s="558">
        <f>'[31]Sch C'!F17</f>
        <v>0</v>
      </c>
      <c r="E32" s="171">
        <f t="shared" si="4"/>
        <v>0</v>
      </c>
      <c r="F32" s="677">
        <v>2397</v>
      </c>
      <c r="G32" s="171">
        <f>E32+F32</f>
        <v>2397</v>
      </c>
      <c r="H32" s="172">
        <f t="shared" si="6"/>
        <v>6.1926797099480567E-4</v>
      </c>
      <c r="I32" s="336"/>
      <c r="J32" s="168"/>
      <c r="K32" s="168"/>
      <c r="M32" s="359">
        <f t="shared" si="7"/>
        <v>0.19961692205196535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'[31]Sch C'!D18</f>
        <v>10302</v>
      </c>
      <c r="D33" s="558">
        <f>'[31]Sch C'!F18</f>
        <v>0</v>
      </c>
      <c r="E33" s="171">
        <f t="shared" si="4"/>
        <v>10302</v>
      </c>
      <c r="F33" s="484"/>
      <c r="G33" s="171">
        <f t="shared" si="5"/>
        <v>10302</v>
      </c>
      <c r="H33" s="172">
        <f t="shared" si="6"/>
        <v>2.6615346838500158E-3</v>
      </c>
      <c r="I33" s="336"/>
      <c r="J33" s="168"/>
      <c r="K33" s="168"/>
      <c r="M33" s="359">
        <f t="shared" si="7"/>
        <v>0.85792804796802136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'[31]Sch C'!D19</f>
        <v>12530</v>
      </c>
      <c r="D34" s="558">
        <f>'[31]Sch C'!F19</f>
        <v>-913</v>
      </c>
      <c r="E34" s="171">
        <f t="shared" si="4"/>
        <v>11617</v>
      </c>
      <c r="F34" s="484"/>
      <c r="G34" s="171">
        <f t="shared" si="5"/>
        <v>11617</v>
      </c>
      <c r="H34" s="172">
        <f t="shared" si="6"/>
        <v>3.0012665911750762E-3</v>
      </c>
      <c r="I34" s="336"/>
      <c r="J34" s="168"/>
      <c r="K34" s="168"/>
      <c r="M34" s="359">
        <f t="shared" si="7"/>
        <v>0.96743837441705527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'[31]Sch C'!D20</f>
        <v>10080</v>
      </c>
      <c r="D35" s="558">
        <f>'[31]Sch C'!F20</f>
        <v>-29</v>
      </c>
      <c r="E35" s="171">
        <f t="shared" si="4"/>
        <v>10051</v>
      </c>
      <c r="F35" s="677">
        <v>349</v>
      </c>
      <c r="G35" s="171">
        <f t="shared" si="5"/>
        <v>10400</v>
      </c>
      <c r="H35" s="172">
        <f t="shared" si="6"/>
        <v>2.6868531073616932E-3</v>
      </c>
      <c r="I35" s="336"/>
      <c r="J35" s="168"/>
      <c r="K35" s="168"/>
      <c r="M35" s="359">
        <f t="shared" si="7"/>
        <v>0.86608927381745504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'[31]Sch C'!D21</f>
        <v>1904</v>
      </c>
      <c r="D36" s="558">
        <f>'[31]Sch C'!F21</f>
        <v>2930</v>
      </c>
      <c r="E36" s="171">
        <f t="shared" si="4"/>
        <v>4834</v>
      </c>
      <c r="F36" s="484"/>
      <c r="G36" s="171">
        <f t="shared" si="5"/>
        <v>4834</v>
      </c>
      <c r="H36" s="172">
        <f t="shared" si="6"/>
        <v>1.2488699924025409E-3</v>
      </c>
      <c r="I36" s="336"/>
      <c r="J36" s="168"/>
      <c r="K36" s="168"/>
      <c r="M36" s="359">
        <f t="shared" si="7"/>
        <v>0.40256495669553632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'[31]Sch C'!D22</f>
        <v>0</v>
      </c>
      <c r="D37" s="558">
        <f>'[31]Sch C'!F22</f>
        <v>0</v>
      </c>
      <c r="E37" s="171">
        <f t="shared" si="4"/>
        <v>0</v>
      </c>
      <c r="F37" s="484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'[31]Sch C'!D23</f>
        <v>8842</v>
      </c>
      <c r="D38" s="558">
        <f>'[31]Sch C'!F23</f>
        <v>-3634.2700000000004</v>
      </c>
      <c r="E38" s="171">
        <f t="shared" si="4"/>
        <v>5207.7299999999996</v>
      </c>
      <c r="F38" s="484"/>
      <c r="G38" s="171">
        <f t="shared" si="5"/>
        <v>5207.7299999999996</v>
      </c>
      <c r="H38" s="172">
        <f t="shared" si="6"/>
        <v>1.3454236089231453E-3</v>
      </c>
      <c r="I38" s="336"/>
      <c r="J38" s="168"/>
      <c r="K38" s="168"/>
      <c r="M38" s="359">
        <f t="shared" si="7"/>
        <v>0.43368837441705527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'[31]Sch C'!D24</f>
        <v>0</v>
      </c>
      <c r="D39" s="558">
        <f>'[31]Sch C'!F24</f>
        <v>0</v>
      </c>
      <c r="E39" s="171">
        <f t="shared" si="4"/>
        <v>0</v>
      </c>
      <c r="F39" s="484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'[31]Sch C'!D25</f>
        <v>0</v>
      </c>
      <c r="D40" s="558">
        <f>'[31]Sch C'!F25</f>
        <v>0</v>
      </c>
      <c r="E40" s="171">
        <f t="shared" si="4"/>
        <v>0</v>
      </c>
      <c r="F40" s="484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'[31]Sch C'!D26</f>
        <v>129174</v>
      </c>
      <c r="D41" s="558">
        <f>'[31]Sch C'!F26</f>
        <v>0</v>
      </c>
      <c r="E41" s="171">
        <f t="shared" si="4"/>
        <v>129174</v>
      </c>
      <c r="F41" s="484"/>
      <c r="G41" s="171">
        <f t="shared" si="5"/>
        <v>129174</v>
      </c>
      <c r="H41" s="172">
        <f t="shared" si="6"/>
        <v>3.3372265700994171E-2</v>
      </c>
      <c r="I41" s="336"/>
      <c r="J41" s="168"/>
      <c r="K41" s="168"/>
      <c r="M41" s="359">
        <f t="shared" si="7"/>
        <v>10.757328447701532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'[31]Sch C'!D27</f>
        <v>0</v>
      </c>
      <c r="D42" s="558">
        <f>'[31]Sch C'!F27</f>
        <v>0</v>
      </c>
      <c r="E42" s="171">
        <f t="shared" si="4"/>
        <v>0</v>
      </c>
      <c r="F42" s="484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'[31]Sch C'!D28</f>
        <v>0</v>
      </c>
      <c r="D43" s="558">
        <f>'[31]Sch C'!F28</f>
        <v>0</v>
      </c>
      <c r="E43" s="171">
        <f t="shared" si="4"/>
        <v>0</v>
      </c>
      <c r="F43" s="484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'[31]Sch C'!D29</f>
        <v>0</v>
      </c>
      <c r="D44" s="558">
        <f>'[31]Sch C'!F29</f>
        <v>0</v>
      </c>
      <c r="E44" s="171">
        <f t="shared" si="4"/>
        <v>0</v>
      </c>
      <c r="F44" s="484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'[31]Sch C'!D30</f>
        <v>0</v>
      </c>
      <c r="D45" s="558">
        <f>'[31]Sch C'!F30</f>
        <v>0</v>
      </c>
      <c r="E45" s="171">
        <f t="shared" si="4"/>
        <v>0</v>
      </c>
      <c r="F45" s="484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'[31]Sch C'!D31</f>
        <v>21606</v>
      </c>
      <c r="D46" s="558">
        <f>'[31]Sch C'!F31</f>
        <v>-21606</v>
      </c>
      <c r="E46" s="171">
        <f t="shared" si="4"/>
        <v>0</v>
      </c>
      <c r="F46" s="484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'[31]Sch C'!D32</f>
        <v>28293</v>
      </c>
      <c r="D47" s="558">
        <f>'[31]Sch C'!F32</f>
        <v>-2965.5</v>
      </c>
      <c r="E47" s="171">
        <f t="shared" si="4"/>
        <v>25327.5</v>
      </c>
      <c r="F47" s="484"/>
      <c r="G47" s="171">
        <f t="shared" si="5"/>
        <v>25327.5</v>
      </c>
      <c r="H47" s="172">
        <f t="shared" si="6"/>
        <v>6.5433915458368548E-3</v>
      </c>
      <c r="I47" s="336"/>
      <c r="J47" s="168"/>
      <c r="K47" s="168"/>
      <c r="M47" s="359">
        <f t="shared" si="7"/>
        <v>2.1092188540972683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'[31]Sch C'!D33</f>
        <v>0</v>
      </c>
      <c r="D48" s="558">
        <f>'[31]Sch C'!F33</f>
        <v>0</v>
      </c>
      <c r="E48" s="171">
        <f t="shared" si="4"/>
        <v>0</v>
      </c>
      <c r="F48" s="484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'[31]Sch C'!D34</f>
        <v>3456</v>
      </c>
      <c r="D49" s="558">
        <f>'[31]Sch C'!F34</f>
        <v>0</v>
      </c>
      <c r="E49" s="171">
        <f t="shared" si="4"/>
        <v>3456</v>
      </c>
      <c r="F49" s="484"/>
      <c r="G49" s="171">
        <f t="shared" si="5"/>
        <v>3456</v>
      </c>
      <c r="H49" s="172">
        <f t="shared" si="6"/>
        <v>8.9286195567711655E-4</v>
      </c>
      <c r="I49" s="336"/>
      <c r="J49" s="168"/>
      <c r="K49" s="168"/>
      <c r="M49" s="359">
        <f t="shared" si="7"/>
        <v>0.28780812791472354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'[31]Sch C'!D35</f>
        <v>249</v>
      </c>
      <c r="D50" s="558">
        <f>'[31]Sch C'!F35</f>
        <v>-249</v>
      </c>
      <c r="E50" s="171">
        <f t="shared" si="4"/>
        <v>0</v>
      </c>
      <c r="F50" s="484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'[31]Sch C'!D36</f>
        <v>0</v>
      </c>
      <c r="D51" s="558">
        <f>'[31]Sch C'!F36</f>
        <v>18217.435728571429</v>
      </c>
      <c r="E51" s="171">
        <f t="shared" si="4"/>
        <v>18217.435728571429</v>
      </c>
      <c r="F51" s="484"/>
      <c r="G51" s="171">
        <f t="shared" si="5"/>
        <v>18217.435728571429</v>
      </c>
      <c r="H51" s="172">
        <f t="shared" si="6"/>
        <v>4.7064974803340456E-3</v>
      </c>
      <c r="I51" s="336"/>
      <c r="J51" s="183">
        <v>1012.2914285714285</v>
      </c>
      <c r="K51" s="183">
        <v>1079.8228571428569</v>
      </c>
      <c r="M51" s="359">
        <f t="shared" si="7"/>
        <v>1.5171082385552488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'[31]Sch C'!D37</f>
        <v>0</v>
      </c>
      <c r="D52" s="558">
        <f>'[31]Sch C'!F37</f>
        <v>3244.1698733877106</v>
      </c>
      <c r="E52" s="171">
        <f t="shared" si="4"/>
        <v>3244.1698733877106</v>
      </c>
      <c r="F52" s="484"/>
      <c r="G52" s="171">
        <f t="shared" si="5"/>
        <v>3244.1698733877106</v>
      </c>
      <c r="H52" s="172">
        <f t="shared" si="6"/>
        <v>8.3813537549240014E-4</v>
      </c>
      <c r="I52" s="336"/>
      <c r="J52" s="168"/>
      <c r="K52" s="168"/>
      <c r="M52" s="359">
        <f t="shared" si="7"/>
        <v>0.2701673778637334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'[31]Sch C'!D38</f>
        <v>0</v>
      </c>
      <c r="D53" s="558">
        <f>'[31]Sch C'!F38</f>
        <v>0</v>
      </c>
      <c r="E53" s="171">
        <f t="shared" si="4"/>
        <v>0</v>
      </c>
      <c r="F53" s="484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'[31]Sch C'!D39</f>
        <v>2509</v>
      </c>
      <c r="D54" s="558">
        <f>'[31]Sch C'!F39</f>
        <v>0</v>
      </c>
      <c r="E54" s="171">
        <f t="shared" si="4"/>
        <v>2509</v>
      </c>
      <c r="F54" s="484"/>
      <c r="G54" s="171">
        <f t="shared" si="5"/>
        <v>2509</v>
      </c>
      <c r="H54" s="172">
        <f t="shared" si="6"/>
        <v>6.4820331215100857E-4</v>
      </c>
      <c r="I54" s="336"/>
      <c r="J54" s="168"/>
      <c r="K54" s="168"/>
      <c r="M54" s="359">
        <f t="shared" si="7"/>
        <v>0.20894403730846103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'[31]Sch C'!D40</f>
        <v>72807</v>
      </c>
      <c r="D55" s="558">
        <f>'[31]Sch C'!F40</f>
        <v>-72807</v>
      </c>
      <c r="E55" s="171">
        <f t="shared" si="4"/>
        <v>0</v>
      </c>
      <c r="F55" s="484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'[31]Sch C'!D41</f>
        <v>22140</v>
      </c>
      <c r="D56" s="558">
        <f>'[31]Sch C'!F41</f>
        <v>0</v>
      </c>
      <c r="E56" s="171">
        <f t="shared" si="4"/>
        <v>22140</v>
      </c>
      <c r="F56" s="484"/>
      <c r="G56" s="171">
        <f t="shared" si="5"/>
        <v>22140</v>
      </c>
      <c r="H56" s="172">
        <f t="shared" si="6"/>
        <v>5.7198969035565277E-3</v>
      </c>
      <c r="I56" s="336"/>
      <c r="J56" s="168"/>
      <c r="K56" s="168"/>
      <c r="M56" s="359">
        <f t="shared" si="7"/>
        <v>1.8437708194536975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'[31]Sch C'!D42</f>
        <v>32046</v>
      </c>
      <c r="D57" s="558">
        <f>'[31]Sch C'!F42</f>
        <v>0</v>
      </c>
      <c r="E57" s="171">
        <f t="shared" si="4"/>
        <v>32046</v>
      </c>
      <c r="F57" s="484"/>
      <c r="G57" s="171">
        <f t="shared" si="5"/>
        <v>32046</v>
      </c>
      <c r="H57" s="172">
        <f t="shared" si="6"/>
        <v>8.2791244883185407E-3</v>
      </c>
      <c r="I57" s="336"/>
      <c r="J57" s="168"/>
      <c r="K57" s="168"/>
      <c r="M57" s="359">
        <f t="shared" si="7"/>
        <v>2.6687208527648236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'[31]Sch C'!D43</f>
        <v>4558</v>
      </c>
      <c r="D58" s="558">
        <f>'[31]Sch C'!F43</f>
        <v>0</v>
      </c>
      <c r="E58" s="171">
        <f t="shared" si="4"/>
        <v>4558</v>
      </c>
      <c r="F58" s="484"/>
      <c r="G58" s="171">
        <f t="shared" si="5"/>
        <v>4558</v>
      </c>
      <c r="H58" s="172">
        <f t="shared" si="6"/>
        <v>1.1775650445533267E-3</v>
      </c>
      <c r="I58" s="336"/>
      <c r="J58" s="168"/>
      <c r="K58" s="168"/>
      <c r="M58" s="359">
        <f t="shared" si="7"/>
        <v>0.37958027981345771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'[31]Sch C'!D44</f>
        <v>0</v>
      </c>
      <c r="D59" s="558">
        <f>'[31]Sch C'!F44</f>
        <v>-191</v>
      </c>
      <c r="E59" s="171">
        <f t="shared" si="4"/>
        <v>-191</v>
      </c>
      <c r="F59" s="484"/>
      <c r="G59" s="171">
        <f t="shared" si="5"/>
        <v>-191</v>
      </c>
      <c r="H59" s="172">
        <f t="shared" si="6"/>
        <v>-4.9345090721738792E-5</v>
      </c>
      <c r="I59" s="336"/>
      <c r="J59" s="168"/>
      <c r="K59" s="168"/>
      <c r="M59" s="359">
        <f t="shared" si="7"/>
        <v>-1.5906062624916721E-2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'[31]Sch C'!D45</f>
        <v>18341</v>
      </c>
      <c r="D60" s="558">
        <f>'[31]Sch C'!F45</f>
        <v>-1898</v>
      </c>
      <c r="E60" s="171">
        <f t="shared" si="4"/>
        <v>16443</v>
      </c>
      <c r="F60" s="677">
        <v>-976</v>
      </c>
      <c r="G60" s="171">
        <f t="shared" si="5"/>
        <v>15467</v>
      </c>
      <c r="H60" s="172">
        <f t="shared" si="6"/>
        <v>3.9959189434195493E-3</v>
      </c>
      <c r="I60" s="336"/>
      <c r="J60" s="168"/>
      <c r="K60" s="168"/>
      <c r="M60" s="359">
        <f t="shared" si="7"/>
        <v>1.2880579613590939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737927</v>
      </c>
      <c r="D61" s="558">
        <f>SUM(D25:D60)</f>
        <v>-126792.15155461847</v>
      </c>
      <c r="E61" s="171">
        <f t="shared" ref="E61:F61" si="8">SUM(E25:E60)</f>
        <v>611134.8484453815</v>
      </c>
      <c r="F61" s="171">
        <f t="shared" si="8"/>
        <v>1770</v>
      </c>
      <c r="G61" s="171">
        <f>SUM(G25:G60)</f>
        <v>612904.8484453815</v>
      </c>
      <c r="H61" s="186">
        <f t="shared" si="6"/>
        <v>0.15834474005408855</v>
      </c>
      <c r="I61" s="338"/>
      <c r="J61" s="168"/>
      <c r="K61" s="168"/>
      <c r="M61" s="364">
        <f>G61/G$228</f>
        <v>51.041376452813253</v>
      </c>
      <c r="N61" s="359">
        <f>SUMMARY!J64</f>
        <v>53.728790309602623</v>
      </c>
      <c r="O61" s="354">
        <f>M61/N61-1</f>
        <v>-5.0018134436000228E-2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'[31]Sch C'!D57</f>
        <v>266309</v>
      </c>
      <c r="D64" s="558">
        <f>'[31]Sch C'!F57</f>
        <v>-266309</v>
      </c>
      <c r="E64" s="171">
        <f t="shared" ref="E64:E78" si="9">C64+D64</f>
        <v>0</v>
      </c>
      <c r="F64" s="484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'[31]Sch C'!D58</f>
        <v>0</v>
      </c>
      <c r="D65" s="558">
        <f>'[31]Sch C'!F58</f>
        <v>122670.23</v>
      </c>
      <c r="E65" s="171">
        <f t="shared" si="9"/>
        <v>122670.23</v>
      </c>
      <c r="F65" s="484"/>
      <c r="G65" s="171">
        <f t="shared" si="10"/>
        <v>122670.23</v>
      </c>
      <c r="H65" s="172">
        <f t="shared" si="11"/>
        <v>3.1692008524641692E-2</v>
      </c>
      <c r="I65" s="336"/>
      <c r="J65" s="190"/>
      <c r="K65" s="168"/>
      <c r="M65" s="359">
        <f t="shared" si="12"/>
        <v>10.215708694203864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'[31]Sch C'!D59</f>
        <v>0</v>
      </c>
      <c r="D66" s="558">
        <f>'[31]Sch C'!F59</f>
        <v>0</v>
      </c>
      <c r="E66" s="171">
        <f t="shared" si="9"/>
        <v>0</v>
      </c>
      <c r="F66" s="484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'[31]Sch C'!D60</f>
        <v>47211</v>
      </c>
      <c r="D67" s="558">
        <f>'[31]Sch C'!F60</f>
        <v>51944</v>
      </c>
      <c r="E67" s="171">
        <f t="shared" si="9"/>
        <v>99155</v>
      </c>
      <c r="F67" s="677">
        <v>-52601</v>
      </c>
      <c r="G67" s="171">
        <f t="shared" si="10"/>
        <v>46554</v>
      </c>
      <c r="H67" s="172">
        <f t="shared" si="11"/>
        <v>1.2027284573088104E-2</v>
      </c>
      <c r="I67" s="336"/>
      <c r="J67" s="193"/>
      <c r="K67" s="168"/>
      <c r="M67" s="359">
        <f t="shared" si="12"/>
        <v>3.8769153897401734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'[31]Sch C'!D61</f>
        <v>9912</v>
      </c>
      <c r="D68" s="558">
        <f>'[31]Sch C'!F61</f>
        <v>28994</v>
      </c>
      <c r="E68" s="171">
        <f t="shared" si="9"/>
        <v>38906</v>
      </c>
      <c r="F68" s="484"/>
      <c r="G68" s="171">
        <f t="shared" si="10"/>
        <v>38906</v>
      </c>
      <c r="H68" s="172">
        <f t="shared" si="11"/>
        <v>1.0051414134135966E-2</v>
      </c>
      <c r="I68" s="336"/>
      <c r="J68" s="193"/>
      <c r="K68" s="168"/>
      <c r="M68" s="359">
        <f t="shared" si="12"/>
        <v>3.2400066622251833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'[31]Sch C'!D62</f>
        <v>6429</v>
      </c>
      <c r="D69" s="558">
        <f>'[31]Sch C'!F62</f>
        <v>0</v>
      </c>
      <c r="E69" s="171">
        <f t="shared" si="9"/>
        <v>6429</v>
      </c>
      <c r="F69" s="484"/>
      <c r="G69" s="171">
        <f t="shared" si="10"/>
        <v>6429</v>
      </c>
      <c r="H69" s="172">
        <f t="shared" si="11"/>
        <v>1.6609402526181084E-3</v>
      </c>
      <c r="I69" s="336"/>
      <c r="J69" s="195"/>
      <c r="K69" s="168"/>
      <c r="M69" s="359">
        <f t="shared" si="12"/>
        <v>0.53539307128580949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'[31]Sch C'!D63</f>
        <v>0</v>
      </c>
      <c r="D70" s="558">
        <f>'[31]Sch C'!F63</f>
        <v>0</v>
      </c>
      <c r="E70" s="171">
        <f t="shared" si="9"/>
        <v>0</v>
      </c>
      <c r="F70" s="484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'[31]Sch C'!D64</f>
        <v>0</v>
      </c>
      <c r="D71" s="558">
        <f>'[31]Sch C'!F64</f>
        <v>0</v>
      </c>
      <c r="E71" s="171">
        <f t="shared" si="9"/>
        <v>0</v>
      </c>
      <c r="F71" s="484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'[31]Sch C'!D65</f>
        <v>1587</v>
      </c>
      <c r="D72" s="558">
        <f>'[31]Sch C'!F65</f>
        <v>-1034</v>
      </c>
      <c r="E72" s="171">
        <f t="shared" si="9"/>
        <v>553</v>
      </c>
      <c r="F72" s="484"/>
      <c r="G72" s="171">
        <f t="shared" si="10"/>
        <v>553</v>
      </c>
      <c r="H72" s="172">
        <f t="shared" si="11"/>
        <v>1.4286824695875159E-4</v>
      </c>
      <c r="I72" s="336"/>
      <c r="J72" s="195"/>
      <c r="K72" s="168"/>
      <c r="M72" s="359">
        <f t="shared" si="12"/>
        <v>4.6052631578947366E-2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'[31]Sch C'!D66</f>
        <v>2840</v>
      </c>
      <c r="D73" s="558">
        <f>'[31]Sch C'!F66</f>
        <v>0</v>
      </c>
      <c r="E73" s="171">
        <f t="shared" si="9"/>
        <v>2840</v>
      </c>
      <c r="F73" s="484"/>
      <c r="G73" s="171">
        <f t="shared" si="10"/>
        <v>2840</v>
      </c>
      <c r="H73" s="172">
        <f t="shared" si="11"/>
        <v>7.3371757931800085E-4</v>
      </c>
      <c r="I73" s="336"/>
      <c r="J73" s="195"/>
      <c r="K73" s="168"/>
      <c r="M73" s="359">
        <f t="shared" si="12"/>
        <v>0.23650899400399733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'[31]Sch C'!D67</f>
        <v>1539</v>
      </c>
      <c r="D74" s="558">
        <f>'[31]Sch C'!F67</f>
        <v>42279.360000000001</v>
      </c>
      <c r="E74" s="171">
        <f t="shared" si="9"/>
        <v>43818.36</v>
      </c>
      <c r="F74" s="484"/>
      <c r="G74" s="171">
        <f t="shared" si="10"/>
        <v>43818.36</v>
      </c>
      <c r="H74" s="172">
        <f t="shared" si="11"/>
        <v>1.1320528531297436E-2</v>
      </c>
      <c r="I74" s="336"/>
      <c r="J74" s="195"/>
      <c r="K74" s="168"/>
      <c r="M74" s="359">
        <f t="shared" si="12"/>
        <v>3.649097268487675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'[31]Sch C'!D68</f>
        <v>288</v>
      </c>
      <c r="D75" s="558">
        <f>'[31]Sch C'!F68</f>
        <v>79342</v>
      </c>
      <c r="E75" s="171">
        <f t="shared" si="9"/>
        <v>79630</v>
      </c>
      <c r="F75" s="484"/>
      <c r="G75" s="171">
        <f t="shared" si="10"/>
        <v>79630</v>
      </c>
      <c r="H75" s="172">
        <f t="shared" si="11"/>
        <v>2.0572510859539581E-2</v>
      </c>
      <c r="I75" s="336"/>
      <c r="J75" s="195"/>
      <c r="K75" s="168"/>
      <c r="M75" s="359">
        <f t="shared" si="12"/>
        <v>6.6314123917388406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'[31]Sch C'!D69</f>
        <v>663</v>
      </c>
      <c r="D76" s="558">
        <f>'[31]Sch C'!F69</f>
        <v>0</v>
      </c>
      <c r="E76" s="171">
        <f t="shared" si="9"/>
        <v>663</v>
      </c>
      <c r="F76" s="484"/>
      <c r="G76" s="171">
        <f t="shared" si="10"/>
        <v>663</v>
      </c>
      <c r="H76" s="172">
        <f t="shared" si="11"/>
        <v>1.7128688559430794E-4</v>
      </c>
      <c r="I76" s="336"/>
      <c r="J76" s="195"/>
      <c r="K76" s="168"/>
      <c r="M76" s="359">
        <f t="shared" si="12"/>
        <v>5.5213191205862759E-2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'[31]Sch C'!D70</f>
        <v>0</v>
      </c>
      <c r="D77" s="558">
        <f>'[31]Sch C'!F70</f>
        <v>0</v>
      </c>
      <c r="E77" s="171">
        <f t="shared" si="9"/>
        <v>0</v>
      </c>
      <c r="F77" s="484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'[31]Sch C'!D71</f>
        <v>0</v>
      </c>
      <c r="D78" s="558">
        <f>'[31]Sch C'!F71</f>
        <v>0</v>
      </c>
      <c r="E78" s="171">
        <f t="shared" si="9"/>
        <v>0</v>
      </c>
      <c r="F78" s="484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336778</v>
      </c>
      <c r="D79" s="558">
        <f>SUM(D64:D78)</f>
        <v>57886.589999999982</v>
      </c>
      <c r="E79" s="171">
        <f t="shared" ref="E79:F79" si="13">SUM(E64:E78)</f>
        <v>394664.58999999997</v>
      </c>
      <c r="F79" s="171">
        <f t="shared" si="13"/>
        <v>-52601</v>
      </c>
      <c r="G79" s="171">
        <f>SUM(G64:G78)</f>
        <v>342063.58999999997</v>
      </c>
      <c r="H79" s="172">
        <f t="shared" si="11"/>
        <v>8.8372559587191937E-2</v>
      </c>
      <c r="I79" s="336"/>
      <c r="J79" s="195"/>
      <c r="K79" s="168"/>
      <c r="M79" s="359">
        <f t="shared" si="12"/>
        <v>28.486308294470351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'[31]Sch C'!D75</f>
        <v>56714</v>
      </c>
      <c r="D82" s="558">
        <f>'[31]Sch C'!F75</f>
        <v>-14065.586403383326</v>
      </c>
      <c r="E82" s="171">
        <f t="shared" ref="E82:E92" si="14">C82+D82</f>
        <v>42648.413596616672</v>
      </c>
      <c r="F82" s="484"/>
      <c r="G82" s="171">
        <f t="shared" ref="G82:G92" si="15">E82+F82</f>
        <v>42648.413596616672</v>
      </c>
      <c r="H82" s="172">
        <f t="shared" ref="H82:H93" si="16">IF($G$208=0,0,G82/$G$208)</f>
        <v>1.1018271403472711E-2</v>
      </c>
      <c r="I82" s="336"/>
      <c r="J82" s="183">
        <v>1898.7271428571426</v>
      </c>
      <c r="K82" s="183">
        <v>2004.1157142857141</v>
      </c>
      <c r="M82" s="359">
        <f t="shared" ref="M82:M92" si="17">G82/G$228</f>
        <v>3.5516666885923276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'[31]Sch C'!D76</f>
        <v>4241</v>
      </c>
      <c r="D83" s="558">
        <f>'[31]Sch C'!F76</f>
        <v>-1328.9976000000001</v>
      </c>
      <c r="E83" s="171">
        <f t="shared" si="14"/>
        <v>2912.0023999999999</v>
      </c>
      <c r="F83" s="484"/>
      <c r="G83" s="171">
        <f t="shared" si="15"/>
        <v>2912.0023999999999</v>
      </c>
      <c r="H83" s="172">
        <f t="shared" si="16"/>
        <v>7.5231949010429893E-4</v>
      </c>
      <c r="I83" s="336"/>
      <c r="J83" s="168"/>
      <c r="K83" s="168"/>
      <c r="M83" s="359">
        <f t="shared" si="17"/>
        <v>0.2425051965356429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'[31]Sch C'!D77</f>
        <v>5050</v>
      </c>
      <c r="D84" s="558">
        <f>'[31]Sch C'!F77</f>
        <v>-9</v>
      </c>
      <c r="E84" s="171">
        <f t="shared" si="14"/>
        <v>5041</v>
      </c>
      <c r="F84" s="484"/>
      <c r="G84" s="171">
        <f t="shared" si="15"/>
        <v>5041</v>
      </c>
      <c r="H84" s="172">
        <f t="shared" si="16"/>
        <v>1.3023487032894517E-3</v>
      </c>
      <c r="I84" s="336"/>
      <c r="J84" s="168"/>
      <c r="K84" s="168"/>
      <c r="M84" s="359">
        <f t="shared" si="17"/>
        <v>0.41980346435709526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'[31]Sch C'!D78</f>
        <v>0</v>
      </c>
      <c r="D85" s="558">
        <f>'[31]Sch C'!F78</f>
        <v>0</v>
      </c>
      <c r="E85" s="171">
        <f t="shared" si="14"/>
        <v>0</v>
      </c>
      <c r="F85" s="484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'[31]Sch C'!D79</f>
        <v>6629</v>
      </c>
      <c r="D86" s="558">
        <f>'[31]Sch C'!F79</f>
        <v>0</v>
      </c>
      <c r="E86" s="171">
        <f t="shared" si="14"/>
        <v>6629</v>
      </c>
      <c r="F86" s="484"/>
      <c r="G86" s="171">
        <f>E86+F86</f>
        <v>6629</v>
      </c>
      <c r="H86" s="172">
        <f t="shared" si="16"/>
        <v>1.7126105046827564E-3</v>
      </c>
      <c r="I86" s="336"/>
      <c r="J86" s="168"/>
      <c r="K86" s="168"/>
      <c r="M86" s="359">
        <f t="shared" si="17"/>
        <v>0.55204863424383743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'[31]Sch C'!D80</f>
        <v>40652</v>
      </c>
      <c r="D87" s="558">
        <f>'[31]Sch C'!F80</f>
        <v>0</v>
      </c>
      <c r="E87" s="171">
        <f t="shared" si="14"/>
        <v>40652</v>
      </c>
      <c r="F87" s="484"/>
      <c r="G87" s="171">
        <f t="shared" si="15"/>
        <v>40652</v>
      </c>
      <c r="H87" s="172">
        <f t="shared" si="16"/>
        <v>1.0502495434660343E-2</v>
      </c>
      <c r="I87" s="336"/>
      <c r="J87" s="168"/>
      <c r="K87" s="168"/>
      <c r="M87" s="359">
        <f t="shared" si="17"/>
        <v>3.3854097268487675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'[31]Sch C'!D81</f>
        <v>0</v>
      </c>
      <c r="D88" s="558">
        <f>'[31]Sch C'!F81</f>
        <v>0</v>
      </c>
      <c r="E88" s="171">
        <f t="shared" si="14"/>
        <v>0</v>
      </c>
      <c r="F88" s="484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'[31]Sch C'!D82</f>
        <v>14954</v>
      </c>
      <c r="D89" s="558">
        <f>'[31]Sch C'!F82</f>
        <v>0</v>
      </c>
      <c r="E89" s="171">
        <f t="shared" si="14"/>
        <v>14954</v>
      </c>
      <c r="F89" s="484"/>
      <c r="G89" s="171">
        <f t="shared" si="15"/>
        <v>14954</v>
      </c>
      <c r="H89" s="172">
        <f t="shared" si="16"/>
        <v>3.8633847468737274E-3</v>
      </c>
      <c r="I89" s="336"/>
      <c r="J89" s="168"/>
      <c r="K89" s="168"/>
      <c r="M89" s="359">
        <f t="shared" si="17"/>
        <v>1.2453364423717521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'[31]Sch C'!D83</f>
        <v>4014</v>
      </c>
      <c r="D90" s="558">
        <f>'[31]Sch C'!F83</f>
        <v>0</v>
      </c>
      <c r="E90" s="171">
        <f t="shared" si="14"/>
        <v>4014</v>
      </c>
      <c r="F90" s="484"/>
      <c r="G90" s="171">
        <f t="shared" si="15"/>
        <v>4014</v>
      </c>
      <c r="H90" s="172">
        <f t="shared" si="16"/>
        <v>1.0370219589374843E-3</v>
      </c>
      <c r="I90" s="336"/>
      <c r="J90" s="168"/>
      <c r="K90" s="168"/>
      <c r="M90" s="359">
        <f t="shared" si="17"/>
        <v>0.33427714856762158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'[31]Sch C'!D84</f>
        <v>47649</v>
      </c>
      <c r="D91" s="558">
        <f>'[31]Sch C'!F84</f>
        <v>0</v>
      </c>
      <c r="E91" s="171">
        <f t="shared" si="14"/>
        <v>47649</v>
      </c>
      <c r="F91" s="484"/>
      <c r="G91" s="171">
        <f t="shared" si="15"/>
        <v>47649</v>
      </c>
      <c r="H91" s="172">
        <f t="shared" si="16"/>
        <v>1.2310179203142051E-2</v>
      </c>
      <c r="I91" s="336"/>
      <c r="J91" s="168"/>
      <c r="K91" s="168"/>
      <c r="M91" s="359">
        <f t="shared" si="17"/>
        <v>3.9681045969353765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'[31]Sch C'!D85</f>
        <v>0</v>
      </c>
      <c r="D92" s="558">
        <f>'[31]Sch C'!F85</f>
        <v>0</v>
      </c>
      <c r="E92" s="171">
        <f t="shared" si="14"/>
        <v>0</v>
      </c>
      <c r="F92" s="484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179903</v>
      </c>
      <c r="D93" s="558">
        <f>SUM(D82:D92)</f>
        <v>-15403.584003383326</v>
      </c>
      <c r="E93" s="171">
        <f t="shared" ref="E93:F93" si="18">SUM(E82:E92)</f>
        <v>164499.41599661668</v>
      </c>
      <c r="F93" s="171">
        <f t="shared" si="18"/>
        <v>0</v>
      </c>
      <c r="G93" s="171">
        <f>SUM(G82:G92)</f>
        <v>164499.41599661668</v>
      </c>
      <c r="H93" s="172">
        <f t="shared" si="16"/>
        <v>4.2498631445162825E-2</v>
      </c>
      <c r="I93" s="336"/>
      <c r="J93" s="168"/>
      <c r="K93" s="168"/>
      <c r="M93" s="364">
        <f>G93/G$228</f>
        <v>13.699151898452422</v>
      </c>
      <c r="N93" s="359">
        <f>SUMMARY!J96</f>
        <v>11.458724454710746</v>
      </c>
      <c r="O93" s="354">
        <f>M93/N93-1</f>
        <v>0.1955215392949452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'[31]Sch C'!D89</f>
        <v>104646</v>
      </c>
      <c r="D96" s="558">
        <f>'[31]Sch C'!F89</f>
        <v>11275.054754025718</v>
      </c>
      <c r="E96" s="171">
        <f t="shared" ref="E96:E101" si="19">C96+D96</f>
        <v>115921.05475402571</v>
      </c>
      <c r="F96" s="484"/>
      <c r="G96" s="171">
        <f t="shared" ref="G96:G101" si="20">E96+F96</f>
        <v>115921.05475402571</v>
      </c>
      <c r="H96" s="172">
        <f t="shared" ref="H96:H102" si="21">IF($G$208=0,0,G96/$G$208)</f>
        <v>2.9948350593701826E-2</v>
      </c>
      <c r="I96" s="336"/>
      <c r="J96" s="183">
        <v>7543.2300000000005</v>
      </c>
      <c r="K96" s="183">
        <v>7740.3814285714298</v>
      </c>
      <c r="M96" s="364">
        <f t="shared" ref="M96:M101" si="22">G96/G$228</f>
        <v>9.6536521280834204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'[31]Sch C'!D90</f>
        <v>9269</v>
      </c>
      <c r="D97" s="558">
        <f>'[31]Sch C'!F90</f>
        <v>-288.63</v>
      </c>
      <c r="E97" s="171">
        <f t="shared" si="19"/>
        <v>8980.3700000000008</v>
      </c>
      <c r="F97" s="484"/>
      <c r="G97" s="171">
        <f t="shared" si="20"/>
        <v>8980.3700000000008</v>
      </c>
      <c r="H97" s="172">
        <f t="shared" si="21"/>
        <v>2.3200899076690129E-3</v>
      </c>
      <c r="I97" s="336"/>
      <c r="J97" s="168"/>
      <c r="K97" s="168"/>
      <c r="M97" s="364">
        <f t="shared" si="22"/>
        <v>0.74786558960692873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'[31]Sch C'!D91</f>
        <v>19534</v>
      </c>
      <c r="D98" s="558">
        <f>'[31]Sch C'!F91</f>
        <v>0</v>
      </c>
      <c r="E98" s="171">
        <f t="shared" si="19"/>
        <v>19534</v>
      </c>
      <c r="F98" s="484"/>
      <c r="G98" s="171">
        <f t="shared" si="20"/>
        <v>19534</v>
      </c>
      <c r="H98" s="172">
        <f t="shared" si="21"/>
        <v>5.046633519154165E-3</v>
      </c>
      <c r="I98" s="336"/>
      <c r="J98" s="168"/>
      <c r="K98" s="168"/>
      <c r="M98" s="364">
        <f t="shared" si="22"/>
        <v>1.6267488341105929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'[31]Sch C'!D92</f>
        <v>82032</v>
      </c>
      <c r="D99" s="558">
        <f>'[31]Sch C'!F92</f>
        <v>-2155</v>
      </c>
      <c r="E99" s="171">
        <f t="shared" si="19"/>
        <v>79877</v>
      </c>
      <c r="F99" s="484"/>
      <c r="G99" s="171">
        <f t="shared" si="20"/>
        <v>79877</v>
      </c>
      <c r="H99" s="172">
        <f t="shared" si="21"/>
        <v>2.0636323620839423E-2</v>
      </c>
      <c r="I99" s="336"/>
      <c r="J99" s="168"/>
      <c r="K99" s="168"/>
      <c r="M99" s="364">
        <f t="shared" si="22"/>
        <v>6.651982011992005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'[31]Sch C'!D93</f>
        <v>11284</v>
      </c>
      <c r="D100" s="558">
        <f>'[31]Sch C'!F93</f>
        <v>-63</v>
      </c>
      <c r="E100" s="171">
        <f t="shared" si="19"/>
        <v>11221</v>
      </c>
      <c r="F100" s="484"/>
      <c r="G100" s="171">
        <f t="shared" si="20"/>
        <v>11221</v>
      </c>
      <c r="H100" s="172">
        <f t="shared" si="21"/>
        <v>2.8989594920870733E-3</v>
      </c>
      <c r="I100" s="336"/>
      <c r="J100" s="168"/>
      <c r="K100" s="168"/>
      <c r="M100" s="364">
        <f t="shared" si="22"/>
        <v>0.93446035976015984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'[31]Sch C'!D94</f>
        <v>0</v>
      </c>
      <c r="D101" s="558">
        <f>'[31]Sch C'!F94</f>
        <v>0</v>
      </c>
      <c r="E101" s="171">
        <f t="shared" si="19"/>
        <v>0</v>
      </c>
      <c r="F101" s="484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226765</v>
      </c>
      <c r="D102" s="558">
        <f>SUM(D96:D101)</f>
        <v>8768.4247540257184</v>
      </c>
      <c r="E102" s="171">
        <f t="shared" ref="E102:F102" si="23">SUM(E96:E101)</f>
        <v>235533.42475402571</v>
      </c>
      <c r="F102" s="171">
        <f t="shared" si="23"/>
        <v>0</v>
      </c>
      <c r="G102" s="171">
        <f>SUM(G96:G101)</f>
        <v>235533.42475402571</v>
      </c>
      <c r="H102" s="172">
        <f t="shared" si="21"/>
        <v>6.0850357133451494E-2</v>
      </c>
      <c r="I102" s="336"/>
      <c r="J102" s="168"/>
      <c r="K102" s="168"/>
      <c r="M102" s="364">
        <f>G102/G$228</f>
        <v>19.614708923553106</v>
      </c>
      <c r="N102" s="359">
        <f>SUMMARY!J105</f>
        <v>19.901077037785338</v>
      </c>
      <c r="O102" s="354">
        <f>M102/N102-1</f>
        <v>-1.4389578699108396E-2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'[31]Sch C'!D98</f>
        <v>17742</v>
      </c>
      <c r="D105" s="558">
        <f>'[31]Sch C'!F98</f>
        <v>1857.5483421052161</v>
      </c>
      <c r="E105" s="171">
        <f t="shared" ref="E105:E110" si="24">C105+D105</f>
        <v>19599.548342105216</v>
      </c>
      <c r="F105" s="484"/>
      <c r="G105" s="171">
        <f t="shared" ref="G105:G110" si="25">E105+F105</f>
        <v>19599.548342105216</v>
      </c>
      <c r="H105" s="172">
        <f t="shared" ref="H105:H111" si="26">IF($G$208=0,0,G105/$G$208)</f>
        <v>5.0635680159491466E-3</v>
      </c>
      <c r="I105" s="336"/>
      <c r="J105" s="183">
        <v>1676.8671428571429</v>
      </c>
      <c r="K105" s="183">
        <v>1910.4228571428573</v>
      </c>
      <c r="M105" s="364">
        <f t="shared" ref="M105:M110" si="27">G105/G$228</f>
        <v>1.6322075568042318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'[31]Sch C'!D99</f>
        <v>1503</v>
      </c>
      <c r="D106" s="558">
        <f>'[31]Sch C'!F99</f>
        <v>0</v>
      </c>
      <c r="E106" s="171">
        <f t="shared" si="24"/>
        <v>1503</v>
      </c>
      <c r="F106" s="484"/>
      <c r="G106" s="171">
        <f t="shared" si="25"/>
        <v>1503</v>
      </c>
      <c r="H106" s="172">
        <f t="shared" si="26"/>
        <v>3.8830194426582934E-4</v>
      </c>
      <c r="I106" s="336"/>
      <c r="J106" s="168"/>
      <c r="K106" s="168"/>
      <c r="M106" s="364">
        <f t="shared" si="27"/>
        <v>0.12516655562958029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'[31]Sch C'!D100</f>
        <v>1653</v>
      </c>
      <c r="D107" s="558">
        <f>'[31]Sch C'!F100</f>
        <v>-17.5</v>
      </c>
      <c r="E107" s="171">
        <f t="shared" si="24"/>
        <v>1635.5</v>
      </c>
      <c r="F107" s="484"/>
      <c r="G107" s="171">
        <f t="shared" si="25"/>
        <v>1635.5</v>
      </c>
      <c r="H107" s="172">
        <f t="shared" si="26"/>
        <v>4.2253348625865861E-4</v>
      </c>
      <c r="I107" s="336"/>
      <c r="J107" s="168"/>
      <c r="K107" s="168"/>
      <c r="M107" s="364">
        <f t="shared" si="27"/>
        <v>0.13620086608927381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'[31]Sch C'!D101</f>
        <v>0</v>
      </c>
      <c r="D108" s="558">
        <f>'[31]Sch C'!F101</f>
        <v>0</v>
      </c>
      <c r="E108" s="171">
        <f t="shared" si="24"/>
        <v>0</v>
      </c>
      <c r="F108" s="484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'[31]Sch C'!D102</f>
        <v>5639</v>
      </c>
      <c r="D109" s="558">
        <f>'[31]Sch C'!F102</f>
        <v>0</v>
      </c>
      <c r="E109" s="171">
        <f t="shared" si="24"/>
        <v>5639</v>
      </c>
      <c r="F109" s="484"/>
      <c r="G109" s="171">
        <f t="shared" si="25"/>
        <v>5639</v>
      </c>
      <c r="H109" s="172">
        <f t="shared" si="26"/>
        <v>1.4568427569627491E-3</v>
      </c>
      <c r="I109" s="336"/>
      <c r="J109" s="168"/>
      <c r="K109" s="168"/>
      <c r="M109" s="364">
        <f t="shared" si="27"/>
        <v>0.46960359760159892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'[31]Sch C'!D103</f>
        <v>5</v>
      </c>
      <c r="D110" s="558">
        <f>'[31]Sch C'!F103</f>
        <v>0</v>
      </c>
      <c r="E110" s="171">
        <f t="shared" si="24"/>
        <v>5</v>
      </c>
      <c r="F110" s="484"/>
      <c r="G110" s="171">
        <f t="shared" si="25"/>
        <v>5</v>
      </c>
      <c r="H110" s="172">
        <f t="shared" si="26"/>
        <v>1.2917563016161987E-6</v>
      </c>
      <c r="I110" s="336"/>
      <c r="J110" s="168"/>
      <c r="K110" s="168"/>
      <c r="M110" s="364">
        <f t="shared" si="27"/>
        <v>4.1638907395069954E-4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26542</v>
      </c>
      <c r="D111" s="558">
        <f>SUM(D105:D110)</f>
        <v>1840.0483421052161</v>
      </c>
      <c r="E111" s="171">
        <f t="shared" ref="E111:F111" si="28">SUM(E105:E110)</f>
        <v>28382.048342105216</v>
      </c>
      <c r="F111" s="171">
        <f t="shared" si="28"/>
        <v>0</v>
      </c>
      <c r="G111" s="171">
        <f>SUM(G105:G110)</f>
        <v>28382.048342105216</v>
      </c>
      <c r="H111" s="172">
        <f t="shared" si="26"/>
        <v>7.3325379597380001E-3</v>
      </c>
      <c r="I111" s="336"/>
      <c r="J111" s="168"/>
      <c r="K111" s="168"/>
      <c r="M111" s="364">
        <f>G111/G$228</f>
        <v>2.3635949651986357</v>
      </c>
      <c r="N111" s="359">
        <f>SUMMARY!J114</f>
        <v>2.4242384372309496</v>
      </c>
      <c r="O111" s="354">
        <f>M111/N111-1</f>
        <v>-2.5015473354833451E-2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'[31]Sch C'!D115</f>
        <v>66024</v>
      </c>
      <c r="D114" s="558">
        <f>'[31]Sch C'!F115</f>
        <v>6912.5674523252619</v>
      </c>
      <c r="E114" s="171">
        <f t="shared" ref="E114:E118" si="29">C114+D114</f>
        <v>72936.567452325267</v>
      </c>
      <c r="F114" s="484"/>
      <c r="G114" s="171">
        <f>E114+F114</f>
        <v>72936.567452325267</v>
      </c>
      <c r="H114" s="172">
        <f t="shared" ref="H114:H119" si="30">IF($G$208=0,0,G114/$G$208)</f>
        <v>1.884325412495922E-2</v>
      </c>
      <c r="I114" s="336"/>
      <c r="J114" s="183">
        <v>5129.32</v>
      </c>
      <c r="K114" s="183">
        <v>5562.3842857142845</v>
      </c>
      <c r="M114" s="364">
        <f t="shared" ref="M114:M119" si="31">G114/G$228</f>
        <v>6.0739979557232902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'[31]Sch C'!D116</f>
        <v>5541</v>
      </c>
      <c r="D115" s="558">
        <f>'[31]Sch C'!F116</f>
        <v>0</v>
      </c>
      <c r="E115" s="171">
        <f t="shared" si="29"/>
        <v>5541</v>
      </c>
      <c r="F115" s="484"/>
      <c r="G115" s="171">
        <f>E115+F115</f>
        <v>5541</v>
      </c>
      <c r="H115" s="172">
        <f t="shared" si="30"/>
        <v>1.4315243334510714E-3</v>
      </c>
      <c r="I115" s="336"/>
      <c r="J115" s="168"/>
      <c r="K115" s="168"/>
      <c r="M115" s="364">
        <f t="shared" si="31"/>
        <v>0.46144237175216524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'[31]Sch C'!D117</f>
        <v>7550</v>
      </c>
      <c r="D116" s="558">
        <f>'[31]Sch C'!F117</f>
        <v>-51.5</v>
      </c>
      <c r="E116" s="171">
        <f t="shared" si="29"/>
        <v>7498.5</v>
      </c>
      <c r="F116" s="484"/>
      <c r="G116" s="171">
        <f>E116+F116</f>
        <v>7498.5</v>
      </c>
      <c r="H116" s="172">
        <f t="shared" si="30"/>
        <v>1.9372469255338133E-3</v>
      </c>
      <c r="I116" s="336"/>
      <c r="J116" s="168"/>
      <c r="K116" s="168"/>
      <c r="M116" s="364">
        <f t="shared" si="31"/>
        <v>0.62445869420386413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'[31]Sch C'!D118</f>
        <v>264</v>
      </c>
      <c r="D117" s="558">
        <f>'[31]Sch C'!F118</f>
        <v>0</v>
      </c>
      <c r="E117" s="171">
        <f t="shared" si="29"/>
        <v>264</v>
      </c>
      <c r="F117" s="484"/>
      <c r="G117" s="171">
        <f>E117+F117</f>
        <v>264</v>
      </c>
      <c r="H117" s="172">
        <f t="shared" si="30"/>
        <v>6.8204732725335294E-5</v>
      </c>
      <c r="I117" s="336"/>
      <c r="J117" s="168"/>
      <c r="K117" s="168"/>
      <c r="M117" s="364">
        <f t="shared" si="31"/>
        <v>2.1985343104596936E-2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'[31]Sch C'!D119</f>
        <v>16</v>
      </c>
      <c r="D118" s="558">
        <f>'[31]Sch C'!F119</f>
        <v>0</v>
      </c>
      <c r="E118" s="171">
        <f t="shared" si="29"/>
        <v>16</v>
      </c>
      <c r="F118" s="484"/>
      <c r="G118" s="171">
        <f>E118+F118</f>
        <v>16</v>
      </c>
      <c r="H118" s="172">
        <f t="shared" si="30"/>
        <v>4.1336201651718358E-6</v>
      </c>
      <c r="I118" s="336"/>
      <c r="J118" s="168"/>
      <c r="K118" s="168"/>
      <c r="M118" s="364">
        <f t="shared" si="31"/>
        <v>1.3324450366422385E-3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79395</v>
      </c>
      <c r="D119" s="558">
        <f>SUM(D114:D118)</f>
        <v>6861.0674523252619</v>
      </c>
      <c r="E119" s="171">
        <f t="shared" ref="E119:F119" si="32">SUM(E114:E118)</f>
        <v>86256.067452325267</v>
      </c>
      <c r="F119" s="171">
        <f t="shared" si="32"/>
        <v>0</v>
      </c>
      <c r="G119" s="171">
        <f>SUM(G114:G118)</f>
        <v>86256.067452325267</v>
      </c>
      <c r="H119" s="172">
        <f t="shared" si="30"/>
        <v>2.2284363736834612E-2</v>
      </c>
      <c r="I119" s="336"/>
      <c r="J119" s="168"/>
      <c r="K119" s="168"/>
      <c r="M119" s="364">
        <f t="shared" si="31"/>
        <v>7.1832168098205589</v>
      </c>
      <c r="N119" s="359">
        <f>SUMMARY!J122</f>
        <v>6.0247597205909562</v>
      </c>
      <c r="O119" s="354">
        <f>M119/N119-1</f>
        <v>0.19228270386789337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'[31]Sch C'!D124</f>
        <v>0</v>
      </c>
      <c r="D123" s="558">
        <f>'[31]Sch C'!F124</f>
        <v>0</v>
      </c>
      <c r="E123" s="171">
        <f t="shared" ref="E123:E127" si="33">C123+D123</f>
        <v>0</v>
      </c>
      <c r="F123" s="484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'[31]Sch C'!D125</f>
        <v>0</v>
      </c>
      <c r="D124" s="558">
        <f>'[31]Sch C'!F125</f>
        <v>150609.8061422637</v>
      </c>
      <c r="E124" s="171">
        <f t="shared" si="33"/>
        <v>150609.8061422637</v>
      </c>
      <c r="F124" s="484"/>
      <c r="G124" s="171">
        <f>E124+F124</f>
        <v>150609.8061422637</v>
      </c>
      <c r="H124" s="172">
        <f>IF($G$208=0,0,G124/$G$208)</f>
        <v>3.8910233233892644E-2</v>
      </c>
      <c r="I124" s="336"/>
      <c r="J124" s="183">
        <v>3442.5028571428575</v>
      </c>
      <c r="K124" s="183">
        <v>3749.82</v>
      </c>
      <c r="M124" s="364">
        <f t="shared" si="34"/>
        <v>12.542455541494311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'[31]Sch C'!D126</f>
        <v>0</v>
      </c>
      <c r="D125" s="558">
        <f>'[31]Sch C'!F126</f>
        <v>35381.80528630771</v>
      </c>
      <c r="E125" s="171">
        <f t="shared" si="33"/>
        <v>35381.80528630771</v>
      </c>
      <c r="F125" s="484"/>
      <c r="G125" s="171">
        <f>E125+F125</f>
        <v>35381.80528630771</v>
      </c>
      <c r="H125" s="172">
        <f>IF($G$208=0,0,G125/$G$208)</f>
        <v>9.1409339882290632E-3</v>
      </c>
      <c r="I125" s="336"/>
      <c r="J125" s="183">
        <v>1087.76</v>
      </c>
      <c r="K125" s="183">
        <v>1143.3914285714286</v>
      </c>
      <c r="M125" s="364">
        <f t="shared" si="34"/>
        <v>2.9465194275739264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'[31]Sch C'!D127</f>
        <v>0</v>
      </c>
      <c r="D126" s="558">
        <f>'[31]Sch C'!F127</f>
        <v>0</v>
      </c>
      <c r="E126" s="171">
        <f t="shared" si="33"/>
        <v>0</v>
      </c>
      <c r="F126" s="484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'[31]Sch C'!D128</f>
        <v>232554</v>
      </c>
      <c r="D127" s="558">
        <f>'[31]Sch C'!F128</f>
        <v>-189853</v>
      </c>
      <c r="E127" s="171">
        <f t="shared" si="33"/>
        <v>42701</v>
      </c>
      <c r="F127" s="484"/>
      <c r="G127" s="171">
        <f>E127+F127</f>
        <v>42701</v>
      </c>
      <c r="H127" s="172">
        <f>IF($G$208=0,0,G127/$G$208)</f>
        <v>1.1031857167062661E-2</v>
      </c>
      <c r="I127" s="336"/>
      <c r="J127" s="183">
        <v>2352.2142857142862</v>
      </c>
      <c r="K127" s="183">
        <v>2482.5300000000007</v>
      </c>
      <c r="M127" s="364">
        <f t="shared" si="34"/>
        <v>3.556045969353764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562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'[31]Sch C'!D130</f>
        <v>0</v>
      </c>
      <c r="D129" s="558">
        <f>'[31]Sch C'!F130</f>
        <v>0</v>
      </c>
      <c r="E129" s="171">
        <f t="shared" ref="E129:E133" si="35">C129+D129</f>
        <v>0</v>
      </c>
      <c r="F129" s="484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'[31]Sch C'!D131</f>
        <v>0</v>
      </c>
      <c r="D130" s="558">
        <f>'[31]Sch C'!F131</f>
        <v>27347.267900856674</v>
      </c>
      <c r="E130" s="171">
        <f t="shared" si="35"/>
        <v>27347.267900856674</v>
      </c>
      <c r="F130" s="484"/>
      <c r="G130" s="171">
        <f>E130+F130</f>
        <v>27347.267900856674</v>
      </c>
      <c r="H130" s="172">
        <f>IF($G$208=0,0,G130/$G$208)</f>
        <v>7.0652011285836005E-3</v>
      </c>
      <c r="I130" s="336"/>
      <c r="J130" s="204"/>
      <c r="K130" s="204"/>
      <c r="M130" s="364">
        <f t="shared" si="34"/>
        <v>2.27742071126388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'[31]Sch C'!D132</f>
        <v>0</v>
      </c>
      <c r="D131" s="558">
        <f>'[31]Sch C'!F132</f>
        <v>6263.9232497295916</v>
      </c>
      <c r="E131" s="171">
        <f t="shared" si="35"/>
        <v>6263.9232497295916</v>
      </c>
      <c r="F131" s="484"/>
      <c r="G131" s="171">
        <f>E131+F131</f>
        <v>6263.9232497295916</v>
      </c>
      <c r="H131" s="172">
        <f>IF($G$208=0,0,G131/$G$208)</f>
        <v>1.6182924661356836E-3</v>
      </c>
      <c r="I131" s="336"/>
      <c r="J131" s="168"/>
      <c r="K131" s="168"/>
      <c r="M131" s="364">
        <f t="shared" si="34"/>
        <v>0.52164584025063221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'[31]Sch C'!D133</f>
        <v>0</v>
      </c>
      <c r="D132" s="558">
        <f>'[31]Sch C'!F133</f>
        <v>0</v>
      </c>
      <c r="E132" s="171">
        <f t="shared" si="35"/>
        <v>0</v>
      </c>
      <c r="F132" s="484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'[31]Sch C'!D134</f>
        <v>16958</v>
      </c>
      <c r="D133" s="558">
        <f>'[31]Sch C'!F134</f>
        <v>-9263.2993035602049</v>
      </c>
      <c r="E133" s="171">
        <f t="shared" si="35"/>
        <v>7694.7006964397951</v>
      </c>
      <c r="F133" s="484"/>
      <c r="G133" s="171">
        <f>E133+F133</f>
        <v>7694.7006964397951</v>
      </c>
      <c r="H133" s="172">
        <f>IF($G$208=0,0,G133/$G$208)</f>
        <v>1.9879356227353318E-3</v>
      </c>
      <c r="I133" s="336"/>
      <c r="J133" s="168"/>
      <c r="K133" s="168"/>
      <c r="M133" s="364">
        <f t="shared" si="34"/>
        <v>0.64079785946367385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'[31]Sch C'!D136</f>
        <v>0</v>
      </c>
      <c r="D135" s="558">
        <f>'[31]Sch C'!F136</f>
        <v>311660.35875927715</v>
      </c>
      <c r="E135" s="171">
        <f t="shared" ref="E135:E138" si="36">C135+D135</f>
        <v>311660.35875927715</v>
      </c>
      <c r="F135" s="484"/>
      <c r="G135" s="171">
        <f>E135+F135</f>
        <v>311660.35875927715</v>
      </c>
      <c r="H135" s="172">
        <f>IF($G$208=0,0,G135/$G$208)</f>
        <v>8.0517846478252303E-2</v>
      </c>
      <c r="I135" s="336"/>
      <c r="J135" s="183">
        <v>12107.365714285712</v>
      </c>
      <c r="K135" s="183">
        <v>13284.011428571426</v>
      </c>
      <c r="M135" s="364">
        <f t="shared" si="34"/>
        <v>25.954393634183639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'[31]Sch C'!D137</f>
        <v>0</v>
      </c>
      <c r="D136" s="558">
        <f>'[31]Sch C'!F137</f>
        <v>239503.20954457379</v>
      </c>
      <c r="E136" s="171">
        <f t="shared" si="36"/>
        <v>239503.20954457379</v>
      </c>
      <c r="F136" s="484"/>
      <c r="G136" s="171">
        <f>E136+F136</f>
        <v>239503.20954457379</v>
      </c>
      <c r="H136" s="172">
        <f>IF($G$208=0,0,G136/$G$208)</f>
        <v>6.1875956037301623E-2</v>
      </c>
      <c r="I136" s="336"/>
      <c r="J136" s="183">
        <v>6145.0500000000011</v>
      </c>
      <c r="K136" s="183">
        <v>6627.9785714285717</v>
      </c>
      <c r="M136" s="364">
        <f t="shared" si="34"/>
        <v>19.945303926097086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'[31]Sch C'!D138</f>
        <v>0</v>
      </c>
      <c r="D137" s="558">
        <f>'[31]Sch C'!F138</f>
        <v>430174.1021104817</v>
      </c>
      <c r="E137" s="171">
        <f t="shared" si="36"/>
        <v>430174.1021104817</v>
      </c>
      <c r="F137" s="484"/>
      <c r="G137" s="171">
        <f>E137+F137</f>
        <v>430174.1021104817</v>
      </c>
      <c r="H137" s="172">
        <f>IF($G$208=0,0,G137/$G$208)</f>
        <v>0.11113602143866098</v>
      </c>
      <c r="I137" s="336"/>
      <c r="J137" s="183">
        <v>26199.914285714291</v>
      </c>
      <c r="K137" s="183">
        <v>28774.221428571425</v>
      </c>
      <c r="M137" s="364">
        <f t="shared" si="34"/>
        <v>35.823959203071425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'[31]Sch C'!D139</f>
        <v>982361</v>
      </c>
      <c r="D138" s="558">
        <f>'[31]Sch C'!F139</f>
        <v>-981337.67041433265</v>
      </c>
      <c r="E138" s="171">
        <f t="shared" si="36"/>
        <v>1023.3295856673503</v>
      </c>
      <c r="F138" s="484"/>
      <c r="G138" s="171">
        <f>E138+F138</f>
        <v>1023.3295856673503</v>
      </c>
      <c r="H138" s="172">
        <f>IF($G$208=0,0,G138/$G$208)</f>
        <v>2.6437848818321869E-4</v>
      </c>
      <c r="I138" s="336"/>
      <c r="J138" s="183">
        <v>124.07857142857142</v>
      </c>
      <c r="K138" s="183">
        <v>168.46142857142857</v>
      </c>
      <c r="M138" s="364">
        <f t="shared" si="34"/>
        <v>8.5220651704476208E-2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'[31]Sch C'!D141</f>
        <v>0</v>
      </c>
      <c r="D140" s="558">
        <f>'[31]Sch C'!F141</f>
        <v>70464.82793370515</v>
      </c>
      <c r="E140" s="171">
        <f t="shared" ref="E140:E143" si="37">C140+D140</f>
        <v>70464.82793370515</v>
      </c>
      <c r="F140" s="484"/>
      <c r="G140" s="171">
        <f>E140+F140</f>
        <v>70464.82793370515</v>
      </c>
      <c r="H140" s="172">
        <f>IF($G$208=0,0,G140/$G$208)</f>
        <v>1.8204677105132957E-2</v>
      </c>
      <c r="I140" s="336"/>
      <c r="J140" s="168"/>
      <c r="K140" s="168"/>
      <c r="M140" s="364">
        <f t="shared" si="34"/>
        <v>5.8681568898821741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'[31]Sch C'!D142</f>
        <v>0</v>
      </c>
      <c r="D141" s="558">
        <f>'[31]Sch C'!F142</f>
        <v>36743.105681738045</v>
      </c>
      <c r="E141" s="171">
        <f t="shared" si="37"/>
        <v>36743.105681738045</v>
      </c>
      <c r="F141" s="484"/>
      <c r="G141" s="171">
        <f>E141+F141</f>
        <v>36743.105681738045</v>
      </c>
      <c r="H141" s="172">
        <f>IF($G$208=0,0,G141/$G$208)</f>
        <v>9.4926276610670154E-3</v>
      </c>
      <c r="I141" s="336"/>
      <c r="J141" s="168"/>
      <c r="K141" s="168"/>
      <c r="M141" s="364">
        <f t="shared" si="34"/>
        <v>3.0598855497783184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'[31]Sch C'!D143</f>
        <v>0</v>
      </c>
      <c r="D142" s="558">
        <f>'[31]Sch C'!F143</f>
        <v>73583.12013141661</v>
      </c>
      <c r="E142" s="171">
        <f t="shared" si="37"/>
        <v>73583.12013141661</v>
      </c>
      <c r="F142" s="484"/>
      <c r="G142" s="171">
        <f>E142+F142</f>
        <v>73583.12013141661</v>
      </c>
      <c r="H142" s="172">
        <f>IF($G$208=0,0,G142/$G$208)</f>
        <v>1.9010291824467836E-2</v>
      </c>
      <c r="I142" s="336"/>
      <c r="J142" s="168"/>
      <c r="K142" s="168"/>
      <c r="M142" s="364">
        <f t="shared" si="34"/>
        <v>6.1278414499847278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'[31]Sch C'!D144</f>
        <v>78219</v>
      </c>
      <c r="D143" s="558">
        <f>'[31]Sch C'!F144</f>
        <v>-77940.019652686518</v>
      </c>
      <c r="E143" s="171">
        <f t="shared" si="37"/>
        <v>278.98034731348162</v>
      </c>
      <c r="F143" s="484"/>
      <c r="G143" s="171">
        <f>E143+F143</f>
        <v>278.98034731348162</v>
      </c>
      <c r="H143" s="172">
        <f>IF($G$208=0,0,G143/$G$208)</f>
        <v>7.2074924333853126E-5</v>
      </c>
      <c r="I143" s="336"/>
      <c r="J143" s="168"/>
      <c r="K143" s="168"/>
      <c r="M143" s="364">
        <f t="shared" si="34"/>
        <v>2.3232873693661029E-2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'[31]Sch C'!D146</f>
        <v>0</v>
      </c>
      <c r="D145" s="558">
        <f>'[31]Sch C'!F146</f>
        <v>21000</v>
      </c>
      <c r="E145" s="171">
        <f t="shared" ref="E145:E153" si="38">C145+D145</f>
        <v>21000</v>
      </c>
      <c r="F145" s="484"/>
      <c r="G145" s="171">
        <f t="shared" ref="G145:G153" si="39">E145+F145</f>
        <v>21000</v>
      </c>
      <c r="H145" s="172">
        <f t="shared" ref="H145:H153" si="40">IF($G$208=0,0,G145/$G$208)</f>
        <v>5.4253764667880344E-3</v>
      </c>
      <c r="I145" s="336"/>
      <c r="J145" s="183">
        <v>120</v>
      </c>
      <c r="K145" s="183">
        <v>120</v>
      </c>
      <c r="M145" s="364">
        <f t="shared" si="34"/>
        <v>1.7488341105929381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'[31]Sch C'!D147</f>
        <v>0</v>
      </c>
      <c r="D146" s="558">
        <f>'[31]Sch C'!F147</f>
        <v>0</v>
      </c>
      <c r="E146" s="171">
        <f t="shared" si="38"/>
        <v>0</v>
      </c>
      <c r="F146" s="484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'[31]Sch C'!D148</f>
        <v>0</v>
      </c>
      <c r="D147" s="558">
        <f>'[31]Sch C'!F148</f>
        <v>0</v>
      </c>
      <c r="E147" s="171">
        <f t="shared" si="38"/>
        <v>0</v>
      </c>
      <c r="F147" s="484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'[31]Sch C'!D149</f>
        <v>0</v>
      </c>
      <c r="D148" s="558">
        <f>'[31]Sch C'!F149</f>
        <v>0</v>
      </c>
      <c r="E148" s="171">
        <f t="shared" si="38"/>
        <v>0</v>
      </c>
      <c r="F148" s="484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'[31]Sch C'!D150</f>
        <v>21390</v>
      </c>
      <c r="D149" s="558">
        <f>'[31]Sch C'!F150</f>
        <v>-21000</v>
      </c>
      <c r="E149" s="171">
        <f t="shared" si="38"/>
        <v>390</v>
      </c>
      <c r="F149" s="484"/>
      <c r="G149" s="171">
        <f t="shared" si="39"/>
        <v>390</v>
      </c>
      <c r="H149" s="172">
        <f t="shared" si="40"/>
        <v>1.0075699152606351E-4</v>
      </c>
      <c r="I149" s="336"/>
      <c r="J149" s="183">
        <v>6.5</v>
      </c>
      <c r="K149" s="183">
        <v>6.5</v>
      </c>
      <c r="M149" s="364">
        <f t="shared" si="34"/>
        <v>3.2478347768154565E-2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'[31]Sch C'!D151</f>
        <v>63158</v>
      </c>
      <c r="D150" s="558">
        <f>'[31]Sch C'!F151</f>
        <v>-227.5</v>
      </c>
      <c r="E150" s="171">
        <f t="shared" si="38"/>
        <v>62930.5</v>
      </c>
      <c r="F150" s="484"/>
      <c r="G150" s="171">
        <f t="shared" si="39"/>
        <v>62930.5</v>
      </c>
      <c r="H150" s="172">
        <f t="shared" si="40"/>
        <v>1.625817398777164E-2</v>
      </c>
      <c r="I150" s="336"/>
      <c r="J150" s="168"/>
      <c r="K150" s="168"/>
      <c r="M150" s="364">
        <f t="shared" si="34"/>
        <v>5.2407145236508992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'[31]Sch C'!D152</f>
        <v>4691</v>
      </c>
      <c r="D151" s="558">
        <f>'[31]Sch C'!F152</f>
        <v>-15</v>
      </c>
      <c r="E151" s="171">
        <f t="shared" si="38"/>
        <v>4676</v>
      </c>
      <c r="F151" s="677">
        <v>-349</v>
      </c>
      <c r="G151" s="171">
        <f t="shared" si="39"/>
        <v>4327</v>
      </c>
      <c r="H151" s="172">
        <f t="shared" si="40"/>
        <v>1.1178859034186583E-3</v>
      </c>
      <c r="I151" s="336"/>
      <c r="J151" s="168"/>
      <c r="K151" s="168"/>
      <c r="M151" s="364">
        <f t="shared" si="34"/>
        <v>0.36034310459693536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'[31]Sch C'!D153</f>
        <v>0</v>
      </c>
      <c r="D152" s="558">
        <f>'[31]Sch C'!F153</f>
        <v>0</v>
      </c>
      <c r="E152" s="171">
        <f t="shared" si="38"/>
        <v>0</v>
      </c>
      <c r="F152" s="484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'[31]Sch C'!D154</f>
        <v>0</v>
      </c>
      <c r="D153" s="558">
        <f>'[31]Sch C'!F154</f>
        <v>0</v>
      </c>
      <c r="E153" s="171">
        <f t="shared" si="38"/>
        <v>0</v>
      </c>
      <c r="F153" s="484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'[31]Sch C'!D156</f>
        <v>0</v>
      </c>
      <c r="D155" s="558">
        <f>'[31]Sch C'!F156</f>
        <v>0</v>
      </c>
      <c r="E155" s="171">
        <f t="shared" ref="E155:E160" si="41">C155+D155</f>
        <v>0</v>
      </c>
      <c r="F155" s="484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'[31]Sch C'!D157</f>
        <v>0</v>
      </c>
      <c r="D156" s="558">
        <f>'[31]Sch C'!F157</f>
        <v>3861.3885714285716</v>
      </c>
      <c r="E156" s="171">
        <f t="shared" si="41"/>
        <v>3861.3885714285716</v>
      </c>
      <c r="F156" s="677">
        <v>490</v>
      </c>
      <c r="G156" s="171">
        <f t="shared" si="42"/>
        <v>4351.3885714285716</v>
      </c>
      <c r="H156" s="172">
        <f t="shared" si="43"/>
        <v>1.1241867215847133E-3</v>
      </c>
      <c r="I156" s="336"/>
      <c r="J156" s="168"/>
      <c r="K156" s="168"/>
      <c r="M156" s="364">
        <f t="shared" si="34"/>
        <v>0.36237413153136006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'[31]Sch C'!D158</f>
        <v>0</v>
      </c>
      <c r="D157" s="558">
        <f>'[31]Sch C'!F158</f>
        <v>0</v>
      </c>
      <c r="E157" s="171">
        <f t="shared" si="41"/>
        <v>0</v>
      </c>
      <c r="F157" s="484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'[31]Sch C'!D159</f>
        <v>0</v>
      </c>
      <c r="D158" s="558">
        <f>'[31]Sch C'!F159</f>
        <v>0</v>
      </c>
      <c r="E158" s="171">
        <f t="shared" si="41"/>
        <v>0</v>
      </c>
      <c r="F158" s="677">
        <v>905</v>
      </c>
      <c r="G158" s="171">
        <f t="shared" si="42"/>
        <v>905</v>
      </c>
      <c r="H158" s="172">
        <f t="shared" si="43"/>
        <v>2.3380789059253198E-4</v>
      </c>
      <c r="I158" s="336"/>
      <c r="J158" s="168"/>
      <c r="K158" s="168"/>
      <c r="M158" s="364">
        <f t="shared" si="34"/>
        <v>7.5366422385076612E-2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'[31]Sch C'!D160</f>
        <v>0</v>
      </c>
      <c r="D159" s="558">
        <f>'[31]Sch C'!F160</f>
        <v>-1750</v>
      </c>
      <c r="E159" s="171">
        <f t="shared" si="41"/>
        <v>-1750</v>
      </c>
      <c r="F159" s="484"/>
      <c r="G159" s="171">
        <f t="shared" si="42"/>
        <v>-1750</v>
      </c>
      <c r="H159" s="172">
        <f>IF($G$208=0,0,G159/$G$208)</f>
        <v>-4.5211470556566957E-4</v>
      </c>
      <c r="I159" s="336"/>
      <c r="J159" s="168"/>
      <c r="K159" s="168"/>
      <c r="M159" s="364">
        <f t="shared" si="34"/>
        <v>-0.14573617588274485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'[31]Sch C'!D161</f>
        <v>2142</v>
      </c>
      <c r="D160" s="558">
        <f>'[31]Sch C'!F161</f>
        <v>0</v>
      </c>
      <c r="E160" s="171">
        <f t="shared" si="41"/>
        <v>2142</v>
      </c>
      <c r="F160" s="677">
        <v>-1395</v>
      </c>
      <c r="G160" s="171">
        <f t="shared" si="42"/>
        <v>747</v>
      </c>
      <c r="H160" s="172">
        <f t="shared" si="43"/>
        <v>1.9298839146146009E-4</v>
      </c>
      <c r="I160" s="336"/>
      <c r="J160" s="168"/>
      <c r="K160" s="168"/>
      <c r="M160" s="364">
        <f t="shared" si="34"/>
        <v>6.2208527648234507E-2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1401473</v>
      </c>
      <c r="D161" s="558">
        <f>SUM(D123:D160)</f>
        <v>125206.42594119933</v>
      </c>
      <c r="E161" s="171">
        <f t="shared" ref="E161:F161" si="44">SUM(E123:E160)</f>
        <v>1526679.4259411995</v>
      </c>
      <c r="F161" s="171">
        <f t="shared" si="44"/>
        <v>-349</v>
      </c>
      <c r="G161" s="171">
        <f>SUM(G123:G160)</f>
        <v>1526330.4259411995</v>
      </c>
      <c r="H161" s="172">
        <f t="shared" si="43"/>
        <v>0.39432938921161625</v>
      </c>
      <c r="I161" s="336"/>
      <c r="J161" s="168"/>
      <c r="K161" s="168"/>
      <c r="M161" s="364">
        <f>G161/G$228</f>
        <v>127.10946252008657</v>
      </c>
      <c r="N161" s="359">
        <f>SUMMARY!J164</f>
        <v>105.56901037202306</v>
      </c>
      <c r="O161" s="354">
        <f>M161/N161-1</f>
        <v>0.20404143291819632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'[31]Sch C'!D175</f>
        <v>0</v>
      </c>
      <c r="D164" s="558">
        <f>'[31]Sch C'!F175</f>
        <v>0</v>
      </c>
      <c r="E164" s="171">
        <f t="shared" ref="E164:E196" si="45">C164+D164</f>
        <v>0</v>
      </c>
      <c r="F164" s="484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  <c r="P164"/>
      <c r="Q164"/>
    </row>
    <row r="165" spans="1:17" s="221" customFormat="1">
      <c r="A165" s="215" t="s">
        <v>123</v>
      </c>
      <c r="B165" s="148" t="s">
        <v>103</v>
      </c>
      <c r="C165" s="558">
        <f>'[31]Sch C'!D176</f>
        <v>0</v>
      </c>
      <c r="D165" s="558">
        <f>'[31]Sch C'!F176</f>
        <v>0</v>
      </c>
      <c r="E165" s="171">
        <f t="shared" si="45"/>
        <v>0</v>
      </c>
      <c r="F165" s="484"/>
      <c r="G165" s="171">
        <f t="shared" si="46"/>
        <v>0</v>
      </c>
      <c r="H165" s="172">
        <f t="shared" si="47"/>
        <v>0</v>
      </c>
      <c r="I165" s="343"/>
      <c r="J165" s="222"/>
      <c r="K165" s="222"/>
      <c r="M165" s="364">
        <f t="shared" ref="M165:M196" si="48">G165/G$228</f>
        <v>0</v>
      </c>
      <c r="N165" s="359">
        <f>SUMMARY!J168</f>
        <v>0</v>
      </c>
      <c r="P165"/>
      <c r="Q165"/>
    </row>
    <row r="166" spans="1:17" s="221" customFormat="1">
      <c r="A166" s="215" t="s">
        <v>124</v>
      </c>
      <c r="B166" s="148" t="s">
        <v>104</v>
      </c>
      <c r="C166" s="558">
        <f>'[31]Sch C'!D177</f>
        <v>193882</v>
      </c>
      <c r="D166" s="558">
        <f>'[31]Sch C'!F177</f>
        <v>20299.018580996704</v>
      </c>
      <c r="E166" s="171">
        <f t="shared" si="45"/>
        <v>214181.01858099669</v>
      </c>
      <c r="F166" s="484"/>
      <c r="G166" s="171">
        <f t="shared" si="46"/>
        <v>214181.01858099669</v>
      </c>
      <c r="H166" s="172">
        <f t="shared" si="47"/>
        <v>5.5333936087715724E-2</v>
      </c>
      <c r="I166" s="342"/>
      <c r="J166" s="217">
        <v>5299.9414285714283</v>
      </c>
      <c r="K166" s="217">
        <v>5803.204285714286</v>
      </c>
      <c r="M166" s="364">
        <f t="shared" si="48"/>
        <v>17.836527196951756</v>
      </c>
      <c r="N166" s="359">
        <f>SUMMARY!J169</f>
        <v>4.9060338253170936</v>
      </c>
      <c r="P166"/>
      <c r="Q166"/>
    </row>
    <row r="167" spans="1:17" s="221" customFormat="1">
      <c r="A167" s="215" t="s">
        <v>157</v>
      </c>
      <c r="B167" s="148" t="s">
        <v>105</v>
      </c>
      <c r="C167" s="558">
        <f>'[31]Sch C'!D178</f>
        <v>16051</v>
      </c>
      <c r="D167" s="558">
        <f>'[31]Sch C'!F178</f>
        <v>0</v>
      </c>
      <c r="E167" s="171">
        <f t="shared" si="45"/>
        <v>16051</v>
      </c>
      <c r="F167" s="484"/>
      <c r="G167" s="171">
        <f t="shared" si="46"/>
        <v>16051</v>
      </c>
      <c r="H167" s="172">
        <f t="shared" si="47"/>
        <v>4.1467960794483215E-3</v>
      </c>
      <c r="I167" s="343"/>
      <c r="J167" s="222"/>
      <c r="K167" s="222"/>
      <c r="M167" s="364">
        <f t="shared" si="48"/>
        <v>1.3366922051965355</v>
      </c>
      <c r="N167" s="359">
        <f>SUMMARY!J170</f>
        <v>0.8546059303297695</v>
      </c>
      <c r="P167"/>
      <c r="Q167"/>
    </row>
    <row r="168" spans="1:17" s="221" customFormat="1">
      <c r="A168" s="215" t="s">
        <v>158</v>
      </c>
      <c r="B168" s="148" t="s">
        <v>316</v>
      </c>
      <c r="C168" s="558">
        <f>'[31]Sch C'!D179</f>
        <v>48973</v>
      </c>
      <c r="D168" s="558">
        <f>'[31]Sch C'!F179</f>
        <v>5243.170759250459</v>
      </c>
      <c r="E168" s="171">
        <f t="shared" si="45"/>
        <v>54216.170759250461</v>
      </c>
      <c r="F168" s="484"/>
      <c r="G168" s="171">
        <f t="shared" si="46"/>
        <v>54216.170759250461</v>
      </c>
      <c r="H168" s="172">
        <f t="shared" si="47"/>
        <v>1.4006816045552335E-2</v>
      </c>
      <c r="I168" s="342"/>
      <c r="J168" s="217">
        <v>1173.2857142857142</v>
      </c>
      <c r="K168" s="217">
        <v>1317.7442857142855</v>
      </c>
      <c r="M168" s="364">
        <f t="shared" si="48"/>
        <v>4.5150042271194586</v>
      </c>
      <c r="N168" s="359">
        <f>SUMMARY!J171</f>
        <v>0.79511806658504303</v>
      </c>
      <c r="P168"/>
      <c r="Q168"/>
    </row>
    <row r="169" spans="1:17" s="221" customFormat="1">
      <c r="A169" s="215" t="s">
        <v>86</v>
      </c>
      <c r="B169" s="148" t="s">
        <v>317</v>
      </c>
      <c r="C169" s="558">
        <f>'[31]Sch C'!D180</f>
        <v>4384</v>
      </c>
      <c r="D169" s="558">
        <f>'[31]Sch C'!F180</f>
        <v>-104.83000000000001</v>
      </c>
      <c r="E169" s="171">
        <f t="shared" si="45"/>
        <v>4279.17</v>
      </c>
      <c r="F169" s="484"/>
      <c r="G169" s="171">
        <f t="shared" si="46"/>
        <v>4279.17</v>
      </c>
      <c r="H169" s="172">
        <f t="shared" si="47"/>
        <v>1.1055289626373979E-3</v>
      </c>
      <c r="I169" s="343"/>
      <c r="J169" s="222"/>
      <c r="K169" s="222"/>
      <c r="M169" s="364">
        <f t="shared" si="48"/>
        <v>0.35635992671552297</v>
      </c>
      <c r="N169" s="359">
        <f>SUMMARY!J172</f>
        <v>0.1405217057636943</v>
      </c>
      <c r="P169"/>
      <c r="Q169"/>
    </row>
    <row r="170" spans="1:17" s="221" customFormat="1">
      <c r="A170" s="215" t="s">
        <v>96</v>
      </c>
      <c r="B170" s="148" t="s">
        <v>318</v>
      </c>
      <c r="C170" s="558">
        <f>'[31]Sch C'!D181</f>
        <v>0</v>
      </c>
      <c r="D170" s="558">
        <f>'[31]Sch C'!F181</f>
        <v>0</v>
      </c>
      <c r="E170" s="171">
        <f t="shared" si="45"/>
        <v>0</v>
      </c>
      <c r="F170" s="484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M170" s="364">
        <f t="shared" si="48"/>
        <v>0</v>
      </c>
      <c r="N170" s="359">
        <f>SUMMARY!J173</f>
        <v>0.14856138086857354</v>
      </c>
      <c r="P170"/>
      <c r="Q170"/>
    </row>
    <row r="171" spans="1:17" s="221" customFormat="1">
      <c r="A171" s="215" t="s">
        <v>125</v>
      </c>
      <c r="B171" s="148" t="s">
        <v>109</v>
      </c>
      <c r="C171" s="558">
        <f>'[31]Sch C'!D182</f>
        <v>0</v>
      </c>
      <c r="D171" s="558">
        <f>'[31]Sch C'!F182</f>
        <v>0</v>
      </c>
      <c r="E171" s="171">
        <f t="shared" si="45"/>
        <v>0</v>
      </c>
      <c r="F171" s="484"/>
      <c r="G171" s="171">
        <f t="shared" si="46"/>
        <v>0</v>
      </c>
      <c r="H171" s="172">
        <f t="shared" si="47"/>
        <v>0</v>
      </c>
      <c r="I171" s="343"/>
      <c r="J171" s="222"/>
      <c r="K171" s="222"/>
      <c r="M171" s="364">
        <f t="shared" si="48"/>
        <v>0</v>
      </c>
      <c r="N171" s="359">
        <f>SUMMARY!J174</f>
        <v>2.2545547697802093E-2</v>
      </c>
      <c r="P171"/>
      <c r="Q171"/>
    </row>
    <row r="172" spans="1:17" s="221" customFormat="1">
      <c r="A172" s="215" t="s">
        <v>126</v>
      </c>
      <c r="B172" s="148" t="s">
        <v>319</v>
      </c>
      <c r="C172" s="558">
        <f>'[31]Sch C'!D183</f>
        <v>224345</v>
      </c>
      <c r="D172" s="558">
        <f>'[31]Sch C'!F183</f>
        <v>23488.427618622183</v>
      </c>
      <c r="E172" s="171">
        <f t="shared" si="45"/>
        <v>247833.4276186222</v>
      </c>
      <c r="F172" s="484"/>
      <c r="G172" s="171">
        <f t="shared" si="46"/>
        <v>247833.4276186222</v>
      </c>
      <c r="H172" s="172">
        <f t="shared" si="47"/>
        <v>6.4028078375499453E-2</v>
      </c>
      <c r="I172" s="342"/>
      <c r="J172" s="217">
        <v>5454.1128571428571</v>
      </c>
      <c r="K172" s="217">
        <v>6104.7014285714286</v>
      </c>
      <c r="M172" s="364">
        <f t="shared" si="48"/>
        <v>20.639026284029164</v>
      </c>
      <c r="N172" s="359">
        <f>SUMMARY!J175</f>
        <v>2.8660001223726335</v>
      </c>
      <c r="P172"/>
      <c r="Q172"/>
    </row>
    <row r="173" spans="1:17" s="221" customFormat="1">
      <c r="A173" s="215" t="s">
        <v>127</v>
      </c>
      <c r="B173" s="148" t="s">
        <v>111</v>
      </c>
      <c r="C173" s="558">
        <f>'[31]Sch C'!D184</f>
        <v>17125</v>
      </c>
      <c r="D173" s="558">
        <f>'[31]Sch C'!F184</f>
        <v>0</v>
      </c>
      <c r="E173" s="171">
        <f t="shared" si="45"/>
        <v>17125</v>
      </c>
      <c r="F173" s="484"/>
      <c r="G173" s="171">
        <f t="shared" si="46"/>
        <v>17125</v>
      </c>
      <c r="H173" s="172">
        <f t="shared" si="47"/>
        <v>4.4242653330354804E-3</v>
      </c>
      <c r="I173" s="343"/>
      <c r="J173" s="222"/>
      <c r="K173" s="222"/>
      <c r="M173" s="364">
        <f t="shared" si="48"/>
        <v>1.4261325782811458</v>
      </c>
      <c r="N173" s="359">
        <f>SUMMARY!J176</f>
        <v>0.45922325087038773</v>
      </c>
      <c r="P173"/>
      <c r="Q173"/>
    </row>
    <row r="174" spans="1:17" s="221" customFormat="1">
      <c r="A174" s="215" t="s">
        <v>128</v>
      </c>
      <c r="B174" s="148" t="s">
        <v>320</v>
      </c>
      <c r="C174" s="558">
        <f>'[31]Sch C'!D185</f>
        <v>0</v>
      </c>
      <c r="D174" s="558">
        <f>'[31]Sch C'!F185</f>
        <v>0</v>
      </c>
      <c r="E174" s="171">
        <f t="shared" si="45"/>
        <v>0</v>
      </c>
      <c r="F174" s="484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M174" s="364">
        <f t="shared" si="48"/>
        <v>0</v>
      </c>
      <c r="N174" s="359">
        <f>SUMMARY!J177</f>
        <v>0</v>
      </c>
      <c r="P174"/>
      <c r="Q174"/>
    </row>
    <row r="175" spans="1:17" s="221" customFormat="1">
      <c r="A175" s="215" t="s">
        <v>129</v>
      </c>
      <c r="B175" s="148" t="s">
        <v>321</v>
      </c>
      <c r="C175" s="558">
        <f>'[31]Sch C'!D186</f>
        <v>0</v>
      </c>
      <c r="D175" s="558">
        <f>'[31]Sch C'!F186</f>
        <v>0</v>
      </c>
      <c r="E175" s="171">
        <f t="shared" si="45"/>
        <v>0</v>
      </c>
      <c r="F175" s="484"/>
      <c r="G175" s="171">
        <f t="shared" si="46"/>
        <v>0</v>
      </c>
      <c r="H175" s="172">
        <f t="shared" si="47"/>
        <v>0</v>
      </c>
      <c r="I175" s="336"/>
      <c r="J175" s="223"/>
      <c r="K175" s="218"/>
      <c r="M175" s="364">
        <f t="shared" si="48"/>
        <v>0</v>
      </c>
      <c r="N175" s="359">
        <f>SUMMARY!J178</f>
        <v>0</v>
      </c>
      <c r="P175"/>
      <c r="Q175"/>
    </row>
    <row r="176" spans="1:17" s="221" customFormat="1">
      <c r="A176" s="224" t="s">
        <v>293</v>
      </c>
      <c r="B176" s="148" t="s">
        <v>154</v>
      </c>
      <c r="C176" s="558">
        <f>'[31]Sch C'!D187</f>
        <v>0</v>
      </c>
      <c r="D176" s="558">
        <f>'[31]Sch C'!F187</f>
        <v>0</v>
      </c>
      <c r="E176" s="171">
        <f t="shared" si="45"/>
        <v>0</v>
      </c>
      <c r="F176" s="484"/>
      <c r="G176" s="171">
        <f t="shared" si="46"/>
        <v>0</v>
      </c>
      <c r="H176" s="172">
        <f t="shared" si="47"/>
        <v>0</v>
      </c>
      <c r="I176" s="336"/>
      <c r="J176" s="223"/>
      <c r="K176" s="218"/>
      <c r="M176" s="364">
        <f t="shared" si="48"/>
        <v>0</v>
      </c>
      <c r="N176" s="359">
        <f>SUMMARY!J179</f>
        <v>0</v>
      </c>
      <c r="P176"/>
      <c r="Q176"/>
    </row>
    <row r="177" spans="1:17" s="221" customFormat="1">
      <c r="A177" s="224" t="s">
        <v>294</v>
      </c>
      <c r="B177" s="148" t="s">
        <v>322</v>
      </c>
      <c r="C177" s="558">
        <f>'[31]Sch C'!D188</f>
        <v>6150</v>
      </c>
      <c r="D177" s="558">
        <f>'[31]Sch C'!F188</f>
        <v>0</v>
      </c>
      <c r="E177" s="171">
        <f t="shared" si="45"/>
        <v>6150</v>
      </c>
      <c r="F177" s="484"/>
      <c r="G177" s="171">
        <f t="shared" si="46"/>
        <v>6150</v>
      </c>
      <c r="H177" s="172">
        <f t="shared" si="47"/>
        <v>1.5888602509879246E-3</v>
      </c>
      <c r="I177" s="336"/>
      <c r="J177" s="223"/>
      <c r="K177" s="218"/>
      <c r="M177" s="364">
        <f t="shared" si="48"/>
        <v>0.51215856095936041</v>
      </c>
      <c r="N177" s="359">
        <f>SUMMARY!J180</f>
        <v>0.30705480193530821</v>
      </c>
      <c r="P177"/>
      <c r="Q177"/>
    </row>
    <row r="178" spans="1:17" s="221" customFormat="1">
      <c r="A178" s="224" t="s">
        <v>295</v>
      </c>
      <c r="B178" s="148" t="s">
        <v>323</v>
      </c>
      <c r="C178" s="558">
        <f>'[31]Sch C'!D189</f>
        <v>0</v>
      </c>
      <c r="D178" s="558">
        <f>'[31]Sch C'!F189</f>
        <v>0</v>
      </c>
      <c r="E178" s="171">
        <f t="shared" si="45"/>
        <v>0</v>
      </c>
      <c r="F178" s="484"/>
      <c r="G178" s="171">
        <f t="shared" si="46"/>
        <v>0</v>
      </c>
      <c r="H178" s="172">
        <f t="shared" si="47"/>
        <v>0</v>
      </c>
      <c r="I178" s="336"/>
      <c r="J178" s="223"/>
      <c r="K178" s="218"/>
      <c r="M178" s="364">
        <f t="shared" si="48"/>
        <v>0</v>
      </c>
      <c r="N178" s="359">
        <f>SUMMARY!J181</f>
        <v>5.3584457511323957E-2</v>
      </c>
      <c r="P178"/>
      <c r="Q178"/>
    </row>
    <row r="179" spans="1:17" s="221" customFormat="1">
      <c r="A179" s="224" t="s">
        <v>296</v>
      </c>
      <c r="B179" s="148" t="s">
        <v>324</v>
      </c>
      <c r="C179" s="558">
        <f>'[31]Sch C'!D190</f>
        <v>0</v>
      </c>
      <c r="D179" s="558">
        <f>'[31]Sch C'!F190</f>
        <v>0</v>
      </c>
      <c r="E179" s="171">
        <f t="shared" si="45"/>
        <v>0</v>
      </c>
      <c r="F179" s="484"/>
      <c r="G179" s="171">
        <f t="shared" si="46"/>
        <v>0</v>
      </c>
      <c r="H179" s="172">
        <f t="shared" si="47"/>
        <v>0</v>
      </c>
      <c r="I179" s="336"/>
      <c r="J179" s="223"/>
      <c r="K179" s="218"/>
      <c r="M179" s="364">
        <f t="shared" si="48"/>
        <v>0</v>
      </c>
      <c r="N179" s="359">
        <f>SUMMARY!J182</f>
        <v>0</v>
      </c>
      <c r="P179"/>
      <c r="Q179"/>
    </row>
    <row r="180" spans="1:17" s="221" customFormat="1">
      <c r="A180" s="224" t="s">
        <v>297</v>
      </c>
      <c r="B180" s="148" t="s">
        <v>325</v>
      </c>
      <c r="C180" s="558">
        <f>'[31]Sch C'!D191</f>
        <v>652</v>
      </c>
      <c r="D180" s="558">
        <f>'[31]Sch C'!F191</f>
        <v>0</v>
      </c>
      <c r="E180" s="171">
        <f t="shared" si="45"/>
        <v>652</v>
      </c>
      <c r="F180" s="484"/>
      <c r="G180" s="171">
        <f t="shared" si="46"/>
        <v>652</v>
      </c>
      <c r="H180" s="172">
        <f t="shared" si="47"/>
        <v>1.6844502173075232E-4</v>
      </c>
      <c r="I180" s="336"/>
      <c r="J180" s="223"/>
      <c r="K180" s="218"/>
      <c r="M180" s="364">
        <f t="shared" si="48"/>
        <v>5.4297135243171223E-2</v>
      </c>
      <c r="N180" s="359">
        <f>SUMMARY!J183</f>
        <v>0.1333235617560114</v>
      </c>
      <c r="P180"/>
      <c r="Q180"/>
    </row>
    <row r="181" spans="1:17" s="221" customFormat="1">
      <c r="A181" s="224" t="s">
        <v>298</v>
      </c>
      <c r="B181" s="148" t="s">
        <v>117</v>
      </c>
      <c r="C181" s="558">
        <f>'[31]Sch C'!D192</f>
        <v>251</v>
      </c>
      <c r="D181" s="558">
        <f>'[31]Sch C'!F192</f>
        <v>0</v>
      </c>
      <c r="E181" s="171">
        <f t="shared" si="45"/>
        <v>251</v>
      </c>
      <c r="F181" s="484"/>
      <c r="G181" s="171">
        <f t="shared" si="46"/>
        <v>251</v>
      </c>
      <c r="H181" s="172">
        <f t="shared" si="47"/>
        <v>6.4846166341133178E-5</v>
      </c>
      <c r="I181" s="336"/>
      <c r="J181" s="223"/>
      <c r="K181" s="218"/>
      <c r="M181" s="364">
        <f t="shared" si="48"/>
        <v>2.0902731512325117E-2</v>
      </c>
      <c r="N181" s="359">
        <f>SUMMARY!J184</f>
        <v>0.29174571104570529</v>
      </c>
      <c r="P181"/>
      <c r="Q181"/>
    </row>
    <row r="182" spans="1:17" s="221" customFormat="1">
      <c r="A182" s="224" t="s">
        <v>132</v>
      </c>
      <c r="B182" s="148" t="s">
        <v>118</v>
      </c>
      <c r="C182" s="558">
        <f>'[31]Sch C'!D193</f>
        <v>2310</v>
      </c>
      <c r="D182" s="558">
        <f>'[31]Sch C'!F193</f>
        <v>0</v>
      </c>
      <c r="E182" s="171">
        <f t="shared" si="45"/>
        <v>2310</v>
      </c>
      <c r="F182" s="484"/>
      <c r="G182" s="171">
        <f t="shared" si="46"/>
        <v>2310</v>
      </c>
      <c r="H182" s="172">
        <f t="shared" si="47"/>
        <v>5.9679141134668387E-4</v>
      </c>
      <c r="I182" s="336"/>
      <c r="J182" s="223"/>
      <c r="K182" s="218"/>
      <c r="M182" s="364">
        <f t="shared" si="48"/>
        <v>0.19237175216522318</v>
      </c>
      <c r="N182" s="359">
        <f>SUMMARY!J185</f>
        <v>7.0915905841295299E-2</v>
      </c>
      <c r="P182"/>
      <c r="Q182"/>
    </row>
    <row r="183" spans="1:17" s="221" customFormat="1">
      <c r="A183" s="224" t="s">
        <v>133</v>
      </c>
      <c r="B183" s="148" t="s">
        <v>119</v>
      </c>
      <c r="C183" s="558">
        <f>'[31]Sch C'!D194</f>
        <v>5750</v>
      </c>
      <c r="D183" s="558">
        <f>'[31]Sch C'!F194</f>
        <v>0</v>
      </c>
      <c r="E183" s="171">
        <f t="shared" si="45"/>
        <v>5750</v>
      </c>
      <c r="F183" s="484"/>
      <c r="G183" s="171">
        <f t="shared" si="46"/>
        <v>5750</v>
      </c>
      <c r="H183" s="172">
        <f t="shared" si="47"/>
        <v>1.4855197468586286E-3</v>
      </c>
      <c r="I183" s="336"/>
      <c r="J183" s="223"/>
      <c r="K183" s="218"/>
      <c r="M183" s="364">
        <f t="shared" si="48"/>
        <v>0.47884743504330446</v>
      </c>
      <c r="N183" s="359">
        <f>SUMMARY!J186</f>
        <v>7.2780776577335544</v>
      </c>
      <c r="P183"/>
      <c r="Q183"/>
    </row>
    <row r="184" spans="1:17" s="221" customFormat="1">
      <c r="A184" s="224" t="s">
        <v>134</v>
      </c>
      <c r="B184" s="148" t="s">
        <v>326</v>
      </c>
      <c r="C184" s="558">
        <f>'[31]Sch C'!D195</f>
        <v>0</v>
      </c>
      <c r="D184" s="558">
        <f>'[31]Sch C'!F195</f>
        <v>0</v>
      </c>
      <c r="E184" s="171">
        <f t="shared" si="45"/>
        <v>0</v>
      </c>
      <c r="F184" s="484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P184"/>
      <c r="Q184"/>
    </row>
    <row r="185" spans="1:17" s="221" customFormat="1">
      <c r="A185" s="224" t="s">
        <v>135</v>
      </c>
      <c r="B185" s="148" t="s">
        <v>327</v>
      </c>
      <c r="C185" s="558">
        <f>'[31]Sch C'!D196</f>
        <v>0</v>
      </c>
      <c r="D185" s="558">
        <f>'[31]Sch C'!F196</f>
        <v>0</v>
      </c>
      <c r="E185" s="171">
        <f t="shared" si="45"/>
        <v>0</v>
      </c>
      <c r="F185" s="484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P185"/>
      <c r="Q185"/>
    </row>
    <row r="186" spans="1:17" s="221" customFormat="1">
      <c r="A186" s="224" t="s">
        <v>136</v>
      </c>
      <c r="B186" s="148" t="s">
        <v>328</v>
      </c>
      <c r="C186" s="558">
        <f>'[31]Sch C'!D197</f>
        <v>0</v>
      </c>
      <c r="D186" s="558">
        <f>'[31]Sch C'!F197</f>
        <v>0</v>
      </c>
      <c r="E186" s="171">
        <f t="shared" si="45"/>
        <v>0</v>
      </c>
      <c r="F186" s="484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P186"/>
      <c r="Q186"/>
    </row>
    <row r="187" spans="1:17" s="221" customFormat="1">
      <c r="A187" s="224" t="s">
        <v>137</v>
      </c>
      <c r="B187" s="148" t="s">
        <v>122</v>
      </c>
      <c r="C187" s="558">
        <f>'[31]Sch C'!D198</f>
        <v>24518</v>
      </c>
      <c r="D187" s="558">
        <f>'[31]Sch C'!F198</f>
        <v>0</v>
      </c>
      <c r="E187" s="171">
        <f t="shared" si="45"/>
        <v>24518</v>
      </c>
      <c r="F187" s="484"/>
      <c r="G187" s="171">
        <f t="shared" si="46"/>
        <v>24518</v>
      </c>
      <c r="H187" s="172">
        <f t="shared" si="47"/>
        <v>6.3342562006051921E-3</v>
      </c>
      <c r="I187" s="336"/>
      <c r="J187" s="223"/>
      <c r="K187" s="218"/>
      <c r="M187" s="364">
        <f t="shared" si="48"/>
        <v>2.0418054630246503</v>
      </c>
      <c r="N187" s="359">
        <f>SUMMARY!J190</f>
        <v>1.4762344610483848</v>
      </c>
      <c r="P187"/>
      <c r="Q187"/>
    </row>
    <row r="188" spans="1:17" s="221" customFormat="1">
      <c r="A188" s="224" t="s">
        <v>275</v>
      </c>
      <c r="B188" s="148" t="s">
        <v>329</v>
      </c>
      <c r="C188" s="558">
        <f>'[31]Sch C'!D199</f>
        <v>0</v>
      </c>
      <c r="D188" s="558">
        <f>'[31]Sch C'!F199</f>
        <v>0</v>
      </c>
      <c r="E188" s="171">
        <f t="shared" si="45"/>
        <v>0</v>
      </c>
      <c r="F188" s="484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P188"/>
      <c r="Q188"/>
    </row>
    <row r="189" spans="1:17" s="221" customFormat="1">
      <c r="A189" s="224" t="s">
        <v>277</v>
      </c>
      <c r="B189" s="148" t="s">
        <v>278</v>
      </c>
      <c r="C189" s="558">
        <f>'[31]Sch C'!D200</f>
        <v>0</v>
      </c>
      <c r="D189" s="558">
        <f>'[31]Sch C'!F200</f>
        <v>0</v>
      </c>
      <c r="E189" s="171">
        <f t="shared" si="45"/>
        <v>0</v>
      </c>
      <c r="F189" s="484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P189"/>
      <c r="Q189"/>
    </row>
    <row r="190" spans="1:17" s="221" customFormat="1">
      <c r="A190" s="225" t="s">
        <v>279</v>
      </c>
      <c r="B190" s="226" t="s">
        <v>280</v>
      </c>
      <c r="C190" s="558">
        <f>'[31]Sch C'!D201</f>
        <v>0</v>
      </c>
      <c r="D190" s="558">
        <f>'[31]Sch C'!F201</f>
        <v>0</v>
      </c>
      <c r="E190" s="171">
        <f t="shared" si="45"/>
        <v>0</v>
      </c>
      <c r="F190" s="484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P190"/>
      <c r="Q190"/>
    </row>
    <row r="191" spans="1:17" s="221" customFormat="1">
      <c r="A191" s="225" t="s">
        <v>281</v>
      </c>
      <c r="B191" s="226" t="s">
        <v>282</v>
      </c>
      <c r="C191" s="558">
        <f>'[31]Sch C'!D202</f>
        <v>0</v>
      </c>
      <c r="D191" s="558">
        <f>'[31]Sch C'!F202</f>
        <v>0</v>
      </c>
      <c r="E191" s="171">
        <f t="shared" si="45"/>
        <v>0</v>
      </c>
      <c r="F191" s="484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P191"/>
      <c r="Q191"/>
    </row>
    <row r="192" spans="1:17" s="221" customFormat="1">
      <c r="A192" s="225" t="s">
        <v>283</v>
      </c>
      <c r="B192" s="226" t="s">
        <v>330</v>
      </c>
      <c r="C192" s="558">
        <f>'[31]Sch C'!D203</f>
        <v>0</v>
      </c>
      <c r="D192" s="558">
        <f>'[31]Sch C'!F203</f>
        <v>0</v>
      </c>
      <c r="E192" s="171">
        <f t="shared" si="45"/>
        <v>0</v>
      </c>
      <c r="F192" s="484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P192"/>
      <c r="Q192"/>
    </row>
    <row r="193" spans="1:17" s="221" customFormat="1">
      <c r="A193" s="225" t="s">
        <v>285</v>
      </c>
      <c r="B193" s="226" t="s">
        <v>331</v>
      </c>
      <c r="C193" s="558">
        <f>'[31]Sch C'!D204</f>
        <v>0</v>
      </c>
      <c r="D193" s="558">
        <f>'[31]Sch C'!F204</f>
        <v>0</v>
      </c>
      <c r="E193" s="171">
        <f t="shared" si="45"/>
        <v>0</v>
      </c>
      <c r="F193" s="484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P193"/>
      <c r="Q193"/>
    </row>
    <row r="194" spans="1:17" s="221" customFormat="1">
      <c r="A194" s="224" t="s">
        <v>138</v>
      </c>
      <c r="B194" s="148" t="s">
        <v>332</v>
      </c>
      <c r="C194" s="558">
        <f>'[31]Sch C'!D205</f>
        <v>162956</v>
      </c>
      <c r="D194" s="558">
        <f>'[31]Sch C'!F205</f>
        <v>0</v>
      </c>
      <c r="E194" s="171">
        <f t="shared" si="45"/>
        <v>162956</v>
      </c>
      <c r="F194" s="677">
        <v>976</v>
      </c>
      <c r="G194" s="171">
        <f t="shared" si="46"/>
        <v>163932</v>
      </c>
      <c r="H194" s="172">
        <f t="shared" si="47"/>
        <v>4.2352038807309339E-2</v>
      </c>
      <c r="I194" s="336"/>
      <c r="J194" s="223"/>
      <c r="K194" s="218"/>
      <c r="M194" s="364">
        <f t="shared" si="48"/>
        <v>13.651898734177216</v>
      </c>
      <c r="N194" s="359">
        <f>SUMMARY!J197</f>
        <v>9.4138592764245246</v>
      </c>
      <c r="P194"/>
      <c r="Q194"/>
    </row>
    <row r="195" spans="1:17" s="221" customFormat="1">
      <c r="A195" s="224" t="s">
        <v>139</v>
      </c>
      <c r="B195" s="148" t="s">
        <v>67</v>
      </c>
      <c r="C195" s="558">
        <f>'[31]Sch C'!D206</f>
        <v>10973</v>
      </c>
      <c r="D195" s="558">
        <f>'[31]Sch C'!F206</f>
        <v>0</v>
      </c>
      <c r="E195" s="171">
        <f t="shared" si="45"/>
        <v>10973</v>
      </c>
      <c r="F195" s="484"/>
      <c r="G195" s="171">
        <f t="shared" si="46"/>
        <v>10973</v>
      </c>
      <c r="H195" s="172">
        <f t="shared" si="47"/>
        <v>2.8348883795269097E-3</v>
      </c>
      <c r="I195" s="336"/>
      <c r="J195" s="223"/>
      <c r="K195" s="218"/>
      <c r="M195" s="364">
        <f t="shared" si="48"/>
        <v>0.91380746169220517</v>
      </c>
      <c r="N195" s="359">
        <f>SUMMARY!J198</f>
        <v>0.50303072526897752</v>
      </c>
      <c r="P195"/>
      <c r="Q195"/>
    </row>
    <row r="196" spans="1:17" s="221" customFormat="1">
      <c r="A196" s="225" t="s">
        <v>143</v>
      </c>
      <c r="B196" s="194" t="s">
        <v>333</v>
      </c>
      <c r="C196" s="558">
        <f>'[31]Sch C'!D207</f>
        <v>5385</v>
      </c>
      <c r="D196" s="558">
        <f>'[31]Sch C'!F207</f>
        <v>0</v>
      </c>
      <c r="E196" s="171">
        <f t="shared" si="45"/>
        <v>5385</v>
      </c>
      <c r="F196" s="677">
        <v>-2397</v>
      </c>
      <c r="G196" s="171">
        <f t="shared" si="46"/>
        <v>2988</v>
      </c>
      <c r="H196" s="172">
        <f t="shared" si="47"/>
        <v>7.7195356584584037E-4</v>
      </c>
      <c r="I196" s="336"/>
      <c r="J196" s="223"/>
      <c r="K196" s="218"/>
      <c r="M196" s="364">
        <f t="shared" si="48"/>
        <v>0.24883411059293803</v>
      </c>
      <c r="N196" s="359">
        <f>SUMMARY!J199</f>
        <v>0.37420738931321718</v>
      </c>
      <c r="P196"/>
      <c r="Q196"/>
    </row>
    <row r="197" spans="1:17" s="167" customFormat="1">
      <c r="A197" s="163"/>
      <c r="B197" s="212" t="s">
        <v>130</v>
      </c>
      <c r="C197" s="558">
        <f>SUM(C164:C196)</f>
        <v>723705</v>
      </c>
      <c r="D197" s="558">
        <f>SUM(D164:D196)</f>
        <v>48925.786958869343</v>
      </c>
      <c r="E197" s="171">
        <f t="shared" ref="E197:F197" si="49">SUM(E164:E196)</f>
        <v>772630.78695886931</v>
      </c>
      <c r="F197" s="171">
        <f t="shared" si="49"/>
        <v>-1421</v>
      </c>
      <c r="G197" s="171">
        <f>SUM(G164:G196)</f>
        <v>771209.78695886931</v>
      </c>
      <c r="H197" s="172">
        <f>IF($G$208=0,0,G197/$G$208)</f>
        <v>0.19924302043444111</v>
      </c>
      <c r="I197" s="336"/>
      <c r="J197" s="168"/>
      <c r="K197" s="168"/>
      <c r="M197" s="364">
        <f>G197/G$228</f>
        <v>64.224665802703967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'[31]Sch C'!D211</f>
        <v>78495</v>
      </c>
      <c r="D200" s="558">
        <f>'[31]Sch C'!F211</f>
        <v>6740.6945111354371</v>
      </c>
      <c r="E200" s="171">
        <f t="shared" ref="E200:E205" si="50">C200+D200</f>
        <v>85235.694511135443</v>
      </c>
      <c r="F200" s="484"/>
      <c r="G200" s="171">
        <f t="shared" ref="G200:G205" si="51">E200+F200</f>
        <v>85235.694511135443</v>
      </c>
      <c r="H200" s="172">
        <f t="shared" ref="H200:H206" si="52">IF($G$208=0,0,G200/$G$208)</f>
        <v>2.2020749101478491E-2</v>
      </c>
      <c r="I200" s="336"/>
      <c r="J200" s="183">
        <v>3766.0171428571434</v>
      </c>
      <c r="K200" s="183">
        <v>4142.0357142857138</v>
      </c>
      <c r="M200" s="364">
        <f t="shared" ref="M200:M205" si="53">G200/G$228</f>
        <v>7.0982423810072817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'[31]Sch C'!D212</f>
        <v>7436</v>
      </c>
      <c r="D201" s="558">
        <f>'[31]Sch C'!F212</f>
        <v>-98.16685714285714</v>
      </c>
      <c r="E201" s="171">
        <f t="shared" si="50"/>
        <v>7337.8331428571428</v>
      </c>
      <c r="F201" s="484"/>
      <c r="G201" s="171">
        <f t="shared" si="51"/>
        <v>7337.8331428571428</v>
      </c>
      <c r="H201" s="172">
        <f t="shared" si="52"/>
        <v>1.8957384404987823E-3</v>
      </c>
      <c r="I201" s="336"/>
      <c r="J201" s="168"/>
      <c r="K201" s="168"/>
      <c r="M201" s="364">
        <f t="shared" si="53"/>
        <v>0.61107870943180731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'[31]Sch C'!D213</f>
        <v>9041</v>
      </c>
      <c r="D202" s="558">
        <f>'[31]Sch C'!F213</f>
        <v>0</v>
      </c>
      <c r="E202" s="171">
        <f t="shared" si="50"/>
        <v>9041</v>
      </c>
      <c r="F202" s="484"/>
      <c r="G202" s="171">
        <f t="shared" si="51"/>
        <v>9041</v>
      </c>
      <c r="H202" s="172">
        <f t="shared" si="52"/>
        <v>2.3357537445824108E-3</v>
      </c>
      <c r="I202" s="336"/>
      <c r="J202" s="168"/>
      <c r="K202" s="168"/>
      <c r="M202" s="364">
        <f t="shared" si="53"/>
        <v>0.75291472351765487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'[31]Sch C'!D214</f>
        <v>0</v>
      </c>
      <c r="D203" s="558">
        <f>'[31]Sch C'!F214</f>
        <v>0</v>
      </c>
      <c r="E203" s="171">
        <f t="shared" si="50"/>
        <v>0</v>
      </c>
      <c r="F203" s="484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'[31]Sch C'!D215</f>
        <v>0</v>
      </c>
      <c r="D204" s="558">
        <f>'[31]Sch C'!F215</f>
        <v>0</v>
      </c>
      <c r="E204" s="171">
        <f t="shared" si="50"/>
        <v>0</v>
      </c>
      <c r="F204" s="484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'[31]Sch C'!D216</f>
        <v>1905</v>
      </c>
      <c r="D205" s="558">
        <f>'[31]Sch C'!F216</f>
        <v>0</v>
      </c>
      <c r="E205" s="171">
        <f t="shared" si="50"/>
        <v>1905</v>
      </c>
      <c r="F205" s="484"/>
      <c r="G205" s="171">
        <f t="shared" si="51"/>
        <v>1905</v>
      </c>
      <c r="H205" s="172">
        <f t="shared" si="52"/>
        <v>4.9215915091577168E-4</v>
      </c>
      <c r="I205" s="336"/>
      <c r="J205" s="168"/>
      <c r="K205" s="168"/>
      <c r="M205" s="364">
        <f t="shared" si="53"/>
        <v>0.15864423717521653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96877</v>
      </c>
      <c r="D206" s="558">
        <f>SUM(D200:D205)</f>
        <v>6642.5276539925799</v>
      </c>
      <c r="E206" s="171">
        <f t="shared" ref="E206:F206" si="54">SUM(E200:E205)</f>
        <v>103519.52765399258</v>
      </c>
      <c r="F206" s="171">
        <f t="shared" si="54"/>
        <v>0</v>
      </c>
      <c r="G206" s="171">
        <f>SUM(G200:G205)</f>
        <v>103519.52765399258</v>
      </c>
      <c r="H206" s="172">
        <f t="shared" si="52"/>
        <v>2.6744400437475453E-2</v>
      </c>
      <c r="I206" s="336"/>
      <c r="J206" s="168"/>
      <c r="K206" s="168"/>
      <c r="M206" s="364">
        <f>G206/G$228</f>
        <v>8.6208800511319605</v>
      </c>
      <c r="N206" s="359">
        <f>SUMMARY!J209</f>
        <v>7.1515095990067339</v>
      </c>
      <c r="O206" s="354">
        <f>M206/N206-1</f>
        <v>0.20546297698171401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3809365</v>
      </c>
      <c r="D208" s="558">
        <f>SUM(D25:D206)/2</f>
        <v>113935.13554451564</v>
      </c>
      <c r="E208" s="171">
        <f t="shared" ref="E208:F208" si="55">SUM(E25:E206)/2</f>
        <v>3923300.1355445157</v>
      </c>
      <c r="F208" s="171">
        <f t="shared" si="55"/>
        <v>-52601</v>
      </c>
      <c r="G208" s="171">
        <f>SUM(G25:G206)/2</f>
        <v>3870699.1355445147</v>
      </c>
      <c r="H208" s="172">
        <f>IF($G$208=0,0,G208/$G$208)</f>
        <v>1</v>
      </c>
      <c r="I208" s="336"/>
      <c r="J208" s="183">
        <f>SUM(J25:J200)</f>
        <v>90056.745714285731</v>
      </c>
      <c r="K208" s="183">
        <f>SUM(K25:K200)</f>
        <v>97694.892857142841</v>
      </c>
      <c r="M208" s="364">
        <f>G208/G$228</f>
        <v>322.34336571823076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0.70788546657280682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'[31]Sch C'!D221</f>
        <v>3809365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54623</v>
      </c>
      <c r="D215" s="558">
        <f>D21-D208</f>
        <v>-107181.13554451577</v>
      </c>
      <c r="E215" s="171">
        <f t="shared" ref="E215:F215" si="56">E21-E208</f>
        <v>-52558.135544516146</v>
      </c>
      <c r="F215" s="171">
        <f t="shared" si="56"/>
        <v>52601</v>
      </c>
      <c r="G215" s="171">
        <f>G21-G208</f>
        <v>42.86445548478514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'[31]Sch D'!C9</f>
        <v>297</v>
      </c>
      <c r="D219" s="592"/>
      <c r="E219" s="235">
        <f t="shared" ref="E219:G227" si="57">C219+D219</f>
        <v>297</v>
      </c>
      <c r="F219" s="485"/>
      <c r="G219" s="235">
        <f t="shared" si="57"/>
        <v>297</v>
      </c>
      <c r="H219" s="172">
        <f t="shared" ref="H219:H228" si="58">IF($G$228=0,0,G219/$G$228)</f>
        <v>2.4733510992671553E-2</v>
      </c>
      <c r="I219" s="336"/>
      <c r="J219" s="168"/>
      <c r="K219" s="168"/>
    </row>
    <row r="220" spans="1:17">
      <c r="A220" s="163"/>
      <c r="B220" s="170" t="s">
        <v>217</v>
      </c>
      <c r="C220" s="592">
        <f>'[31]Sch D'!D9</f>
        <v>0</v>
      </c>
      <c r="D220" s="592"/>
      <c r="E220" s="183">
        <f t="shared" si="57"/>
        <v>0</v>
      </c>
      <c r="F220" s="485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'[31]Sch D'!E9</f>
        <v>2829</v>
      </c>
      <c r="D221" s="592"/>
      <c r="E221" s="183">
        <f t="shared" si="57"/>
        <v>2829</v>
      </c>
      <c r="F221" s="485"/>
      <c r="G221" s="235">
        <f t="shared" si="57"/>
        <v>2829</v>
      </c>
      <c r="H221" s="172">
        <f t="shared" si="58"/>
        <v>0.23559293804130579</v>
      </c>
      <c r="I221" s="336"/>
      <c r="J221" s="168"/>
      <c r="K221" s="168"/>
    </row>
    <row r="222" spans="1:17">
      <c r="A222" s="163"/>
      <c r="B222" s="202" t="s">
        <v>334</v>
      </c>
      <c r="C222" s="592">
        <f>'[31]Sch D'!F9</f>
        <v>2068</v>
      </c>
      <c r="D222" s="592"/>
      <c r="E222" s="183">
        <f t="shared" si="57"/>
        <v>2068</v>
      </c>
      <c r="F222" s="485"/>
      <c r="G222" s="235">
        <f>E222+F222</f>
        <v>2068</v>
      </c>
      <c r="H222" s="172">
        <f t="shared" si="58"/>
        <v>0.17221852098600932</v>
      </c>
      <c r="I222" s="336"/>
      <c r="J222" s="168"/>
      <c r="K222" s="168"/>
    </row>
    <row r="223" spans="1:17">
      <c r="A223" s="163"/>
      <c r="B223" s="170" t="s">
        <v>73</v>
      </c>
      <c r="C223" s="592">
        <f>'[31]Sch D'!G9</f>
        <v>0</v>
      </c>
      <c r="D223" s="592"/>
      <c r="E223" s="183">
        <f t="shared" si="57"/>
        <v>0</v>
      </c>
      <c r="F223" s="485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'[31]Sch D'!H9</f>
        <v>6056</v>
      </c>
      <c r="D224" s="592"/>
      <c r="E224" s="183">
        <f t="shared" si="57"/>
        <v>6056</v>
      </c>
      <c r="F224" s="485"/>
      <c r="G224" s="235">
        <f t="shared" si="57"/>
        <v>6056</v>
      </c>
      <c r="H224" s="172">
        <f t="shared" si="58"/>
        <v>0.5043304463690873</v>
      </c>
      <c r="I224" s="336"/>
      <c r="J224" s="168"/>
      <c r="K224" s="168"/>
    </row>
    <row r="225" spans="1:11">
      <c r="A225" s="163"/>
      <c r="B225" s="170" t="s">
        <v>236</v>
      </c>
      <c r="C225" s="592">
        <f>'[31]Sch D'!I9</f>
        <v>192</v>
      </c>
      <c r="D225" s="592"/>
      <c r="E225" s="183">
        <f t="shared" si="57"/>
        <v>192</v>
      </c>
      <c r="F225" s="485"/>
      <c r="G225" s="235">
        <f t="shared" si="57"/>
        <v>192</v>
      </c>
      <c r="H225" s="172">
        <f t="shared" si="58"/>
        <v>1.5989340439706862E-2</v>
      </c>
      <c r="I225" s="336"/>
      <c r="J225" s="168"/>
      <c r="K225" s="168"/>
    </row>
    <row r="226" spans="1:11">
      <c r="A226" s="163"/>
      <c r="B226" s="170" t="s">
        <v>235</v>
      </c>
      <c r="C226" s="592">
        <f>'[31]Sch D'!J9</f>
        <v>5</v>
      </c>
      <c r="D226" s="592"/>
      <c r="E226" s="183">
        <f t="shared" si="57"/>
        <v>5</v>
      </c>
      <c r="F226" s="485"/>
      <c r="G226" s="235">
        <f>E226+F226</f>
        <v>5</v>
      </c>
      <c r="H226" s="172">
        <f t="shared" si="58"/>
        <v>4.1638907395069954E-4</v>
      </c>
      <c r="I226" s="336"/>
      <c r="J226" s="168"/>
      <c r="K226" s="168"/>
    </row>
    <row r="227" spans="1:11">
      <c r="A227" s="163"/>
      <c r="B227" s="170" t="s">
        <v>179</v>
      </c>
      <c r="C227" s="592">
        <f>'[31]Sch D'!K9</f>
        <v>561</v>
      </c>
      <c r="D227" s="592"/>
      <c r="E227" s="183">
        <f t="shared" si="57"/>
        <v>561</v>
      </c>
      <c r="F227" s="485"/>
      <c r="G227" s="235">
        <f t="shared" si="57"/>
        <v>561</v>
      </c>
      <c r="H227" s="172">
        <f t="shared" si="58"/>
        <v>4.6718854097268489E-2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12008</v>
      </c>
      <c r="D228" s="592">
        <f>SUM(D219:D227)</f>
        <v>0</v>
      </c>
      <c r="E228" s="237">
        <f>SUM(E219:E227)</f>
        <v>12008</v>
      </c>
      <c r="F228" s="237">
        <f>SUM(F219:F227)</f>
        <v>0</v>
      </c>
      <c r="G228" s="237">
        <f>SUM(G219:G227)</f>
        <v>12008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460" t="s">
        <v>639</v>
      </c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642" t="s">
        <v>638</v>
      </c>
      <c r="D230" s="232"/>
      <c r="E230" s="232"/>
      <c r="F230" s="506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'[31]Sch D'!N22</f>
        <v>100</v>
      </c>
      <c r="D231" s="559"/>
      <c r="E231" s="235">
        <f>C231+D231</f>
        <v>100</v>
      </c>
      <c r="F231" s="235">
        <v>20</v>
      </c>
      <c r="G231" s="235">
        <f>E231+F231</f>
        <v>120</v>
      </c>
      <c r="H231" s="508" t="s">
        <v>595</v>
      </c>
      <c r="J231" s="168"/>
      <c r="K231" s="168"/>
    </row>
    <row r="232" spans="1:11">
      <c r="A232" s="163"/>
      <c r="B232" s="202" t="s">
        <v>290</v>
      </c>
      <c r="C232" s="593">
        <f>'[31]Sch D'!N24</f>
        <v>100</v>
      </c>
      <c r="D232" s="559"/>
      <c r="E232" s="235">
        <f>C232+D232</f>
        <v>100</v>
      </c>
      <c r="F232" s="235">
        <v>-86</v>
      </c>
      <c r="G232" s="235">
        <f>E232+F232</f>
        <v>14</v>
      </c>
      <c r="H232" s="508" t="s">
        <v>637</v>
      </c>
      <c r="J232" s="168"/>
      <c r="K232" s="168"/>
    </row>
    <row r="233" spans="1:11">
      <c r="A233" s="163"/>
      <c r="B233" s="202" t="s">
        <v>76</v>
      </c>
      <c r="C233" s="593">
        <f>$C$4-$C$3+1</f>
        <v>182</v>
      </c>
      <c r="D233" s="483"/>
      <c r="E233" s="235">
        <f>C233+D233</f>
        <v>182</v>
      </c>
      <c r="F233" s="571"/>
      <c r="G233" s="235">
        <f>E233+F233</f>
        <v>182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570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'[31]Sch D'!N28</f>
        <v>18200</v>
      </c>
      <c r="D235" s="483"/>
      <c r="E235" s="234">
        <f>E231*E233</f>
        <v>18200</v>
      </c>
      <c r="F235" s="643" t="s">
        <v>594</v>
      </c>
      <c r="G235" s="234">
        <f>G231*G233</f>
        <v>21840</v>
      </c>
      <c r="H235" s="167" t="s">
        <v>596</v>
      </c>
      <c r="J235" s="168"/>
      <c r="K235" s="168"/>
    </row>
    <row r="236" spans="1:11" ht="26.5">
      <c r="A236" s="163"/>
      <c r="B236" s="243" t="s">
        <v>336</v>
      </c>
      <c r="C236" s="594">
        <f>'[31]Sch D'!N30</f>
        <v>0.65978021978021983</v>
      </c>
      <c r="D236" s="239"/>
      <c r="E236" s="244">
        <f>E228/E235</f>
        <v>0.65978021978021983</v>
      </c>
      <c r="F236" s="573"/>
      <c r="G236" s="244">
        <f>G228/G235</f>
        <v>0.54981684981684986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'[31]Sch D'!N32</f>
        <v>1.6318681318681319E-2</v>
      </c>
      <c r="D237" s="239"/>
      <c r="E237" s="244">
        <f>(E219+E220)/E235</f>
        <v>1.6318681318681319E-2</v>
      </c>
      <c r="F237" s="573"/>
      <c r="G237" s="244">
        <f>(G219+G220)/G235</f>
        <v>1.3598901098901099E-2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'[31]Sch D'!N34</f>
        <v>2.4733510992671549E-2</v>
      </c>
      <c r="D238" s="239"/>
      <c r="E238" s="244">
        <f>(E237/E236)</f>
        <v>2.4733510992671549E-2</v>
      </c>
      <c r="F238" s="573"/>
      <c r="G238" s="244">
        <f>(G237/G236)</f>
        <v>2.4733510992671549E-2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 t="str">
        <f>'[31]Sch B'!C85</f>
        <v/>
      </c>
    </row>
    <row r="242" spans="2:7">
      <c r="F242" s="142" t="s">
        <v>341</v>
      </c>
      <c r="G242" s="558" t="str">
        <f>'[31]Sch B'!E85</f>
        <v/>
      </c>
    </row>
    <row r="243" spans="2:7">
      <c r="F243" s="142" t="s">
        <v>342</v>
      </c>
      <c r="G243" s="558">
        <f>'[31]Sch B'!G85</f>
        <v>205.13692810457516</v>
      </c>
    </row>
    <row r="244" spans="2:7">
      <c r="F244" s="142" t="s">
        <v>343</v>
      </c>
      <c r="G244" s="558">
        <f>'[31]Sch B'!I85</f>
        <v>205.65754339118826</v>
      </c>
    </row>
    <row r="245" spans="2:7">
      <c r="B245" s="523" t="s">
        <v>448</v>
      </c>
      <c r="F245" s="142"/>
    </row>
    <row r="246" spans="2:7">
      <c r="B246" s="460" t="s">
        <v>449</v>
      </c>
    </row>
    <row r="247" spans="2:7">
      <c r="B247" s="140" t="s">
        <v>450</v>
      </c>
    </row>
    <row r="248" spans="2:7">
      <c r="B248" s="140" t="s">
        <v>451</v>
      </c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5">
    <tabColor rgb="FFE28CAB"/>
  </sheetPr>
  <dimension ref="A1:Q246"/>
  <sheetViews>
    <sheetView showGridLines="0" zoomScale="125" zoomScaleNormal="125" workbookViewId="0">
      <pane xSplit="2" ySplit="10" topLeftCell="C225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6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707" t="s">
        <v>717</v>
      </c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447</v>
      </c>
      <c r="D2" s="602" t="s">
        <v>515</v>
      </c>
      <c r="E2" s="460" t="s">
        <v>516</v>
      </c>
    </row>
    <row r="3" spans="1:17">
      <c r="A3" s="145"/>
      <c r="B3" s="140" t="s">
        <v>79</v>
      </c>
      <c r="C3" s="489">
        <v>42186</v>
      </c>
      <c r="D3" s="144"/>
      <c r="E3"/>
      <c r="F3" s="586" t="s">
        <v>512</v>
      </c>
    </row>
    <row r="4" spans="1:17">
      <c r="A4" s="145"/>
      <c r="B4" s="148" t="s">
        <v>80</v>
      </c>
      <c r="C4" s="489">
        <v>42551</v>
      </c>
      <c r="D4" s="144"/>
      <c r="E4"/>
      <c r="F4" s="586" t="s">
        <v>518</v>
      </c>
      <c r="G4" s="150"/>
    </row>
    <row r="5" spans="1:17">
      <c r="A5" s="145"/>
      <c r="B5" s="148"/>
      <c r="C5" s="151"/>
      <c r="D5" s="144"/>
      <c r="F5" s="510" t="s">
        <v>519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3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03" t="s">
        <v>520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v>641288</v>
      </c>
      <c r="D11" s="558">
        <v>0</v>
      </c>
      <c r="E11" s="171">
        <f>C11+D11</f>
        <v>641288</v>
      </c>
      <c r="F11" s="677">
        <f>(1858920-69732)</f>
        <v>1789188</v>
      </c>
      <c r="G11" s="171">
        <f t="shared" ref="G11:G20" si="0">E11+F11</f>
        <v>2430476</v>
      </c>
      <c r="H11" s="172">
        <f t="shared" ref="H11:H21" si="1">IF($G$21=0,0,G11/$G$21)</f>
        <v>0.83967898069807534</v>
      </c>
      <c r="I11" s="336"/>
      <c r="J11" s="368" t="s">
        <v>344</v>
      </c>
      <c r="K11" s="369">
        <f>G21</f>
        <v>2894530</v>
      </c>
      <c r="M11" s="359">
        <f>IFERROR(G11/G219,0)</f>
        <v>228.98775202562652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v>0</v>
      </c>
      <c r="D12" s="558">
        <v>0</v>
      </c>
      <c r="E12" s="171">
        <f t="shared" ref="E12:E20" si="2">C12+D12</f>
        <v>0</v>
      </c>
      <c r="F12" s="484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1884721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v>0</v>
      </c>
      <c r="D13" s="558">
        <v>0</v>
      </c>
      <c r="E13" s="171">
        <f t="shared" si="2"/>
        <v>0</v>
      </c>
      <c r="F13" s="484">
        <v>0</v>
      </c>
      <c r="G13" s="171">
        <f t="shared" si="0"/>
        <v>0</v>
      </c>
      <c r="H13" s="172">
        <f t="shared" si="1"/>
        <v>0</v>
      </c>
      <c r="I13" s="336"/>
      <c r="J13" s="370" t="s">
        <v>346</v>
      </c>
      <c r="K13" s="371">
        <f>G228</f>
        <v>13000</v>
      </c>
      <c r="M13" s="359">
        <f t="shared" si="3"/>
        <v>0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v>0</v>
      </c>
      <c r="D14" s="558">
        <v>0</v>
      </c>
      <c r="E14" s="171">
        <f t="shared" si="2"/>
        <v>0</v>
      </c>
      <c r="F14" s="484">
        <v>0</v>
      </c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37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v>0</v>
      </c>
      <c r="D15" s="558">
        <v>0</v>
      </c>
      <c r="E15" s="171">
        <f t="shared" si="2"/>
        <v>0</v>
      </c>
      <c r="F15" s="484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13542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v>16080</v>
      </c>
      <c r="D16" s="558">
        <v>0</v>
      </c>
      <c r="E16" s="171">
        <f t="shared" si="2"/>
        <v>16080</v>
      </c>
      <c r="F16" s="484">
        <v>42955</v>
      </c>
      <c r="G16" s="171">
        <f t="shared" si="0"/>
        <v>59035</v>
      </c>
      <c r="H16" s="172">
        <f t="shared" si="1"/>
        <v>2.0395366432546906E-2</v>
      </c>
      <c r="I16" s="336"/>
      <c r="J16" s="372"/>
      <c r="K16" s="371"/>
      <c r="M16" s="359">
        <f t="shared" si="3"/>
        <v>200.79931972789115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v>148511</v>
      </c>
      <c r="D17" s="558">
        <v>0</v>
      </c>
      <c r="E17" s="171">
        <f t="shared" si="2"/>
        <v>148511</v>
      </c>
      <c r="F17" s="484">
        <v>219816</v>
      </c>
      <c r="G17" s="171">
        <f>E17+F17</f>
        <v>368327</v>
      </c>
      <c r="H17" s="172">
        <f t="shared" si="1"/>
        <v>0.12724932890659277</v>
      </c>
      <c r="I17" s="336"/>
      <c r="J17" s="370" t="s">
        <v>156</v>
      </c>
      <c r="K17" s="371">
        <f>J208</f>
        <v>49052.36</v>
      </c>
      <c r="M17" s="359">
        <f t="shared" si="3"/>
        <v>181.88987654320988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v>0</v>
      </c>
      <c r="D18" s="558">
        <v>0</v>
      </c>
      <c r="E18" s="171">
        <f t="shared" si="2"/>
        <v>0</v>
      </c>
      <c r="F18" s="484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50234.95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v>0</v>
      </c>
      <c r="D19" s="558">
        <v>0</v>
      </c>
      <c r="E19" s="171">
        <f t="shared" si="2"/>
        <v>0</v>
      </c>
      <c r="F19" s="484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v>23639</v>
      </c>
      <c r="D20" s="558">
        <v>0</v>
      </c>
      <c r="E20" s="171">
        <f t="shared" si="2"/>
        <v>23639</v>
      </c>
      <c r="F20" s="706">
        <f>-196665+209718</f>
        <v>13053</v>
      </c>
      <c r="G20" s="171">
        <f t="shared" si="0"/>
        <v>36692</v>
      </c>
      <c r="H20" s="172">
        <f t="shared" si="1"/>
        <v>1.2676323962784977E-2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829518</v>
      </c>
      <c r="D21" s="558">
        <f>SUM(D11:D20)</f>
        <v>0</v>
      </c>
      <c r="E21" s="171">
        <f>SUM(E11:E20)</f>
        <v>829518</v>
      </c>
      <c r="F21" s="171">
        <f>SUM(F11:F20)</f>
        <v>2065012</v>
      </c>
      <c r="G21" s="171">
        <f>SUM(G11:G20)</f>
        <v>2894530</v>
      </c>
      <c r="H21" s="172">
        <f t="shared" si="1"/>
        <v>1</v>
      </c>
      <c r="I21" s="336"/>
      <c r="J21" s="168"/>
      <c r="K21" s="168"/>
      <c r="M21" s="359">
        <f>IFERROR(G21/G228,0)</f>
        <v>222.65615384615384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v>24413</v>
      </c>
      <c r="D25" s="558">
        <v>0</v>
      </c>
      <c r="E25" s="171">
        <f t="shared" ref="E25:E60" si="4">C25+D25</f>
        <v>24413</v>
      </c>
      <c r="F25" s="484">
        <v>61539</v>
      </c>
      <c r="G25" s="182">
        <f>E25+F25</f>
        <v>85952</v>
      </c>
      <c r="H25" s="172">
        <f>IF($G$208=0,0,G25/$G$208)</f>
        <v>4.5604627952890643E-2</v>
      </c>
      <c r="I25" s="336"/>
      <c r="J25" s="183">
        <f>720+1360</f>
        <v>2080</v>
      </c>
      <c r="K25" s="183">
        <f>720+1360</f>
        <v>2080</v>
      </c>
      <c r="M25" s="359">
        <f>G25/G$228</f>
        <v>6.6116923076923078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v>0</v>
      </c>
      <c r="D26" s="558">
        <v>0</v>
      </c>
      <c r="E26" s="171">
        <f t="shared" si="4"/>
        <v>0</v>
      </c>
      <c r="F26" s="484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v>18767</v>
      </c>
      <c r="D27" s="558">
        <v>0</v>
      </c>
      <c r="E27" s="171">
        <f t="shared" si="4"/>
        <v>18767</v>
      </c>
      <c r="F27" s="484">
        <v>32108</v>
      </c>
      <c r="G27" s="171">
        <f t="shared" si="5"/>
        <v>50875</v>
      </c>
      <c r="H27" s="172">
        <f t="shared" si="6"/>
        <v>2.6993385227840089E-2</v>
      </c>
      <c r="I27" s="336"/>
      <c r="J27" s="185">
        <f>782+2238</f>
        <v>3020</v>
      </c>
      <c r="K27" s="185">
        <f>782+2249</f>
        <v>3031</v>
      </c>
      <c r="M27" s="359">
        <f t="shared" si="7"/>
        <v>3.9134615384615383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v>2039</v>
      </c>
      <c r="D28" s="558">
        <v>0</v>
      </c>
      <c r="E28" s="171">
        <f t="shared" si="4"/>
        <v>2039</v>
      </c>
      <c r="F28" s="484">
        <v>16088</v>
      </c>
      <c r="G28" s="171">
        <f t="shared" si="5"/>
        <v>18127</v>
      </c>
      <c r="H28" s="172">
        <f t="shared" si="6"/>
        <v>9.617869170025696E-3</v>
      </c>
      <c r="I28" s="336"/>
      <c r="J28" s="168"/>
      <c r="K28" s="168"/>
      <c r="M28" s="359">
        <f t="shared" si="7"/>
        <v>1.3943846153846153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v>0</v>
      </c>
      <c r="D29" s="558">
        <v>0</v>
      </c>
      <c r="E29" s="171">
        <f t="shared" si="4"/>
        <v>0</v>
      </c>
      <c r="F29" s="484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v>0</v>
      </c>
      <c r="D30" s="558">
        <v>0</v>
      </c>
      <c r="E30" s="171">
        <f t="shared" si="4"/>
        <v>0</v>
      </c>
      <c r="F30" s="677">
        <f>(479834-479834)</f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v>0</v>
      </c>
      <c r="D31" s="558">
        <v>0</v>
      </c>
      <c r="E31" s="171">
        <f t="shared" si="4"/>
        <v>0</v>
      </c>
      <c r="F31" s="484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v>963</v>
      </c>
      <c r="D32" s="558">
        <v>-963</v>
      </c>
      <c r="E32" s="171">
        <f t="shared" si="4"/>
        <v>0</v>
      </c>
      <c r="F32" s="484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v>3557</v>
      </c>
      <c r="D33" s="558">
        <v>0</v>
      </c>
      <c r="E33" s="171">
        <f t="shared" si="4"/>
        <v>3557</v>
      </c>
      <c r="F33" s="484">
        <v>3000</v>
      </c>
      <c r="G33" s="171">
        <f t="shared" si="5"/>
        <v>6557</v>
      </c>
      <c r="H33" s="172">
        <f t="shared" si="6"/>
        <v>3.4790295221414735E-3</v>
      </c>
      <c r="I33" s="336"/>
      <c r="J33" s="168"/>
      <c r="K33" s="168"/>
      <c r="M33" s="359">
        <f t="shared" si="7"/>
        <v>0.50438461538461543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v>11330</v>
      </c>
      <c r="D34" s="558">
        <v>0</v>
      </c>
      <c r="E34" s="171">
        <f t="shared" si="4"/>
        <v>11330</v>
      </c>
      <c r="F34" s="484">
        <v>13278</v>
      </c>
      <c r="G34" s="171">
        <f t="shared" si="5"/>
        <v>24608</v>
      </c>
      <c r="H34" s="172">
        <f t="shared" si="6"/>
        <v>1.3056574421359978E-2</v>
      </c>
      <c r="I34" s="336"/>
      <c r="J34" s="168"/>
      <c r="K34" s="168"/>
      <c r="M34" s="359">
        <f t="shared" si="7"/>
        <v>1.8929230769230769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v>2390</v>
      </c>
      <c r="D35" s="558">
        <v>0</v>
      </c>
      <c r="E35" s="171">
        <f t="shared" si="4"/>
        <v>2390</v>
      </c>
      <c r="F35" s="484">
        <v>5427</v>
      </c>
      <c r="G35" s="171">
        <f t="shared" si="5"/>
        <v>7817</v>
      </c>
      <c r="H35" s="172">
        <f t="shared" si="6"/>
        <v>4.147563485523852E-3</v>
      </c>
      <c r="I35" s="336"/>
      <c r="J35" s="168"/>
      <c r="K35" s="168"/>
      <c r="M35" s="359">
        <f t="shared" si="7"/>
        <v>0.60130769230769232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v>13582</v>
      </c>
      <c r="D36" s="558">
        <v>0</v>
      </c>
      <c r="E36" s="171">
        <f t="shared" si="4"/>
        <v>13582</v>
      </c>
      <c r="F36" s="484">
        <v>5199</v>
      </c>
      <c r="G36" s="171">
        <f t="shared" si="5"/>
        <v>18781</v>
      </c>
      <c r="H36" s="172">
        <f t="shared" si="6"/>
        <v>9.9648701319717883E-3</v>
      </c>
      <c r="I36" s="336"/>
      <c r="J36" s="168"/>
      <c r="K36" s="168"/>
      <c r="M36" s="359">
        <f t="shared" si="7"/>
        <v>1.4446923076923077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v>0</v>
      </c>
      <c r="D37" s="558">
        <v>0</v>
      </c>
      <c r="E37" s="171">
        <f t="shared" si="4"/>
        <v>0</v>
      </c>
      <c r="F37" s="484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v>4307</v>
      </c>
      <c r="D38" s="558">
        <v>0</v>
      </c>
      <c r="E38" s="171">
        <f t="shared" si="4"/>
        <v>4307</v>
      </c>
      <c r="F38" s="677">
        <f>(11600-5708-417)</f>
        <v>5475</v>
      </c>
      <c r="G38" s="171">
        <f t="shared" si="5"/>
        <v>9782</v>
      </c>
      <c r="H38" s="172">
        <f t="shared" si="6"/>
        <v>5.1901581188939904E-3</v>
      </c>
      <c r="I38" s="336"/>
      <c r="J38" s="168"/>
      <c r="K38" s="168"/>
      <c r="M38" s="359">
        <f t="shared" si="7"/>
        <v>0.75246153846153851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v>0</v>
      </c>
      <c r="D39" s="558">
        <v>0</v>
      </c>
      <c r="E39" s="171">
        <f t="shared" si="4"/>
        <v>0</v>
      </c>
      <c r="F39" s="484">
        <v>0</v>
      </c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v>0</v>
      </c>
      <c r="D40" s="558">
        <v>0</v>
      </c>
      <c r="E40" s="171">
        <f t="shared" si="4"/>
        <v>0</v>
      </c>
      <c r="F40" s="484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v>81617</v>
      </c>
      <c r="D41" s="558">
        <v>0</v>
      </c>
      <c r="E41" s="171">
        <f t="shared" si="4"/>
        <v>81617</v>
      </c>
      <c r="F41" s="484">
        <v>156602</v>
      </c>
      <c r="G41" s="171">
        <f t="shared" si="5"/>
        <v>238219</v>
      </c>
      <c r="H41" s="172">
        <f t="shared" si="6"/>
        <v>0.1263948350976086</v>
      </c>
      <c r="I41" s="336"/>
      <c r="J41" s="168"/>
      <c r="K41" s="168"/>
      <c r="M41" s="359">
        <f t="shared" si="7"/>
        <v>18.324538461538463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v>0</v>
      </c>
      <c r="D42" s="558">
        <v>0</v>
      </c>
      <c r="E42" s="171">
        <f t="shared" si="4"/>
        <v>0</v>
      </c>
      <c r="F42" s="484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v>0</v>
      </c>
      <c r="D43" s="558">
        <v>0</v>
      </c>
      <c r="E43" s="171">
        <f t="shared" si="4"/>
        <v>0</v>
      </c>
      <c r="F43" s="484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v>0</v>
      </c>
      <c r="D44" s="558">
        <v>0</v>
      </c>
      <c r="E44" s="171">
        <f t="shared" si="4"/>
        <v>0</v>
      </c>
      <c r="F44" s="484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v>0</v>
      </c>
      <c r="D45" s="558">
        <v>0</v>
      </c>
      <c r="E45" s="171">
        <f t="shared" si="4"/>
        <v>0</v>
      </c>
      <c r="F45" s="484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v>6434</v>
      </c>
      <c r="D46" s="558">
        <v>0</v>
      </c>
      <c r="E46" s="171">
        <f t="shared" si="4"/>
        <v>6434</v>
      </c>
      <c r="F46" s="484">
        <v>10849</v>
      </c>
      <c r="G46" s="171">
        <f t="shared" si="5"/>
        <v>17283</v>
      </c>
      <c r="H46" s="172">
        <f t="shared" si="6"/>
        <v>9.1700575310616258E-3</v>
      </c>
      <c r="I46" s="336"/>
      <c r="J46" s="168"/>
      <c r="K46" s="168"/>
      <c r="M46" s="359">
        <f t="shared" si="7"/>
        <v>1.3294615384615385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v>3809</v>
      </c>
      <c r="D47" s="558">
        <v>0</v>
      </c>
      <c r="E47" s="171">
        <f t="shared" si="4"/>
        <v>3809</v>
      </c>
      <c r="F47" s="484">
        <v>33064</v>
      </c>
      <c r="G47" s="171">
        <f t="shared" si="5"/>
        <v>36873</v>
      </c>
      <c r="H47" s="172">
        <f t="shared" si="6"/>
        <v>1.9564168914125751E-2</v>
      </c>
      <c r="I47" s="336"/>
      <c r="J47" s="168"/>
      <c r="K47" s="168"/>
      <c r="M47" s="359">
        <f t="shared" si="7"/>
        <v>2.8363846153846155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v>0</v>
      </c>
      <c r="D48" s="558">
        <v>0</v>
      </c>
      <c r="E48" s="171">
        <f t="shared" si="4"/>
        <v>0</v>
      </c>
      <c r="F48" s="484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v>0</v>
      </c>
      <c r="D49" s="558">
        <v>0</v>
      </c>
      <c r="E49" s="171">
        <f t="shared" si="4"/>
        <v>0</v>
      </c>
      <c r="F49" s="484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v>0</v>
      </c>
      <c r="D50" s="558">
        <v>0</v>
      </c>
      <c r="E50" s="171">
        <f t="shared" si="4"/>
        <v>0</v>
      </c>
      <c r="F50" s="484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v>0</v>
      </c>
      <c r="D51" s="558">
        <v>0</v>
      </c>
      <c r="E51" s="171">
        <f t="shared" si="4"/>
        <v>0</v>
      </c>
      <c r="F51" s="484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v>0</v>
      </c>
      <c r="D52" s="558">
        <v>0</v>
      </c>
      <c r="E52" s="171">
        <f t="shared" si="4"/>
        <v>0</v>
      </c>
      <c r="F52" s="484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v>0</v>
      </c>
      <c r="D53" s="558">
        <v>0</v>
      </c>
      <c r="E53" s="171">
        <f t="shared" si="4"/>
        <v>0</v>
      </c>
      <c r="F53" s="484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v>540</v>
      </c>
      <c r="D54" s="558">
        <v>0</v>
      </c>
      <c r="E54" s="171">
        <f t="shared" si="4"/>
        <v>540</v>
      </c>
      <c r="F54" s="484">
        <v>2686</v>
      </c>
      <c r="G54" s="171">
        <f t="shared" si="5"/>
        <v>3226</v>
      </c>
      <c r="H54" s="172">
        <f t="shared" si="6"/>
        <v>1.7116591792631377E-3</v>
      </c>
      <c r="I54" s="336"/>
      <c r="J54" s="168"/>
      <c r="K54" s="168"/>
      <c r="M54" s="359">
        <f t="shared" si="7"/>
        <v>0.24815384615384614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v>0</v>
      </c>
      <c r="D55" s="558">
        <v>0</v>
      </c>
      <c r="E55" s="171">
        <f t="shared" si="4"/>
        <v>0</v>
      </c>
      <c r="F55" s="484">
        <v>0</v>
      </c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v>34075</v>
      </c>
      <c r="D56" s="558">
        <v>0</v>
      </c>
      <c r="E56" s="171">
        <f t="shared" si="4"/>
        <v>34075</v>
      </c>
      <c r="F56" s="679">
        <f>(53298-292)</f>
        <v>53006</v>
      </c>
      <c r="G56" s="171">
        <f t="shared" si="5"/>
        <v>87081</v>
      </c>
      <c r="H56" s="172">
        <f t="shared" si="6"/>
        <v>4.6203655607381676E-2</v>
      </c>
      <c r="I56" s="336"/>
      <c r="J56" s="168"/>
      <c r="K56" s="168"/>
      <c r="M56" s="359">
        <f t="shared" si="7"/>
        <v>6.6985384615384618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v>30</v>
      </c>
      <c r="D57" s="558">
        <v>0</v>
      </c>
      <c r="E57" s="171">
        <f t="shared" si="4"/>
        <v>30</v>
      </c>
      <c r="F57" s="677">
        <f>(3618+292)</f>
        <v>3910</v>
      </c>
      <c r="G57" s="171">
        <f t="shared" si="5"/>
        <v>3940</v>
      </c>
      <c r="H57" s="172">
        <f t="shared" si="6"/>
        <v>2.0904950918464857E-3</v>
      </c>
      <c r="I57" s="336"/>
      <c r="J57" s="168"/>
      <c r="K57" s="168"/>
      <c r="M57" s="359">
        <f t="shared" si="7"/>
        <v>0.30307692307692308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v>2624</v>
      </c>
      <c r="D58" s="558">
        <v>-2624</v>
      </c>
      <c r="E58" s="171">
        <f t="shared" si="4"/>
        <v>0</v>
      </c>
      <c r="F58" s="484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v>0</v>
      </c>
      <c r="D59" s="558">
        <v>0</v>
      </c>
      <c r="E59" s="171">
        <f t="shared" si="4"/>
        <v>0</v>
      </c>
      <c r="F59" s="484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v>1031</v>
      </c>
      <c r="D60" s="558">
        <v>0</v>
      </c>
      <c r="E60" s="171">
        <f t="shared" si="4"/>
        <v>1031</v>
      </c>
      <c r="F60" s="484">
        <v>1694</v>
      </c>
      <c r="G60" s="171">
        <f t="shared" si="5"/>
        <v>2725</v>
      </c>
      <c r="H60" s="172">
        <f t="shared" si="6"/>
        <v>1.4458373414420491E-3</v>
      </c>
      <c r="I60" s="336"/>
      <c r="J60" s="168"/>
      <c r="K60" s="168"/>
      <c r="M60" s="359">
        <f t="shared" si="7"/>
        <v>0.20961538461538462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211508</v>
      </c>
      <c r="D61" s="558">
        <f>SUM(D25:D60)</f>
        <v>-3587</v>
      </c>
      <c r="E61" s="171">
        <f t="shared" ref="E61:F61" si="8">SUM(E25:E60)</f>
        <v>207921</v>
      </c>
      <c r="F61" s="171">
        <f t="shared" si="8"/>
        <v>403925</v>
      </c>
      <c r="G61" s="171">
        <f>SUM(G25:G60)</f>
        <v>611846</v>
      </c>
      <c r="H61" s="186">
        <f t="shared" si="6"/>
        <v>0.32463478679337682</v>
      </c>
      <c r="I61" s="338"/>
      <c r="J61" s="168"/>
      <c r="K61" s="168"/>
      <c r="M61" s="364">
        <f>G61/G$228</f>
        <v>47.065076923076923</v>
      </c>
      <c r="N61" s="359">
        <f>SUMMARY!J64</f>
        <v>53.728790309602623</v>
      </c>
      <c r="O61" s="354">
        <f>M61/N61-1</f>
        <v>-0.12402500313383635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680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v>37240</v>
      </c>
      <c r="D64" s="558">
        <v>0</v>
      </c>
      <c r="E64" s="171">
        <f t="shared" ref="E64:E78" si="9">C64+D64</f>
        <v>37240</v>
      </c>
      <c r="F64" s="679">
        <f>(243088-37240-243088)</f>
        <v>-37240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v>0</v>
      </c>
      <c r="D65" s="558">
        <v>0</v>
      </c>
      <c r="E65" s="171">
        <f t="shared" si="9"/>
        <v>0</v>
      </c>
      <c r="F65" s="679">
        <f>(11924+23849)</f>
        <v>35773</v>
      </c>
      <c r="G65" s="171">
        <f t="shared" si="10"/>
        <v>35773</v>
      </c>
      <c r="H65" s="172">
        <f t="shared" si="11"/>
        <v>1.8980528152442722E-2</v>
      </c>
      <c r="I65" s="336"/>
      <c r="J65" s="190"/>
      <c r="K65" s="168"/>
      <c r="M65" s="359">
        <f t="shared" si="12"/>
        <v>2.7517692307692307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v>0</v>
      </c>
      <c r="D66" s="558">
        <v>0</v>
      </c>
      <c r="E66" s="171">
        <f t="shared" si="9"/>
        <v>0</v>
      </c>
      <c r="F66" s="677">
        <f>(25344+50688)</f>
        <v>76032</v>
      </c>
      <c r="G66" s="171">
        <f t="shared" si="10"/>
        <v>76032</v>
      </c>
      <c r="H66" s="172">
        <f t="shared" si="11"/>
        <v>4.0341249447530959E-2</v>
      </c>
      <c r="I66" s="336"/>
      <c r="J66" s="190"/>
      <c r="K66" s="168"/>
      <c r="M66" s="359">
        <f t="shared" si="12"/>
        <v>5.8486153846153845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v>9911</v>
      </c>
      <c r="D67" s="558">
        <v>0</v>
      </c>
      <c r="E67" s="171">
        <f t="shared" si="9"/>
        <v>9911</v>
      </c>
      <c r="F67" s="484">
        <v>0</v>
      </c>
      <c r="G67" s="171">
        <f t="shared" si="10"/>
        <v>9911</v>
      </c>
      <c r="H67" s="172">
        <f t="shared" si="11"/>
        <v>5.2586032627640906E-3</v>
      </c>
      <c r="I67" s="336"/>
      <c r="J67" s="193"/>
      <c r="K67" s="168"/>
      <c r="M67" s="359">
        <f t="shared" si="12"/>
        <v>0.76238461538461544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v>0</v>
      </c>
      <c r="D68" s="558">
        <v>0</v>
      </c>
      <c r="E68" s="171">
        <f t="shared" si="9"/>
        <v>0</v>
      </c>
      <c r="F68" s="484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v>0</v>
      </c>
      <c r="D69" s="558">
        <v>0</v>
      </c>
      <c r="E69" s="171">
        <f t="shared" si="9"/>
        <v>0</v>
      </c>
      <c r="F69" s="484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v>0</v>
      </c>
      <c r="D70" s="558">
        <v>0</v>
      </c>
      <c r="E70" s="171">
        <f t="shared" si="9"/>
        <v>0</v>
      </c>
      <c r="F70" s="484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v>0</v>
      </c>
      <c r="D71" s="558">
        <v>0</v>
      </c>
      <c r="E71" s="171">
        <f t="shared" si="9"/>
        <v>0</v>
      </c>
      <c r="F71" s="484">
        <v>715</v>
      </c>
      <c r="G71" s="171">
        <f t="shared" si="10"/>
        <v>715</v>
      </c>
      <c r="H71" s="172">
        <f t="shared" si="11"/>
        <v>3.7936649509396882E-4</v>
      </c>
      <c r="I71" s="336"/>
      <c r="J71" s="195"/>
      <c r="K71" s="168"/>
      <c r="M71" s="359">
        <f t="shared" si="12"/>
        <v>5.5E-2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v>1376</v>
      </c>
      <c r="D72" s="558">
        <v>0</v>
      </c>
      <c r="E72" s="171">
        <f t="shared" si="9"/>
        <v>1376</v>
      </c>
      <c r="F72" s="484">
        <v>10383</v>
      </c>
      <c r="G72" s="171">
        <f t="shared" si="10"/>
        <v>11759</v>
      </c>
      <c r="H72" s="172">
        <f t="shared" si="11"/>
        <v>6.2391197423915792E-3</v>
      </c>
      <c r="I72" s="336"/>
      <c r="J72" s="195"/>
      <c r="K72" s="168"/>
      <c r="M72" s="359">
        <f t="shared" si="12"/>
        <v>0.90453846153846151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v>0</v>
      </c>
      <c r="D73" s="558">
        <v>0</v>
      </c>
      <c r="E73" s="171">
        <f t="shared" si="9"/>
        <v>0</v>
      </c>
      <c r="F73" s="679">
        <v>5708</v>
      </c>
      <c r="G73" s="171">
        <f t="shared" si="10"/>
        <v>5708</v>
      </c>
      <c r="H73" s="172">
        <f t="shared" si="11"/>
        <v>3.0285649706242993E-3</v>
      </c>
      <c r="I73" s="336"/>
      <c r="J73" s="195"/>
      <c r="K73" s="168"/>
      <c r="M73" s="359">
        <f t="shared" si="12"/>
        <v>0.43907692307692309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v>0</v>
      </c>
      <c r="D74" s="558">
        <v>0</v>
      </c>
      <c r="E74" s="171">
        <f t="shared" si="9"/>
        <v>0</v>
      </c>
      <c r="F74" s="677">
        <f>(2363+4727)</f>
        <v>7090</v>
      </c>
      <c r="G74" s="171">
        <f t="shared" si="10"/>
        <v>7090</v>
      </c>
      <c r="H74" s="172">
        <f t="shared" si="11"/>
        <v>3.761830000302432E-3</v>
      </c>
      <c r="I74" s="336"/>
      <c r="J74" s="195"/>
      <c r="K74" s="168"/>
      <c r="M74" s="359">
        <f t="shared" si="12"/>
        <v>0.54538461538461536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v>0</v>
      </c>
      <c r="D75" s="558">
        <v>0</v>
      </c>
      <c r="E75" s="171">
        <f t="shared" si="9"/>
        <v>0</v>
      </c>
      <c r="F75" s="484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v>0</v>
      </c>
      <c r="D76" s="558">
        <v>0</v>
      </c>
      <c r="E76" s="171">
        <f t="shared" si="9"/>
        <v>0</v>
      </c>
      <c r="F76" s="484">
        <v>0</v>
      </c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v>0</v>
      </c>
      <c r="D77" s="558">
        <v>0</v>
      </c>
      <c r="E77" s="171">
        <f t="shared" si="9"/>
        <v>0</v>
      </c>
      <c r="F77" s="484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v>0</v>
      </c>
      <c r="D78" s="558">
        <v>0</v>
      </c>
      <c r="E78" s="171">
        <f t="shared" si="9"/>
        <v>0</v>
      </c>
      <c r="F78" s="484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48527</v>
      </c>
      <c r="D79" s="558">
        <f>SUM(D64:D78)</f>
        <v>0</v>
      </c>
      <c r="E79" s="171">
        <f t="shared" ref="E79:F79" si="13">SUM(E64:E78)</f>
        <v>48527</v>
      </c>
      <c r="F79" s="171">
        <f t="shared" si="13"/>
        <v>98461</v>
      </c>
      <c r="G79" s="171">
        <f>SUM(G64:G78)</f>
        <v>146988</v>
      </c>
      <c r="H79" s="172">
        <f t="shared" si="11"/>
        <v>7.7989262071150048E-2</v>
      </c>
      <c r="I79" s="336"/>
      <c r="J79" s="195"/>
      <c r="K79" s="168"/>
      <c r="M79" s="359">
        <f t="shared" si="12"/>
        <v>11.30676923076923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v>11677</v>
      </c>
      <c r="D82" s="558">
        <v>0</v>
      </c>
      <c r="E82" s="171">
        <f t="shared" ref="E82:E92" si="14">C82+D82</f>
        <v>11677</v>
      </c>
      <c r="F82" s="484">
        <v>22138</v>
      </c>
      <c r="G82" s="171">
        <f t="shared" ref="G82:G92" si="15">E82+F82</f>
        <v>33815</v>
      </c>
      <c r="H82" s="172">
        <f t="shared" ref="H82:H93" si="16">IF($G$208=0,0,G82/$G$208)</f>
        <v>1.7941647596646931E-2</v>
      </c>
      <c r="I82" s="336"/>
      <c r="J82" s="183">
        <f>690.78+1347</f>
        <v>2037.78</v>
      </c>
      <c r="K82" s="183">
        <f>730.78+1379</f>
        <v>2109.7799999999997</v>
      </c>
      <c r="M82" s="359">
        <f t="shared" ref="M82:M92" si="17">G82/G$228</f>
        <v>2.6011538461538461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v>984</v>
      </c>
      <c r="D83" s="558">
        <v>0</v>
      </c>
      <c r="E83" s="171">
        <f t="shared" si="14"/>
        <v>984</v>
      </c>
      <c r="F83" s="484">
        <v>3264</v>
      </c>
      <c r="G83" s="171">
        <f t="shared" si="15"/>
        <v>4248</v>
      </c>
      <c r="H83" s="172">
        <f t="shared" si="16"/>
        <v>2.2539145051177338E-3</v>
      </c>
      <c r="I83" s="336"/>
      <c r="J83" s="168"/>
      <c r="K83" s="168"/>
      <c r="M83" s="359">
        <f t="shared" si="17"/>
        <v>0.32676923076923076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v>1956</v>
      </c>
      <c r="D84" s="558">
        <v>0</v>
      </c>
      <c r="E84" s="171">
        <f t="shared" si="14"/>
        <v>1956</v>
      </c>
      <c r="F84" s="484">
        <v>3175</v>
      </c>
      <c r="G84" s="171">
        <f t="shared" si="15"/>
        <v>5131</v>
      </c>
      <c r="H84" s="172">
        <f t="shared" si="16"/>
        <v>2.7224188619960196E-3</v>
      </c>
      <c r="I84" s="336"/>
      <c r="J84" s="168"/>
      <c r="K84" s="168"/>
      <c r="M84" s="359">
        <f t="shared" si="17"/>
        <v>0.39469230769230768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v>0</v>
      </c>
      <c r="D85" s="558">
        <v>0</v>
      </c>
      <c r="E85" s="171">
        <f t="shared" si="14"/>
        <v>0</v>
      </c>
      <c r="F85" s="484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v>204</v>
      </c>
      <c r="D86" s="558">
        <v>0</v>
      </c>
      <c r="E86" s="171">
        <f t="shared" si="14"/>
        <v>204</v>
      </c>
      <c r="F86" s="484">
        <v>0</v>
      </c>
      <c r="G86" s="171">
        <f>E86+F86</f>
        <v>204</v>
      </c>
      <c r="H86" s="172">
        <f t="shared" si="16"/>
        <v>1.0823883216667082E-4</v>
      </c>
      <c r="I86" s="336"/>
      <c r="J86" s="168"/>
      <c r="K86" s="168"/>
      <c r="M86" s="359">
        <f t="shared" si="17"/>
        <v>1.5692307692307693E-2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v>5987</v>
      </c>
      <c r="D87" s="558">
        <v>0</v>
      </c>
      <c r="E87" s="171">
        <f t="shared" si="14"/>
        <v>5987</v>
      </c>
      <c r="F87" s="484">
        <v>8365</v>
      </c>
      <c r="G87" s="171">
        <f t="shared" si="15"/>
        <v>14352</v>
      </c>
      <c r="H87" s="172">
        <f t="shared" si="16"/>
        <v>7.6149201924316651E-3</v>
      </c>
      <c r="I87" s="336"/>
      <c r="J87" s="168"/>
      <c r="K87" s="168"/>
      <c r="M87" s="359">
        <f t="shared" si="17"/>
        <v>1.1040000000000001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v>27903</v>
      </c>
      <c r="D88" s="558">
        <v>-27903</v>
      </c>
      <c r="E88" s="171">
        <f t="shared" si="14"/>
        <v>0</v>
      </c>
      <c r="F88" s="484">
        <v>0</v>
      </c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v>2412</v>
      </c>
      <c r="D89" s="558">
        <v>-2412</v>
      </c>
      <c r="E89" s="171">
        <f t="shared" si="14"/>
        <v>0</v>
      </c>
      <c r="F89" s="484">
        <v>0</v>
      </c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v>0</v>
      </c>
      <c r="D90" s="558">
        <v>0</v>
      </c>
      <c r="E90" s="171">
        <f t="shared" si="14"/>
        <v>0</v>
      </c>
      <c r="F90" s="484">
        <v>213</v>
      </c>
      <c r="G90" s="171">
        <f t="shared" si="15"/>
        <v>213</v>
      </c>
      <c r="H90" s="172">
        <f t="shared" si="16"/>
        <v>1.1301407476225924E-4</v>
      </c>
      <c r="I90" s="336"/>
      <c r="J90" s="168"/>
      <c r="K90" s="168"/>
      <c r="M90" s="359">
        <f t="shared" si="17"/>
        <v>1.6384615384615383E-2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v>12026</v>
      </c>
      <c r="D91" s="558">
        <v>0</v>
      </c>
      <c r="E91" s="171">
        <f t="shared" si="14"/>
        <v>12026</v>
      </c>
      <c r="F91" s="484">
        <v>15212</v>
      </c>
      <c r="G91" s="171">
        <f t="shared" si="15"/>
        <v>27238</v>
      </c>
      <c r="H91" s="172">
        <f t="shared" si="16"/>
        <v>1.4452006424293038E-2</v>
      </c>
      <c r="I91" s="336"/>
      <c r="J91" s="168"/>
      <c r="K91" s="168"/>
      <c r="M91" s="359">
        <f t="shared" si="17"/>
        <v>2.0952307692307692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v>1054</v>
      </c>
      <c r="D92" s="558">
        <v>0</v>
      </c>
      <c r="E92" s="171">
        <f t="shared" si="14"/>
        <v>1054</v>
      </c>
      <c r="F92" s="484">
        <v>1612</v>
      </c>
      <c r="G92" s="171">
        <f t="shared" si="15"/>
        <v>2666</v>
      </c>
      <c r="H92" s="172">
        <f t="shared" si="16"/>
        <v>1.4145329733154138E-3</v>
      </c>
      <c r="I92" s="336"/>
      <c r="J92" s="168"/>
      <c r="K92" s="168"/>
      <c r="M92" s="359">
        <f t="shared" si="17"/>
        <v>0.20507692307692307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64203</v>
      </c>
      <c r="D93" s="558">
        <f>SUM(D82:D92)</f>
        <v>-30315</v>
      </c>
      <c r="E93" s="171">
        <f t="shared" ref="E93:F93" si="18">SUM(E82:E92)</f>
        <v>33888</v>
      </c>
      <c r="F93" s="171">
        <f t="shared" si="18"/>
        <v>53979</v>
      </c>
      <c r="G93" s="171">
        <f>SUM(G82:G92)</f>
        <v>87867</v>
      </c>
      <c r="H93" s="172">
        <f t="shared" si="16"/>
        <v>4.662069346072973E-2</v>
      </c>
      <c r="I93" s="336"/>
      <c r="J93" s="168"/>
      <c r="K93" s="168"/>
      <c r="M93" s="364">
        <f>G93/G$228</f>
        <v>6.7590000000000003</v>
      </c>
      <c r="N93" s="359">
        <f>SUMMARY!J96</f>
        <v>11.458724454710746</v>
      </c>
      <c r="O93" s="354">
        <f>M93/N93-1</f>
        <v>-0.41014377065142382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v>28449</v>
      </c>
      <c r="D96" s="558">
        <v>0</v>
      </c>
      <c r="E96" s="171">
        <f t="shared" ref="E96:E101" si="19">C96+D96</f>
        <v>28449</v>
      </c>
      <c r="F96" s="484">
        <v>65775</v>
      </c>
      <c r="G96" s="171">
        <f t="shared" ref="G96:G101" si="20">E96+F96</f>
        <v>94224</v>
      </c>
      <c r="H96" s="172">
        <f t="shared" ref="H96:H102" si="21">IF($G$208=0,0,G96/$G$208)</f>
        <v>4.9993606480747015E-2</v>
      </c>
      <c r="I96" s="336"/>
      <c r="J96" s="183">
        <f>2139.83+4179</f>
        <v>6318.83</v>
      </c>
      <c r="K96" s="183">
        <f>2187.83+4288</f>
        <v>6475.83</v>
      </c>
      <c r="M96" s="364">
        <f t="shared" ref="M96:M101" si="22">G96/G$228</f>
        <v>7.2480000000000002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v>2433</v>
      </c>
      <c r="D97" s="558">
        <v>0</v>
      </c>
      <c r="E97" s="171">
        <f t="shared" si="19"/>
        <v>2433</v>
      </c>
      <c r="F97" s="484">
        <v>9917</v>
      </c>
      <c r="G97" s="171">
        <f t="shared" si="20"/>
        <v>12350</v>
      </c>
      <c r="H97" s="172">
        <f t="shared" si="21"/>
        <v>6.5526940061685522E-3</v>
      </c>
      <c r="I97" s="336"/>
      <c r="J97" s="168"/>
      <c r="K97" s="168"/>
      <c r="M97" s="364">
        <f t="shared" si="22"/>
        <v>0.95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v>4958</v>
      </c>
      <c r="D98" s="558">
        <v>0</v>
      </c>
      <c r="E98" s="171">
        <f t="shared" si="19"/>
        <v>4958</v>
      </c>
      <c r="F98" s="484">
        <v>4660</v>
      </c>
      <c r="G98" s="171">
        <f t="shared" si="20"/>
        <v>9618</v>
      </c>
      <c r="H98" s="172">
        <f t="shared" si="21"/>
        <v>5.1031425871521565E-3</v>
      </c>
      <c r="I98" s="336"/>
      <c r="J98" s="168"/>
      <c r="K98" s="168"/>
      <c r="M98" s="364">
        <f t="shared" si="22"/>
        <v>0.73984615384615382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v>31135</v>
      </c>
      <c r="D99" s="558">
        <v>0</v>
      </c>
      <c r="E99" s="171">
        <f t="shared" si="19"/>
        <v>31135</v>
      </c>
      <c r="F99" s="484">
        <v>47661</v>
      </c>
      <c r="G99" s="171">
        <f t="shared" si="20"/>
        <v>78796</v>
      </c>
      <c r="H99" s="172">
        <f t="shared" si="21"/>
        <v>4.1807779506887223E-2</v>
      </c>
      <c r="I99" s="336"/>
      <c r="J99" s="168"/>
      <c r="K99" s="168"/>
      <c r="M99" s="364">
        <f t="shared" si="22"/>
        <v>6.061230769230769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v>3332</v>
      </c>
      <c r="D100" s="558">
        <v>0</v>
      </c>
      <c r="E100" s="171">
        <f t="shared" si="19"/>
        <v>3332</v>
      </c>
      <c r="F100" s="484">
        <v>7216</v>
      </c>
      <c r="G100" s="171">
        <f t="shared" si="20"/>
        <v>10548</v>
      </c>
      <c r="H100" s="172">
        <f t="shared" si="21"/>
        <v>5.5965843220296269E-3</v>
      </c>
      <c r="I100" s="336"/>
      <c r="J100" s="168"/>
      <c r="K100" s="168"/>
      <c r="M100" s="364">
        <f t="shared" si="22"/>
        <v>0.81138461538461537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v>0</v>
      </c>
      <c r="D101" s="558">
        <v>0</v>
      </c>
      <c r="E101" s="171">
        <f t="shared" si="19"/>
        <v>0</v>
      </c>
      <c r="F101" s="484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70307</v>
      </c>
      <c r="D102" s="558">
        <f>SUM(D96:D101)</f>
        <v>0</v>
      </c>
      <c r="E102" s="171">
        <f t="shared" ref="E102:F102" si="23">SUM(E96:E101)</f>
        <v>70307</v>
      </c>
      <c r="F102" s="171">
        <f t="shared" si="23"/>
        <v>135229</v>
      </c>
      <c r="G102" s="171">
        <f>SUM(G96:G101)</f>
        <v>205536</v>
      </c>
      <c r="H102" s="172">
        <f t="shared" si="21"/>
        <v>0.10905380690298458</v>
      </c>
      <c r="I102" s="336"/>
      <c r="J102" s="168"/>
      <c r="K102" s="168"/>
      <c r="M102" s="364">
        <f>G102/G$228</f>
        <v>15.810461538461539</v>
      </c>
      <c r="N102" s="359">
        <f>SUMMARY!J105</f>
        <v>19.901077037785338</v>
      </c>
      <c r="O102" s="354">
        <f>M102/N102-1</f>
        <v>-0.20554744306336381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v>708</v>
      </c>
      <c r="D105" s="558">
        <v>0</v>
      </c>
      <c r="E105" s="171">
        <f t="shared" ref="E105:E110" si="24">C105+D105</f>
        <v>708</v>
      </c>
      <c r="F105" s="484">
        <v>18941</v>
      </c>
      <c r="G105" s="171">
        <f t="shared" ref="G105:G110" si="25">E105+F105</f>
        <v>19649</v>
      </c>
      <c r="H105" s="172">
        <f t="shared" ref="H105:H111" si="26">IF($G$208=0,0,G105/$G$208)</f>
        <v>1.0425415751190759E-2</v>
      </c>
      <c r="I105" s="336"/>
      <c r="J105" s="183">
        <f>107.07+504</f>
        <v>611.06999999999994</v>
      </c>
      <c r="K105" s="183">
        <f>107.07+504</f>
        <v>611.06999999999994</v>
      </c>
      <c r="M105" s="364">
        <f t="shared" ref="M105:M110" si="27">G105/G$228</f>
        <v>1.5114615384615384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v>64</v>
      </c>
      <c r="D106" s="558">
        <v>0</v>
      </c>
      <c r="E106" s="171">
        <f t="shared" si="24"/>
        <v>64</v>
      </c>
      <c r="F106" s="484">
        <v>2767</v>
      </c>
      <c r="G106" s="171">
        <f t="shared" si="25"/>
        <v>2831</v>
      </c>
      <c r="H106" s="172">
        <f t="shared" si="26"/>
        <v>1.5020790875678682E-3</v>
      </c>
      <c r="I106" s="336"/>
      <c r="J106" s="168"/>
      <c r="K106" s="168"/>
      <c r="M106" s="364">
        <f t="shared" si="27"/>
        <v>0.21776923076923077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v>0</v>
      </c>
      <c r="D107" s="558">
        <v>0</v>
      </c>
      <c r="E107" s="171">
        <f t="shared" si="24"/>
        <v>0</v>
      </c>
      <c r="F107" s="484">
        <v>909</v>
      </c>
      <c r="G107" s="171">
        <f t="shared" si="25"/>
        <v>909</v>
      </c>
      <c r="H107" s="172">
        <f t="shared" si="26"/>
        <v>4.8229950215443029E-4</v>
      </c>
      <c r="I107" s="336"/>
      <c r="J107" s="168"/>
      <c r="K107" s="168"/>
      <c r="M107" s="364">
        <f t="shared" si="27"/>
        <v>6.9923076923076921E-2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v>303</v>
      </c>
      <c r="D108" s="558">
        <v>0</v>
      </c>
      <c r="E108" s="171">
        <f t="shared" si="24"/>
        <v>303</v>
      </c>
      <c r="F108" s="484">
        <v>0</v>
      </c>
      <c r="G108" s="171">
        <f t="shared" si="25"/>
        <v>303</v>
      </c>
      <c r="H108" s="172">
        <f t="shared" si="26"/>
        <v>1.6076650071814342E-4</v>
      </c>
      <c r="I108" s="336"/>
      <c r="J108" s="168"/>
      <c r="K108" s="168"/>
      <c r="M108" s="364">
        <f t="shared" si="27"/>
        <v>2.3307692307692307E-2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v>25</v>
      </c>
      <c r="D109" s="558">
        <v>0</v>
      </c>
      <c r="E109" s="171">
        <f t="shared" si="24"/>
        <v>25</v>
      </c>
      <c r="F109" s="484">
        <v>496</v>
      </c>
      <c r="G109" s="171">
        <f t="shared" si="25"/>
        <v>521</v>
      </c>
      <c r="H109" s="172">
        <f t="shared" si="26"/>
        <v>2.7643348803350735E-4</v>
      </c>
      <c r="I109" s="336"/>
      <c r="J109" s="168"/>
      <c r="K109" s="168"/>
      <c r="M109" s="364">
        <f t="shared" si="27"/>
        <v>4.0076923076923079E-2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v>0</v>
      </c>
      <c r="D110" s="558">
        <v>0</v>
      </c>
      <c r="E110" s="171">
        <f t="shared" si="24"/>
        <v>0</v>
      </c>
      <c r="F110" s="484"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1100</v>
      </c>
      <c r="D111" s="558">
        <f>SUM(D105:D110)</f>
        <v>0</v>
      </c>
      <c r="E111" s="171">
        <f t="shared" ref="E111:F111" si="28">SUM(E105:E110)</f>
        <v>1100</v>
      </c>
      <c r="F111" s="171">
        <f t="shared" si="28"/>
        <v>23113</v>
      </c>
      <c r="G111" s="171">
        <f>SUM(G105:G110)</f>
        <v>24213</v>
      </c>
      <c r="H111" s="172">
        <f t="shared" si="26"/>
        <v>1.2846994329664709E-2</v>
      </c>
      <c r="I111" s="336"/>
      <c r="J111" s="168"/>
      <c r="K111" s="168"/>
      <c r="M111" s="364">
        <f>G111/G$228</f>
        <v>1.8625384615384615</v>
      </c>
      <c r="N111" s="359">
        <f>SUMMARY!J114</f>
        <v>2.4242384372309496</v>
      </c>
      <c r="O111" s="354">
        <f>M111/N111-1</f>
        <v>-0.23170162103942282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v>18103</v>
      </c>
      <c r="D114" s="558">
        <v>0</v>
      </c>
      <c r="E114" s="171">
        <f t="shared" ref="E114:E118" si="29">C114+D114</f>
        <v>18103</v>
      </c>
      <c r="F114" s="484">
        <v>18941</v>
      </c>
      <c r="G114" s="171">
        <f>E114+F114</f>
        <v>37044</v>
      </c>
      <c r="H114" s="172">
        <f t="shared" ref="H114:H119" si="30">IF($G$208=0,0,G114/$G$208)</f>
        <v>1.9654898523441933E-2</v>
      </c>
      <c r="I114" s="336"/>
      <c r="J114" s="183">
        <f>798.84+504</f>
        <v>1302.8400000000001</v>
      </c>
      <c r="K114" s="183">
        <f>806.84+504</f>
        <v>1310.8400000000001</v>
      </c>
      <c r="M114" s="364">
        <f t="shared" ref="M114:M119" si="31">G114/G$228</f>
        <v>2.8495384615384616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v>1529</v>
      </c>
      <c r="D115" s="558">
        <v>0</v>
      </c>
      <c r="E115" s="171">
        <f t="shared" si="29"/>
        <v>1529</v>
      </c>
      <c r="F115" s="484">
        <v>2767</v>
      </c>
      <c r="G115" s="171">
        <f>E115+F115</f>
        <v>4296</v>
      </c>
      <c r="H115" s="172">
        <f t="shared" si="30"/>
        <v>2.2793824656275386E-3</v>
      </c>
      <c r="I115" s="336"/>
      <c r="J115" s="168"/>
      <c r="K115" s="168"/>
      <c r="M115" s="364">
        <f t="shared" si="31"/>
        <v>0.33046153846153847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v>4599</v>
      </c>
      <c r="D116" s="558">
        <v>0</v>
      </c>
      <c r="E116" s="171">
        <f t="shared" si="29"/>
        <v>4599</v>
      </c>
      <c r="F116" s="484">
        <v>7735</v>
      </c>
      <c r="G116" s="171">
        <f>E116+F116</f>
        <v>12334</v>
      </c>
      <c r="H116" s="172">
        <f t="shared" si="30"/>
        <v>6.5442046859986169E-3</v>
      </c>
      <c r="I116" s="336"/>
      <c r="J116" s="168"/>
      <c r="K116" s="168"/>
      <c r="M116" s="364">
        <f t="shared" si="31"/>
        <v>0.94876923076923081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v>0</v>
      </c>
      <c r="D117" s="558">
        <v>0</v>
      </c>
      <c r="E117" s="171">
        <f t="shared" si="29"/>
        <v>0</v>
      </c>
      <c r="F117" s="484">
        <v>878</v>
      </c>
      <c r="G117" s="171">
        <f>E117+F117</f>
        <v>878</v>
      </c>
      <c r="H117" s="172">
        <f t="shared" si="30"/>
        <v>4.6585144432518129E-4</v>
      </c>
      <c r="I117" s="336"/>
      <c r="J117" s="168"/>
      <c r="K117" s="168"/>
      <c r="M117" s="364">
        <f t="shared" si="31"/>
        <v>6.7538461538461533E-2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v>0</v>
      </c>
      <c r="D118" s="558">
        <v>0</v>
      </c>
      <c r="E118" s="171">
        <f t="shared" si="29"/>
        <v>0</v>
      </c>
      <c r="F118" s="484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24231</v>
      </c>
      <c r="D119" s="558">
        <f>SUM(D114:D118)</f>
        <v>0</v>
      </c>
      <c r="E119" s="171">
        <f t="shared" ref="E119:F119" si="32">SUM(E114:E118)</f>
        <v>24231</v>
      </c>
      <c r="F119" s="171">
        <f t="shared" si="32"/>
        <v>30321</v>
      </c>
      <c r="G119" s="171">
        <f>SUM(G114:G118)</f>
        <v>54552</v>
      </c>
      <c r="H119" s="172">
        <f t="shared" si="30"/>
        <v>2.8944337119393267E-2</v>
      </c>
      <c r="I119" s="336"/>
      <c r="J119" s="168"/>
      <c r="K119" s="168"/>
      <c r="M119" s="364">
        <f t="shared" si="31"/>
        <v>4.1963076923076921</v>
      </c>
      <c r="N119" s="359">
        <f>SUMMARY!J122</f>
        <v>6.0247597205909562</v>
      </c>
      <c r="O119" s="354">
        <f>M119/N119-1</f>
        <v>-0.30348961835508936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v>0</v>
      </c>
      <c r="D123" s="558">
        <v>0</v>
      </c>
      <c r="E123" s="171">
        <f t="shared" ref="E123:E127" si="33">C123+D123</f>
        <v>0</v>
      </c>
      <c r="F123" s="484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v>29120</v>
      </c>
      <c r="D124" s="558">
        <v>0</v>
      </c>
      <c r="E124" s="171">
        <f t="shared" si="33"/>
        <v>29120</v>
      </c>
      <c r="F124" s="484">
        <v>61830</v>
      </c>
      <c r="G124" s="171">
        <f>E124+F124</f>
        <v>90950</v>
      </c>
      <c r="H124" s="172">
        <f>IF($G$208=0,0,G124/$G$208)</f>
        <v>4.8256479340974073E-2</v>
      </c>
      <c r="I124" s="336"/>
      <c r="J124" s="183">
        <f>720+1360</f>
        <v>2080</v>
      </c>
      <c r="K124" s="183">
        <f>720+1360</f>
        <v>2080</v>
      </c>
      <c r="M124" s="364">
        <f t="shared" si="34"/>
        <v>6.9961538461538462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v>0</v>
      </c>
      <c r="D125" s="558">
        <v>0</v>
      </c>
      <c r="E125" s="171">
        <f t="shared" si="33"/>
        <v>0</v>
      </c>
      <c r="F125" s="484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v>0</v>
      </c>
      <c r="D126" s="558">
        <v>0</v>
      </c>
      <c r="E126" s="171">
        <f t="shared" si="33"/>
        <v>0</v>
      </c>
      <c r="F126" s="484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v>2085</v>
      </c>
      <c r="D127" s="558">
        <v>0</v>
      </c>
      <c r="E127" s="171">
        <f t="shared" si="33"/>
        <v>2085</v>
      </c>
      <c r="F127" s="484">
        <v>3326</v>
      </c>
      <c r="G127" s="171">
        <f>E127+F127</f>
        <v>5411</v>
      </c>
      <c r="H127" s="172">
        <f>IF($G$208=0,0,G127/$G$208)</f>
        <v>2.8709819649698817E-3</v>
      </c>
      <c r="I127" s="336"/>
      <c r="J127" s="183">
        <f>93+128</f>
        <v>221</v>
      </c>
      <c r="K127" s="183">
        <f>93+128</f>
        <v>221</v>
      </c>
      <c r="M127" s="364">
        <f t="shared" si="34"/>
        <v>0.41623076923076924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562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v>0</v>
      </c>
      <c r="D129" s="558">
        <v>0</v>
      </c>
      <c r="E129" s="171">
        <f t="shared" ref="E129:E133" si="35">C129+D129</f>
        <v>0</v>
      </c>
      <c r="F129" s="484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v>0</v>
      </c>
      <c r="D130" s="558">
        <v>1884</v>
      </c>
      <c r="E130" s="171">
        <f t="shared" si="35"/>
        <v>1884</v>
      </c>
      <c r="F130" s="484">
        <v>6050</v>
      </c>
      <c r="G130" s="171">
        <f>E130+F130</f>
        <v>7934</v>
      </c>
      <c r="H130" s="172">
        <f>IF($G$208=0,0,G130/$G$208)</f>
        <v>4.2096416392665018E-3</v>
      </c>
      <c r="I130" s="336"/>
      <c r="J130" s="204"/>
      <c r="K130" s="204"/>
      <c r="M130" s="364">
        <f t="shared" si="34"/>
        <v>0.61030769230769233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v>0</v>
      </c>
      <c r="D131" s="558">
        <v>0</v>
      </c>
      <c r="E131" s="171">
        <f t="shared" si="35"/>
        <v>0</v>
      </c>
      <c r="F131" s="484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v>0</v>
      </c>
      <c r="D132" s="558">
        <v>0</v>
      </c>
      <c r="E132" s="171">
        <f t="shared" si="35"/>
        <v>0</v>
      </c>
      <c r="F132" s="484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v>0</v>
      </c>
      <c r="D133" s="558">
        <v>135</v>
      </c>
      <c r="E133" s="171">
        <f t="shared" si="35"/>
        <v>135</v>
      </c>
      <c r="F133" s="484">
        <v>326</v>
      </c>
      <c r="G133" s="171">
        <f>E133+F133</f>
        <v>461</v>
      </c>
      <c r="H133" s="172">
        <f>IF($G$208=0,0,G133/$G$208)</f>
        <v>2.445985373962512E-4</v>
      </c>
      <c r="I133" s="336"/>
      <c r="J133" s="168"/>
      <c r="K133" s="168"/>
      <c r="M133" s="364">
        <f t="shared" si="34"/>
        <v>3.5461538461538461E-2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v>46628</v>
      </c>
      <c r="D135" s="558">
        <v>-921</v>
      </c>
      <c r="E135" s="171">
        <f t="shared" ref="E135:E138" si="36">C135+D135</f>
        <v>45707</v>
      </c>
      <c r="F135" s="484">
        <v>87862</v>
      </c>
      <c r="G135" s="171">
        <f>E135+F135</f>
        <v>133569</v>
      </c>
      <c r="H135" s="172">
        <f>IF($G$208=0,0,G135/$G$208)</f>
        <v>7.0869375361127723E-2</v>
      </c>
      <c r="I135" s="336"/>
      <c r="J135" s="183">
        <f>1625.9+3164</f>
        <v>4789.8999999999996</v>
      </c>
      <c r="K135" s="183">
        <f>1665.9+3296</f>
        <v>4961.8999999999996</v>
      </c>
      <c r="M135" s="364">
        <f t="shared" si="34"/>
        <v>10.274538461538462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v>31687</v>
      </c>
      <c r="D136" s="558">
        <v>921</v>
      </c>
      <c r="E136" s="171">
        <f t="shared" si="36"/>
        <v>32608</v>
      </c>
      <c r="F136" s="484">
        <v>67900</v>
      </c>
      <c r="G136" s="171">
        <f>E136+F136</f>
        <v>100508</v>
      </c>
      <c r="H136" s="172">
        <f>IF($G$208=0,0,G136/$G$208)</f>
        <v>5.3327786977488974E-2</v>
      </c>
      <c r="I136" s="336"/>
      <c r="J136" s="183">
        <f>1286.59+2408</f>
        <v>3694.59</v>
      </c>
      <c r="K136" s="183">
        <f>1310.59+2561</f>
        <v>3871.59</v>
      </c>
      <c r="M136" s="364">
        <f t="shared" si="34"/>
        <v>7.7313846153846155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v>68178</v>
      </c>
      <c r="D137" s="558">
        <v>0</v>
      </c>
      <c r="E137" s="171">
        <f t="shared" si="36"/>
        <v>68178</v>
      </c>
      <c r="F137" s="484">
        <v>135743</v>
      </c>
      <c r="G137" s="171">
        <f>E137+F137</f>
        <v>203921</v>
      </c>
      <c r="H137" s="172">
        <f>IF($G$208=0,0,G137/$G$208)</f>
        <v>0.10819691614833177</v>
      </c>
      <c r="I137" s="336"/>
      <c r="J137" s="183">
        <f>5975.05+11808</f>
        <v>17783.05</v>
      </c>
      <c r="K137" s="183">
        <f>6149.64+12123</f>
        <v>18272.64</v>
      </c>
      <c r="M137" s="364">
        <f t="shared" si="34"/>
        <v>15.68623076923077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v>0</v>
      </c>
      <c r="D138" s="558">
        <v>0</v>
      </c>
      <c r="E138" s="171">
        <f t="shared" si="36"/>
        <v>0</v>
      </c>
      <c r="F138" s="484">
        <v>0</v>
      </c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v>7086</v>
      </c>
      <c r="D140" s="558">
        <v>-4069</v>
      </c>
      <c r="E140" s="171">
        <f t="shared" ref="E140:E143" si="37">C140+D140</f>
        <v>3017</v>
      </c>
      <c r="F140" s="484">
        <v>16083</v>
      </c>
      <c r="G140" s="171">
        <f>E140+F140</f>
        <v>19100</v>
      </c>
      <c r="H140" s="172">
        <f>IF($G$208=0,0,G140/$G$208)</f>
        <v>1.0134125952859866E-2</v>
      </c>
      <c r="I140" s="336"/>
      <c r="J140" s="168"/>
      <c r="K140" s="168"/>
      <c r="M140" s="364">
        <f t="shared" si="34"/>
        <v>1.4692307692307693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v>0</v>
      </c>
      <c r="D141" s="558">
        <v>2050</v>
      </c>
      <c r="E141" s="171">
        <f t="shared" si="37"/>
        <v>2050</v>
      </c>
      <c r="F141" s="484">
        <v>6645</v>
      </c>
      <c r="G141" s="171">
        <f>E141+F141</f>
        <v>8695</v>
      </c>
      <c r="H141" s="172">
        <f>IF($G$208=0,0,G141/$G$208)</f>
        <v>4.6134149298490334E-3</v>
      </c>
      <c r="I141" s="336"/>
      <c r="J141" s="168"/>
      <c r="K141" s="168"/>
      <c r="M141" s="364">
        <f t="shared" si="34"/>
        <v>0.66884615384615387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v>5832</v>
      </c>
      <c r="D142" s="558">
        <v>0</v>
      </c>
      <c r="E142" s="171">
        <f t="shared" si="37"/>
        <v>5832</v>
      </c>
      <c r="F142" s="484">
        <v>20223</v>
      </c>
      <c r="G142" s="171">
        <f>E142+F142</f>
        <v>26055</v>
      </c>
      <c r="H142" s="172">
        <f>IF($G$208=0,0,G142/$G$208)</f>
        <v>1.3824327314228472E-2</v>
      </c>
      <c r="I142" s="336"/>
      <c r="J142" s="168"/>
      <c r="K142" s="168"/>
      <c r="M142" s="364">
        <f t="shared" si="34"/>
        <v>2.004230769230769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v>0</v>
      </c>
      <c r="D143" s="558">
        <v>0</v>
      </c>
      <c r="E143" s="171">
        <f t="shared" si="37"/>
        <v>0</v>
      </c>
      <c r="F143" s="484">
        <v>0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v>2000</v>
      </c>
      <c r="D145" s="558">
        <v>0</v>
      </c>
      <c r="E145" s="171">
        <f t="shared" ref="E145:E153" si="38">C145+D145</f>
        <v>2000</v>
      </c>
      <c r="F145" s="484">
        <v>3500</v>
      </c>
      <c r="G145" s="171">
        <f t="shared" ref="G145:G153" si="39">E145+F145</f>
        <v>5500</v>
      </c>
      <c r="H145" s="172">
        <f t="shared" ref="H145:H153" si="40">IF($G$208=0,0,G145/$G$208)</f>
        <v>2.9182038084151446E-3</v>
      </c>
      <c r="I145" s="336"/>
      <c r="J145" s="183">
        <f>25+105</f>
        <v>130</v>
      </c>
      <c r="K145" s="183">
        <f>25+105</f>
        <v>130</v>
      </c>
      <c r="M145" s="364">
        <f t="shared" si="34"/>
        <v>0.42307692307692307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v>0</v>
      </c>
      <c r="D146" s="558">
        <v>0</v>
      </c>
      <c r="E146" s="171">
        <f t="shared" si="38"/>
        <v>0</v>
      </c>
      <c r="F146" s="484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v>0</v>
      </c>
      <c r="D147" s="558">
        <v>0</v>
      </c>
      <c r="E147" s="171">
        <f t="shared" si="38"/>
        <v>0</v>
      </c>
      <c r="F147" s="484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v>0</v>
      </c>
      <c r="D148" s="558">
        <v>0</v>
      </c>
      <c r="E148" s="171">
        <f t="shared" si="38"/>
        <v>0</v>
      </c>
      <c r="F148" s="484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v>700</v>
      </c>
      <c r="D149" s="558">
        <v>0</v>
      </c>
      <c r="E149" s="171">
        <f t="shared" si="38"/>
        <v>700</v>
      </c>
      <c r="F149" s="484">
        <v>1801</v>
      </c>
      <c r="G149" s="171">
        <f t="shared" si="39"/>
        <v>2501</v>
      </c>
      <c r="H149" s="172">
        <f t="shared" si="40"/>
        <v>1.3269868590629595E-3</v>
      </c>
      <c r="I149" s="336"/>
      <c r="J149" s="183">
        <f>12+70</f>
        <v>82</v>
      </c>
      <c r="K149" s="183">
        <f>12+70</f>
        <v>82</v>
      </c>
      <c r="M149" s="364">
        <f t="shared" si="34"/>
        <v>0.19238461538461538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v>9479</v>
      </c>
      <c r="D150" s="558">
        <v>0</v>
      </c>
      <c r="E150" s="171">
        <f t="shared" si="38"/>
        <v>9479</v>
      </c>
      <c r="F150" s="484">
        <v>20844</v>
      </c>
      <c r="G150" s="171">
        <f t="shared" si="39"/>
        <v>30323</v>
      </c>
      <c r="H150" s="172">
        <f t="shared" si="40"/>
        <v>1.6088853469558625E-2</v>
      </c>
      <c r="I150" s="336"/>
      <c r="J150" s="168"/>
      <c r="K150" s="168"/>
      <c r="M150" s="364">
        <f t="shared" si="34"/>
        <v>2.3325384615384617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v>71</v>
      </c>
      <c r="D151" s="558">
        <v>0</v>
      </c>
      <c r="E151" s="171">
        <f t="shared" si="38"/>
        <v>71</v>
      </c>
      <c r="F151" s="484">
        <v>309</v>
      </c>
      <c r="G151" s="171">
        <f t="shared" si="39"/>
        <v>380</v>
      </c>
      <c r="H151" s="172">
        <f t="shared" si="40"/>
        <v>2.0162135403595545E-4</v>
      </c>
      <c r="I151" s="336"/>
      <c r="J151" s="168"/>
      <c r="K151" s="168"/>
      <c r="M151" s="364">
        <f t="shared" si="34"/>
        <v>2.923076923076923E-2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v>0</v>
      </c>
      <c r="D152" s="558">
        <v>0</v>
      </c>
      <c r="E152" s="171">
        <f t="shared" si="38"/>
        <v>0</v>
      </c>
      <c r="F152" s="484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v>0</v>
      </c>
      <c r="D153" s="558">
        <v>0</v>
      </c>
      <c r="E153" s="171">
        <f t="shared" si="38"/>
        <v>0</v>
      </c>
      <c r="F153" s="484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v>0</v>
      </c>
      <c r="D155" s="558">
        <v>0</v>
      </c>
      <c r="E155" s="171">
        <f t="shared" ref="E155:E160" si="41">C155+D155</f>
        <v>0</v>
      </c>
      <c r="F155" s="484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v>0</v>
      </c>
      <c r="D156" s="558">
        <v>0</v>
      </c>
      <c r="E156" s="171">
        <f t="shared" si="41"/>
        <v>0</v>
      </c>
      <c r="F156" s="484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v>0</v>
      </c>
      <c r="D157" s="558">
        <v>0</v>
      </c>
      <c r="E157" s="171">
        <f t="shared" si="41"/>
        <v>0</v>
      </c>
      <c r="F157" s="484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v>0</v>
      </c>
      <c r="D158" s="558">
        <v>0</v>
      </c>
      <c r="E158" s="171">
        <f t="shared" si="41"/>
        <v>0</v>
      </c>
      <c r="F158" s="484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v>0</v>
      </c>
      <c r="D159" s="558">
        <v>0</v>
      </c>
      <c r="E159" s="171">
        <f t="shared" si="41"/>
        <v>0</v>
      </c>
      <c r="F159" s="484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v>460</v>
      </c>
      <c r="D160" s="558">
        <v>0</v>
      </c>
      <c r="E160" s="171">
        <f t="shared" si="41"/>
        <v>460</v>
      </c>
      <c r="F160" s="484">
        <v>654</v>
      </c>
      <c r="G160" s="171">
        <f t="shared" si="42"/>
        <v>1114</v>
      </c>
      <c r="H160" s="172">
        <f t="shared" si="43"/>
        <v>5.9106891683172202E-4</v>
      </c>
      <c r="I160" s="336"/>
      <c r="J160" s="168"/>
      <c r="K160" s="168"/>
      <c r="M160" s="364">
        <f t="shared" si="34"/>
        <v>8.5692307692307693E-2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203326</v>
      </c>
      <c r="D161" s="558">
        <f>SUM(D123:D160)</f>
        <v>0</v>
      </c>
      <c r="E161" s="171">
        <f t="shared" ref="E161:F161" si="44">SUM(E123:E160)</f>
        <v>203326</v>
      </c>
      <c r="F161" s="171">
        <f t="shared" si="44"/>
        <v>433096</v>
      </c>
      <c r="G161" s="171">
        <f>SUM(G123:G160)</f>
        <v>636422</v>
      </c>
      <c r="H161" s="172">
        <f t="shared" si="43"/>
        <v>0.33767438257439697</v>
      </c>
      <c r="I161" s="336"/>
      <c r="J161" s="168"/>
      <c r="K161" s="168"/>
      <c r="M161" s="364">
        <f>G161/G$228</f>
        <v>48.95553846153846</v>
      </c>
      <c r="N161" s="359">
        <f>SUMMARY!J164</f>
        <v>105.56901037202306</v>
      </c>
      <c r="O161" s="354">
        <f>M161/N161-1</f>
        <v>-0.53626979840939937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v>0</v>
      </c>
      <c r="D164" s="558">
        <v>0</v>
      </c>
      <c r="E164" s="171">
        <f t="shared" ref="E164:E196" si="45">C164+D164</f>
        <v>0</v>
      </c>
      <c r="F164" s="484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  <c r="P164"/>
      <c r="Q164"/>
    </row>
    <row r="165" spans="1:17" s="221" customFormat="1">
      <c r="A165" s="215" t="s">
        <v>123</v>
      </c>
      <c r="B165" s="148" t="s">
        <v>103</v>
      </c>
      <c r="C165" s="558">
        <v>0</v>
      </c>
      <c r="D165" s="558">
        <v>0</v>
      </c>
      <c r="E165" s="171">
        <f t="shared" si="45"/>
        <v>0</v>
      </c>
      <c r="F165" s="484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M165" s="364">
        <f t="shared" ref="M165:M196" si="48">G165/G$228</f>
        <v>0</v>
      </c>
      <c r="N165" s="359">
        <f>SUMMARY!J168</f>
        <v>0</v>
      </c>
      <c r="P165"/>
      <c r="Q165"/>
    </row>
    <row r="166" spans="1:17" s="221" customFormat="1">
      <c r="A166" s="215" t="s">
        <v>124</v>
      </c>
      <c r="B166" s="148" t="s">
        <v>104</v>
      </c>
      <c r="C166" s="558">
        <v>0</v>
      </c>
      <c r="D166" s="558">
        <v>0</v>
      </c>
      <c r="E166" s="171">
        <f t="shared" si="45"/>
        <v>0</v>
      </c>
      <c r="F166" s="484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M166" s="364">
        <f t="shared" si="48"/>
        <v>0</v>
      </c>
      <c r="N166" s="359">
        <f>SUMMARY!J169</f>
        <v>4.9060338253170936</v>
      </c>
      <c r="P166"/>
      <c r="Q166"/>
    </row>
    <row r="167" spans="1:17" s="221" customFormat="1">
      <c r="A167" s="215" t="s">
        <v>157</v>
      </c>
      <c r="B167" s="148" t="s">
        <v>105</v>
      </c>
      <c r="C167" s="558">
        <v>0</v>
      </c>
      <c r="D167" s="558">
        <v>0</v>
      </c>
      <c r="E167" s="171">
        <f t="shared" si="45"/>
        <v>0</v>
      </c>
      <c r="F167" s="484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M167" s="364">
        <f t="shared" si="48"/>
        <v>0</v>
      </c>
      <c r="N167" s="359">
        <f>SUMMARY!J170</f>
        <v>0.8546059303297695</v>
      </c>
      <c r="P167"/>
      <c r="Q167"/>
    </row>
    <row r="168" spans="1:17" s="221" customFormat="1">
      <c r="A168" s="215" t="s">
        <v>158</v>
      </c>
      <c r="B168" s="148" t="s">
        <v>316</v>
      </c>
      <c r="C168" s="558">
        <v>0</v>
      </c>
      <c r="D168" s="558">
        <v>0</v>
      </c>
      <c r="E168" s="171">
        <f t="shared" si="45"/>
        <v>0</v>
      </c>
      <c r="F168" s="484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M168" s="364">
        <f t="shared" si="48"/>
        <v>0</v>
      </c>
      <c r="N168" s="359">
        <f>SUMMARY!J171</f>
        <v>0.79511806658504303</v>
      </c>
      <c r="P168"/>
      <c r="Q168"/>
    </row>
    <row r="169" spans="1:17" s="221" customFormat="1">
      <c r="A169" s="215" t="s">
        <v>86</v>
      </c>
      <c r="B169" s="148" t="s">
        <v>317</v>
      </c>
      <c r="C169" s="558">
        <v>0</v>
      </c>
      <c r="D169" s="558">
        <v>0</v>
      </c>
      <c r="E169" s="171">
        <f t="shared" si="45"/>
        <v>0</v>
      </c>
      <c r="F169" s="484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M169" s="364">
        <f t="shared" si="48"/>
        <v>0</v>
      </c>
      <c r="N169" s="359">
        <f>SUMMARY!J172</f>
        <v>0.1405217057636943</v>
      </c>
      <c r="P169"/>
      <c r="Q169"/>
    </row>
    <row r="170" spans="1:17" s="221" customFormat="1">
      <c r="A170" s="215" t="s">
        <v>96</v>
      </c>
      <c r="B170" s="148" t="s">
        <v>318</v>
      </c>
      <c r="C170" s="558">
        <v>0</v>
      </c>
      <c r="D170" s="558">
        <v>0</v>
      </c>
      <c r="E170" s="171">
        <f t="shared" si="45"/>
        <v>0</v>
      </c>
      <c r="F170" s="484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M170" s="364">
        <f t="shared" si="48"/>
        <v>0</v>
      </c>
      <c r="N170" s="359">
        <f>SUMMARY!J173</f>
        <v>0.14856138086857354</v>
      </c>
      <c r="P170"/>
      <c r="Q170"/>
    </row>
    <row r="171" spans="1:17" s="221" customFormat="1">
      <c r="A171" s="215" t="s">
        <v>125</v>
      </c>
      <c r="B171" s="148" t="s">
        <v>109</v>
      </c>
      <c r="C171" s="558">
        <v>0</v>
      </c>
      <c r="D171" s="558">
        <v>0</v>
      </c>
      <c r="E171" s="171">
        <f t="shared" si="45"/>
        <v>0</v>
      </c>
      <c r="F171" s="484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M171" s="364">
        <f t="shared" si="48"/>
        <v>0</v>
      </c>
      <c r="N171" s="359">
        <f>SUMMARY!J174</f>
        <v>2.2545547697802093E-2</v>
      </c>
      <c r="P171"/>
      <c r="Q171"/>
    </row>
    <row r="172" spans="1:17" s="221" customFormat="1">
      <c r="A172" s="215" t="s">
        <v>126</v>
      </c>
      <c r="B172" s="148" t="s">
        <v>319</v>
      </c>
      <c r="C172" s="558">
        <v>0</v>
      </c>
      <c r="D172" s="558">
        <v>0</v>
      </c>
      <c r="E172" s="171">
        <f t="shared" si="45"/>
        <v>0</v>
      </c>
      <c r="F172" s="484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M172" s="364">
        <f t="shared" si="48"/>
        <v>0</v>
      </c>
      <c r="N172" s="359">
        <f>SUMMARY!J175</f>
        <v>2.8660001223726335</v>
      </c>
      <c r="P172"/>
      <c r="Q172"/>
    </row>
    <row r="173" spans="1:17" s="221" customFormat="1">
      <c r="A173" s="215" t="s">
        <v>127</v>
      </c>
      <c r="B173" s="148" t="s">
        <v>111</v>
      </c>
      <c r="C173" s="558">
        <v>0</v>
      </c>
      <c r="D173" s="558">
        <v>0</v>
      </c>
      <c r="E173" s="171">
        <f t="shared" si="45"/>
        <v>0</v>
      </c>
      <c r="F173" s="484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M173" s="364">
        <f t="shared" si="48"/>
        <v>0</v>
      </c>
      <c r="N173" s="359">
        <f>SUMMARY!J176</f>
        <v>0.45922325087038773</v>
      </c>
      <c r="P173"/>
      <c r="Q173"/>
    </row>
    <row r="174" spans="1:17" s="221" customFormat="1">
      <c r="A174" s="215" t="s">
        <v>128</v>
      </c>
      <c r="B174" s="148" t="s">
        <v>320</v>
      </c>
      <c r="C174" s="558">
        <v>0</v>
      </c>
      <c r="D174" s="558">
        <v>0</v>
      </c>
      <c r="E174" s="171">
        <f t="shared" si="45"/>
        <v>0</v>
      </c>
      <c r="F174" s="484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M174" s="364">
        <f t="shared" si="48"/>
        <v>0</v>
      </c>
      <c r="N174" s="359">
        <f>SUMMARY!J177</f>
        <v>0</v>
      </c>
      <c r="P174"/>
      <c r="Q174"/>
    </row>
    <row r="175" spans="1:17" s="221" customFormat="1">
      <c r="A175" s="215" t="s">
        <v>129</v>
      </c>
      <c r="B175" s="148" t="s">
        <v>321</v>
      </c>
      <c r="C175" s="558">
        <v>0</v>
      </c>
      <c r="D175" s="558">
        <v>0</v>
      </c>
      <c r="E175" s="171">
        <f t="shared" si="45"/>
        <v>0</v>
      </c>
      <c r="F175" s="484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M175" s="364">
        <f t="shared" si="48"/>
        <v>0</v>
      </c>
      <c r="N175" s="359">
        <f>SUMMARY!J178</f>
        <v>0</v>
      </c>
      <c r="P175"/>
      <c r="Q175"/>
    </row>
    <row r="176" spans="1:17" s="221" customFormat="1">
      <c r="A176" s="224" t="s">
        <v>293</v>
      </c>
      <c r="B176" s="148" t="s">
        <v>154</v>
      </c>
      <c r="C176" s="558">
        <v>0</v>
      </c>
      <c r="D176" s="558">
        <v>0</v>
      </c>
      <c r="E176" s="171">
        <f t="shared" si="45"/>
        <v>0</v>
      </c>
      <c r="F176" s="484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M176" s="364">
        <f t="shared" si="48"/>
        <v>0</v>
      </c>
      <c r="N176" s="359">
        <f>SUMMARY!J179</f>
        <v>0</v>
      </c>
      <c r="P176"/>
      <c r="Q176"/>
    </row>
    <row r="177" spans="1:17" s="221" customFormat="1">
      <c r="A177" s="224" t="s">
        <v>294</v>
      </c>
      <c r="B177" s="148" t="s">
        <v>322</v>
      </c>
      <c r="C177" s="558">
        <v>0</v>
      </c>
      <c r="D177" s="558">
        <v>0</v>
      </c>
      <c r="E177" s="171">
        <f t="shared" si="45"/>
        <v>0</v>
      </c>
      <c r="F177" s="484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M177" s="364">
        <f t="shared" si="48"/>
        <v>0</v>
      </c>
      <c r="N177" s="359">
        <f>SUMMARY!J180</f>
        <v>0.30705480193530821</v>
      </c>
      <c r="P177"/>
      <c r="Q177"/>
    </row>
    <row r="178" spans="1:17" s="221" customFormat="1">
      <c r="A178" s="224" t="s">
        <v>295</v>
      </c>
      <c r="B178" s="148" t="s">
        <v>323</v>
      </c>
      <c r="C178" s="558">
        <v>0</v>
      </c>
      <c r="D178" s="558">
        <v>0</v>
      </c>
      <c r="E178" s="171">
        <f t="shared" si="45"/>
        <v>0</v>
      </c>
      <c r="F178" s="484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M178" s="364">
        <f t="shared" si="48"/>
        <v>0</v>
      </c>
      <c r="N178" s="359">
        <f>SUMMARY!J181</f>
        <v>5.3584457511323957E-2</v>
      </c>
      <c r="P178"/>
      <c r="Q178"/>
    </row>
    <row r="179" spans="1:17" s="221" customFormat="1">
      <c r="A179" s="224" t="s">
        <v>296</v>
      </c>
      <c r="B179" s="148" t="s">
        <v>324</v>
      </c>
      <c r="C179" s="558">
        <v>0</v>
      </c>
      <c r="D179" s="558">
        <v>0</v>
      </c>
      <c r="E179" s="171">
        <f t="shared" si="45"/>
        <v>0</v>
      </c>
      <c r="F179" s="484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M179" s="364">
        <f t="shared" si="48"/>
        <v>0</v>
      </c>
      <c r="N179" s="359">
        <f>SUMMARY!J182</f>
        <v>0</v>
      </c>
      <c r="P179"/>
      <c r="Q179"/>
    </row>
    <row r="180" spans="1:17" s="221" customFormat="1">
      <c r="A180" s="224" t="s">
        <v>297</v>
      </c>
      <c r="B180" s="148" t="s">
        <v>325</v>
      </c>
      <c r="C180" s="558">
        <v>0</v>
      </c>
      <c r="D180" s="558">
        <v>0</v>
      </c>
      <c r="E180" s="171">
        <f t="shared" si="45"/>
        <v>0</v>
      </c>
      <c r="F180" s="484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M180" s="364">
        <f t="shared" si="48"/>
        <v>0</v>
      </c>
      <c r="N180" s="359">
        <f>SUMMARY!J183</f>
        <v>0.1333235617560114</v>
      </c>
      <c r="P180"/>
      <c r="Q180"/>
    </row>
    <row r="181" spans="1:17" s="221" customFormat="1">
      <c r="A181" s="224" t="s">
        <v>298</v>
      </c>
      <c r="B181" s="148" t="s">
        <v>117</v>
      </c>
      <c r="C181" s="558">
        <v>0</v>
      </c>
      <c r="D181" s="558">
        <v>0</v>
      </c>
      <c r="E181" s="171">
        <f t="shared" si="45"/>
        <v>0</v>
      </c>
      <c r="F181" s="484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M181" s="364">
        <f t="shared" si="48"/>
        <v>0</v>
      </c>
      <c r="N181" s="359">
        <f>SUMMARY!J184</f>
        <v>0.29174571104570529</v>
      </c>
      <c r="P181"/>
      <c r="Q181"/>
    </row>
    <row r="182" spans="1:17" s="221" customFormat="1">
      <c r="A182" s="224" t="s">
        <v>132</v>
      </c>
      <c r="B182" s="148" t="s">
        <v>118</v>
      </c>
      <c r="C182" s="558">
        <v>0</v>
      </c>
      <c r="D182" s="558">
        <v>0</v>
      </c>
      <c r="E182" s="171">
        <f t="shared" si="45"/>
        <v>0</v>
      </c>
      <c r="F182" s="484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M182" s="364">
        <f t="shared" si="48"/>
        <v>0</v>
      </c>
      <c r="N182" s="359">
        <f>SUMMARY!J185</f>
        <v>7.0915905841295299E-2</v>
      </c>
      <c r="P182"/>
      <c r="Q182"/>
    </row>
    <row r="183" spans="1:17" s="221" customFormat="1">
      <c r="A183" s="224" t="s">
        <v>133</v>
      </c>
      <c r="B183" s="148" t="s">
        <v>119</v>
      </c>
      <c r="C183" s="558">
        <v>3466</v>
      </c>
      <c r="D183" s="558">
        <v>0</v>
      </c>
      <c r="E183" s="171">
        <f t="shared" si="45"/>
        <v>3466</v>
      </c>
      <c r="F183" s="484">
        <v>7706</v>
      </c>
      <c r="G183" s="171">
        <f t="shared" si="46"/>
        <v>11172</v>
      </c>
      <c r="H183" s="172">
        <f t="shared" si="47"/>
        <v>5.9276678086570903E-3</v>
      </c>
      <c r="I183" s="336"/>
      <c r="J183" s="223"/>
      <c r="K183" s="218"/>
      <c r="M183" s="364">
        <f t="shared" si="48"/>
        <v>0.85938461538461541</v>
      </c>
      <c r="N183" s="359">
        <f>SUMMARY!J186</f>
        <v>7.2780776577335544</v>
      </c>
      <c r="P183"/>
      <c r="Q183"/>
    </row>
    <row r="184" spans="1:17" s="221" customFormat="1">
      <c r="A184" s="224" t="s">
        <v>134</v>
      </c>
      <c r="B184" s="148" t="s">
        <v>326</v>
      </c>
      <c r="C184" s="558">
        <v>1325</v>
      </c>
      <c r="D184" s="558">
        <v>0</v>
      </c>
      <c r="E184" s="171">
        <f t="shared" si="45"/>
        <v>1325</v>
      </c>
      <c r="F184" s="484">
        <v>5260</v>
      </c>
      <c r="G184" s="171">
        <f t="shared" si="46"/>
        <v>6585</v>
      </c>
      <c r="H184" s="172">
        <f t="shared" si="47"/>
        <v>3.4938858324388596E-3</v>
      </c>
      <c r="I184" s="336"/>
      <c r="J184" s="223"/>
      <c r="K184" s="218"/>
      <c r="M184" s="364">
        <f t="shared" si="48"/>
        <v>0.50653846153846149</v>
      </c>
      <c r="N184" s="359">
        <f>SUMMARY!J187</f>
        <v>1.7471448792019588</v>
      </c>
      <c r="P184"/>
      <c r="Q184"/>
    </row>
    <row r="185" spans="1:17" s="221" customFormat="1">
      <c r="A185" s="224" t="s">
        <v>135</v>
      </c>
      <c r="B185" s="148" t="s">
        <v>327</v>
      </c>
      <c r="C185" s="558">
        <v>0</v>
      </c>
      <c r="D185" s="558">
        <v>0</v>
      </c>
      <c r="E185" s="171">
        <f t="shared" si="45"/>
        <v>0</v>
      </c>
      <c r="F185" s="484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P185"/>
      <c r="Q185"/>
    </row>
    <row r="186" spans="1:17" s="221" customFormat="1">
      <c r="A186" s="224" t="s">
        <v>136</v>
      </c>
      <c r="B186" s="148" t="s">
        <v>328</v>
      </c>
      <c r="C186" s="558">
        <v>0</v>
      </c>
      <c r="D186" s="558">
        <v>0</v>
      </c>
      <c r="E186" s="171">
        <f t="shared" si="45"/>
        <v>0</v>
      </c>
      <c r="F186" s="484">
        <v>4962</v>
      </c>
      <c r="G186" s="171">
        <f t="shared" si="46"/>
        <v>4962</v>
      </c>
      <c r="H186" s="172">
        <f t="shared" si="47"/>
        <v>2.6327504177010813E-3</v>
      </c>
      <c r="I186" s="336"/>
      <c r="J186" s="223"/>
      <c r="K186" s="218"/>
      <c r="M186" s="364">
        <f t="shared" si="48"/>
        <v>0.38169230769230772</v>
      </c>
      <c r="N186" s="359">
        <f>SUMMARY!J189</f>
        <v>5.0164683871805966</v>
      </c>
      <c r="P186"/>
      <c r="Q186"/>
    </row>
    <row r="187" spans="1:17" s="221" customFormat="1">
      <c r="A187" s="224" t="s">
        <v>137</v>
      </c>
      <c r="B187" s="148" t="s">
        <v>122</v>
      </c>
      <c r="C187" s="558">
        <v>55</v>
      </c>
      <c r="D187" s="558">
        <v>0</v>
      </c>
      <c r="E187" s="171">
        <f t="shared" si="45"/>
        <v>55</v>
      </c>
      <c r="F187" s="484">
        <v>254</v>
      </c>
      <c r="G187" s="171">
        <f t="shared" si="46"/>
        <v>309</v>
      </c>
      <c r="H187" s="172">
        <f t="shared" si="47"/>
        <v>1.6394999578186903E-4</v>
      </c>
      <c r="I187" s="336"/>
      <c r="J187" s="223"/>
      <c r="K187" s="218"/>
      <c r="M187" s="364">
        <f t="shared" si="48"/>
        <v>2.3769230769230768E-2</v>
      </c>
      <c r="N187" s="359">
        <f>SUMMARY!J190</f>
        <v>1.4762344610483848</v>
      </c>
      <c r="P187"/>
      <c r="Q187"/>
    </row>
    <row r="188" spans="1:17" s="221" customFormat="1">
      <c r="A188" s="224" t="s">
        <v>275</v>
      </c>
      <c r="B188" s="148" t="s">
        <v>329</v>
      </c>
      <c r="C188" s="558">
        <v>0</v>
      </c>
      <c r="D188" s="558">
        <v>0</v>
      </c>
      <c r="E188" s="171">
        <f t="shared" si="45"/>
        <v>0</v>
      </c>
      <c r="F188" s="484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P188"/>
      <c r="Q188"/>
    </row>
    <row r="189" spans="1:17" s="221" customFormat="1">
      <c r="A189" s="224" t="s">
        <v>277</v>
      </c>
      <c r="B189" s="148" t="s">
        <v>278</v>
      </c>
      <c r="C189" s="558">
        <v>0</v>
      </c>
      <c r="D189" s="558">
        <v>0</v>
      </c>
      <c r="E189" s="171">
        <f t="shared" si="45"/>
        <v>0</v>
      </c>
      <c r="F189" s="484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P189"/>
      <c r="Q189"/>
    </row>
    <row r="190" spans="1:17" s="221" customFormat="1">
      <c r="A190" s="225" t="s">
        <v>279</v>
      </c>
      <c r="B190" s="226" t="s">
        <v>280</v>
      </c>
      <c r="C190" s="558">
        <v>0</v>
      </c>
      <c r="D190" s="558">
        <v>0</v>
      </c>
      <c r="E190" s="171">
        <f t="shared" si="45"/>
        <v>0</v>
      </c>
      <c r="F190" s="484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P190"/>
      <c r="Q190"/>
    </row>
    <row r="191" spans="1:17" s="221" customFormat="1">
      <c r="A191" s="225" t="s">
        <v>281</v>
      </c>
      <c r="B191" s="226" t="s">
        <v>282</v>
      </c>
      <c r="C191" s="558">
        <v>0</v>
      </c>
      <c r="D191" s="558">
        <v>0</v>
      </c>
      <c r="E191" s="171">
        <f t="shared" si="45"/>
        <v>0</v>
      </c>
      <c r="F191" s="484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P191"/>
      <c r="Q191"/>
    </row>
    <row r="192" spans="1:17" s="221" customFormat="1">
      <c r="A192" s="225" t="s">
        <v>283</v>
      </c>
      <c r="B192" s="226" t="s">
        <v>330</v>
      </c>
      <c r="C192" s="558">
        <v>0</v>
      </c>
      <c r="D192" s="558">
        <v>0</v>
      </c>
      <c r="E192" s="171">
        <f t="shared" si="45"/>
        <v>0</v>
      </c>
      <c r="F192" s="484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P192"/>
      <c r="Q192"/>
    </row>
    <row r="193" spans="1:17" s="221" customFormat="1">
      <c r="A193" s="225" t="s">
        <v>285</v>
      </c>
      <c r="B193" s="226" t="s">
        <v>331</v>
      </c>
      <c r="C193" s="558">
        <v>0</v>
      </c>
      <c r="D193" s="558">
        <v>0</v>
      </c>
      <c r="E193" s="171">
        <f t="shared" si="45"/>
        <v>0</v>
      </c>
      <c r="F193" s="484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P193"/>
      <c r="Q193"/>
    </row>
    <row r="194" spans="1:17" s="221" customFormat="1">
      <c r="A194" s="224" t="s">
        <v>138</v>
      </c>
      <c r="B194" s="148" t="s">
        <v>332</v>
      </c>
      <c r="C194" s="558">
        <v>775</v>
      </c>
      <c r="D194" s="558">
        <v>0</v>
      </c>
      <c r="E194" s="171">
        <f t="shared" si="45"/>
        <v>775</v>
      </c>
      <c r="F194" s="484">
        <v>2100</v>
      </c>
      <c r="G194" s="171">
        <f t="shared" si="46"/>
        <v>2875</v>
      </c>
      <c r="H194" s="172">
        <f t="shared" si="47"/>
        <v>1.5254247180351893E-3</v>
      </c>
      <c r="I194" s="336"/>
      <c r="J194" s="223"/>
      <c r="K194" s="218"/>
      <c r="M194" s="364">
        <f t="shared" si="48"/>
        <v>0.22115384615384615</v>
      </c>
      <c r="N194" s="359">
        <f>SUMMARY!J197</f>
        <v>9.4138592764245246</v>
      </c>
      <c r="P194"/>
      <c r="Q194"/>
    </row>
    <row r="195" spans="1:17" s="221" customFormat="1">
      <c r="A195" s="224" t="s">
        <v>139</v>
      </c>
      <c r="B195" s="148" t="s">
        <v>67</v>
      </c>
      <c r="C195" s="558">
        <v>0</v>
      </c>
      <c r="D195" s="558">
        <v>0</v>
      </c>
      <c r="E195" s="171">
        <f t="shared" si="45"/>
        <v>0</v>
      </c>
      <c r="F195" s="484">
        <v>0</v>
      </c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P195"/>
      <c r="Q195"/>
    </row>
    <row r="196" spans="1:17" s="221" customFormat="1">
      <c r="A196" s="225" t="s">
        <v>143</v>
      </c>
      <c r="B196" s="194" t="s">
        <v>333</v>
      </c>
      <c r="C196" s="558">
        <v>0</v>
      </c>
      <c r="D196" s="558">
        <v>0</v>
      </c>
      <c r="E196" s="171">
        <f t="shared" si="45"/>
        <v>0</v>
      </c>
      <c r="F196" s="484">
        <v>0</v>
      </c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P196"/>
      <c r="Q196"/>
    </row>
    <row r="197" spans="1:17" s="167" customFormat="1">
      <c r="A197" s="163"/>
      <c r="B197" s="212" t="s">
        <v>130</v>
      </c>
      <c r="C197" s="558">
        <f>SUM(C164:C196)</f>
        <v>5621</v>
      </c>
      <c r="D197" s="558">
        <f>SUM(D164:D196)</f>
        <v>0</v>
      </c>
      <c r="E197" s="171">
        <f t="shared" ref="E197:F197" si="49">SUM(E164:E196)</f>
        <v>5621</v>
      </c>
      <c r="F197" s="171">
        <f t="shared" si="49"/>
        <v>20282</v>
      </c>
      <c r="G197" s="171">
        <f>SUM(G164:G196)</f>
        <v>25903</v>
      </c>
      <c r="H197" s="172">
        <f>IF($G$208=0,0,G197/$G$208)</f>
        <v>1.374367877261409E-2</v>
      </c>
      <c r="I197" s="336"/>
      <c r="J197" s="168"/>
      <c r="K197" s="168"/>
      <c r="M197" s="364">
        <f>G197/G$228</f>
        <v>1.9925384615384616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v>25144</v>
      </c>
      <c r="D200" s="558">
        <v>0</v>
      </c>
      <c r="E200" s="171">
        <f t="shared" ref="E200:E205" si="50">C200+D200</f>
        <v>25144</v>
      </c>
      <c r="F200" s="484">
        <v>45229</v>
      </c>
      <c r="G200" s="171">
        <f t="shared" ref="G200:G205" si="51">E200+F200</f>
        <v>70373</v>
      </c>
      <c r="H200" s="172">
        <f t="shared" ref="H200:H206" si="52">IF($G$208=0,0,G200/$G$208)</f>
        <v>3.7338683019927085E-2</v>
      </c>
      <c r="I200" s="336"/>
      <c r="J200" s="183">
        <f>1580.3+3321</f>
        <v>4901.3</v>
      </c>
      <c r="K200" s="183">
        <f>1596.3+3401</f>
        <v>4997.3</v>
      </c>
      <c r="M200" s="364">
        <f t="shared" ref="M200:M205" si="53">G200/G$228</f>
        <v>5.4133076923076926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v>2162</v>
      </c>
      <c r="D201" s="558">
        <v>0</v>
      </c>
      <c r="E201" s="171">
        <f t="shared" si="50"/>
        <v>2162</v>
      </c>
      <c r="F201" s="484">
        <v>3531</v>
      </c>
      <c r="G201" s="171">
        <f t="shared" si="51"/>
        <v>5693</v>
      </c>
      <c r="H201" s="172">
        <f t="shared" si="52"/>
        <v>3.0206062329649853E-3</v>
      </c>
      <c r="I201" s="336"/>
      <c r="J201" s="168"/>
      <c r="K201" s="168"/>
      <c r="M201" s="364">
        <f t="shared" si="53"/>
        <v>0.43792307692307691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v>3669</v>
      </c>
      <c r="D202" s="558">
        <v>0</v>
      </c>
      <c r="E202" s="171">
        <f t="shared" si="50"/>
        <v>3669</v>
      </c>
      <c r="F202" s="484">
        <v>7520</v>
      </c>
      <c r="G202" s="171">
        <f t="shared" si="51"/>
        <v>11189</v>
      </c>
      <c r="H202" s="172">
        <f t="shared" si="52"/>
        <v>5.9366877113376463E-3</v>
      </c>
      <c r="I202" s="336"/>
      <c r="J202" s="168"/>
      <c r="K202" s="168"/>
      <c r="M202" s="364">
        <f t="shared" si="53"/>
        <v>0.86069230769230765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v>0</v>
      </c>
      <c r="D203" s="558">
        <v>0</v>
      </c>
      <c r="E203" s="171">
        <f t="shared" si="50"/>
        <v>0</v>
      </c>
      <c r="F203" s="484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v>0</v>
      </c>
      <c r="D204" s="558">
        <v>0</v>
      </c>
      <c r="E204" s="171">
        <f t="shared" si="50"/>
        <v>0</v>
      </c>
      <c r="F204" s="484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v>1035</v>
      </c>
      <c r="D205" s="558">
        <v>0</v>
      </c>
      <c r="E205" s="171">
        <f t="shared" si="50"/>
        <v>1035</v>
      </c>
      <c r="F205" s="484">
        <v>3104</v>
      </c>
      <c r="G205" s="171">
        <f t="shared" si="51"/>
        <v>4139</v>
      </c>
      <c r="H205" s="172">
        <f t="shared" si="52"/>
        <v>2.1960810114600516E-3</v>
      </c>
      <c r="I205" s="336"/>
      <c r="J205" s="168"/>
      <c r="K205" s="168"/>
      <c r="M205" s="364">
        <f t="shared" si="53"/>
        <v>0.31838461538461538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32010</v>
      </c>
      <c r="D206" s="558">
        <f>SUM(D200:D205)</f>
        <v>0</v>
      </c>
      <c r="E206" s="171">
        <f t="shared" ref="E206:F206" si="54">SUM(E200:E205)</f>
        <v>32010</v>
      </c>
      <c r="F206" s="171">
        <f t="shared" si="54"/>
        <v>59384</v>
      </c>
      <c r="G206" s="171">
        <f>SUM(G200:G205)</f>
        <v>91394</v>
      </c>
      <c r="H206" s="172">
        <f t="shared" si="52"/>
        <v>4.849205797568977E-2</v>
      </c>
      <c r="I206" s="336"/>
      <c r="J206" s="168"/>
      <c r="K206" s="168"/>
      <c r="M206" s="364">
        <f>G206/G$228</f>
        <v>7.0303076923076926</v>
      </c>
      <c r="N206" s="359">
        <f>SUMMARY!J209</f>
        <v>7.1515095990067339</v>
      </c>
      <c r="O206" s="354">
        <f>M206/N206-1</f>
        <v>-1.6947737400209162E-2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660833</v>
      </c>
      <c r="D208" s="558">
        <f>SUM(D25:D206)/2</f>
        <v>-33902</v>
      </c>
      <c r="E208" s="171">
        <f t="shared" ref="E208:F208" si="55">SUM(E25:E206)/2</f>
        <v>626931</v>
      </c>
      <c r="F208" s="171">
        <f t="shared" si="55"/>
        <v>1257790</v>
      </c>
      <c r="G208" s="171">
        <f>SUM(G25:G206)/2</f>
        <v>1884721</v>
      </c>
      <c r="H208" s="172">
        <f>IF($G$208=0,0,G208/$G$208)</f>
        <v>1</v>
      </c>
      <c r="I208" s="336"/>
      <c r="J208" s="183">
        <f>SUM(J25:J200)</f>
        <v>49052.36</v>
      </c>
      <c r="K208" s="183">
        <f>SUM(K25:K200)</f>
        <v>50234.95</v>
      </c>
      <c r="M208" s="364">
        <f>G208/G$228</f>
        <v>144.97853846153845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-1.8281249920527447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 s="586" t="s">
        <v>517</v>
      </c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v>660833</v>
      </c>
      <c r="D211" s="196"/>
      <c r="E211" s="165"/>
      <c r="F211" s="586" t="s">
        <v>518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510" t="s">
        <v>519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168685</v>
      </c>
      <c r="D215" s="558">
        <f>D21-D208</f>
        <v>33902</v>
      </c>
      <c r="E215" s="171">
        <f t="shared" ref="E215:F215" si="56">E21-E208</f>
        <v>202587</v>
      </c>
      <c r="F215" s="171">
        <f t="shared" si="56"/>
        <v>807222</v>
      </c>
      <c r="G215" s="171">
        <f>G21-G208</f>
        <v>1009809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v>3518</v>
      </c>
      <c r="D219" s="592"/>
      <c r="E219" s="235">
        <f t="shared" ref="E219:G227" si="57">C219+D219</f>
        <v>3518</v>
      </c>
      <c r="F219" s="485">
        <v>7096</v>
      </c>
      <c r="G219" s="235">
        <f t="shared" si="57"/>
        <v>10614</v>
      </c>
      <c r="H219" s="172">
        <f t="shared" ref="H219:H228" si="58">IF($G$228=0,0,G219/$G$228)</f>
        <v>0.81646153846153846</v>
      </c>
      <c r="I219" s="336"/>
      <c r="J219" s="168"/>
      <c r="K219" s="168"/>
    </row>
    <row r="220" spans="1:17">
      <c r="A220" s="163"/>
      <c r="B220" s="170" t="s">
        <v>217</v>
      </c>
      <c r="C220" s="592">
        <v>0</v>
      </c>
      <c r="D220" s="592"/>
      <c r="E220" s="183">
        <f t="shared" ref="E220:E227" si="59">C220+D220</f>
        <v>0</v>
      </c>
      <c r="F220" s="485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v>0</v>
      </c>
      <c r="D221" s="592"/>
      <c r="E221" s="183">
        <f t="shared" si="59"/>
        <v>0</v>
      </c>
      <c r="F221" s="485">
        <v>0</v>
      </c>
      <c r="G221" s="235">
        <f t="shared" si="57"/>
        <v>0</v>
      </c>
      <c r="H221" s="172">
        <f t="shared" si="58"/>
        <v>0</v>
      </c>
      <c r="I221" s="336"/>
      <c r="J221" s="168"/>
      <c r="K221" s="168"/>
    </row>
    <row r="222" spans="1:17">
      <c r="A222" s="163"/>
      <c r="B222" s="202" t="s">
        <v>334</v>
      </c>
      <c r="C222" s="592">
        <v>0</v>
      </c>
      <c r="D222" s="592"/>
      <c r="E222" s="183">
        <f t="shared" si="59"/>
        <v>0</v>
      </c>
      <c r="F222" s="485">
        <v>0</v>
      </c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v>0</v>
      </c>
      <c r="D223" s="592"/>
      <c r="E223" s="183">
        <f t="shared" si="59"/>
        <v>0</v>
      </c>
      <c r="F223" s="485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v>51</v>
      </c>
      <c r="D224" s="592"/>
      <c r="E224" s="183">
        <f t="shared" si="59"/>
        <v>51</v>
      </c>
      <c r="F224" s="485">
        <v>243</v>
      </c>
      <c r="G224" s="235">
        <f t="shared" si="57"/>
        <v>294</v>
      </c>
      <c r="H224" s="172">
        <f t="shared" si="58"/>
        <v>2.2615384615384617E-2</v>
      </c>
      <c r="I224" s="336"/>
      <c r="J224" s="168"/>
      <c r="K224" s="168"/>
    </row>
    <row r="225" spans="1:11">
      <c r="A225" s="163"/>
      <c r="B225" s="170" t="s">
        <v>236</v>
      </c>
      <c r="C225" s="592">
        <v>821</v>
      </c>
      <c r="D225" s="592"/>
      <c r="E225" s="183">
        <f t="shared" si="59"/>
        <v>821</v>
      </c>
      <c r="F225" s="485">
        <v>1204</v>
      </c>
      <c r="G225" s="235">
        <f t="shared" si="57"/>
        <v>2025</v>
      </c>
      <c r="H225" s="172">
        <f t="shared" si="58"/>
        <v>0.15576923076923077</v>
      </c>
      <c r="I225" s="336"/>
      <c r="J225" s="168"/>
      <c r="K225" s="168"/>
    </row>
    <row r="226" spans="1:11">
      <c r="A226" s="163"/>
      <c r="B226" s="170" t="s">
        <v>235</v>
      </c>
      <c r="C226" s="592">
        <v>0</v>
      </c>
      <c r="D226" s="592"/>
      <c r="E226" s="183">
        <f t="shared" si="59"/>
        <v>0</v>
      </c>
      <c r="F226" s="485">
        <v>0</v>
      </c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v>67</v>
      </c>
      <c r="D227" s="592"/>
      <c r="E227" s="183">
        <f t="shared" si="59"/>
        <v>67</v>
      </c>
      <c r="F227" s="485">
        <v>0</v>
      </c>
      <c r="G227" s="235">
        <f t="shared" si="57"/>
        <v>67</v>
      </c>
      <c r="H227" s="172">
        <f t="shared" si="58"/>
        <v>5.1538461538461538E-3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4457</v>
      </c>
      <c r="D228" s="592">
        <f>SUM(D219:D227)</f>
        <v>0</v>
      </c>
      <c r="E228" s="237">
        <f>SUM(E219:E227)</f>
        <v>4457</v>
      </c>
      <c r="F228" s="237">
        <f>SUM(F219:F227)</f>
        <v>8543</v>
      </c>
      <c r="G228" s="237">
        <f>SUM(G219:G227)</f>
        <v>13000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v>37</v>
      </c>
      <c r="D231" s="559"/>
      <c r="E231" s="235">
        <f>C231+D231</f>
        <v>37</v>
      </c>
      <c r="F231" s="235"/>
      <c r="G231" s="235">
        <f>E231+F231</f>
        <v>37</v>
      </c>
      <c r="H231" s="167"/>
      <c r="J231" s="168"/>
      <c r="K231" s="168"/>
    </row>
    <row r="232" spans="1:11">
      <c r="A232" s="163"/>
      <c r="B232" s="202" t="s">
        <v>290</v>
      </c>
      <c r="C232" s="593">
        <v>37</v>
      </c>
      <c r="D232" s="559"/>
      <c r="E232" s="235">
        <f>C232+D232</f>
        <v>37</v>
      </c>
      <c r="F232" s="235"/>
      <c r="G232" s="235">
        <f>E232+F232</f>
        <v>37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$C$4-$C$3+1-243</f>
        <v>123</v>
      </c>
      <c r="D233" s="483"/>
      <c r="E233" s="235">
        <f>C233+D233</f>
        <v>123</v>
      </c>
      <c r="F233" s="571">
        <v>243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570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v>4551</v>
      </c>
      <c r="D235" s="483"/>
      <c r="E235" s="234">
        <f>E231*E233</f>
        <v>4551</v>
      </c>
      <c r="F235" s="572"/>
      <c r="G235" s="234">
        <f>G231*G233</f>
        <v>13542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v>0.97934519885739402</v>
      </c>
      <c r="D236" s="239"/>
      <c r="E236" s="244">
        <f>E228/E235</f>
        <v>0.97934519885739402</v>
      </c>
      <c r="F236" s="573"/>
      <c r="G236" s="244">
        <f>G228/G235</f>
        <v>0.95997636981243539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v>0.77301691935838279</v>
      </c>
      <c r="D237" s="239"/>
      <c r="E237" s="244">
        <f>(E219+E220)/E235</f>
        <v>0.77301691935838279</v>
      </c>
      <c r="F237" s="573"/>
      <c r="G237" s="244">
        <f>(G219+G220)/G235</f>
        <v>0.78378378378378377</v>
      </c>
      <c r="H237" s="167"/>
      <c r="J237" s="168"/>
      <c r="K237" s="168"/>
    </row>
    <row r="238" spans="1:11" ht="26.5">
      <c r="A238" s="163"/>
      <c r="B238" s="243" t="s">
        <v>338</v>
      </c>
      <c r="C238" s="594">
        <v>0.78932017051828585</v>
      </c>
      <c r="D238" s="239"/>
      <c r="E238" s="244">
        <f>(E237/E236)</f>
        <v>0.78932017051828585</v>
      </c>
      <c r="F238" s="573"/>
      <c r="G238" s="244">
        <f>(G237/G236)</f>
        <v>0.81646153846153846</v>
      </c>
      <c r="H238" s="167"/>
      <c r="J238" s="168"/>
      <c r="K238" s="168"/>
    </row>
    <row r="241" spans="2:10">
      <c r="B241" s="148" t="s">
        <v>339</v>
      </c>
      <c r="F241" s="142" t="s">
        <v>340</v>
      </c>
      <c r="G241" s="558">
        <v>683.75</v>
      </c>
      <c r="J241"/>
    </row>
    <row r="242" spans="2:10">
      <c r="F242" s="142" t="s">
        <v>341</v>
      </c>
      <c r="G242" s="558">
        <f>78*1/3+62*2/3</f>
        <v>67.333333333333343</v>
      </c>
      <c r="J242"/>
    </row>
    <row r="243" spans="2:10">
      <c r="F243" s="142" t="s">
        <v>342</v>
      </c>
      <c r="G243" s="558">
        <v>222</v>
      </c>
    </row>
    <row r="244" spans="2:10">
      <c r="F244" s="142" t="s">
        <v>343</v>
      </c>
      <c r="G244" s="484"/>
      <c r="H244" s="140" t="s">
        <v>521</v>
      </c>
    </row>
    <row r="245" spans="2:10">
      <c r="B245" s="523"/>
      <c r="F245" s="142"/>
    </row>
    <row r="246" spans="2:10">
      <c r="B246" s="460"/>
    </row>
  </sheetData>
  <customSheetViews>
    <customSheetView guid="{00D6F160-3E2B-11D5-8BE5-C1A1C12816BD}" showPageBreaks="1" showGridLines="0" printArea="1" showRuler="0">
      <selection activeCell="A5" sqref="A5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PageBreaks="1" showGridLines="0" printArea="1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6">
    <tabColor rgb="FFE28CAB"/>
  </sheetPr>
  <dimension ref="A1:T245"/>
  <sheetViews>
    <sheetView showGridLines="0" zoomScale="125" zoomScaleNormal="125" workbookViewId="0">
      <pane xSplit="2" ySplit="8" topLeftCell="C22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47.4" customHeight="1">
      <c r="A1" s="138" t="str">
        <f>'ALPINE VALLEY'!A1</f>
        <v>schedules revised 7/2016</v>
      </c>
      <c r="B1" s="139" t="s">
        <v>304</v>
      </c>
      <c r="C1" s="470"/>
      <c r="D1" s="469"/>
      <c r="E1" s="574" t="s">
        <v>459</v>
      </c>
      <c r="F1" s="469"/>
      <c r="G1" s="469"/>
      <c r="H1" s="469"/>
      <c r="I1" s="469"/>
      <c r="J1" s="437"/>
    </row>
    <row r="2" spans="1:17" ht="23">
      <c r="B2" s="143" t="s">
        <v>189</v>
      </c>
      <c r="C2" s="139" t="s">
        <v>587</v>
      </c>
      <c r="D2" s="246"/>
      <c r="E2" s="604" t="s">
        <v>523</v>
      </c>
      <c r="H2" s="437"/>
      <c r="I2" s="437"/>
      <c r="J2" s="437"/>
    </row>
    <row r="3" spans="1:17">
      <c r="A3" s="145"/>
      <c r="B3" s="140" t="s">
        <v>79</v>
      </c>
      <c r="C3" s="489">
        <v>42186</v>
      </c>
      <c r="D3" s="438"/>
      <c r="E3" s="147"/>
      <c r="F3" s="460" t="s">
        <v>524</v>
      </c>
      <c r="H3" s="437"/>
      <c r="I3" s="437"/>
      <c r="J3" s="437"/>
    </row>
    <row r="4" spans="1:17">
      <c r="A4" s="145"/>
      <c r="B4" s="148" t="s">
        <v>80</v>
      </c>
      <c r="C4" s="489">
        <v>42551</v>
      </c>
      <c r="D4" s="436"/>
      <c r="E4" s="149"/>
      <c r="F4" s="460" t="s">
        <v>525</v>
      </c>
      <c r="G4" s="150"/>
      <c r="H4" s="437"/>
      <c r="I4" s="437"/>
      <c r="J4" s="437"/>
    </row>
    <row r="5" spans="1:17">
      <c r="A5" s="145"/>
      <c r="B5" s="148"/>
      <c r="C5" s="151"/>
      <c r="D5" s="144"/>
      <c r="F5" s="492" t="s">
        <v>519</v>
      </c>
      <c r="H5" s="437"/>
      <c r="I5" s="437"/>
      <c r="J5" s="437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439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440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441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5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491"/>
      <c r="F10" s="678" t="s">
        <v>520</v>
      </c>
      <c r="G10"/>
      <c r="H10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724">
        <v>689294</v>
      </c>
      <c r="D11" s="724">
        <v>0</v>
      </c>
      <c r="E11" s="171">
        <f>C11+D11</f>
        <v>689294</v>
      </c>
      <c r="F11" s="677">
        <f>(2627379-187796)</f>
        <v>2439583</v>
      </c>
      <c r="G11" s="171">
        <f t="shared" ref="G11:G20" si="0">E11+F11</f>
        <v>3128877</v>
      </c>
      <c r="H11" s="172">
        <f t="shared" ref="H11:H21" si="1">IF($G$21=0,0,G11/$G$21)</f>
        <v>0.77173218138713029</v>
      </c>
      <c r="I11" s="336"/>
      <c r="J11" s="368" t="s">
        <v>344</v>
      </c>
      <c r="K11" s="369">
        <f>G21</f>
        <v>4054356</v>
      </c>
      <c r="M11" s="359">
        <f>IFERROR(G11/G219,0)</f>
        <v>226.56603910209992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724">
        <v>0</v>
      </c>
      <c r="D12" s="724">
        <v>0</v>
      </c>
      <c r="E12" s="171">
        <f t="shared" ref="E12:E20" si="2">C12+D12</f>
        <v>0</v>
      </c>
      <c r="F12" s="443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3463200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724">
        <v>0</v>
      </c>
      <c r="D13" s="724">
        <v>0</v>
      </c>
      <c r="E13" s="171">
        <f t="shared" si="2"/>
        <v>0</v>
      </c>
      <c r="F13" s="443">
        <v>0</v>
      </c>
      <c r="G13" s="171">
        <f t="shared" si="0"/>
        <v>0</v>
      </c>
      <c r="H13" s="172">
        <f t="shared" si="1"/>
        <v>0</v>
      </c>
      <c r="I13" s="336"/>
      <c r="J13" s="370" t="s">
        <v>346</v>
      </c>
      <c r="K13" s="371">
        <f>G228</f>
        <v>18482</v>
      </c>
      <c r="M13" s="359">
        <f t="shared" si="3"/>
        <v>0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724">
        <v>14322</v>
      </c>
      <c r="D14" s="724">
        <v>0</v>
      </c>
      <c r="E14" s="171">
        <f t="shared" si="2"/>
        <v>14322</v>
      </c>
      <c r="F14" s="443">
        <v>23440</v>
      </c>
      <c r="G14" s="175">
        <f>E14+F14</f>
        <v>37762</v>
      </c>
      <c r="H14" s="176">
        <f t="shared" si="1"/>
        <v>9.3139329649394378E-3</v>
      </c>
      <c r="I14" s="337"/>
      <c r="J14" s="370" t="s">
        <v>347</v>
      </c>
      <c r="K14" s="371">
        <f>G231</f>
        <v>85</v>
      </c>
      <c r="M14" s="359">
        <f t="shared" si="3"/>
        <v>340.19819819819821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724">
        <v>0</v>
      </c>
      <c r="D15" s="724">
        <v>0</v>
      </c>
      <c r="E15" s="171">
        <f t="shared" si="2"/>
        <v>0</v>
      </c>
      <c r="F15" s="443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31110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724">
        <v>117309</v>
      </c>
      <c r="D16" s="724">
        <v>0</v>
      </c>
      <c r="E16" s="171">
        <f t="shared" si="2"/>
        <v>117309</v>
      </c>
      <c r="F16" s="443">
        <v>262160</v>
      </c>
      <c r="G16" s="171">
        <f t="shared" si="0"/>
        <v>379469</v>
      </c>
      <c r="H16" s="172">
        <f t="shared" si="1"/>
        <v>9.3595382349255962E-2</v>
      </c>
      <c r="I16" s="336"/>
      <c r="J16" s="372"/>
      <c r="K16" s="371"/>
      <c r="M16" s="359">
        <f t="shared" si="3"/>
        <v>197.84619395203336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724">
        <v>221379</v>
      </c>
      <c r="D17" s="724">
        <v>0</v>
      </c>
      <c r="E17" s="171">
        <f t="shared" si="2"/>
        <v>221379</v>
      </c>
      <c r="F17" s="443">
        <v>235881</v>
      </c>
      <c r="G17" s="171">
        <f>E17+F17</f>
        <v>457260</v>
      </c>
      <c r="H17" s="172">
        <f t="shared" si="1"/>
        <v>0.11278239996685047</v>
      </c>
      <c r="I17" s="336"/>
      <c r="J17" s="370" t="s">
        <v>156</v>
      </c>
      <c r="K17" s="371">
        <f>J208</f>
        <v>89596.67</v>
      </c>
      <c r="M17" s="359">
        <f t="shared" si="3"/>
        <v>173.66502088872008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724">
        <v>0</v>
      </c>
      <c r="D18" s="724">
        <v>0</v>
      </c>
      <c r="E18" s="171">
        <f t="shared" si="2"/>
        <v>0</v>
      </c>
      <c r="F18" s="443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90997.67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724">
        <v>0</v>
      </c>
      <c r="D19" s="724">
        <v>0</v>
      </c>
      <c r="E19" s="171">
        <f t="shared" si="2"/>
        <v>0</v>
      </c>
      <c r="F19" s="443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724">
        <v>14655</v>
      </c>
      <c r="D20" s="724">
        <v>0</v>
      </c>
      <c r="E20" s="171">
        <f t="shared" si="2"/>
        <v>14655</v>
      </c>
      <c r="F20" s="677">
        <f>(132368-96035)</f>
        <v>36333</v>
      </c>
      <c r="G20" s="171">
        <f t="shared" si="0"/>
        <v>50988</v>
      </c>
      <c r="H20" s="172">
        <f t="shared" si="1"/>
        <v>1.2576103331823846E-2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724">
        <v>1056959</v>
      </c>
      <c r="D21" s="724">
        <v>0</v>
      </c>
      <c r="E21" s="171">
        <f>SUM(E11:E20)</f>
        <v>1056959</v>
      </c>
      <c r="F21" s="171">
        <f>SUM(F11:F20)</f>
        <v>2997397</v>
      </c>
      <c r="G21" s="171">
        <f>SUM(G11:G20)</f>
        <v>4054356</v>
      </c>
      <c r="H21" s="172">
        <f t="shared" si="1"/>
        <v>1</v>
      </c>
      <c r="I21" s="336"/>
      <c r="J21" s="168"/>
      <c r="K21" s="168"/>
      <c r="M21" s="359">
        <f>IFERROR(G21/G228,0)</f>
        <v>219.36781733578616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718"/>
      <c r="D22" s="711"/>
      <c r="F22" s="4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718"/>
      <c r="D23" s="711"/>
      <c r="F23" s="605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C24" s="710"/>
      <c r="D24" s="710"/>
      <c r="F24" s="603" t="s">
        <v>520</v>
      </c>
      <c r="M24" s="363"/>
      <c r="N24" s="363"/>
    </row>
    <row r="25" spans="1:17" s="167" customFormat="1">
      <c r="A25" s="169" t="s">
        <v>83</v>
      </c>
      <c r="B25" s="170" t="s">
        <v>14</v>
      </c>
      <c r="C25" s="724">
        <v>29241</v>
      </c>
      <c r="D25" s="724">
        <v>0</v>
      </c>
      <c r="E25" s="171">
        <f t="shared" ref="E25:E60" si="4">C25+D25</f>
        <v>29241</v>
      </c>
      <c r="F25" s="558">
        <v>62759</v>
      </c>
      <c r="G25" s="182">
        <f>E25+F25</f>
        <v>92000</v>
      </c>
      <c r="H25" s="172">
        <f>IF($G$208=0,0,G25/$G$208)</f>
        <v>2.6565026565026566E-2</v>
      </c>
      <c r="I25" s="336"/>
      <c r="J25" s="183">
        <f>720+1387</f>
        <v>2107</v>
      </c>
      <c r="K25" s="183">
        <f>720+1387</f>
        <v>2107</v>
      </c>
      <c r="M25" s="359">
        <f>G25/G$228</f>
        <v>4.9778162536522021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724">
        <v>0</v>
      </c>
      <c r="D26" s="724">
        <v>0</v>
      </c>
      <c r="E26" s="171">
        <f t="shared" si="4"/>
        <v>0</v>
      </c>
      <c r="F26" s="558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724">
        <v>31985</v>
      </c>
      <c r="D27" s="724">
        <v>-7431</v>
      </c>
      <c r="E27" s="171">
        <f t="shared" si="4"/>
        <v>24554</v>
      </c>
      <c r="F27" s="558">
        <v>44056</v>
      </c>
      <c r="G27" s="171">
        <f t="shared" si="5"/>
        <v>68610</v>
      </c>
      <c r="H27" s="172">
        <f t="shared" si="6"/>
        <v>1.9811157311157311E-2</v>
      </c>
      <c r="I27" s="336"/>
      <c r="J27" s="185">
        <f>715+1358</f>
        <v>2073</v>
      </c>
      <c r="K27" s="185">
        <f>719+1411</f>
        <v>2130</v>
      </c>
      <c r="M27" s="359">
        <f t="shared" si="7"/>
        <v>3.712260577859539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724">
        <v>4509</v>
      </c>
      <c r="D28" s="724">
        <v>0</v>
      </c>
      <c r="E28" s="171">
        <f t="shared" si="4"/>
        <v>4509</v>
      </c>
      <c r="F28" s="558">
        <v>16792</v>
      </c>
      <c r="G28" s="171">
        <f t="shared" si="5"/>
        <v>21301</v>
      </c>
      <c r="H28" s="172">
        <f t="shared" si="6"/>
        <v>6.1506699006699007E-3</v>
      </c>
      <c r="I28" s="336"/>
      <c r="J28" s="168"/>
      <c r="K28" s="168"/>
      <c r="M28" s="359">
        <f t="shared" si="7"/>
        <v>1.1525267828157126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724">
        <v>0</v>
      </c>
      <c r="D29" s="724">
        <v>0</v>
      </c>
      <c r="E29" s="171">
        <f t="shared" si="4"/>
        <v>0</v>
      </c>
      <c r="F29" s="558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724">
        <v>0</v>
      </c>
      <c r="D30" s="724">
        <v>0</v>
      </c>
      <c r="E30" s="171">
        <f t="shared" si="4"/>
        <v>0</v>
      </c>
      <c r="F30" s="677">
        <f>(445104-445104)</f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724">
        <v>0</v>
      </c>
      <c r="D31" s="724">
        <v>0</v>
      </c>
      <c r="E31" s="171">
        <f t="shared" si="4"/>
        <v>0</v>
      </c>
      <c r="F31" s="558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724">
        <v>893</v>
      </c>
      <c r="D32" s="724">
        <v>-893</v>
      </c>
      <c r="E32" s="171">
        <f t="shared" si="4"/>
        <v>0</v>
      </c>
      <c r="F32" s="558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724">
        <v>5769</v>
      </c>
      <c r="D33" s="724">
        <v>0</v>
      </c>
      <c r="E33" s="171">
        <f t="shared" si="4"/>
        <v>5769</v>
      </c>
      <c r="F33" s="558">
        <v>10717</v>
      </c>
      <c r="G33" s="171">
        <f t="shared" si="5"/>
        <v>16486</v>
      </c>
      <c r="H33" s="172">
        <f t="shared" si="6"/>
        <v>4.7603372603372603E-3</v>
      </c>
      <c r="I33" s="336"/>
      <c r="J33" s="168"/>
      <c r="K33" s="168"/>
      <c r="M33" s="359">
        <f t="shared" si="7"/>
        <v>0.89200302997511094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724">
        <v>9132</v>
      </c>
      <c r="D34" s="724">
        <v>0</v>
      </c>
      <c r="E34" s="171">
        <f t="shared" si="4"/>
        <v>9132</v>
      </c>
      <c r="F34" s="679">
        <f>(19511-2300)</f>
        <v>17211</v>
      </c>
      <c r="G34" s="171">
        <f t="shared" si="5"/>
        <v>26343</v>
      </c>
      <c r="H34" s="172">
        <f t="shared" si="6"/>
        <v>7.6065488565488565E-3</v>
      </c>
      <c r="I34" s="336"/>
      <c r="J34" s="168"/>
      <c r="K34" s="168"/>
      <c r="M34" s="359">
        <f t="shared" si="7"/>
        <v>1.4253327561952169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724">
        <v>7649</v>
      </c>
      <c r="D35" s="724">
        <v>0</v>
      </c>
      <c r="E35" s="171">
        <f t="shared" si="4"/>
        <v>7649</v>
      </c>
      <c r="F35" s="677">
        <f>(10825-1055)</f>
        <v>9770</v>
      </c>
      <c r="G35" s="171">
        <f t="shared" si="5"/>
        <v>17419</v>
      </c>
      <c r="H35" s="172">
        <f t="shared" si="6"/>
        <v>5.0297412797412795E-3</v>
      </c>
      <c r="I35" s="336"/>
      <c r="J35" s="168"/>
      <c r="K35" s="168"/>
      <c r="M35" s="359">
        <f t="shared" si="7"/>
        <v>0.94248457959095333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724">
        <v>13453</v>
      </c>
      <c r="D36" s="724">
        <v>0</v>
      </c>
      <c r="E36" s="171">
        <f t="shared" si="4"/>
        <v>13453</v>
      </c>
      <c r="F36" s="558">
        <v>9523</v>
      </c>
      <c r="G36" s="171">
        <f t="shared" si="5"/>
        <v>22976</v>
      </c>
      <c r="H36" s="172">
        <f t="shared" si="6"/>
        <v>6.634326634326634E-3</v>
      </c>
      <c r="I36" s="336"/>
      <c r="J36" s="168"/>
      <c r="K36" s="168"/>
      <c r="M36" s="359">
        <f t="shared" si="7"/>
        <v>1.2431555026512282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724">
        <v>0</v>
      </c>
      <c r="D37" s="724">
        <v>0</v>
      </c>
      <c r="E37" s="171">
        <f t="shared" si="4"/>
        <v>0</v>
      </c>
      <c r="F37" s="558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724">
        <v>3376</v>
      </c>
      <c r="D38" s="724">
        <v>0</v>
      </c>
      <c r="E38" s="171">
        <f t="shared" si="4"/>
        <v>3376</v>
      </c>
      <c r="F38" s="558">
        <v>11555</v>
      </c>
      <c r="G38" s="171">
        <f t="shared" si="5"/>
        <v>14931</v>
      </c>
      <c r="H38" s="172">
        <f t="shared" si="6"/>
        <v>4.3113305613305614E-3</v>
      </c>
      <c r="I38" s="336"/>
      <c r="J38" s="168"/>
      <c r="K38" s="168"/>
      <c r="M38" s="359">
        <f t="shared" si="7"/>
        <v>0.80786711394870681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724">
        <v>0</v>
      </c>
      <c r="D39" s="724">
        <v>0</v>
      </c>
      <c r="E39" s="171">
        <f t="shared" si="4"/>
        <v>0</v>
      </c>
      <c r="F39" s="558">
        <v>0</v>
      </c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724">
        <v>0</v>
      </c>
      <c r="D40" s="724">
        <v>0</v>
      </c>
      <c r="E40" s="171">
        <f t="shared" si="4"/>
        <v>0</v>
      </c>
      <c r="F40" s="558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724">
        <v>114591</v>
      </c>
      <c r="D41" s="724">
        <v>0</v>
      </c>
      <c r="E41" s="171">
        <f t="shared" si="4"/>
        <v>114591</v>
      </c>
      <c r="F41" s="558">
        <v>223446</v>
      </c>
      <c r="G41" s="171">
        <f t="shared" si="5"/>
        <v>338037</v>
      </c>
      <c r="H41" s="172">
        <f t="shared" si="6"/>
        <v>9.7608281358281354E-2</v>
      </c>
      <c r="I41" s="336"/>
      <c r="J41" s="168"/>
      <c r="K41" s="168"/>
      <c r="M41" s="359">
        <f t="shared" si="7"/>
        <v>18.290066010172058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724">
        <v>0</v>
      </c>
      <c r="D42" s="724">
        <v>0</v>
      </c>
      <c r="E42" s="171">
        <f t="shared" si="4"/>
        <v>0</v>
      </c>
      <c r="F42" s="558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724">
        <v>0</v>
      </c>
      <c r="D43" s="724">
        <v>0</v>
      </c>
      <c r="E43" s="171">
        <f t="shared" si="4"/>
        <v>0</v>
      </c>
      <c r="F43" s="558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724">
        <v>0</v>
      </c>
      <c r="D44" s="724">
        <v>0</v>
      </c>
      <c r="E44" s="171">
        <f t="shared" si="4"/>
        <v>0</v>
      </c>
      <c r="F44" s="558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724">
        <v>0</v>
      </c>
      <c r="D45" s="724">
        <v>0</v>
      </c>
      <c r="E45" s="171">
        <f t="shared" si="4"/>
        <v>0</v>
      </c>
      <c r="F45" s="558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724">
        <v>7908</v>
      </c>
      <c r="D46" s="724">
        <v>0</v>
      </c>
      <c r="E46" s="171">
        <f t="shared" si="4"/>
        <v>7908</v>
      </c>
      <c r="F46" s="558">
        <v>19355</v>
      </c>
      <c r="G46" s="171">
        <f t="shared" si="5"/>
        <v>27263</v>
      </c>
      <c r="H46" s="172">
        <f t="shared" si="6"/>
        <v>7.8721991221991222E-3</v>
      </c>
      <c r="I46" s="336"/>
      <c r="J46" s="168"/>
      <c r="K46" s="168"/>
      <c r="M46" s="359">
        <f t="shared" si="7"/>
        <v>1.4751109187317391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724">
        <v>7529</v>
      </c>
      <c r="D47" s="724">
        <v>0</v>
      </c>
      <c r="E47" s="171">
        <f t="shared" si="4"/>
        <v>7529</v>
      </c>
      <c r="F47" s="558">
        <v>41397</v>
      </c>
      <c r="G47" s="171">
        <f t="shared" si="5"/>
        <v>48926</v>
      </c>
      <c r="H47" s="172">
        <f t="shared" si="6"/>
        <v>1.4127396627396628E-2</v>
      </c>
      <c r="I47" s="336"/>
      <c r="J47" s="168"/>
      <c r="K47" s="168"/>
      <c r="M47" s="359">
        <f t="shared" si="7"/>
        <v>2.6472243263716049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724">
        <v>0</v>
      </c>
      <c r="D48" s="724">
        <v>0</v>
      </c>
      <c r="E48" s="171">
        <f t="shared" si="4"/>
        <v>0</v>
      </c>
      <c r="F48" s="558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724">
        <v>0</v>
      </c>
      <c r="D49" s="724">
        <v>0</v>
      </c>
      <c r="E49" s="171">
        <f t="shared" si="4"/>
        <v>0</v>
      </c>
      <c r="F49" s="558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724">
        <v>0</v>
      </c>
      <c r="D50" s="724">
        <v>0</v>
      </c>
      <c r="E50" s="171">
        <f t="shared" si="4"/>
        <v>0</v>
      </c>
      <c r="F50" s="558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724">
        <v>0</v>
      </c>
      <c r="D51" s="724">
        <v>0</v>
      </c>
      <c r="E51" s="171">
        <f t="shared" si="4"/>
        <v>0</v>
      </c>
      <c r="F51" s="679">
        <f>(9552-9552)</f>
        <v>0</v>
      </c>
      <c r="G51" s="171">
        <f t="shared" si="5"/>
        <v>0</v>
      </c>
      <c r="H51" s="172">
        <f t="shared" si="6"/>
        <v>0</v>
      </c>
      <c r="I51" s="336"/>
      <c r="J51" s="183">
        <v>269</v>
      </c>
      <c r="K51" s="183">
        <v>269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724">
        <v>0</v>
      </c>
      <c r="D52" s="724">
        <v>0</v>
      </c>
      <c r="E52" s="171">
        <f t="shared" si="4"/>
        <v>0</v>
      </c>
      <c r="F52" s="677">
        <f>(564-564)</f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724">
        <v>0</v>
      </c>
      <c r="D53" s="724">
        <v>0</v>
      </c>
      <c r="E53" s="171">
        <f t="shared" si="4"/>
        <v>0</v>
      </c>
      <c r="F53" s="558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724">
        <v>341</v>
      </c>
      <c r="D54" s="724">
        <v>0</v>
      </c>
      <c r="E54" s="171">
        <f t="shared" si="4"/>
        <v>341</v>
      </c>
      <c r="F54" s="558">
        <v>2236</v>
      </c>
      <c r="G54" s="171">
        <f t="shared" si="5"/>
        <v>2577</v>
      </c>
      <c r="H54" s="172">
        <f t="shared" si="6"/>
        <v>7.4410949410949406E-4</v>
      </c>
      <c r="I54" s="336"/>
      <c r="J54" s="168"/>
      <c r="K54" s="168"/>
      <c r="M54" s="359">
        <f t="shared" si="7"/>
        <v>0.13943296180067091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724">
        <v>0</v>
      </c>
      <c r="D55" s="724">
        <v>0</v>
      </c>
      <c r="E55" s="171">
        <f t="shared" si="4"/>
        <v>0</v>
      </c>
      <c r="F55" s="558">
        <v>0</v>
      </c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724">
        <v>25064</v>
      </c>
      <c r="D56" s="724">
        <v>0</v>
      </c>
      <c r="E56" s="171">
        <f t="shared" si="4"/>
        <v>25064</v>
      </c>
      <c r="F56" s="679">
        <f>(115653+4052)</f>
        <v>119705</v>
      </c>
      <c r="G56" s="171">
        <f t="shared" si="5"/>
        <v>144769</v>
      </c>
      <c r="H56" s="172">
        <f t="shared" si="6"/>
        <v>4.1802090552090554E-2</v>
      </c>
      <c r="I56" s="336"/>
      <c r="J56" s="168"/>
      <c r="K56" s="168"/>
      <c r="M56" s="359">
        <f t="shared" si="7"/>
        <v>7.8329726220106046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724">
        <v>3684</v>
      </c>
      <c r="D57" s="724">
        <v>0</v>
      </c>
      <c r="E57" s="171">
        <f t="shared" si="4"/>
        <v>3684</v>
      </c>
      <c r="F57" s="677">
        <f>(9045-1445)</f>
        <v>7600</v>
      </c>
      <c r="G57" s="171">
        <f t="shared" si="5"/>
        <v>11284</v>
      </c>
      <c r="H57" s="172">
        <f t="shared" si="6"/>
        <v>3.2582582582582581E-3</v>
      </c>
      <c r="I57" s="336"/>
      <c r="J57" s="168"/>
      <c r="K57" s="168"/>
      <c r="M57" s="359">
        <f t="shared" si="7"/>
        <v>0.6105399848501244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724">
        <v>1284</v>
      </c>
      <c r="D58" s="724">
        <v>-1284</v>
      </c>
      <c r="E58" s="171">
        <f t="shared" si="4"/>
        <v>0</v>
      </c>
      <c r="F58" s="558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724">
        <v>0</v>
      </c>
      <c r="D59" s="724">
        <v>0</v>
      </c>
      <c r="E59" s="171">
        <f t="shared" si="4"/>
        <v>0</v>
      </c>
      <c r="F59" s="558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724">
        <v>504</v>
      </c>
      <c r="D60" s="724">
        <v>0</v>
      </c>
      <c r="E60" s="171">
        <f t="shared" si="4"/>
        <v>504</v>
      </c>
      <c r="F60" s="558">
        <v>832</v>
      </c>
      <c r="G60" s="171">
        <f t="shared" si="5"/>
        <v>1336</v>
      </c>
      <c r="H60" s="172">
        <f t="shared" si="6"/>
        <v>3.8577038577038576E-4</v>
      </c>
      <c r="I60" s="336"/>
      <c r="J60" s="168"/>
      <c r="K60" s="168"/>
      <c r="M60" s="359">
        <f t="shared" si="7"/>
        <v>7.2286549074775455E-2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724">
        <v>266912</v>
      </c>
      <c r="D61" s="724">
        <v>-9608</v>
      </c>
      <c r="E61" s="171">
        <f t="shared" ref="E61" si="8">SUM(E25:E60)</f>
        <v>257304</v>
      </c>
      <c r="F61" s="558">
        <f>SUM(F25:F60)</f>
        <v>596954</v>
      </c>
      <c r="G61" s="171">
        <f>SUM(G25:G60)</f>
        <v>854258</v>
      </c>
      <c r="H61" s="186">
        <f t="shared" si="6"/>
        <v>0.24666724416724417</v>
      </c>
      <c r="I61" s="338"/>
      <c r="J61" s="168"/>
      <c r="K61" s="168"/>
      <c r="M61" s="364">
        <f>G61/G$228</f>
        <v>46.221079969700249</v>
      </c>
      <c r="N61" s="359">
        <f>SUMMARY!J64</f>
        <v>53.728790309602623</v>
      </c>
      <c r="O61" s="354">
        <f>M61/N61-1</f>
        <v>-0.13973347057770191</v>
      </c>
      <c r="P61"/>
      <c r="Q61"/>
    </row>
    <row r="62" spans="1:17" s="167" customFormat="1">
      <c r="A62" s="163"/>
      <c r="C62" s="712"/>
      <c r="D62" s="712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712"/>
      <c r="D63" s="712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724">
        <v>99999</v>
      </c>
      <c r="D64" s="724">
        <v>0</v>
      </c>
      <c r="E64" s="171">
        <f t="shared" ref="E64:E78" si="9">C64+D64</f>
        <v>99999</v>
      </c>
      <c r="F64" s="679">
        <f>(454315-187651)</f>
        <v>266664</v>
      </c>
      <c r="G64" s="171">
        <f t="shared" ref="G64:G78" si="10">E64+F64</f>
        <v>366663</v>
      </c>
      <c r="H64" s="172">
        <f t="shared" ref="H64:H79" si="11">IF($G$208=0,0,G64/$G$208)</f>
        <v>0.10587404712404712</v>
      </c>
      <c r="I64" s="336"/>
      <c r="J64" s="190"/>
      <c r="K64" s="168"/>
      <c r="M64" s="359">
        <f t="shared" ref="M64:M79" si="12">G64/G$228</f>
        <v>19.838924358835623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724">
        <v>0</v>
      </c>
      <c r="D65" s="724">
        <v>0</v>
      </c>
      <c r="E65" s="171">
        <f t="shared" si="9"/>
        <v>0</v>
      </c>
      <c r="F65" s="558">
        <v>0</v>
      </c>
      <c r="G65" s="171">
        <f t="shared" si="10"/>
        <v>0</v>
      </c>
      <c r="H65" s="172">
        <f t="shared" si="11"/>
        <v>0</v>
      </c>
      <c r="I65" s="336"/>
      <c r="J65" s="190"/>
      <c r="K65" s="168"/>
      <c r="M65" s="359">
        <f t="shared" si="12"/>
        <v>0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724">
        <v>0</v>
      </c>
      <c r="D66" s="724">
        <v>0</v>
      </c>
      <c r="E66" s="171">
        <f t="shared" si="9"/>
        <v>0</v>
      </c>
      <c r="F66" s="558">
        <v>0</v>
      </c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724">
        <v>0</v>
      </c>
      <c r="D67" s="724">
        <v>0</v>
      </c>
      <c r="E67" s="171">
        <f t="shared" si="9"/>
        <v>0</v>
      </c>
      <c r="F67" s="558">
        <v>0</v>
      </c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724">
        <v>0</v>
      </c>
      <c r="D68" s="724">
        <v>0</v>
      </c>
      <c r="E68" s="171">
        <f t="shared" si="9"/>
        <v>0</v>
      </c>
      <c r="F68" s="558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724">
        <v>0</v>
      </c>
      <c r="D69" s="724">
        <v>0</v>
      </c>
      <c r="E69" s="171">
        <f t="shared" si="9"/>
        <v>0</v>
      </c>
      <c r="F69" s="558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724">
        <v>0</v>
      </c>
      <c r="D70" s="724">
        <v>0</v>
      </c>
      <c r="E70" s="171">
        <f t="shared" si="9"/>
        <v>0</v>
      </c>
      <c r="F70" s="558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724">
        <v>0</v>
      </c>
      <c r="D71" s="724">
        <v>0</v>
      </c>
      <c r="E71" s="171">
        <f t="shared" si="9"/>
        <v>0</v>
      </c>
      <c r="F71" s="558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724">
        <v>3510</v>
      </c>
      <c r="D72" s="724">
        <v>0</v>
      </c>
      <c r="E72" s="171">
        <f t="shared" si="9"/>
        <v>3510</v>
      </c>
      <c r="F72" s="558">
        <v>2675</v>
      </c>
      <c r="G72" s="171">
        <f t="shared" si="10"/>
        <v>6185</v>
      </c>
      <c r="H72" s="172">
        <f t="shared" si="11"/>
        <v>1.7859205359205359E-3</v>
      </c>
      <c r="I72" s="336"/>
      <c r="J72" s="195"/>
      <c r="K72" s="168"/>
      <c r="M72" s="359">
        <f t="shared" si="12"/>
        <v>0.33464992966129209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724">
        <v>1788</v>
      </c>
      <c r="D73" s="724">
        <v>0</v>
      </c>
      <c r="E73" s="171">
        <f>SUM(C73:D73)</f>
        <v>1788</v>
      </c>
      <c r="F73" s="558">
        <v>0</v>
      </c>
      <c r="G73" s="171">
        <f t="shared" si="10"/>
        <v>1788</v>
      </c>
      <c r="H73" s="172">
        <f t="shared" si="11"/>
        <v>5.162855162855163E-4</v>
      </c>
      <c r="I73" s="336"/>
      <c r="J73" s="195"/>
      <c r="K73" s="168"/>
      <c r="M73" s="359">
        <f t="shared" si="12"/>
        <v>9.6742776755762358E-2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724">
        <v>0</v>
      </c>
      <c r="D74" s="724">
        <v>0</v>
      </c>
      <c r="E74" s="171">
        <f>SUM(C74:D74)</f>
        <v>0</v>
      </c>
      <c r="F74" s="677">
        <v>360</v>
      </c>
      <c r="G74" s="171">
        <f t="shared" si="10"/>
        <v>360</v>
      </c>
      <c r="H74" s="172">
        <f t="shared" si="11"/>
        <v>1.0395010395010396E-4</v>
      </c>
      <c r="I74" s="336"/>
      <c r="J74" s="195"/>
      <c r="K74" s="168"/>
      <c r="M74" s="359">
        <f t="shared" si="12"/>
        <v>1.9478411427334703E-2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724">
        <v>0</v>
      </c>
      <c r="D75" s="724">
        <v>0</v>
      </c>
      <c r="E75" s="171">
        <f t="shared" si="9"/>
        <v>0</v>
      </c>
      <c r="F75" s="558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724">
        <v>0</v>
      </c>
      <c r="D76" s="724">
        <v>0</v>
      </c>
      <c r="E76" s="171">
        <f t="shared" si="9"/>
        <v>0</v>
      </c>
      <c r="F76" s="558">
        <v>0</v>
      </c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724">
        <v>0</v>
      </c>
      <c r="D77" s="724">
        <v>0</v>
      </c>
      <c r="E77" s="171">
        <f t="shared" si="9"/>
        <v>0</v>
      </c>
      <c r="F77" s="558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724">
        <v>0</v>
      </c>
      <c r="D78" s="724">
        <v>0</v>
      </c>
      <c r="E78" s="171">
        <f t="shared" si="9"/>
        <v>0</v>
      </c>
      <c r="F78" s="558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724">
        <v>105297</v>
      </c>
      <c r="D79" s="724">
        <v>0</v>
      </c>
      <c r="E79" s="171">
        <f t="shared" ref="E79" si="13">SUM(E64:E78)</f>
        <v>105297</v>
      </c>
      <c r="F79" s="558">
        <f>SUM(F64:F78)</f>
        <v>269699</v>
      </c>
      <c r="G79" s="171">
        <f>SUM(G64:G78)</f>
        <v>374996</v>
      </c>
      <c r="H79" s="172">
        <f t="shared" si="11"/>
        <v>0.10828020328020328</v>
      </c>
      <c r="I79" s="336"/>
      <c r="J79" s="195"/>
      <c r="K79" s="168"/>
      <c r="M79" s="359">
        <f t="shared" si="12"/>
        <v>20.289795476680013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713"/>
      <c r="D80" s="713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712"/>
      <c r="D81" s="712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724">
        <v>12509</v>
      </c>
      <c r="D82" s="724">
        <v>0</v>
      </c>
      <c r="E82" s="171">
        <f t="shared" ref="E82:E92" si="14">C82+D82</f>
        <v>12509</v>
      </c>
      <c r="F82" s="558">
        <v>23039</v>
      </c>
      <c r="G82" s="171">
        <f t="shared" ref="G82:G92" si="15">E82+F82</f>
        <v>35548</v>
      </c>
      <c r="H82" s="172">
        <f t="shared" ref="H82:H93" si="16">IF($G$208=0,0,G82/$G$208)</f>
        <v>1.0264495264495264E-2</v>
      </c>
      <c r="I82" s="336"/>
      <c r="J82" s="183">
        <f>609.14+1214</f>
        <v>1823.1399999999999</v>
      </c>
      <c r="K82" s="183">
        <f>609.14+1222</f>
        <v>1831.1399999999999</v>
      </c>
      <c r="M82" s="359">
        <f t="shared" ref="M82:M92" si="17">G82/G$228</f>
        <v>1.9233849150524835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724">
        <v>1215</v>
      </c>
      <c r="D83" s="724">
        <v>0</v>
      </c>
      <c r="E83" s="171">
        <f t="shared" si="14"/>
        <v>1215</v>
      </c>
      <c r="F83" s="558">
        <v>3470</v>
      </c>
      <c r="G83" s="171">
        <f t="shared" si="15"/>
        <v>4685</v>
      </c>
      <c r="H83" s="172">
        <f t="shared" si="16"/>
        <v>1.3527951027951029E-3</v>
      </c>
      <c r="I83" s="336"/>
      <c r="J83" s="168"/>
      <c r="K83" s="168"/>
      <c r="M83" s="359">
        <f t="shared" si="17"/>
        <v>0.25348988204739747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724">
        <v>4247</v>
      </c>
      <c r="D84" s="724">
        <v>0</v>
      </c>
      <c r="E84" s="171">
        <f t="shared" si="14"/>
        <v>4247</v>
      </c>
      <c r="F84" s="558">
        <v>4746</v>
      </c>
      <c r="G84" s="171">
        <f t="shared" si="15"/>
        <v>8993</v>
      </c>
      <c r="H84" s="172">
        <f t="shared" si="16"/>
        <v>2.5967313467313469E-3</v>
      </c>
      <c r="I84" s="336"/>
      <c r="J84" s="168"/>
      <c r="K84" s="168"/>
      <c r="M84" s="359">
        <f t="shared" si="17"/>
        <v>0.48658153879450278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724">
        <v>289</v>
      </c>
      <c r="D85" s="724">
        <v>0</v>
      </c>
      <c r="E85" s="171">
        <f t="shared" si="14"/>
        <v>289</v>
      </c>
      <c r="F85" s="558">
        <v>4595</v>
      </c>
      <c r="G85" s="171">
        <f t="shared" si="15"/>
        <v>4884</v>
      </c>
      <c r="H85" s="172">
        <f t="shared" si="16"/>
        <v>1.4102564102564104E-3</v>
      </c>
      <c r="I85" s="336"/>
      <c r="J85" s="168"/>
      <c r="K85" s="168"/>
      <c r="M85" s="359">
        <f t="shared" si="17"/>
        <v>0.26425711503084082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724">
        <v>0</v>
      </c>
      <c r="D86" s="724">
        <v>0</v>
      </c>
      <c r="E86" s="171">
        <f t="shared" si="14"/>
        <v>0</v>
      </c>
      <c r="F86" s="677">
        <v>1870</v>
      </c>
      <c r="G86" s="171">
        <f>E86+F86</f>
        <v>1870</v>
      </c>
      <c r="H86" s="172">
        <f t="shared" si="16"/>
        <v>5.3996303996304001E-4</v>
      </c>
      <c r="I86" s="336"/>
      <c r="J86" s="168"/>
      <c r="K86" s="168"/>
      <c r="M86" s="359">
        <f t="shared" si="17"/>
        <v>0.10117952602532193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724">
        <v>13026</v>
      </c>
      <c r="D87" s="724">
        <v>0</v>
      </c>
      <c r="E87" s="171">
        <f t="shared" si="14"/>
        <v>13026</v>
      </c>
      <c r="F87" s="558">
        <v>20471</v>
      </c>
      <c r="G87" s="171">
        <f t="shared" si="15"/>
        <v>33497</v>
      </c>
      <c r="H87" s="172">
        <f t="shared" si="16"/>
        <v>9.6722684222684228E-3</v>
      </c>
      <c r="I87" s="336"/>
      <c r="J87" s="168"/>
      <c r="K87" s="168"/>
      <c r="M87" s="359">
        <f t="shared" si="17"/>
        <v>1.8124120766150849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724">
        <v>1849</v>
      </c>
      <c r="D88" s="724">
        <v>-1849</v>
      </c>
      <c r="E88" s="171">
        <f t="shared" si="14"/>
        <v>0</v>
      </c>
      <c r="F88" s="558">
        <v>0</v>
      </c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724">
        <v>10000</v>
      </c>
      <c r="D89" s="724">
        <v>-10000</v>
      </c>
      <c r="E89" s="171">
        <f t="shared" si="14"/>
        <v>0</v>
      </c>
      <c r="F89" s="558">
        <v>0</v>
      </c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724">
        <v>0</v>
      </c>
      <c r="D90" s="724">
        <v>0</v>
      </c>
      <c r="E90" s="171">
        <f t="shared" si="14"/>
        <v>0</v>
      </c>
      <c r="F90" s="558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724">
        <v>27423</v>
      </c>
      <c r="D91" s="724">
        <v>0</v>
      </c>
      <c r="E91" s="171">
        <f t="shared" si="14"/>
        <v>27423</v>
      </c>
      <c r="F91" s="558">
        <v>45380</v>
      </c>
      <c r="G91" s="171">
        <f t="shared" si="15"/>
        <v>72803</v>
      </c>
      <c r="H91" s="172">
        <f t="shared" si="16"/>
        <v>2.1021887271887273E-2</v>
      </c>
      <c r="I91" s="336"/>
      <c r="J91" s="168"/>
      <c r="K91" s="168"/>
      <c r="M91" s="359">
        <f t="shared" si="17"/>
        <v>3.9391299642895792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724">
        <v>2065</v>
      </c>
      <c r="D92" s="724">
        <v>0</v>
      </c>
      <c r="E92" s="171">
        <f t="shared" si="14"/>
        <v>2065</v>
      </c>
      <c r="F92" s="677">
        <f>(5540-464)</f>
        <v>5076</v>
      </c>
      <c r="G92" s="171">
        <f t="shared" si="15"/>
        <v>7141</v>
      </c>
      <c r="H92" s="172">
        <f t="shared" si="16"/>
        <v>2.0619658119658121E-3</v>
      </c>
      <c r="I92" s="336"/>
      <c r="J92" s="168"/>
      <c r="K92" s="168"/>
      <c r="M92" s="359">
        <f t="shared" si="17"/>
        <v>0.38637593334054754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724">
        <v>72623</v>
      </c>
      <c r="D93" s="724">
        <v>-11849</v>
      </c>
      <c r="E93" s="171">
        <f t="shared" ref="E93" si="18">SUM(E82:E92)</f>
        <v>60774</v>
      </c>
      <c r="F93" s="558">
        <f>SUM(F82:F92)</f>
        <v>108647</v>
      </c>
      <c r="G93" s="171">
        <f>SUM(G82:G92)</f>
        <v>169421</v>
      </c>
      <c r="H93" s="172">
        <f t="shared" si="16"/>
        <v>4.892036267036267E-2</v>
      </c>
      <c r="I93" s="336"/>
      <c r="J93" s="168"/>
      <c r="K93" s="168"/>
      <c r="M93" s="364">
        <f>G93/G$228</f>
        <v>9.1668109511957585</v>
      </c>
      <c r="N93" s="359">
        <f>SUMMARY!J96</f>
        <v>11.458724454710746</v>
      </c>
      <c r="O93" s="354">
        <f>M93/N93-1</f>
        <v>-0.20001471477680643</v>
      </c>
      <c r="P93"/>
      <c r="Q93"/>
    </row>
    <row r="94" spans="1:17" s="167" customFormat="1">
      <c r="A94" s="163"/>
      <c r="C94" s="712"/>
      <c r="D94" s="712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712"/>
      <c r="D95" s="712"/>
      <c r="E95" s="165"/>
      <c r="F95" s="213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724">
        <v>53705</v>
      </c>
      <c r="D96" s="724">
        <v>0</v>
      </c>
      <c r="E96" s="171">
        <f t="shared" ref="E96:E101" si="19">C96+D96</f>
        <v>53705</v>
      </c>
      <c r="F96" s="677">
        <f>(86082-5200)</f>
        <v>80882</v>
      </c>
      <c r="G96" s="171">
        <f t="shared" ref="G96:G101" si="20">E96+F96</f>
        <v>134587</v>
      </c>
      <c r="H96" s="172">
        <f t="shared" ref="H96:H102" si="21">IF($G$208=0,0,G96/$G$208)</f>
        <v>3.8862035112035113E-2</v>
      </c>
      <c r="I96" s="336"/>
      <c r="J96" s="183">
        <f>3796.44+7028</f>
        <v>10824.44</v>
      </c>
      <c r="K96" s="183">
        <f>3796.44+7028</f>
        <v>10824.44</v>
      </c>
      <c r="M96" s="364">
        <f t="shared" ref="M96:M101" si="22">G96/G$228</f>
        <v>7.2820582188074887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724">
        <v>5245</v>
      </c>
      <c r="D97" s="724">
        <v>0</v>
      </c>
      <c r="E97" s="171">
        <f t="shared" si="19"/>
        <v>5245</v>
      </c>
      <c r="F97" s="558">
        <v>12714</v>
      </c>
      <c r="G97" s="171">
        <f t="shared" si="20"/>
        <v>17959</v>
      </c>
      <c r="H97" s="172">
        <f t="shared" si="21"/>
        <v>5.1856664356664355E-3</v>
      </c>
      <c r="I97" s="336"/>
      <c r="J97" s="168"/>
      <c r="K97" s="168"/>
      <c r="M97" s="364">
        <f t="shared" si="22"/>
        <v>0.97170219673195546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724">
        <v>5698</v>
      </c>
      <c r="D98" s="724">
        <v>0</v>
      </c>
      <c r="E98" s="171">
        <f t="shared" si="19"/>
        <v>5698</v>
      </c>
      <c r="F98" s="558">
        <v>8296</v>
      </c>
      <c r="G98" s="171">
        <f t="shared" si="20"/>
        <v>13994</v>
      </c>
      <c r="H98" s="172">
        <f t="shared" si="21"/>
        <v>4.0407715407715407E-3</v>
      </c>
      <c r="I98" s="336"/>
      <c r="J98" s="168"/>
      <c r="K98" s="168"/>
      <c r="M98" s="364">
        <f t="shared" si="22"/>
        <v>0.75716913753922732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724">
        <v>42052</v>
      </c>
      <c r="D99" s="724">
        <v>0</v>
      </c>
      <c r="E99" s="171">
        <f t="shared" si="19"/>
        <v>42052</v>
      </c>
      <c r="F99" s="558">
        <v>58602</v>
      </c>
      <c r="G99" s="171">
        <f t="shared" si="20"/>
        <v>100654</v>
      </c>
      <c r="H99" s="172">
        <f t="shared" si="21"/>
        <v>2.9063871563871566E-2</v>
      </c>
      <c r="I99" s="336"/>
      <c r="J99" s="168"/>
      <c r="K99" s="168"/>
      <c r="M99" s="364">
        <f t="shared" si="22"/>
        <v>5.4460556216859644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724">
        <v>5665</v>
      </c>
      <c r="D100" s="724">
        <v>0</v>
      </c>
      <c r="E100" s="171">
        <f t="shared" si="19"/>
        <v>5665</v>
      </c>
      <c r="F100" s="558">
        <v>10216</v>
      </c>
      <c r="G100" s="171">
        <f t="shared" si="20"/>
        <v>15881</v>
      </c>
      <c r="H100" s="172">
        <f t="shared" si="21"/>
        <v>4.5856433356433355E-3</v>
      </c>
      <c r="I100" s="336"/>
      <c r="J100" s="168"/>
      <c r="K100" s="168"/>
      <c r="M100" s="364">
        <f t="shared" si="22"/>
        <v>0.85926847743750678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724">
        <v>0</v>
      </c>
      <c r="D101" s="724">
        <v>0</v>
      </c>
      <c r="E101" s="171">
        <f t="shared" si="19"/>
        <v>0</v>
      </c>
      <c r="F101" s="558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724">
        <v>112365</v>
      </c>
      <c r="D102" s="724">
        <v>0</v>
      </c>
      <c r="E102" s="171">
        <f t="shared" ref="E102" si="23">SUM(E96:E101)</f>
        <v>112365</v>
      </c>
      <c r="F102" s="558">
        <f>SUM(F96:F101)</f>
        <v>170710</v>
      </c>
      <c r="G102" s="171">
        <f>SUM(G96:G101)</f>
        <v>283075</v>
      </c>
      <c r="H102" s="172">
        <f t="shared" si="21"/>
        <v>8.1737987987987981E-2</v>
      </c>
      <c r="I102" s="336"/>
      <c r="J102" s="168"/>
      <c r="K102" s="168"/>
      <c r="M102" s="364">
        <f>G102/G$228</f>
        <v>15.316253652202143</v>
      </c>
      <c r="N102" s="359">
        <f>SUMMARY!J105</f>
        <v>19.901077037785338</v>
      </c>
      <c r="O102" s="354">
        <f>M102/N102-1</f>
        <v>-0.23038066617591524</v>
      </c>
      <c r="P102"/>
      <c r="Q102"/>
    </row>
    <row r="103" spans="1:17" s="167" customFormat="1">
      <c r="A103" s="163"/>
      <c r="C103" s="712"/>
      <c r="D103" s="712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712"/>
      <c r="D104" s="712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724">
        <v>7591</v>
      </c>
      <c r="D105" s="724">
        <v>0</v>
      </c>
      <c r="E105" s="171">
        <f t="shared" ref="E105:E110" si="24">C105+D105</f>
        <v>7591</v>
      </c>
      <c r="F105" s="558">
        <v>13212</v>
      </c>
      <c r="G105" s="171">
        <f t="shared" ref="G105:G110" si="25">E105+F105</f>
        <v>20803</v>
      </c>
      <c r="H105" s="172">
        <f t="shared" ref="H105:H111" si="26">IF($G$208=0,0,G105/$G$208)</f>
        <v>6.0068722568722569E-3</v>
      </c>
      <c r="I105" s="336"/>
      <c r="J105" s="183">
        <f>737+1288</f>
        <v>2025</v>
      </c>
      <c r="K105" s="183">
        <f>737+1328</f>
        <v>2065</v>
      </c>
      <c r="M105" s="364">
        <f t="shared" ref="M105:M110" si="27">G105/G$228</f>
        <v>1.1255816470078996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724">
        <v>725</v>
      </c>
      <c r="D106" s="724">
        <v>0</v>
      </c>
      <c r="E106" s="171">
        <f t="shared" si="24"/>
        <v>725</v>
      </c>
      <c r="F106" s="558">
        <v>1989</v>
      </c>
      <c r="G106" s="171">
        <f t="shared" si="25"/>
        <v>2714</v>
      </c>
      <c r="H106" s="172">
        <f t="shared" si="26"/>
        <v>7.8366828366828369E-4</v>
      </c>
      <c r="I106" s="336"/>
      <c r="J106" s="168"/>
      <c r="K106" s="168"/>
      <c r="M106" s="364">
        <f t="shared" si="27"/>
        <v>0.14684557948273996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724">
        <v>1170</v>
      </c>
      <c r="D107" s="724">
        <v>0</v>
      </c>
      <c r="E107" s="171">
        <f t="shared" si="24"/>
        <v>1170</v>
      </c>
      <c r="F107" s="558">
        <v>3324</v>
      </c>
      <c r="G107" s="171">
        <f t="shared" si="25"/>
        <v>4494</v>
      </c>
      <c r="H107" s="172">
        <f t="shared" si="26"/>
        <v>1.2976437976437976E-3</v>
      </c>
      <c r="I107" s="336"/>
      <c r="J107" s="168"/>
      <c r="K107" s="168"/>
      <c r="M107" s="364">
        <f t="shared" si="27"/>
        <v>0.24315550265122823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724">
        <v>0</v>
      </c>
      <c r="D108" s="724">
        <v>0</v>
      </c>
      <c r="E108" s="171">
        <f t="shared" si="24"/>
        <v>0</v>
      </c>
      <c r="F108" s="558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724">
        <v>0</v>
      </c>
      <c r="D109" s="724">
        <v>0</v>
      </c>
      <c r="E109" s="171">
        <f t="shared" si="24"/>
        <v>0</v>
      </c>
      <c r="F109" s="558">
        <v>631</v>
      </c>
      <c r="G109" s="171">
        <f t="shared" si="25"/>
        <v>631</v>
      </c>
      <c r="H109" s="172">
        <f t="shared" si="26"/>
        <v>1.8220143220143219E-4</v>
      </c>
      <c r="I109" s="336"/>
      <c r="J109" s="168"/>
      <c r="K109" s="168"/>
      <c r="M109" s="364">
        <f t="shared" si="27"/>
        <v>3.4141326696244992E-2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724">
        <v>82</v>
      </c>
      <c r="D110" s="724">
        <v>0</v>
      </c>
      <c r="E110" s="171">
        <f t="shared" si="24"/>
        <v>82</v>
      </c>
      <c r="F110" s="558">
        <v>2227</v>
      </c>
      <c r="G110" s="171">
        <f t="shared" si="25"/>
        <v>2309</v>
      </c>
      <c r="H110" s="172">
        <f t="shared" si="26"/>
        <v>6.6672441672441674E-4</v>
      </c>
      <c r="I110" s="336"/>
      <c r="J110" s="168"/>
      <c r="K110" s="168"/>
      <c r="M110" s="364">
        <f t="shared" si="27"/>
        <v>0.12493236662698842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724">
        <v>9568</v>
      </c>
      <c r="D111" s="724">
        <v>0</v>
      </c>
      <c r="E111" s="171">
        <f t="shared" ref="E111" si="28">SUM(E105:E110)</f>
        <v>9568</v>
      </c>
      <c r="F111" s="558">
        <f>SUM(F105:F110)</f>
        <v>21383</v>
      </c>
      <c r="G111" s="171">
        <f>SUM(G105:G110)</f>
        <v>30951</v>
      </c>
      <c r="H111" s="172">
        <f t="shared" si="26"/>
        <v>8.9371101871101866E-3</v>
      </c>
      <c r="I111" s="336"/>
      <c r="J111" s="168"/>
      <c r="K111" s="168"/>
      <c r="M111" s="364">
        <f>G111/G$228</f>
        <v>1.6746564224651013</v>
      </c>
      <c r="N111" s="359">
        <f>SUMMARY!J114</f>
        <v>2.4242384372309496</v>
      </c>
      <c r="O111" s="354">
        <f>M111/N111-1</f>
        <v>-0.30920308961937226</v>
      </c>
      <c r="P111"/>
      <c r="Q111"/>
    </row>
    <row r="112" spans="1:17" s="167" customFormat="1">
      <c r="A112" s="163"/>
      <c r="C112" s="712"/>
      <c r="D112" s="712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712"/>
      <c r="D113" s="712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724">
        <v>21160</v>
      </c>
      <c r="D114" s="724">
        <v>0</v>
      </c>
      <c r="E114" s="171">
        <f t="shared" ref="E114:E118" si="29">C114+D114</f>
        <v>21160</v>
      </c>
      <c r="F114" s="558">
        <v>42532</v>
      </c>
      <c r="G114" s="171">
        <f>E114+F114</f>
        <v>63692</v>
      </c>
      <c r="H114" s="172">
        <f t="shared" ref="H114:H119" si="30">IF($G$208=0,0,G114/$G$208)</f>
        <v>1.839108339108339E-2</v>
      </c>
      <c r="I114" s="336"/>
      <c r="J114" s="183">
        <f>2111.21+4396</f>
        <v>6507.21</v>
      </c>
      <c r="K114" s="183">
        <f>2147.21+4445</f>
        <v>6592.21</v>
      </c>
      <c r="M114" s="364">
        <f t="shared" ref="M114:M119" si="31">G114/G$228</f>
        <v>3.4461638350827832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724">
        <v>2067</v>
      </c>
      <c r="D115" s="724">
        <v>0</v>
      </c>
      <c r="E115" s="171">
        <f t="shared" si="29"/>
        <v>2067</v>
      </c>
      <c r="F115" s="558">
        <v>6488</v>
      </c>
      <c r="G115" s="171">
        <f>E115+F115</f>
        <v>8555</v>
      </c>
      <c r="H115" s="172">
        <f t="shared" si="30"/>
        <v>2.4702587202587202E-3</v>
      </c>
      <c r="I115" s="336"/>
      <c r="J115" s="168"/>
      <c r="K115" s="168"/>
      <c r="M115" s="364">
        <f t="shared" si="31"/>
        <v>0.46288280489124556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724">
        <v>5595</v>
      </c>
      <c r="D116" s="724">
        <v>0</v>
      </c>
      <c r="E116" s="171">
        <f t="shared" si="29"/>
        <v>5595</v>
      </c>
      <c r="F116" s="558">
        <v>10696</v>
      </c>
      <c r="G116" s="171">
        <f>E116+F116</f>
        <v>16291</v>
      </c>
      <c r="H116" s="172">
        <f t="shared" si="30"/>
        <v>4.7040309540309537E-3</v>
      </c>
      <c r="I116" s="336"/>
      <c r="J116" s="168"/>
      <c r="K116" s="168"/>
      <c r="M116" s="364">
        <f t="shared" si="31"/>
        <v>0.88145222378530463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724">
        <v>64</v>
      </c>
      <c r="D117" s="724">
        <v>0</v>
      </c>
      <c r="E117" s="171">
        <f t="shared" si="29"/>
        <v>64</v>
      </c>
      <c r="F117" s="558">
        <v>790</v>
      </c>
      <c r="G117" s="171">
        <f>E117+F117</f>
        <v>854</v>
      </c>
      <c r="H117" s="172">
        <f t="shared" si="30"/>
        <v>2.4659274659274657E-4</v>
      </c>
      <c r="I117" s="336"/>
      <c r="J117" s="168"/>
      <c r="K117" s="168"/>
      <c r="M117" s="364">
        <f t="shared" si="31"/>
        <v>4.6207120441510659E-2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724">
        <v>0</v>
      </c>
      <c r="D118" s="724">
        <v>0</v>
      </c>
      <c r="E118" s="171">
        <f t="shared" si="29"/>
        <v>0</v>
      </c>
      <c r="F118" s="558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724">
        <v>28886</v>
      </c>
      <c r="D119" s="724">
        <v>0</v>
      </c>
      <c r="E119" s="171">
        <f t="shared" ref="E119" si="32">SUM(E114:E118)</f>
        <v>28886</v>
      </c>
      <c r="F119" s="558">
        <f>SUM(F114:F118)</f>
        <v>60506</v>
      </c>
      <c r="G119" s="171">
        <f>SUM(G114:G118)</f>
        <v>89392</v>
      </c>
      <c r="H119" s="172">
        <f t="shared" si="30"/>
        <v>2.5811965811965813E-2</v>
      </c>
      <c r="I119" s="336"/>
      <c r="J119" s="168"/>
      <c r="K119" s="168"/>
      <c r="M119" s="364">
        <f t="shared" si="31"/>
        <v>4.8367059842008437</v>
      </c>
      <c r="N119" s="359">
        <f>SUMMARY!J122</f>
        <v>6.0247597205909562</v>
      </c>
      <c r="O119" s="354">
        <f>M119/N119-1</f>
        <v>-0.19719520636311427</v>
      </c>
      <c r="P119"/>
      <c r="Q119"/>
    </row>
    <row r="120" spans="1:17" s="167" customFormat="1">
      <c r="A120" s="163"/>
      <c r="B120" s="170"/>
      <c r="C120" s="713"/>
      <c r="D120" s="713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712"/>
      <c r="D121" s="712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712"/>
      <c r="D122" s="712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724">
        <v>0</v>
      </c>
      <c r="D123" s="724">
        <v>0</v>
      </c>
      <c r="E123" s="171">
        <f t="shared" ref="E123:E127" si="33">C123+D123</f>
        <v>0</v>
      </c>
      <c r="F123" s="558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724">
        <v>41734</v>
      </c>
      <c r="D124" s="724">
        <v>0</v>
      </c>
      <c r="E124" s="171">
        <f t="shared" si="33"/>
        <v>41734</v>
      </c>
      <c r="F124" s="558">
        <v>48204</v>
      </c>
      <c r="G124" s="171">
        <f>E124+F124</f>
        <v>89938</v>
      </c>
      <c r="H124" s="172">
        <f>IF($G$208=0,0,G124/$G$208)</f>
        <v>2.5969623469623469E-2</v>
      </c>
      <c r="I124" s="336"/>
      <c r="J124" s="183">
        <f>1364+1696</f>
        <v>3060</v>
      </c>
      <c r="K124" s="183">
        <f>1364+1706</f>
        <v>3070</v>
      </c>
      <c r="M124" s="364">
        <f t="shared" si="34"/>
        <v>4.8662482415323014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724">
        <v>0</v>
      </c>
      <c r="D125" s="724">
        <v>0</v>
      </c>
      <c r="E125" s="171">
        <f t="shared" si="33"/>
        <v>0</v>
      </c>
      <c r="F125" s="558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724">
        <v>0</v>
      </c>
      <c r="D126" s="724">
        <v>0</v>
      </c>
      <c r="E126" s="171">
        <f t="shared" si="33"/>
        <v>0</v>
      </c>
      <c r="F126" s="558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724">
        <v>1249</v>
      </c>
      <c r="D127" s="724">
        <v>0</v>
      </c>
      <c r="E127" s="171">
        <f t="shared" si="33"/>
        <v>1249</v>
      </c>
      <c r="F127" s="558">
        <v>7528</v>
      </c>
      <c r="G127" s="171">
        <f>E127+F127</f>
        <v>8777</v>
      </c>
      <c r="H127" s="172">
        <f>IF($G$208=0,0,G127/$G$208)</f>
        <v>2.5343612843612843E-3</v>
      </c>
      <c r="I127" s="336"/>
      <c r="J127" s="183">
        <f>143+269</f>
        <v>412</v>
      </c>
      <c r="K127" s="183">
        <f>143+269</f>
        <v>412</v>
      </c>
      <c r="M127" s="364">
        <f t="shared" si="34"/>
        <v>0.47489449193810196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730"/>
      <c r="D128" s="730"/>
      <c r="E128" s="205"/>
      <c r="F128" s="558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724">
        <v>0</v>
      </c>
      <c r="D129" s="724">
        <v>0</v>
      </c>
      <c r="E129" s="171">
        <f t="shared" ref="E129:E133" si="35">C129+D129</f>
        <v>0</v>
      </c>
      <c r="F129" s="558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466" t="s">
        <v>391</v>
      </c>
      <c r="C130" s="724">
        <v>0</v>
      </c>
      <c r="D130" s="724">
        <v>3994</v>
      </c>
      <c r="E130" s="171">
        <f t="shared" si="35"/>
        <v>3994</v>
      </c>
      <c r="F130" s="558">
        <v>7233</v>
      </c>
      <c r="G130" s="171">
        <f>E130+F130</f>
        <v>11227</v>
      </c>
      <c r="H130" s="172">
        <f>IF($G$208=0,0,G130/$G$208)</f>
        <v>3.2417994917994918E-3</v>
      </c>
      <c r="I130" s="336"/>
      <c r="J130" s="204"/>
      <c r="K130" s="204"/>
      <c r="M130" s="364">
        <f t="shared" si="34"/>
        <v>0.60745590304079644</v>
      </c>
      <c r="N130" s="359">
        <f>SUMMARY!J133</f>
        <v>1.2770660565872531</v>
      </c>
      <c r="P130"/>
      <c r="Q130"/>
    </row>
    <row r="131" spans="1:17" s="167" customFormat="1">
      <c r="B131" s="467" t="s">
        <v>392</v>
      </c>
      <c r="C131" s="724">
        <v>0</v>
      </c>
      <c r="D131" s="724">
        <v>0</v>
      </c>
      <c r="E131" s="171">
        <f t="shared" si="35"/>
        <v>0</v>
      </c>
      <c r="F131" s="558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467" t="s">
        <v>393</v>
      </c>
      <c r="C132" s="724">
        <v>0</v>
      </c>
      <c r="D132" s="724">
        <v>0</v>
      </c>
      <c r="E132" s="171">
        <f t="shared" si="35"/>
        <v>0</v>
      </c>
      <c r="F132" s="558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724">
        <v>0</v>
      </c>
      <c r="D133" s="724">
        <v>120</v>
      </c>
      <c r="E133" s="171">
        <f t="shared" si="35"/>
        <v>120</v>
      </c>
      <c r="F133" s="558">
        <v>1129</v>
      </c>
      <c r="G133" s="171">
        <f>E133+F133</f>
        <v>1249</v>
      </c>
      <c r="H133" s="172">
        <f>IF($G$208=0,0,G133/$G$208)</f>
        <v>3.6064911064911064E-4</v>
      </c>
      <c r="I133" s="336"/>
      <c r="J133" s="168"/>
      <c r="K133" s="168"/>
      <c r="M133" s="364">
        <f t="shared" si="34"/>
        <v>6.7579266313169573E-2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713"/>
      <c r="D134" s="713"/>
      <c r="E134" s="462"/>
      <c r="F134" s="196"/>
      <c r="G134" s="462"/>
      <c r="H134" s="465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724">
        <v>93769</v>
      </c>
      <c r="D135" s="724">
        <v>-7436</v>
      </c>
      <c r="E135" s="171">
        <f t="shared" ref="E135:E138" si="36">C135+D135</f>
        <v>86333</v>
      </c>
      <c r="F135" s="558">
        <v>108613</v>
      </c>
      <c r="G135" s="171">
        <f>E135+F135</f>
        <v>194946</v>
      </c>
      <c r="H135" s="172">
        <f>IF($G$208=0,0,G135/$G$208)</f>
        <v>5.6290713790713792E-2</v>
      </c>
      <c r="I135" s="336"/>
      <c r="J135" s="183">
        <f>2901.22+4035</f>
        <v>6936.2199999999993</v>
      </c>
      <c r="K135" s="183">
        <f>2901.22+4102</f>
        <v>7003.2199999999993</v>
      </c>
      <c r="M135" s="364">
        <f t="shared" si="34"/>
        <v>10.547884428092198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724">
        <v>68896</v>
      </c>
      <c r="D136" s="724">
        <v>6425</v>
      </c>
      <c r="E136" s="171">
        <f t="shared" si="36"/>
        <v>75321</v>
      </c>
      <c r="F136" s="558">
        <v>204578</v>
      </c>
      <c r="G136" s="171">
        <f>E136+F136</f>
        <v>279899</v>
      </c>
      <c r="H136" s="172">
        <f>IF($G$208=0,0,G136/$G$208)</f>
        <v>8.082091707091707E-2</v>
      </c>
      <c r="I136" s="336"/>
      <c r="J136" s="183">
        <f>2880.28+8367</f>
        <v>11247.28</v>
      </c>
      <c r="K136" s="183">
        <f>2892.28+8527</f>
        <v>11419.28</v>
      </c>
      <c r="M136" s="364">
        <f t="shared" si="34"/>
        <v>15.144410778054324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724">
        <v>172925</v>
      </c>
      <c r="D137" s="724">
        <v>0</v>
      </c>
      <c r="E137" s="171">
        <f t="shared" si="36"/>
        <v>172925</v>
      </c>
      <c r="F137" s="679">
        <f>(334444-18637)</f>
        <v>315807</v>
      </c>
      <c r="G137" s="171">
        <f>E137+F137</f>
        <v>488732</v>
      </c>
      <c r="H137" s="172">
        <f>IF($G$208=0,0,G137/$G$208)</f>
        <v>0.14112150612150612</v>
      </c>
      <c r="I137" s="336"/>
      <c r="J137" s="183">
        <f>14033.52+25629</f>
        <v>39662.520000000004</v>
      </c>
      <c r="K137" s="183">
        <f>14084.52+26540</f>
        <v>40624.520000000004</v>
      </c>
      <c r="M137" s="364">
        <f t="shared" si="34"/>
        <v>26.443674926955957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724">
        <v>10842</v>
      </c>
      <c r="D138" s="724">
        <v>1011</v>
      </c>
      <c r="E138" s="171">
        <f t="shared" si="36"/>
        <v>11853</v>
      </c>
      <c r="F138" s="679">
        <f>(70415-3683)</f>
        <v>66732</v>
      </c>
      <c r="G138" s="171">
        <f>E138+F138</f>
        <v>78585</v>
      </c>
      <c r="H138" s="172">
        <f>IF($G$208=0,0,G138/$G$208)</f>
        <v>2.2691441441441442E-2</v>
      </c>
      <c r="I138" s="336"/>
      <c r="J138" s="183">
        <f>720+1200</f>
        <v>1920</v>
      </c>
      <c r="K138" s="183">
        <f>720+1200</f>
        <v>1920</v>
      </c>
      <c r="M138" s="364">
        <f t="shared" si="34"/>
        <v>4.251974894491938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713"/>
      <c r="D139" s="713"/>
      <c r="E139" s="196"/>
      <c r="F139" s="196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502" t="s">
        <v>412</v>
      </c>
      <c r="C140" s="724">
        <v>20720</v>
      </c>
      <c r="D140" s="724">
        <v>-11746</v>
      </c>
      <c r="E140" s="171">
        <f t="shared" ref="E140:E143" si="37">C140+D140</f>
        <v>8974</v>
      </c>
      <c r="F140" s="558">
        <v>18933</v>
      </c>
      <c r="G140" s="171">
        <f>E140+F140</f>
        <v>27907</v>
      </c>
      <c r="H140" s="172">
        <f>IF($G$208=0,0,G140/$G$208)</f>
        <v>8.0581543081543073E-3</v>
      </c>
      <c r="I140" s="336"/>
      <c r="J140" s="168"/>
      <c r="K140" s="168"/>
      <c r="M140" s="364">
        <f t="shared" si="34"/>
        <v>1.5099556325073045</v>
      </c>
      <c r="N140" s="359">
        <f>SUMMARY!J143</f>
        <v>4.2102596407658526</v>
      </c>
      <c r="P140"/>
      <c r="Q140"/>
    </row>
    <row r="141" spans="1:17" s="167" customFormat="1">
      <c r="A141" s="169"/>
      <c r="B141" s="503" t="s">
        <v>413</v>
      </c>
      <c r="C141" s="724">
        <v>0</v>
      </c>
      <c r="D141" s="724">
        <v>6594</v>
      </c>
      <c r="E141" s="171">
        <f t="shared" si="37"/>
        <v>6594</v>
      </c>
      <c r="F141" s="558">
        <v>28711</v>
      </c>
      <c r="G141" s="171">
        <f>E141+F141</f>
        <v>35305</v>
      </c>
      <c r="H141" s="172">
        <f>IF($G$208=0,0,G141/$G$208)</f>
        <v>1.0194328944328944E-2</v>
      </c>
      <c r="I141" s="336"/>
      <c r="J141" s="168"/>
      <c r="K141" s="168"/>
      <c r="M141" s="364">
        <f t="shared" si="34"/>
        <v>1.9102369873390326</v>
      </c>
      <c r="N141" s="359">
        <f>SUMMARY!J144</f>
        <v>2.2256603513522144</v>
      </c>
      <c r="P141"/>
      <c r="Q141"/>
    </row>
    <row r="142" spans="1:17" s="167" customFormat="1">
      <c r="A142" s="169"/>
      <c r="B142" s="503" t="s">
        <v>414</v>
      </c>
      <c r="C142" s="724">
        <v>16768</v>
      </c>
      <c r="D142" s="724">
        <v>0</v>
      </c>
      <c r="E142" s="171">
        <f t="shared" si="37"/>
        <v>16768</v>
      </c>
      <c r="F142" s="679">
        <f>(29239+18637)</f>
        <v>47876</v>
      </c>
      <c r="G142" s="171">
        <f>E142+F142</f>
        <v>64644</v>
      </c>
      <c r="H142" s="172">
        <f>IF($G$208=0,0,G142/$G$208)</f>
        <v>1.8665973665973667E-2</v>
      </c>
      <c r="I142" s="336"/>
      <c r="J142" s="168"/>
      <c r="K142" s="168"/>
      <c r="M142" s="364">
        <f t="shared" si="34"/>
        <v>3.4976734119684019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724">
        <v>0</v>
      </c>
      <c r="D143" s="724">
        <v>1038</v>
      </c>
      <c r="E143" s="171">
        <f t="shared" si="37"/>
        <v>1038</v>
      </c>
      <c r="F143" s="679">
        <f>(5682+3683)</f>
        <v>9365</v>
      </c>
      <c r="G143" s="171">
        <f>E143+F143</f>
        <v>10403</v>
      </c>
      <c r="H143" s="172">
        <f>IF($G$208=0,0,G143/$G$208)</f>
        <v>3.0038692538692539E-3</v>
      </c>
      <c r="I143" s="336"/>
      <c r="J143" s="168"/>
      <c r="K143" s="168"/>
      <c r="M143" s="364">
        <f t="shared" si="34"/>
        <v>0.56287198355156365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713"/>
      <c r="D144" s="713"/>
      <c r="E144" s="462"/>
      <c r="F144" s="196"/>
      <c r="G144" s="462"/>
      <c r="H144" s="465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724">
        <v>4289</v>
      </c>
      <c r="D145" s="724">
        <v>0</v>
      </c>
      <c r="E145" s="171">
        <f t="shared" ref="E145:E153" si="38">C145+D145</f>
        <v>4289</v>
      </c>
      <c r="F145" s="558">
        <v>10400</v>
      </c>
      <c r="G145" s="171">
        <f t="shared" ref="G145:G153" si="39">E145+F145</f>
        <v>14689</v>
      </c>
      <c r="H145" s="172">
        <f t="shared" ref="H145:H153" si="40">IF($G$208=0,0,G145/$G$208)</f>
        <v>4.2414529914529915E-3</v>
      </c>
      <c r="I145" s="336"/>
      <c r="J145" s="183">
        <f>54+105</f>
        <v>159</v>
      </c>
      <c r="K145" s="183">
        <f>54+105</f>
        <v>159</v>
      </c>
      <c r="M145" s="364">
        <f t="shared" si="34"/>
        <v>0.79477329293366517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724">
        <v>2276</v>
      </c>
      <c r="D146" s="724">
        <v>0</v>
      </c>
      <c r="E146" s="171">
        <f t="shared" si="38"/>
        <v>2276</v>
      </c>
      <c r="F146" s="558">
        <v>0</v>
      </c>
      <c r="G146" s="171">
        <f t="shared" si="39"/>
        <v>2276</v>
      </c>
      <c r="H146" s="172">
        <f t="shared" si="40"/>
        <v>6.5719565719565723E-4</v>
      </c>
      <c r="I146" s="336"/>
      <c r="J146" s="183">
        <v>56.5</v>
      </c>
      <c r="K146" s="183">
        <v>56.5</v>
      </c>
      <c r="M146" s="364">
        <f t="shared" si="34"/>
        <v>0.12314684557948274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724">
        <v>3897</v>
      </c>
      <c r="D147" s="724">
        <v>0</v>
      </c>
      <c r="E147" s="171">
        <f t="shared" si="38"/>
        <v>3897</v>
      </c>
      <c r="F147" s="558">
        <v>0</v>
      </c>
      <c r="G147" s="171">
        <f t="shared" si="39"/>
        <v>3897</v>
      </c>
      <c r="H147" s="172">
        <f t="shared" si="40"/>
        <v>1.1252598752598752E-3</v>
      </c>
      <c r="I147" s="336"/>
      <c r="J147" s="183">
        <v>116.01</v>
      </c>
      <c r="K147" s="183">
        <v>116.01</v>
      </c>
      <c r="M147" s="364">
        <f t="shared" si="34"/>
        <v>0.21085380370089818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724">
        <v>2364</v>
      </c>
      <c r="D148" s="724">
        <v>0</v>
      </c>
      <c r="E148" s="171">
        <f t="shared" si="38"/>
        <v>2364</v>
      </c>
      <c r="F148" s="558">
        <v>0</v>
      </c>
      <c r="G148" s="171">
        <f t="shared" si="39"/>
        <v>2364</v>
      </c>
      <c r="H148" s="172">
        <f t="shared" si="40"/>
        <v>6.8260568260568256E-4</v>
      </c>
      <c r="I148" s="336"/>
      <c r="J148" s="183">
        <v>47.85</v>
      </c>
      <c r="K148" s="183">
        <v>47.85</v>
      </c>
      <c r="M148" s="364">
        <f t="shared" si="34"/>
        <v>0.12790823503949789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724">
        <v>5422</v>
      </c>
      <c r="D149" s="724">
        <v>0</v>
      </c>
      <c r="E149" s="171">
        <f t="shared" si="38"/>
        <v>5422</v>
      </c>
      <c r="F149" s="558">
        <v>11556</v>
      </c>
      <c r="G149" s="171">
        <f t="shared" si="39"/>
        <v>16978</v>
      </c>
      <c r="H149" s="172">
        <f t="shared" si="40"/>
        <v>4.9024024024024023E-3</v>
      </c>
      <c r="I149" s="336"/>
      <c r="J149" s="183">
        <f>53.5+297</f>
        <v>350.5</v>
      </c>
      <c r="K149" s="183">
        <f>53.5+297</f>
        <v>350.5</v>
      </c>
      <c r="M149" s="364">
        <f t="shared" si="34"/>
        <v>0.91862352559246829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724">
        <v>33403</v>
      </c>
      <c r="D150" s="724">
        <v>0</v>
      </c>
      <c r="E150" s="171">
        <f t="shared" si="38"/>
        <v>33403</v>
      </c>
      <c r="F150" s="558">
        <v>59404</v>
      </c>
      <c r="G150" s="171">
        <f t="shared" si="39"/>
        <v>92807</v>
      </c>
      <c r="H150" s="172">
        <f t="shared" si="40"/>
        <v>2.679804804804805E-2</v>
      </c>
      <c r="I150" s="336"/>
      <c r="J150" s="168"/>
      <c r="K150" s="168"/>
      <c r="M150" s="364">
        <f t="shared" si="34"/>
        <v>5.0214803592684776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724">
        <v>6307</v>
      </c>
      <c r="D151" s="724">
        <v>0</v>
      </c>
      <c r="E151" s="171">
        <f t="shared" si="38"/>
        <v>6307</v>
      </c>
      <c r="F151" s="679">
        <f>(11925-4670)</f>
        <v>7255</v>
      </c>
      <c r="G151" s="171">
        <f t="shared" si="39"/>
        <v>13562</v>
      </c>
      <c r="H151" s="172">
        <f t="shared" si="40"/>
        <v>3.9160314160314163E-3</v>
      </c>
      <c r="I151" s="336"/>
      <c r="J151" s="168"/>
      <c r="K151" s="168"/>
      <c r="M151" s="364">
        <f t="shared" si="34"/>
        <v>0.73379504382642569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724">
        <v>0</v>
      </c>
      <c r="D152" s="724">
        <v>0</v>
      </c>
      <c r="E152" s="171">
        <f t="shared" si="38"/>
        <v>0</v>
      </c>
      <c r="F152" s="558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724">
        <v>0</v>
      </c>
      <c r="D153" s="724">
        <v>0</v>
      </c>
      <c r="E153" s="171">
        <f t="shared" si="38"/>
        <v>0</v>
      </c>
      <c r="F153" s="558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714"/>
      <c r="D154" s="714"/>
      <c r="E154" s="210"/>
      <c r="F154" s="557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724">
        <v>0</v>
      </c>
      <c r="D155" s="724">
        <v>0</v>
      </c>
      <c r="E155" s="171">
        <f t="shared" ref="E155:E160" si="41">C155+D155</f>
        <v>0</v>
      </c>
      <c r="F155" s="558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724">
        <v>0</v>
      </c>
      <c r="D156" s="724">
        <v>0</v>
      </c>
      <c r="E156" s="171">
        <f t="shared" si="41"/>
        <v>0</v>
      </c>
      <c r="F156" s="558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724">
        <v>0</v>
      </c>
      <c r="D157" s="724">
        <v>0</v>
      </c>
      <c r="E157" s="171">
        <f t="shared" si="41"/>
        <v>0</v>
      </c>
      <c r="F157" s="558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724">
        <v>0</v>
      </c>
      <c r="D158" s="724">
        <v>0</v>
      </c>
      <c r="E158" s="171">
        <f t="shared" si="41"/>
        <v>0</v>
      </c>
      <c r="F158" s="558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724">
        <v>0</v>
      </c>
      <c r="D159" s="724">
        <v>0</v>
      </c>
      <c r="E159" s="171">
        <f t="shared" si="41"/>
        <v>0</v>
      </c>
      <c r="F159" s="558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724">
        <v>5464</v>
      </c>
      <c r="D160" s="724">
        <v>0</v>
      </c>
      <c r="E160" s="171">
        <f t="shared" si="41"/>
        <v>5464</v>
      </c>
      <c r="F160" s="558">
        <v>0</v>
      </c>
      <c r="G160" s="171">
        <f t="shared" si="42"/>
        <v>5464</v>
      </c>
      <c r="H160" s="172">
        <f t="shared" si="43"/>
        <v>1.5777315777315778E-3</v>
      </c>
      <c r="I160" s="336"/>
      <c r="J160" s="168"/>
      <c r="K160" s="168"/>
      <c r="M160" s="364">
        <f t="shared" si="34"/>
        <v>0.29563900010821342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724">
        <v>490325</v>
      </c>
      <c r="D161" s="724">
        <v>0</v>
      </c>
      <c r="E161" s="171">
        <f t="shared" ref="E161" si="44">SUM(E123:E160)</f>
        <v>490325</v>
      </c>
      <c r="F161" s="558">
        <f>SUM(F123:F160)</f>
        <v>953324</v>
      </c>
      <c r="G161" s="171">
        <f>SUM(G123:G160)</f>
        <v>1443649</v>
      </c>
      <c r="H161" s="172">
        <f t="shared" si="43"/>
        <v>0.41685406560406563</v>
      </c>
      <c r="I161" s="336"/>
      <c r="J161" s="168"/>
      <c r="K161" s="168"/>
      <c r="M161" s="364">
        <f>G161/G$228</f>
        <v>78.111081051834219</v>
      </c>
      <c r="N161" s="359">
        <f>SUMMARY!J164</f>
        <v>105.56901037202306</v>
      </c>
      <c r="O161" s="354">
        <f>M161/N161-1</f>
        <v>-0.26009459805891566</v>
      </c>
      <c r="P161"/>
      <c r="Q161"/>
    </row>
    <row r="162" spans="1:20" s="167" customFormat="1">
      <c r="A162" s="169"/>
      <c r="B162" s="170"/>
      <c r="C162" s="713"/>
      <c r="D162" s="713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715"/>
      <c r="D163" s="715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724">
        <v>0</v>
      </c>
      <c r="D164" s="724">
        <v>0</v>
      </c>
      <c r="E164" s="171">
        <f t="shared" ref="E164:E196" si="45">C164+D164</f>
        <v>0</v>
      </c>
      <c r="F164" s="558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724">
        <v>0</v>
      </c>
      <c r="D165" s="724">
        <v>0</v>
      </c>
      <c r="E165" s="171">
        <f t="shared" si="45"/>
        <v>0</v>
      </c>
      <c r="F165" s="558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724">
        <v>0</v>
      </c>
      <c r="D166" s="724">
        <v>0</v>
      </c>
      <c r="E166" s="171">
        <f t="shared" si="45"/>
        <v>0</v>
      </c>
      <c r="F166" s="558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724">
        <v>0</v>
      </c>
      <c r="D167" s="724">
        <v>0</v>
      </c>
      <c r="E167" s="171">
        <f t="shared" si="45"/>
        <v>0</v>
      </c>
      <c r="F167" s="558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724">
        <v>0</v>
      </c>
      <c r="D168" s="724">
        <v>0</v>
      </c>
      <c r="E168" s="171">
        <f t="shared" si="45"/>
        <v>0</v>
      </c>
      <c r="F168" s="558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724">
        <v>0</v>
      </c>
      <c r="D169" s="724">
        <v>0</v>
      </c>
      <c r="E169" s="171">
        <f t="shared" si="45"/>
        <v>0</v>
      </c>
      <c r="F169" s="558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724">
        <v>0</v>
      </c>
      <c r="D170" s="724">
        <v>0</v>
      </c>
      <c r="E170" s="171">
        <f t="shared" si="45"/>
        <v>0</v>
      </c>
      <c r="F170" s="558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724">
        <v>0</v>
      </c>
      <c r="D171" s="724">
        <v>0</v>
      </c>
      <c r="E171" s="171">
        <f t="shared" si="45"/>
        <v>0</v>
      </c>
      <c r="F171" s="558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724">
        <v>0</v>
      </c>
      <c r="D172" s="724">
        <v>0</v>
      </c>
      <c r="E172" s="171">
        <f t="shared" si="45"/>
        <v>0</v>
      </c>
      <c r="F172" s="558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724">
        <v>0</v>
      </c>
      <c r="D173" s="724">
        <v>0</v>
      </c>
      <c r="E173" s="171">
        <f t="shared" si="45"/>
        <v>0</v>
      </c>
      <c r="F173" s="558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724">
        <v>0</v>
      </c>
      <c r="D174" s="724">
        <v>0</v>
      </c>
      <c r="E174" s="171">
        <f t="shared" si="45"/>
        <v>0</v>
      </c>
      <c r="F174" s="558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724">
        <v>0</v>
      </c>
      <c r="D175" s="724">
        <v>0</v>
      </c>
      <c r="E175" s="171">
        <f t="shared" si="45"/>
        <v>0</v>
      </c>
      <c r="F175" s="558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724">
        <v>0</v>
      </c>
      <c r="D176" s="724">
        <v>0</v>
      </c>
      <c r="E176" s="171">
        <f t="shared" si="45"/>
        <v>0</v>
      </c>
      <c r="F176" s="558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724">
        <v>0</v>
      </c>
      <c r="D177" s="724">
        <v>0</v>
      </c>
      <c r="E177" s="171">
        <f t="shared" si="45"/>
        <v>0</v>
      </c>
      <c r="F177" s="558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724">
        <v>0</v>
      </c>
      <c r="D178" s="724">
        <v>0</v>
      </c>
      <c r="E178" s="171">
        <f t="shared" si="45"/>
        <v>0</v>
      </c>
      <c r="F178" s="558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724">
        <v>0</v>
      </c>
      <c r="D179" s="724">
        <v>0</v>
      </c>
      <c r="E179" s="171">
        <f t="shared" si="45"/>
        <v>0</v>
      </c>
      <c r="F179" s="558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724">
        <v>0</v>
      </c>
      <c r="D180" s="724">
        <v>0</v>
      </c>
      <c r="E180" s="171">
        <f t="shared" si="45"/>
        <v>0</v>
      </c>
      <c r="F180" s="558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724">
        <v>0</v>
      </c>
      <c r="D181" s="724">
        <v>0</v>
      </c>
      <c r="E181" s="171">
        <f t="shared" si="45"/>
        <v>0</v>
      </c>
      <c r="F181" s="558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724">
        <v>0</v>
      </c>
      <c r="D182" s="724">
        <v>0</v>
      </c>
      <c r="E182" s="171">
        <f t="shared" si="45"/>
        <v>0</v>
      </c>
      <c r="F182" s="558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724">
        <v>8612</v>
      </c>
      <c r="D183" s="724">
        <v>0</v>
      </c>
      <c r="E183" s="171">
        <f t="shared" si="45"/>
        <v>8612</v>
      </c>
      <c r="F183" s="558">
        <v>17700</v>
      </c>
      <c r="G183" s="171">
        <f t="shared" si="46"/>
        <v>26312</v>
      </c>
      <c r="H183" s="172">
        <f t="shared" si="47"/>
        <v>7.5975975975975975E-3</v>
      </c>
      <c r="I183" s="336"/>
      <c r="J183" s="223"/>
      <c r="K183" s="218"/>
      <c r="M183" s="364">
        <f t="shared" si="48"/>
        <v>1.4236554485445299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724">
        <v>321</v>
      </c>
      <c r="D184" s="724">
        <v>0</v>
      </c>
      <c r="E184" s="171">
        <f t="shared" si="45"/>
        <v>321</v>
      </c>
      <c r="F184" s="558">
        <v>1525</v>
      </c>
      <c r="G184" s="171">
        <f t="shared" si="46"/>
        <v>1846</v>
      </c>
      <c r="H184" s="172">
        <f t="shared" si="47"/>
        <v>5.3303303303303305E-4</v>
      </c>
      <c r="I184" s="336"/>
      <c r="J184" s="223"/>
      <c r="K184" s="218"/>
      <c r="M184" s="364">
        <f t="shared" si="48"/>
        <v>9.9880965263499627E-2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724">
        <v>0</v>
      </c>
      <c r="D185" s="724">
        <v>0</v>
      </c>
      <c r="E185" s="171">
        <f t="shared" si="45"/>
        <v>0</v>
      </c>
      <c r="F185" s="558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724">
        <v>1194</v>
      </c>
      <c r="D186" s="724">
        <v>0</v>
      </c>
      <c r="E186" s="171">
        <f t="shared" si="45"/>
        <v>1194</v>
      </c>
      <c r="F186" s="558">
        <v>2396</v>
      </c>
      <c r="G186" s="171">
        <f t="shared" si="46"/>
        <v>3590</v>
      </c>
      <c r="H186" s="172">
        <f t="shared" si="47"/>
        <v>1.0366135366135366E-3</v>
      </c>
      <c r="I186" s="336"/>
      <c r="J186" s="223"/>
      <c r="K186" s="218"/>
      <c r="M186" s="364">
        <f t="shared" si="48"/>
        <v>0.1942430472892544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724">
        <v>2153</v>
      </c>
      <c r="D187" s="724">
        <v>0</v>
      </c>
      <c r="E187" s="171">
        <f t="shared" si="45"/>
        <v>2153</v>
      </c>
      <c r="F187" s="558">
        <v>9918</v>
      </c>
      <c r="G187" s="171">
        <f t="shared" si="46"/>
        <v>12071</v>
      </c>
      <c r="H187" s="172">
        <f t="shared" si="47"/>
        <v>3.4855047355047356E-3</v>
      </c>
      <c r="I187" s="336"/>
      <c r="J187" s="223"/>
      <c r="K187" s="218"/>
      <c r="M187" s="364">
        <f t="shared" si="48"/>
        <v>0.65312195649821447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724">
        <v>0</v>
      </c>
      <c r="D188" s="724">
        <v>0</v>
      </c>
      <c r="E188" s="171">
        <f t="shared" si="45"/>
        <v>0</v>
      </c>
      <c r="F188" s="558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724">
        <v>0</v>
      </c>
      <c r="D189" s="724">
        <v>0</v>
      </c>
      <c r="E189" s="171">
        <f t="shared" si="45"/>
        <v>0</v>
      </c>
      <c r="F189" s="558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724">
        <v>0</v>
      </c>
      <c r="D190" s="724">
        <v>0</v>
      </c>
      <c r="E190" s="171">
        <f t="shared" si="45"/>
        <v>0</v>
      </c>
      <c r="F190" s="558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724">
        <v>0</v>
      </c>
      <c r="D191" s="724">
        <v>0</v>
      </c>
      <c r="E191" s="171">
        <f t="shared" si="45"/>
        <v>0</v>
      </c>
      <c r="F191" s="558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724">
        <v>0</v>
      </c>
      <c r="D192" s="724">
        <v>0</v>
      </c>
      <c r="E192" s="171">
        <f t="shared" si="45"/>
        <v>0</v>
      </c>
      <c r="F192" s="558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724">
        <v>0</v>
      </c>
      <c r="D193" s="724">
        <v>0</v>
      </c>
      <c r="E193" s="171">
        <f t="shared" si="45"/>
        <v>0</v>
      </c>
      <c r="F193" s="558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724">
        <v>1894</v>
      </c>
      <c r="D194" s="724">
        <v>0</v>
      </c>
      <c r="E194" s="171">
        <f t="shared" si="45"/>
        <v>1894</v>
      </c>
      <c r="F194" s="558">
        <v>15979</v>
      </c>
      <c r="G194" s="171">
        <f t="shared" si="46"/>
        <v>17873</v>
      </c>
      <c r="H194" s="172">
        <f t="shared" si="47"/>
        <v>5.160833910833911E-3</v>
      </c>
      <c r="I194" s="336"/>
      <c r="J194" s="223"/>
      <c r="K194" s="218"/>
      <c r="M194" s="364">
        <f t="shared" si="48"/>
        <v>0.96704902066875875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724">
        <v>0</v>
      </c>
      <c r="D195" s="724">
        <v>0</v>
      </c>
      <c r="E195" s="171">
        <f t="shared" si="45"/>
        <v>0</v>
      </c>
      <c r="F195" s="558">
        <v>111</v>
      </c>
      <c r="G195" s="171">
        <f t="shared" si="46"/>
        <v>111</v>
      </c>
      <c r="H195" s="172">
        <f t="shared" si="47"/>
        <v>3.2051282051282051E-5</v>
      </c>
      <c r="I195" s="336"/>
      <c r="J195" s="223"/>
      <c r="K195" s="218"/>
      <c r="M195" s="364">
        <f t="shared" si="48"/>
        <v>6.0058435234282004E-3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724">
        <v>0</v>
      </c>
      <c r="D196" s="724">
        <v>0</v>
      </c>
      <c r="E196" s="171">
        <f t="shared" si="45"/>
        <v>0</v>
      </c>
      <c r="F196" s="558">
        <v>0</v>
      </c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724">
        <v>14174</v>
      </c>
      <c r="D197" s="724">
        <v>0</v>
      </c>
      <c r="E197" s="171">
        <f t="shared" ref="E197" si="49">SUM(E164:E196)</f>
        <v>14174</v>
      </c>
      <c r="F197" s="558">
        <f>SUM(F164:F196)</f>
        <v>47629</v>
      </c>
      <c r="G197" s="171">
        <f>SUM(G164:G196)</f>
        <v>61803</v>
      </c>
      <c r="H197" s="172">
        <f>IF($G$208=0,0,G197/$G$208)</f>
        <v>1.7845634095634097E-2</v>
      </c>
      <c r="I197" s="336"/>
      <c r="J197" s="168"/>
      <c r="K197" s="168"/>
      <c r="M197" s="364">
        <f>G197/G$228</f>
        <v>3.3439562817876851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712"/>
      <c r="D198" s="712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712"/>
      <c r="D199" s="712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724">
        <v>36409</v>
      </c>
      <c r="D200" s="724">
        <v>0</v>
      </c>
      <c r="E200" s="171">
        <f t="shared" ref="E200:E205" si="50">C200+D200</f>
        <v>36409</v>
      </c>
      <c r="F200" s="679">
        <f>(72696+5200+564)</f>
        <v>78460</v>
      </c>
      <c r="G200" s="171">
        <f t="shared" ref="G200:G204" si="51">E200+F200</f>
        <v>114869</v>
      </c>
      <c r="H200" s="172">
        <f t="shared" ref="H200:H206" si="52">IF($G$208=0,0,G200/$G$208)</f>
        <v>3.3168456918456921E-2</v>
      </c>
      <c r="I200" s="336"/>
      <c r="J200" s="183">
        <v>0</v>
      </c>
      <c r="K200" s="183">
        <v>0</v>
      </c>
      <c r="M200" s="364">
        <f t="shared" ref="M200:M205" si="53">G200/G$228</f>
        <v>6.215182339573639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724">
        <v>3473</v>
      </c>
      <c r="D201" s="724">
        <v>0</v>
      </c>
      <c r="E201" s="171">
        <f t="shared" si="50"/>
        <v>3473</v>
      </c>
      <c r="F201" s="558">
        <v>7037</v>
      </c>
      <c r="G201" s="171">
        <f t="shared" si="51"/>
        <v>10510</v>
      </c>
      <c r="H201" s="172">
        <f t="shared" si="52"/>
        <v>3.0347655347655348E-3</v>
      </c>
      <c r="I201" s="336"/>
      <c r="J201" s="168"/>
      <c r="K201" s="168"/>
      <c r="M201" s="364">
        <f t="shared" si="53"/>
        <v>0.56866140028135481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724">
        <v>11465</v>
      </c>
      <c r="D202" s="724">
        <v>0</v>
      </c>
      <c r="E202" s="171">
        <f t="shared" si="50"/>
        <v>11465</v>
      </c>
      <c r="F202" s="558">
        <v>15105</v>
      </c>
      <c r="G202" s="171">
        <f t="shared" si="51"/>
        <v>26570</v>
      </c>
      <c r="H202" s="172">
        <f t="shared" si="52"/>
        <v>7.6720951720951718E-3</v>
      </c>
      <c r="I202" s="336"/>
      <c r="J202" s="168"/>
      <c r="K202" s="168"/>
      <c r="M202" s="364">
        <f t="shared" si="53"/>
        <v>1.4376149767341198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724">
        <v>0</v>
      </c>
      <c r="D203" s="724">
        <v>0</v>
      </c>
      <c r="E203" s="171">
        <f t="shared" si="50"/>
        <v>0</v>
      </c>
      <c r="F203" s="558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724">
        <v>0</v>
      </c>
      <c r="D204" s="724">
        <v>0</v>
      </c>
      <c r="E204" s="171">
        <f t="shared" si="50"/>
        <v>0</v>
      </c>
      <c r="F204" s="558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724">
        <v>1174</v>
      </c>
      <c r="D205" s="724">
        <v>0</v>
      </c>
      <c r="E205" s="171">
        <f t="shared" si="50"/>
        <v>1174</v>
      </c>
      <c r="F205" s="679">
        <f>(2468+64)</f>
        <v>2532</v>
      </c>
      <c r="G205" s="171">
        <f>E205+F205</f>
        <v>3706</v>
      </c>
      <c r="H205" s="172">
        <f t="shared" si="52"/>
        <v>1.0701085701085701E-3</v>
      </c>
      <c r="I205" s="336" t="s">
        <v>650</v>
      </c>
      <c r="J205" s="168"/>
      <c r="K205" s="168"/>
      <c r="M205" s="364">
        <f t="shared" si="53"/>
        <v>0.20051942430472894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724">
        <v>52521</v>
      </c>
      <c r="D206" s="724">
        <v>0</v>
      </c>
      <c r="E206" s="171">
        <f t="shared" ref="E206" si="54">SUM(E200:E205)</f>
        <v>52521</v>
      </c>
      <c r="F206" s="558">
        <f>SUM(F200:F205)</f>
        <v>103134</v>
      </c>
      <c r="G206" s="171">
        <f>SUM(G200:G205)</f>
        <v>155655</v>
      </c>
      <c r="H206" s="172">
        <f t="shared" si="52"/>
        <v>4.4945426195426193E-2</v>
      </c>
      <c r="I206" s="336"/>
      <c r="J206" s="168"/>
      <c r="K206" s="168"/>
      <c r="M206" s="364">
        <f>G206/G$228</f>
        <v>8.4219781408938434</v>
      </c>
      <c r="N206" s="359">
        <f>SUMMARY!J209</f>
        <v>7.1515095990067339</v>
      </c>
      <c r="O206" s="354">
        <f>M206/N206-1</f>
        <v>0.17765040014258848</v>
      </c>
      <c r="P206"/>
      <c r="Q206"/>
    </row>
    <row r="207" spans="1:19" s="167" customFormat="1">
      <c r="A207" s="163"/>
      <c r="C207" s="712"/>
      <c r="D207" s="712"/>
      <c r="E207" s="165"/>
      <c r="F207" s="442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724">
        <v>1152671</v>
      </c>
      <c r="D208" s="724">
        <v>-21457</v>
      </c>
      <c r="E208" s="171">
        <f t="shared" ref="E208:F208" si="55">SUM(E25:E206)/2</f>
        <v>1131214</v>
      </c>
      <c r="F208" s="171">
        <f t="shared" si="55"/>
        <v>2331986</v>
      </c>
      <c r="G208" s="171">
        <f>SUM(G25:G206)/2</f>
        <v>3463200</v>
      </c>
      <c r="H208" s="172">
        <f>IF($G$208=0,0,G208/$G$208)</f>
        <v>1</v>
      </c>
      <c r="I208" s="336"/>
      <c r="J208" s="183">
        <f>SUM(J25:J200)</f>
        <v>89596.67</v>
      </c>
      <c r="K208" s="183">
        <f>SUM(K25:K200)</f>
        <v>90997.67</v>
      </c>
      <c r="M208" s="364">
        <f>G208/G$228</f>
        <v>187.38231793095986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712"/>
      <c r="D209" s="712"/>
      <c r="E209" s="165"/>
      <c r="F209"/>
      <c r="G209"/>
      <c r="I209" s="332"/>
      <c r="J209" s="168"/>
      <c r="K209" s="168"/>
      <c r="O209" s="553">
        <f>SUM(O61:O206)</f>
        <v>-1.1589713454292372</v>
      </c>
      <c r="P209"/>
      <c r="Q209"/>
    </row>
    <row r="210" spans="1:17" s="167" customFormat="1">
      <c r="A210" s="163"/>
      <c r="B210" s="170"/>
      <c r="C210" s="712"/>
      <c r="D210" s="712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724">
        <v>1152671</v>
      </c>
      <c r="D211" s="713"/>
      <c r="E211" s="165"/>
      <c r="F211" s="460" t="s">
        <v>524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724">
        <v>0</v>
      </c>
      <c r="D212" s="719"/>
      <c r="E212" s="165"/>
      <c r="F212" s="460" t="s">
        <v>525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20"/>
      <c r="D213" s="716"/>
      <c r="E213" s="232"/>
      <c r="F213" s="492" t="s">
        <v>519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712"/>
      <c r="D214" s="712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724">
        <v>-95712</v>
      </c>
      <c r="D215" s="724">
        <v>21457</v>
      </c>
      <c r="E215" s="171">
        <f t="shared" ref="E215:F215" si="56">E21-E208</f>
        <v>-74255</v>
      </c>
      <c r="F215" s="171">
        <f t="shared" si="56"/>
        <v>665411</v>
      </c>
      <c r="G215" s="171">
        <f>G21-G208</f>
        <v>591156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713"/>
      <c r="D216" s="713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713"/>
      <c r="D217" s="713"/>
      <c r="E217" s="196"/>
      <c r="F217" s="229"/>
      <c r="G217" s="229"/>
      <c r="H217" s="332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712"/>
      <c r="D218" s="712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729">
        <v>4285</v>
      </c>
      <c r="D219" s="729"/>
      <c r="E219" s="235">
        <f t="shared" ref="E219:G227" si="57">C219+D219</f>
        <v>4285</v>
      </c>
      <c r="F219" s="463">
        <v>9525</v>
      </c>
      <c r="G219" s="235">
        <f t="shared" si="57"/>
        <v>13810</v>
      </c>
      <c r="H219" s="172">
        <f t="shared" ref="H219:H228" si="58">IF($G$228=0,0,G219/$G$228)</f>
        <v>0.74721350503192296</v>
      </c>
      <c r="I219" s="336"/>
      <c r="J219" s="168"/>
      <c r="K219" s="168"/>
    </row>
    <row r="220" spans="1:17">
      <c r="A220" s="163"/>
      <c r="B220" s="170" t="s">
        <v>399</v>
      </c>
      <c r="C220" s="729">
        <v>0</v>
      </c>
      <c r="D220" s="729"/>
      <c r="E220" s="235">
        <f t="shared" ref="E220:E227" si="59">C220+D220</f>
        <v>0</v>
      </c>
      <c r="F220" s="463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729">
        <v>0</v>
      </c>
      <c r="D221" s="729"/>
      <c r="E221" s="235">
        <f t="shared" si="59"/>
        <v>0</v>
      </c>
      <c r="F221" s="463">
        <v>0</v>
      </c>
      <c r="G221" s="235">
        <f t="shared" si="57"/>
        <v>0</v>
      </c>
      <c r="H221" s="172">
        <f t="shared" si="58"/>
        <v>0</v>
      </c>
      <c r="I221" s="336"/>
      <c r="J221" s="168"/>
      <c r="K221" s="168"/>
    </row>
    <row r="222" spans="1:17">
      <c r="A222" s="163"/>
      <c r="B222" s="202" t="s">
        <v>334</v>
      </c>
      <c r="C222" s="729">
        <v>53</v>
      </c>
      <c r="D222" s="729"/>
      <c r="E222" s="235">
        <f>C222+D222</f>
        <v>53</v>
      </c>
      <c r="F222" s="463">
        <v>58</v>
      </c>
      <c r="G222" s="235">
        <f>E222+F222</f>
        <v>111</v>
      </c>
      <c r="H222" s="172">
        <f t="shared" si="58"/>
        <v>6.0058435234282004E-3</v>
      </c>
      <c r="I222" s="336"/>
      <c r="J222" s="168"/>
      <c r="K222" s="168"/>
    </row>
    <row r="223" spans="1:17">
      <c r="A223" s="163"/>
      <c r="B223" s="170" t="s">
        <v>73</v>
      </c>
      <c r="C223" s="729">
        <v>0</v>
      </c>
      <c r="D223" s="729"/>
      <c r="E223" s="235">
        <f t="shared" si="59"/>
        <v>0</v>
      </c>
      <c r="F223" s="463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729">
        <v>585</v>
      </c>
      <c r="D224" s="729"/>
      <c r="E224" s="235">
        <f t="shared" si="59"/>
        <v>585</v>
      </c>
      <c r="F224" s="463">
        <v>1333</v>
      </c>
      <c r="G224" s="235">
        <f t="shared" si="57"/>
        <v>1918</v>
      </c>
      <c r="H224" s="172">
        <f t="shared" si="58"/>
        <v>0.10377664754896657</v>
      </c>
      <c r="I224" s="336"/>
      <c r="J224" s="168"/>
      <c r="K224" s="168"/>
    </row>
    <row r="225" spans="1:11">
      <c r="A225" s="163"/>
      <c r="B225" s="170" t="s">
        <v>236</v>
      </c>
      <c r="C225" s="729">
        <v>1349</v>
      </c>
      <c r="D225" s="729"/>
      <c r="E225" s="235">
        <f t="shared" si="59"/>
        <v>1349</v>
      </c>
      <c r="F225" s="463">
        <v>1284</v>
      </c>
      <c r="G225" s="235">
        <f t="shared" si="57"/>
        <v>2633</v>
      </c>
      <c r="H225" s="172">
        <f t="shared" si="58"/>
        <v>0.14246293691158965</v>
      </c>
      <c r="I225" s="336"/>
      <c r="J225" s="168"/>
      <c r="K225" s="168"/>
    </row>
    <row r="226" spans="1:11">
      <c r="A226" s="163"/>
      <c r="B226" s="170" t="s">
        <v>235</v>
      </c>
      <c r="C226" s="729">
        <v>0</v>
      </c>
      <c r="D226" s="729"/>
      <c r="E226" s="235">
        <f>C226+D226</f>
        <v>0</v>
      </c>
      <c r="F226" s="463">
        <v>0</v>
      </c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400</v>
      </c>
      <c r="C227" s="729">
        <v>5</v>
      </c>
      <c r="D227" s="729"/>
      <c r="E227" s="235">
        <f t="shared" si="59"/>
        <v>5</v>
      </c>
      <c r="F227" s="463">
        <v>5</v>
      </c>
      <c r="G227" s="235">
        <f t="shared" si="57"/>
        <v>10</v>
      </c>
      <c r="H227" s="172">
        <f t="shared" si="58"/>
        <v>5.4106698409263072E-4</v>
      </c>
      <c r="I227" s="336"/>
      <c r="J227" s="168"/>
      <c r="K227" s="168"/>
    </row>
    <row r="228" spans="1:11" ht="16" thickBot="1">
      <c r="A228" s="163"/>
      <c r="B228" s="236" t="s">
        <v>75</v>
      </c>
      <c r="C228" s="729">
        <v>6277</v>
      </c>
      <c r="D228" s="729">
        <v>0</v>
      </c>
      <c r="E228" s="237">
        <f>SUM(E219:E227)</f>
        <v>6277</v>
      </c>
      <c r="F228" s="464">
        <f>SUM(F219:F227)</f>
        <v>12205</v>
      </c>
      <c r="G228" s="237">
        <f>SUM(G219:G227)</f>
        <v>18482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461"/>
      <c r="C229" s="721"/>
      <c r="D229" s="722"/>
      <c r="E229" s="494"/>
      <c r="F229" s="493"/>
      <c r="G229" s="494"/>
      <c r="H229" s="167"/>
      <c r="J229" s="168"/>
      <c r="K229" s="168"/>
    </row>
    <row r="230" spans="1:11">
      <c r="A230" s="163"/>
      <c r="B230" s="233" t="s">
        <v>160</v>
      </c>
      <c r="C230" s="720"/>
      <c r="D230" s="716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725">
        <v>85</v>
      </c>
      <c r="D231" s="726"/>
      <c r="E231" s="235">
        <f>C231+D231</f>
        <v>85</v>
      </c>
      <c r="F231" s="235"/>
      <c r="G231" s="235">
        <f>E231+F231</f>
        <v>85</v>
      </c>
      <c r="H231" s="167"/>
      <c r="J231" s="168"/>
      <c r="K231" s="168"/>
    </row>
    <row r="232" spans="1:11">
      <c r="A232" s="163"/>
      <c r="B232" s="202" t="s">
        <v>290</v>
      </c>
      <c r="C232" s="725">
        <v>85</v>
      </c>
      <c r="D232" s="726"/>
      <c r="E232" s="235">
        <f>C232+D232</f>
        <v>85</v>
      </c>
      <c r="F232" s="235"/>
      <c r="G232" s="235">
        <f>E232+F232</f>
        <v>85</v>
      </c>
      <c r="H232" s="167"/>
      <c r="J232" s="168"/>
      <c r="K232" s="168"/>
    </row>
    <row r="233" spans="1:11">
      <c r="A233" s="163"/>
      <c r="B233" s="202" t="s">
        <v>76</v>
      </c>
      <c r="C233" s="725">
        <v>123</v>
      </c>
      <c r="D233" s="727"/>
      <c r="E233" s="235">
        <f>C233+D233</f>
        <v>123</v>
      </c>
      <c r="F233" s="239">
        <v>243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23"/>
      <c r="D234" s="717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725">
        <v>10455</v>
      </c>
      <c r="D235" s="727"/>
      <c r="E235" s="234">
        <f>E231*E233</f>
        <v>10455</v>
      </c>
      <c r="F235" s="239"/>
      <c r="G235" s="234">
        <f>G231*G233</f>
        <v>31110</v>
      </c>
      <c r="H235" s="167"/>
      <c r="J235" s="168"/>
      <c r="K235" s="168"/>
    </row>
    <row r="236" spans="1:11" ht="26.5">
      <c r="A236" s="163"/>
      <c r="B236" s="243" t="s">
        <v>336</v>
      </c>
      <c r="C236" s="728">
        <v>0.60038259206121469</v>
      </c>
      <c r="D236" s="717"/>
      <c r="E236" s="244">
        <f>E228/E235</f>
        <v>0.60038259206121469</v>
      </c>
      <c r="F236" s="245"/>
      <c r="G236" s="244">
        <f>G228/G235</f>
        <v>0.59408550305368046</v>
      </c>
      <c r="H236" s="167"/>
      <c r="J236" s="168"/>
      <c r="K236" s="168"/>
    </row>
    <row r="237" spans="1:11" ht="26.5">
      <c r="A237" s="163"/>
      <c r="B237" s="243" t="s">
        <v>337</v>
      </c>
      <c r="C237" s="728">
        <v>0.40985174557627929</v>
      </c>
      <c r="D237" s="717"/>
      <c r="E237" s="244">
        <f>(E219+E220)/E235</f>
        <v>0.40985174557627929</v>
      </c>
      <c r="F237" s="245"/>
      <c r="G237" s="244">
        <f>(G219+G220)/G235</f>
        <v>0.44390871102539375</v>
      </c>
      <c r="H237" s="167"/>
      <c r="J237" s="168"/>
      <c r="K237" s="168"/>
    </row>
    <row r="238" spans="1:11" ht="26.5">
      <c r="A238" s="163"/>
      <c r="B238" s="243" t="s">
        <v>338</v>
      </c>
      <c r="C238" s="728">
        <v>0.68265094790505021</v>
      </c>
      <c r="D238" s="717"/>
      <c r="E238" s="244">
        <f>(E237/E236)</f>
        <v>0.68265094790505021</v>
      </c>
      <c r="F238" s="245"/>
      <c r="G238" s="244">
        <f>(G237/G236)</f>
        <v>0.74721350503192296</v>
      </c>
      <c r="H238" s="167"/>
      <c r="J238" s="168"/>
      <c r="K238" s="168"/>
    </row>
    <row r="239" spans="1:11">
      <c r="C239" s="710"/>
      <c r="D239" s="710"/>
    </row>
    <row r="240" spans="1:11">
      <c r="C240" s="710"/>
      <c r="D240" s="710"/>
    </row>
    <row r="241" spans="2:8">
      <c r="B241" s="148" t="s">
        <v>339</v>
      </c>
      <c r="F241" s="142" t="s">
        <v>340</v>
      </c>
      <c r="G241" s="558">
        <v>191.53548387096774</v>
      </c>
      <c r="H241" s="446"/>
    </row>
    <row r="242" spans="2:8">
      <c r="F242" s="142" t="s">
        <v>341</v>
      </c>
      <c r="G242" s="558">
        <f>235.375*1/3+245.15*2/3</f>
        <v>241.89166666666665</v>
      </c>
      <c r="H242" s="445"/>
    </row>
    <row r="243" spans="2:8">
      <c r="F243" s="142" t="s">
        <v>342</v>
      </c>
      <c r="G243" s="484">
        <v>211.26404494382024</v>
      </c>
      <c r="H243" s="445"/>
    </row>
    <row r="244" spans="2:8">
      <c r="F244" s="142" t="s">
        <v>343</v>
      </c>
      <c r="G244" s="484">
        <v>167.34113712374582</v>
      </c>
      <c r="H244" s="460"/>
    </row>
    <row r="245" spans="2:8">
      <c r="F245" s="251"/>
      <c r="G245" s="150"/>
      <c r="H245" s="459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A21" sqref="A21"/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2">
    <tabColor rgb="FFE28CAB"/>
  </sheetPr>
  <dimension ref="A1:T245"/>
  <sheetViews>
    <sheetView showGridLines="0" topLeftCell="A222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414062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526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527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528</v>
      </c>
      <c r="G4" s="150"/>
    </row>
    <row r="5" spans="1:17">
      <c r="A5" s="145"/>
      <c r="B5" s="148"/>
      <c r="C5" s="151"/>
      <c r="D5" s="144"/>
      <c r="F5" s="460" t="s">
        <v>529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6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9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'[32]Sch B'!E10</f>
        <v>1046428</v>
      </c>
      <c r="D11" s="558">
        <f>'[32]Sch B'!G10</f>
        <v>0</v>
      </c>
      <c r="E11" s="171">
        <f>C11+D11</f>
        <v>1046428</v>
      </c>
      <c r="F11" s="171">
        <v>3114211.1900000004</v>
      </c>
      <c r="G11" s="171">
        <f t="shared" ref="G11:G20" si="0">E11+F11</f>
        <v>4160639.1900000004</v>
      </c>
      <c r="H11" s="172">
        <f t="shared" ref="H11:H21" si="1">IF($G$21=0,0,G11/$G$21)</f>
        <v>0.49939894867104945</v>
      </c>
      <c r="I11" s="336"/>
      <c r="J11" s="368" t="s">
        <v>344</v>
      </c>
      <c r="K11" s="369">
        <f>G21</f>
        <v>8331293.4500000002</v>
      </c>
      <c r="M11" s="359">
        <f>IFERROR(G11/G219,0)</f>
        <v>216.53079313036693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'[32]Sch B'!E15</f>
        <v>0</v>
      </c>
      <c r="D12" s="558">
        <f>'[32]Sch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8326177.5899999999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'[32]Sch B'!E21</f>
        <v>723619</v>
      </c>
      <c r="D13" s="558">
        <f>'[32]Sch B'!G21</f>
        <v>0</v>
      </c>
      <c r="E13" s="171">
        <f t="shared" si="2"/>
        <v>723619</v>
      </c>
      <c r="F13" s="171">
        <v>1120283.67</v>
      </c>
      <c r="G13" s="171">
        <f t="shared" si="0"/>
        <v>1843902.67</v>
      </c>
      <c r="H13" s="172">
        <f t="shared" si="1"/>
        <v>0.22132249704876256</v>
      </c>
      <c r="I13" s="336"/>
      <c r="J13" s="370" t="s">
        <v>346</v>
      </c>
      <c r="K13" s="371">
        <f>G228</f>
        <v>30868</v>
      </c>
      <c r="M13" s="359">
        <f t="shared" si="3"/>
        <v>543.28304949911603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'[32]Sch B'!E27</f>
        <v>135032</v>
      </c>
      <c r="D14" s="558">
        <f>'[32]Sch B'!G27</f>
        <v>0</v>
      </c>
      <c r="E14" s="171">
        <f t="shared" si="2"/>
        <v>135032</v>
      </c>
      <c r="F14" s="175">
        <v>826879.76</v>
      </c>
      <c r="G14" s="175">
        <f>E14+F14</f>
        <v>961911.76</v>
      </c>
      <c r="H14" s="176">
        <f t="shared" si="1"/>
        <v>0.11545767362209526</v>
      </c>
      <c r="I14" s="337"/>
      <c r="J14" s="370" t="s">
        <v>347</v>
      </c>
      <c r="K14" s="371">
        <f>G231</f>
        <v>140</v>
      </c>
      <c r="M14" s="359">
        <f t="shared" si="3"/>
        <v>419.31637314734087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'[32]Sch B'!E32</f>
        <v>0</v>
      </c>
      <c r="D15" s="558">
        <f>'[32]Sch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51240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'[32]Sch B'!E37</f>
        <v>283551</v>
      </c>
      <c r="D16" s="558">
        <f>'[32]Sch B'!G37</f>
        <v>-137002.68</v>
      </c>
      <c r="E16" s="171">
        <f t="shared" si="2"/>
        <v>146548.32</v>
      </c>
      <c r="F16" s="171">
        <v>501420.27</v>
      </c>
      <c r="G16" s="171">
        <f t="shared" si="0"/>
        <v>647968.59000000008</v>
      </c>
      <c r="H16" s="172">
        <f t="shared" si="1"/>
        <v>7.7775269097021191E-2</v>
      </c>
      <c r="I16" s="336"/>
      <c r="J16" s="372"/>
      <c r="K16" s="371"/>
      <c r="M16" s="359">
        <f t="shared" si="3"/>
        <v>268.64369402985079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'[32]Sch B'!E42</f>
        <v>229866</v>
      </c>
      <c r="D17" s="558">
        <f>'[32]Sch B'!G42</f>
        <v>0</v>
      </c>
      <c r="E17" s="171">
        <f t="shared" si="2"/>
        <v>229866</v>
      </c>
      <c r="F17" s="171">
        <v>233333.26</v>
      </c>
      <c r="G17" s="171">
        <f>E17+F17</f>
        <v>463199.26</v>
      </c>
      <c r="H17" s="172">
        <f t="shared" si="1"/>
        <v>5.5597520694700774E-2</v>
      </c>
      <c r="I17" s="336"/>
      <c r="J17" s="370" t="s">
        <v>156</v>
      </c>
      <c r="K17" s="371">
        <f>J208</f>
        <v>217055</v>
      </c>
      <c r="M17" s="359">
        <f t="shared" si="3"/>
        <v>171.80981454005936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'[32]Sch B'!E47</f>
        <v>0</v>
      </c>
      <c r="D18" s="558">
        <f>'[32]Sch B'!G47</f>
        <v>137003</v>
      </c>
      <c r="E18" s="171">
        <f t="shared" si="2"/>
        <v>137003</v>
      </c>
      <c r="F18" s="171">
        <v>15849.529999999999</v>
      </c>
      <c r="G18" s="171">
        <f>E18+F18</f>
        <v>152852.53</v>
      </c>
      <c r="H18" s="172">
        <f t="shared" si="1"/>
        <v>1.8346794638472372E-2</v>
      </c>
      <c r="I18" s="336"/>
      <c r="J18" s="373" t="s">
        <v>252</v>
      </c>
      <c r="K18" s="374">
        <f>K208</f>
        <v>233074</v>
      </c>
      <c r="M18" s="359">
        <f t="shared" si="3"/>
        <v>204.62186077643909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'[32]Sch B'!E52</f>
        <v>100207</v>
      </c>
      <c r="D19" s="558">
        <f>'[32]Sch B'!G52</f>
        <v>0</v>
      </c>
      <c r="E19" s="171">
        <f t="shared" si="2"/>
        <v>100207</v>
      </c>
      <c r="F19" s="171">
        <v>0</v>
      </c>
      <c r="G19" s="171">
        <f t="shared" si="0"/>
        <v>100207</v>
      </c>
      <c r="H19" s="172">
        <f t="shared" si="1"/>
        <v>1.2027784233191306E-2</v>
      </c>
      <c r="I19" s="336"/>
      <c r="J19" s="168"/>
      <c r="K19" s="168"/>
      <c r="M19" s="359">
        <f t="shared" si="3"/>
        <v>710.6879432624113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'[32]Sch B'!E67</f>
        <v>700</v>
      </c>
      <c r="D20" s="558">
        <f>'[32]Sch B'!G67</f>
        <v>-88</v>
      </c>
      <c r="E20" s="171">
        <f t="shared" si="2"/>
        <v>612</v>
      </c>
      <c r="F20" s="171">
        <v>0.45000000000000018</v>
      </c>
      <c r="G20" s="171">
        <f t="shared" si="0"/>
        <v>612.45000000000005</v>
      </c>
      <c r="H20" s="172">
        <f t="shared" si="1"/>
        <v>7.3511994707136383E-5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2519403</v>
      </c>
      <c r="D21" s="558">
        <f>SUM(D11:D20)</f>
        <v>-87.679999999993015</v>
      </c>
      <c r="E21" s="171">
        <f>SUM(E11:E20)</f>
        <v>2519315.3200000003</v>
      </c>
      <c r="F21" s="171">
        <f>SUM(F11:F20)</f>
        <v>5811978.1300000008</v>
      </c>
      <c r="G21" s="171">
        <f>SUM(G11:G20)</f>
        <v>8331293.4500000002</v>
      </c>
      <c r="H21" s="172">
        <f t="shared" si="1"/>
        <v>1</v>
      </c>
      <c r="I21" s="336"/>
      <c r="J21" s="168"/>
      <c r="K21" s="168"/>
      <c r="M21" s="359">
        <f>IFERROR(G21/G228,0)</f>
        <v>269.90065601917843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6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579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'[32]Sch C'!D10</f>
        <v>54991</v>
      </c>
      <c r="D25" s="558">
        <f>'[32]Sch C'!F10</f>
        <v>0</v>
      </c>
      <c r="E25" s="171">
        <f t="shared" ref="E25:E60" si="4">C25+D25</f>
        <v>54991</v>
      </c>
      <c r="F25" s="171">
        <v>71347.179999999993</v>
      </c>
      <c r="G25" s="182">
        <f>E25+F25</f>
        <v>126338.18</v>
      </c>
      <c r="H25" s="172">
        <f>IF($G$208=0,0,G25/$G$208)</f>
        <v>1.5173611015904358E-2</v>
      </c>
      <c r="I25" s="608"/>
      <c r="J25" s="183">
        <f>640+1427</f>
        <v>2067</v>
      </c>
      <c r="K25" s="183">
        <f>914+1427</f>
        <v>2341</v>
      </c>
      <c r="M25" s="359">
        <f>G25/G$228</f>
        <v>4.0928527925359592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'[32]Sch C'!D11</f>
        <v>0</v>
      </c>
      <c r="D26" s="558">
        <f>'[32]Sch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608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'[32]Sch C'!D12</f>
        <v>117782</v>
      </c>
      <c r="D27" s="558">
        <f>'[32]Sch C'!F12</f>
        <v>0</v>
      </c>
      <c r="E27" s="171">
        <f t="shared" si="4"/>
        <v>117782</v>
      </c>
      <c r="F27" s="171">
        <v>60810.01999999999</v>
      </c>
      <c r="G27" s="171">
        <f t="shared" si="5"/>
        <v>178592.02</v>
      </c>
      <c r="H27" s="172">
        <f t="shared" si="6"/>
        <v>2.1449460820352258E-2</v>
      </c>
      <c r="I27" s="608"/>
      <c r="J27" s="185">
        <f>4185+4774</f>
        <v>8959</v>
      </c>
      <c r="K27" s="185">
        <f>6311+4946</f>
        <v>11257</v>
      </c>
      <c r="M27" s="359">
        <f t="shared" si="7"/>
        <v>5.7856686536218733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'[32]Sch C'!D13</f>
        <v>23652</v>
      </c>
      <c r="D28" s="558">
        <f>'[32]Sch C'!F13</f>
        <v>-1098</v>
      </c>
      <c r="E28" s="171">
        <f t="shared" si="4"/>
        <v>22554</v>
      </c>
      <c r="F28" s="171">
        <v>79062.919999999984</v>
      </c>
      <c r="G28" s="171">
        <f t="shared" si="5"/>
        <v>101616.91999999998</v>
      </c>
      <c r="H28" s="172">
        <f t="shared" si="6"/>
        <v>1.2204510281169728E-2</v>
      </c>
      <c r="I28" s="608"/>
      <c r="J28" s="168"/>
      <c r="K28" s="168"/>
      <c r="M28" s="359">
        <f t="shared" si="7"/>
        <v>3.2919826357392763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'[32]Sch C'!D14</f>
        <v>0</v>
      </c>
      <c r="D29" s="558">
        <f>'[32]Sch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608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'[32]Sch C'!D15</f>
        <v>0</v>
      </c>
      <c r="D30" s="558">
        <f>'[32]Sch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608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'[32]Sch C'!D16</f>
        <v>75585</v>
      </c>
      <c r="D31" s="558">
        <f>'[32]Sch C'!F16</f>
        <v>8116</v>
      </c>
      <c r="E31" s="171">
        <f t="shared" si="4"/>
        <v>83701</v>
      </c>
      <c r="F31" s="171">
        <v>53639</v>
      </c>
      <c r="G31" s="171">
        <f t="shared" si="5"/>
        <v>137340</v>
      </c>
      <c r="H31" s="172">
        <f t="shared" si="6"/>
        <v>1.649496404748196E-2</v>
      </c>
      <c r="I31" s="608"/>
      <c r="J31" s="168"/>
      <c r="K31" s="168"/>
      <c r="M31" s="359">
        <f t="shared" si="7"/>
        <v>4.4492678502008554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'[32]Sch C'!D17</f>
        <v>8716</v>
      </c>
      <c r="D32" s="558">
        <f>'[32]Sch C'!F17</f>
        <v>-1642</v>
      </c>
      <c r="E32" s="171">
        <f t="shared" si="4"/>
        <v>7074</v>
      </c>
      <c r="F32" s="171">
        <v>0</v>
      </c>
      <c r="G32" s="171">
        <f t="shared" si="5"/>
        <v>7074</v>
      </c>
      <c r="H32" s="172">
        <f t="shared" si="6"/>
        <v>8.4960955054527005E-4</v>
      </c>
      <c r="I32" s="608"/>
      <c r="J32" s="168"/>
      <c r="K32" s="168"/>
      <c r="M32" s="359">
        <f t="shared" si="7"/>
        <v>0.22916936633406765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'[32]Sch C'!D18</f>
        <v>16148</v>
      </c>
      <c r="D33" s="558">
        <f>'[32]Sch C'!F18</f>
        <v>0</v>
      </c>
      <c r="E33" s="171">
        <f t="shared" si="4"/>
        <v>16148</v>
      </c>
      <c r="F33" s="171">
        <v>1482.21</v>
      </c>
      <c r="G33" s="171">
        <f t="shared" si="5"/>
        <v>17630.21</v>
      </c>
      <c r="H33" s="172">
        <f t="shared" si="6"/>
        <v>2.1174434258013465E-3</v>
      </c>
      <c r="I33" s="608"/>
      <c r="J33" s="168"/>
      <c r="K33" s="168"/>
      <c r="M33" s="359">
        <f t="shared" si="7"/>
        <v>0.57114843851237529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'[32]Sch C'!D19</f>
        <v>9882</v>
      </c>
      <c r="D34" s="558">
        <f>'[32]Sch C'!F19</f>
        <v>0</v>
      </c>
      <c r="E34" s="171">
        <f t="shared" si="4"/>
        <v>9882</v>
      </c>
      <c r="F34" s="171">
        <v>17738.96</v>
      </c>
      <c r="G34" s="171">
        <f t="shared" si="5"/>
        <v>27620.959999999999</v>
      </c>
      <c r="H34" s="172">
        <f t="shared" si="6"/>
        <v>3.317363784454182E-3</v>
      </c>
      <c r="I34" s="608"/>
      <c r="J34" s="168"/>
      <c r="K34" s="168"/>
      <c r="M34" s="359">
        <f t="shared" si="7"/>
        <v>0.89480886354801081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'[32]Sch C'!D20</f>
        <v>23099</v>
      </c>
      <c r="D35" s="558">
        <f>'[32]Sch C'!F20</f>
        <v>0</v>
      </c>
      <c r="E35" s="171">
        <f t="shared" si="4"/>
        <v>23099</v>
      </c>
      <c r="F35" s="171">
        <v>24648.82</v>
      </c>
      <c r="G35" s="171">
        <f t="shared" si="5"/>
        <v>47747.82</v>
      </c>
      <c r="H35" s="172">
        <f t="shared" si="6"/>
        <v>5.7346626929200535E-3</v>
      </c>
      <c r="I35" s="608"/>
      <c r="J35" s="168"/>
      <c r="K35" s="168"/>
      <c r="M35" s="359">
        <f t="shared" si="7"/>
        <v>1.546838797460153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'[32]Sch C'!D21</f>
        <v>17104</v>
      </c>
      <c r="D36" s="558">
        <f>'[32]Sch C'!F21</f>
        <v>0</v>
      </c>
      <c r="E36" s="171">
        <f t="shared" si="4"/>
        <v>17104</v>
      </c>
      <c r="F36" s="171">
        <v>108946.38</v>
      </c>
      <c r="G36" s="171">
        <f t="shared" si="5"/>
        <v>126050.38</v>
      </c>
      <c r="H36" s="172">
        <f t="shared" si="6"/>
        <v>1.5139045334727241E-2</v>
      </c>
      <c r="I36" s="608"/>
      <c r="J36" s="168"/>
      <c r="K36" s="168"/>
      <c r="M36" s="359">
        <f t="shared" si="7"/>
        <v>4.0835292211999485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'[32]Sch C'!D22</f>
        <v>0</v>
      </c>
      <c r="D37" s="558">
        <f>'[32]Sch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608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'[32]Sch C'!D23</f>
        <v>650</v>
      </c>
      <c r="D38" s="558">
        <f>'[32]Sch C'!F23</f>
        <v>0</v>
      </c>
      <c r="E38" s="171">
        <f t="shared" si="4"/>
        <v>650</v>
      </c>
      <c r="F38" s="171">
        <v>16296.37</v>
      </c>
      <c r="G38" s="171">
        <f t="shared" si="5"/>
        <v>16946.370000000003</v>
      </c>
      <c r="H38" s="172">
        <f t="shared" si="6"/>
        <v>2.0353121005193455E-3</v>
      </c>
      <c r="I38" s="608"/>
      <c r="J38" s="168"/>
      <c r="K38" s="168"/>
      <c r="M38" s="359">
        <f t="shared" si="7"/>
        <v>0.54899475184657254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'[32]Sch C'!D24</f>
        <v>4350</v>
      </c>
      <c r="D39" s="558">
        <f>'[32]Sch C'!F24</f>
        <v>0</v>
      </c>
      <c r="E39" s="171">
        <f t="shared" si="4"/>
        <v>4350</v>
      </c>
      <c r="F39" s="171">
        <v>34253.46</v>
      </c>
      <c r="G39" s="171">
        <f t="shared" si="5"/>
        <v>38603.46</v>
      </c>
      <c r="H39" s="172">
        <f t="shared" si="6"/>
        <v>4.6363964235358089E-3</v>
      </c>
      <c r="I39" s="608"/>
      <c r="J39" s="168"/>
      <c r="K39" s="168"/>
      <c r="M39" s="359">
        <f t="shared" si="7"/>
        <v>1.2505980303226643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'[32]Sch C'!D25</f>
        <v>0</v>
      </c>
      <c r="D40" s="558">
        <f>'[32]Sch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608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'[32]Sch C'!D26</f>
        <v>165127</v>
      </c>
      <c r="D41" s="558">
        <f>'[32]Sch C'!F26</f>
        <v>0</v>
      </c>
      <c r="E41" s="171">
        <f t="shared" si="4"/>
        <v>165127</v>
      </c>
      <c r="F41" s="171">
        <v>296693.39</v>
      </c>
      <c r="G41" s="171">
        <f t="shared" si="5"/>
        <v>461820.39</v>
      </c>
      <c r="H41" s="172">
        <f t="shared" si="6"/>
        <v>5.5466074919499765E-2</v>
      </c>
      <c r="I41" s="608"/>
      <c r="J41" s="168"/>
      <c r="K41" s="168"/>
      <c r="M41" s="359">
        <f t="shared" si="7"/>
        <v>14.96113742386938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'[32]Sch C'!D27</f>
        <v>-65</v>
      </c>
      <c r="D42" s="558">
        <f>'[32]Sch C'!F27</f>
        <v>65</v>
      </c>
      <c r="E42" s="171">
        <f t="shared" si="4"/>
        <v>0</v>
      </c>
      <c r="F42" s="171">
        <v>50360.160000000003</v>
      </c>
      <c r="G42" s="171">
        <f t="shared" si="5"/>
        <v>50360.160000000003</v>
      </c>
      <c r="H42" s="172">
        <f t="shared" si="6"/>
        <v>6.0484129068402448E-3</v>
      </c>
      <c r="I42" s="608"/>
      <c r="J42" s="168"/>
      <c r="K42" s="168"/>
      <c r="M42" s="359">
        <f t="shared" si="7"/>
        <v>1.631468187119347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'[32]Sch C'!D28</f>
        <v>0</v>
      </c>
      <c r="D43" s="558">
        <f>'[32]Sch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608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'[32]Sch C'!D29</f>
        <v>131672</v>
      </c>
      <c r="D44" s="558">
        <f>'[32]Sch C'!F29</f>
        <v>-131672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608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'[32]Sch C'!D30</f>
        <v>0</v>
      </c>
      <c r="D45" s="558">
        <f>'[32]Sch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608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'[32]Sch C'!D31</f>
        <v>0</v>
      </c>
      <c r="D46" s="558">
        <f>'[32]Sch C'!F31</f>
        <v>13828</v>
      </c>
      <c r="E46" s="171">
        <f t="shared" si="4"/>
        <v>13828</v>
      </c>
      <c r="F46" s="171">
        <v>0</v>
      </c>
      <c r="G46" s="171">
        <f t="shared" si="5"/>
        <v>13828</v>
      </c>
      <c r="H46" s="172">
        <f t="shared" si="6"/>
        <v>1.6607860990867961E-3</v>
      </c>
      <c r="I46" s="608"/>
      <c r="J46" s="168"/>
      <c r="K46" s="168"/>
      <c r="M46" s="359">
        <f t="shared" si="7"/>
        <v>0.4479720098483867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'[32]Sch C'!D32</f>
        <v>5647</v>
      </c>
      <c r="D47" s="558">
        <f>'[32]Sch C'!F32</f>
        <v>0</v>
      </c>
      <c r="E47" s="171">
        <f t="shared" si="4"/>
        <v>5647</v>
      </c>
      <c r="F47" s="171">
        <v>68537.740000000005</v>
      </c>
      <c r="G47" s="171">
        <f t="shared" si="5"/>
        <v>74184.740000000005</v>
      </c>
      <c r="H47" s="172">
        <f t="shared" si="6"/>
        <v>8.9098195658351316E-3</v>
      </c>
      <c r="I47" s="608"/>
      <c r="J47" s="168"/>
      <c r="K47" s="168"/>
      <c r="M47" s="359">
        <f t="shared" si="7"/>
        <v>2.4032894907347417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'[32]Sch C'!D33</f>
        <v>0</v>
      </c>
      <c r="D48" s="558">
        <f>'[32]Sch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608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'[32]Sch C'!D34</f>
        <v>0</v>
      </c>
      <c r="D49" s="558">
        <f>'[32]Sch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608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'[32]Sch C'!D35</f>
        <v>0</v>
      </c>
      <c r="D50" s="558">
        <f>'[32]Sch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608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'[32]Sch C'!D36</f>
        <v>0</v>
      </c>
      <c r="D51" s="558">
        <f>'[32]Sch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608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'[32]Sch C'!D37</f>
        <v>0</v>
      </c>
      <c r="D52" s="558">
        <f>'[32]Sch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608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'[32]Sch C'!D38</f>
        <v>0</v>
      </c>
      <c r="D53" s="558">
        <f>'[32]Sch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608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'[32]Sch C'!D39</f>
        <v>769</v>
      </c>
      <c r="D54" s="558">
        <f>'[32]Sch C'!F39</f>
        <v>0</v>
      </c>
      <c r="E54" s="171">
        <f t="shared" si="4"/>
        <v>769</v>
      </c>
      <c r="F54" s="171">
        <v>8003.43</v>
      </c>
      <c r="G54" s="171">
        <f t="shared" si="5"/>
        <v>8772.43</v>
      </c>
      <c r="H54" s="172">
        <f t="shared" si="6"/>
        <v>1.0535963117740803E-3</v>
      </c>
      <c r="I54" s="608"/>
      <c r="J54" s="168"/>
      <c r="K54" s="168"/>
      <c r="M54" s="359">
        <f t="shared" si="7"/>
        <v>0.28419171958014772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'[32]Sch C'!D40</f>
        <v>0</v>
      </c>
      <c r="D55" s="558">
        <f>'[32]Sch C'!F40</f>
        <v>0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608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'[32]Sch C'!D41</f>
        <v>1984</v>
      </c>
      <c r="D56" s="558">
        <f>'[32]Sch C'!F41</f>
        <v>0</v>
      </c>
      <c r="E56" s="171">
        <f t="shared" si="4"/>
        <v>1984</v>
      </c>
      <c r="F56" s="171">
        <v>11997.28</v>
      </c>
      <c r="G56" s="171">
        <f t="shared" si="5"/>
        <v>13981.28</v>
      </c>
      <c r="H56" s="172">
        <f t="shared" si="6"/>
        <v>1.6791955070465895E-3</v>
      </c>
      <c r="I56" s="608"/>
      <c r="J56" s="168"/>
      <c r="K56" s="168"/>
      <c r="M56" s="359">
        <f t="shared" si="7"/>
        <v>0.45293767007904628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'[32]Sch C'!D42</f>
        <v>0</v>
      </c>
      <c r="D57" s="558">
        <f>'[32]Sch C'!F42</f>
        <v>0</v>
      </c>
      <c r="E57" s="171">
        <f t="shared" si="4"/>
        <v>0</v>
      </c>
      <c r="F57" s="171">
        <v>7122.72</v>
      </c>
      <c r="G57" s="171">
        <f t="shared" si="5"/>
        <v>7122.72</v>
      </c>
      <c r="H57" s="172">
        <f t="shared" si="6"/>
        <v>8.5546097510034015E-4</v>
      </c>
      <c r="I57" s="608"/>
      <c r="J57" s="168"/>
      <c r="K57" s="168"/>
      <c r="M57" s="359">
        <f t="shared" si="7"/>
        <v>0.23074769988337437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'[32]Sch C'!D43</f>
        <v>1593</v>
      </c>
      <c r="D58" s="558">
        <f>'[32]Sch C'!F43</f>
        <v>0</v>
      </c>
      <c r="E58" s="171">
        <f t="shared" si="4"/>
        <v>1593</v>
      </c>
      <c r="F58" s="171">
        <v>0</v>
      </c>
      <c r="G58" s="171">
        <f t="shared" si="5"/>
        <v>1593</v>
      </c>
      <c r="H58" s="172">
        <f t="shared" si="6"/>
        <v>1.9132428809988907E-4</v>
      </c>
      <c r="I58" s="608"/>
      <c r="J58" s="168"/>
      <c r="K58" s="168"/>
      <c r="M58" s="359">
        <f t="shared" si="7"/>
        <v>5.1606842037061035E-2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'[32]Sch C'!D44</f>
        <v>1204</v>
      </c>
      <c r="D59" s="558">
        <f>'[32]Sch C'!F44</f>
        <v>0</v>
      </c>
      <c r="E59" s="171">
        <f t="shared" si="4"/>
        <v>1204</v>
      </c>
      <c r="F59" s="171">
        <v>1034</v>
      </c>
      <c r="G59" s="171">
        <f t="shared" si="5"/>
        <v>2238</v>
      </c>
      <c r="H59" s="172">
        <f t="shared" si="6"/>
        <v>2.6879080776368594E-4</v>
      </c>
      <c r="I59" s="608"/>
      <c r="J59" s="168"/>
      <c r="K59" s="168"/>
      <c r="M59" s="359">
        <f t="shared" si="7"/>
        <v>7.2502267720616825E-2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'[32]Sch C'!D45</f>
        <v>7091</v>
      </c>
      <c r="D60" s="558">
        <f>'[32]Sch C'!F45</f>
        <v>0</v>
      </c>
      <c r="E60" s="171">
        <f t="shared" si="4"/>
        <v>7091</v>
      </c>
      <c r="F60" s="171">
        <v>2395.8000000000002</v>
      </c>
      <c r="G60" s="171">
        <f t="shared" si="5"/>
        <v>9486.7999999999993</v>
      </c>
      <c r="H60" s="172">
        <f t="shared" si="6"/>
        <v>1.1393943856535013E-3</v>
      </c>
      <c r="I60" s="608"/>
      <c r="J60" s="168"/>
      <c r="K60" s="168"/>
      <c r="M60" s="359">
        <f t="shared" si="7"/>
        <v>0.30733445639497209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666981</v>
      </c>
      <c r="D61" s="558">
        <f>SUM(D25:D60)</f>
        <v>-112403</v>
      </c>
      <c r="E61" s="171">
        <f t="shared" ref="E61:F61" si="8">SUM(E25:E60)</f>
        <v>554578</v>
      </c>
      <c r="F61" s="171">
        <f t="shared" si="8"/>
        <v>914369.8400000002</v>
      </c>
      <c r="G61" s="171">
        <f>SUM(G25:G60)</f>
        <v>1468947.8399999996</v>
      </c>
      <c r="H61" s="186">
        <f t="shared" si="6"/>
        <v>0.17642523524411152</v>
      </c>
      <c r="I61" s="609"/>
      <c r="J61" s="168"/>
      <c r="K61" s="168"/>
      <c r="M61" s="364">
        <f>G61/G$228</f>
        <v>47.588047168588815</v>
      </c>
      <c r="N61" s="359">
        <f>SUMMARY!J64</f>
        <v>53.728790309602623</v>
      </c>
      <c r="O61" s="354">
        <f>M61/N61-1</f>
        <v>-0.11429148331144001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610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610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'[32]Sch C'!D57</f>
        <v>0</v>
      </c>
      <c r="D64" s="558">
        <f>'[32]Sch C'!F57</f>
        <v>0</v>
      </c>
      <c r="E64" s="171">
        <f t="shared" ref="E64:E78" si="9">C64+D64</f>
        <v>0</v>
      </c>
      <c r="F64" s="171"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608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'[32]Sch C'!D58</f>
        <v>14559</v>
      </c>
      <c r="D65" s="558">
        <f>'[32]Sch C'!F58</f>
        <v>217383</v>
      </c>
      <c r="E65" s="171">
        <f t="shared" si="9"/>
        <v>231942</v>
      </c>
      <c r="F65" s="171">
        <v>161837.37999999998</v>
      </c>
      <c r="G65" s="171">
        <f t="shared" si="10"/>
        <v>393779.38</v>
      </c>
      <c r="H65" s="172">
        <f t="shared" si="11"/>
        <v>4.7294136564291087E-2</v>
      </c>
      <c r="I65" s="608"/>
      <c r="J65" s="190"/>
      <c r="K65" s="168"/>
      <c r="M65" s="359">
        <f t="shared" si="12"/>
        <v>12.756880264351432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'[32]Sch C'!D59</f>
        <v>233487</v>
      </c>
      <c r="D66" s="558">
        <f>'[32]Sch C'!F59</f>
        <v>-184520</v>
      </c>
      <c r="E66" s="171">
        <f t="shared" si="9"/>
        <v>48967</v>
      </c>
      <c r="F66" s="171">
        <v>381513.51</v>
      </c>
      <c r="G66" s="171">
        <f t="shared" si="10"/>
        <v>430480.51</v>
      </c>
      <c r="H66" s="172">
        <f t="shared" si="11"/>
        <v>5.1702057198133825E-2</v>
      </c>
      <c r="I66" s="608"/>
      <c r="J66" s="190"/>
      <c r="K66" s="168"/>
      <c r="M66" s="359">
        <f t="shared" si="12"/>
        <v>13.945850395231307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'[32]Sch C'!D60</f>
        <v>18264</v>
      </c>
      <c r="D67" s="558">
        <f>'[32]Sch C'!F60</f>
        <v>26299</v>
      </c>
      <c r="E67" s="171">
        <f t="shared" si="9"/>
        <v>44563</v>
      </c>
      <c r="F67" s="171">
        <v>53329.21</v>
      </c>
      <c r="G67" s="171">
        <f t="shared" si="10"/>
        <v>97892.209999999992</v>
      </c>
      <c r="H67" s="172">
        <f t="shared" si="11"/>
        <v>1.175716094712796E-2</v>
      </c>
      <c r="I67" s="608"/>
      <c r="J67" s="193"/>
      <c r="K67" s="168"/>
      <c r="M67" s="359">
        <f t="shared" si="12"/>
        <v>3.1713168977581958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'[32]Sch C'!D61</f>
        <v>1187</v>
      </c>
      <c r="D68" s="558">
        <f>'[32]Sch C'!F61</f>
        <v>0</v>
      </c>
      <c r="E68" s="171">
        <f t="shared" si="9"/>
        <v>1187</v>
      </c>
      <c r="F68" s="171">
        <v>11787.69</v>
      </c>
      <c r="G68" s="171">
        <f t="shared" si="10"/>
        <v>12974.69</v>
      </c>
      <c r="H68" s="172">
        <f t="shared" si="11"/>
        <v>1.5583008961498742E-3</v>
      </c>
      <c r="I68" s="608"/>
      <c r="J68" s="193"/>
      <c r="K68" s="168"/>
      <c r="M68" s="359">
        <f t="shared" si="12"/>
        <v>0.42032817156926267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'[32]Sch C'!D62</f>
        <v>0</v>
      </c>
      <c r="D69" s="558">
        <f>'[32]Sch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608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'[32]Sch C'!D63</f>
        <v>0</v>
      </c>
      <c r="D70" s="558">
        <f>'[32]Sch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608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'[32]Sch C'!D64</f>
        <v>0</v>
      </c>
      <c r="D71" s="558">
        <f>'[32]Sch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608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'[32]Sch C'!D65</f>
        <v>0</v>
      </c>
      <c r="D72" s="558">
        <f>'[32]Sch C'!F65</f>
        <v>0</v>
      </c>
      <c r="E72" s="171">
        <f t="shared" si="9"/>
        <v>0</v>
      </c>
      <c r="F72" s="171">
        <v>0</v>
      </c>
      <c r="G72" s="171">
        <f t="shared" si="10"/>
        <v>0</v>
      </c>
      <c r="H72" s="172">
        <f t="shared" si="11"/>
        <v>0</v>
      </c>
      <c r="I72" s="608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'[32]Sch C'!D66</f>
        <v>0</v>
      </c>
      <c r="D73" s="558">
        <f>'[32]Sch C'!F66</f>
        <v>0</v>
      </c>
      <c r="E73" s="171">
        <f t="shared" si="9"/>
        <v>0</v>
      </c>
      <c r="F73" s="171">
        <v>0</v>
      </c>
      <c r="G73" s="171">
        <f t="shared" si="10"/>
        <v>0</v>
      </c>
      <c r="H73" s="172">
        <f t="shared" si="11"/>
        <v>0</v>
      </c>
      <c r="I73" s="608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'[32]Sch C'!D67</f>
        <v>6350</v>
      </c>
      <c r="D74" s="558">
        <f>'[32]Sch C'!F67</f>
        <v>78745</v>
      </c>
      <c r="E74" s="171">
        <f t="shared" si="9"/>
        <v>85095</v>
      </c>
      <c r="F74" s="171">
        <v>4233.1100000000006</v>
      </c>
      <c r="G74" s="171">
        <f t="shared" si="10"/>
        <v>89328.11</v>
      </c>
      <c r="H74" s="172">
        <f t="shared" si="11"/>
        <v>1.072858572068963E-2</v>
      </c>
      <c r="I74" s="608"/>
      <c r="J74" s="195"/>
      <c r="K74" s="168"/>
      <c r="M74" s="359">
        <f t="shared" si="12"/>
        <v>2.893874238693793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'[32]Sch C'!D68</f>
        <v>0</v>
      </c>
      <c r="D75" s="558">
        <f>'[32]Sch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608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'[32]Sch C'!D69</f>
        <v>2760</v>
      </c>
      <c r="D76" s="558">
        <f>'[32]Sch C'!F69</f>
        <v>-2760</v>
      </c>
      <c r="E76" s="171">
        <f t="shared" si="9"/>
        <v>0</v>
      </c>
      <c r="F76" s="171">
        <v>8528.2799999999988</v>
      </c>
      <c r="G76" s="171">
        <f t="shared" si="10"/>
        <v>8528.2799999999988</v>
      </c>
      <c r="H76" s="172">
        <f t="shared" si="11"/>
        <v>1.0242731322765359E-3</v>
      </c>
      <c r="I76" s="608"/>
      <c r="J76" s="195"/>
      <c r="K76" s="168"/>
      <c r="M76" s="359">
        <f t="shared" si="12"/>
        <v>0.27628223402876761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'[32]Sch C'!D70</f>
        <v>0</v>
      </c>
      <c r="D77" s="558">
        <f>'[32]Sch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608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'[32]Sch C'!D71</f>
        <v>0</v>
      </c>
      <c r="D78" s="558">
        <f>'[32]Sch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608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276607</v>
      </c>
      <c r="D79" s="558">
        <f>SUM(D64:D78)</f>
        <v>135147</v>
      </c>
      <c r="E79" s="171">
        <f t="shared" ref="E79:F79" si="13">SUM(E64:E78)</f>
        <v>411754</v>
      </c>
      <c r="F79" s="171">
        <f t="shared" si="13"/>
        <v>621229.17999999993</v>
      </c>
      <c r="G79" s="171">
        <f>SUM(G64:G78)</f>
        <v>1032983.1799999999</v>
      </c>
      <c r="H79" s="172">
        <f t="shared" si="11"/>
        <v>0.1240645144586689</v>
      </c>
      <c r="I79" s="608"/>
      <c r="J79" s="195"/>
      <c r="K79" s="168"/>
      <c r="M79" s="359">
        <f t="shared" si="12"/>
        <v>33.464532201632757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608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93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'[32]Sch C'!D75</f>
        <v>16206</v>
      </c>
      <c r="D82" s="558">
        <f>'[32]Sch C'!F75</f>
        <v>0</v>
      </c>
      <c r="E82" s="171">
        <f t="shared" ref="E82:E92" si="14">C82+D82</f>
        <v>16206</v>
      </c>
      <c r="F82" s="171">
        <v>41161.79</v>
      </c>
      <c r="G82" s="171">
        <f t="shared" ref="G82:G92" si="15">E82+F82</f>
        <v>57367.79</v>
      </c>
      <c r="H82" s="172">
        <f t="shared" ref="H82:H93" si="16">IF($G$208=0,0,G82/$G$208)</f>
        <v>6.8900512125636753E-3</v>
      </c>
      <c r="I82" s="608"/>
      <c r="J82" s="183">
        <f>834+1873</f>
        <v>2707</v>
      </c>
      <c r="K82" s="183">
        <f>854+1929</f>
        <v>2783</v>
      </c>
      <c r="M82" s="359">
        <f t="shared" ref="M82:M92" si="17">G82/G$228</f>
        <v>1.858487430348581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'[32]Sch C'!D76</f>
        <v>3426</v>
      </c>
      <c r="D83" s="558">
        <f>'[32]Sch C'!F76</f>
        <v>-165</v>
      </c>
      <c r="E83" s="171">
        <f t="shared" si="14"/>
        <v>3261</v>
      </c>
      <c r="F83" s="171">
        <v>6575.37</v>
      </c>
      <c r="G83" s="171">
        <f t="shared" si="15"/>
        <v>9836.369999999999</v>
      </c>
      <c r="H83" s="172">
        <f t="shared" si="16"/>
        <v>1.1813788372486539E-3</v>
      </c>
      <c r="I83" s="608"/>
      <c r="J83" s="168"/>
      <c r="K83" s="168"/>
      <c r="M83" s="359">
        <f t="shared" si="17"/>
        <v>0.31865912919528311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'[32]Sch C'!D77</f>
        <v>8876</v>
      </c>
      <c r="D84" s="558">
        <f>'[32]Sch C'!F77</f>
        <v>-88</v>
      </c>
      <c r="E84" s="171">
        <f t="shared" si="14"/>
        <v>8788</v>
      </c>
      <c r="F84" s="171">
        <v>4615.34</v>
      </c>
      <c r="G84" s="171">
        <f t="shared" si="15"/>
        <v>13403.34</v>
      </c>
      <c r="H84" s="172">
        <f t="shared" si="16"/>
        <v>1.6097831033652023E-3</v>
      </c>
      <c r="I84" s="608"/>
      <c r="J84" s="168"/>
      <c r="K84" s="168"/>
      <c r="M84" s="359">
        <f t="shared" si="17"/>
        <v>0.43421472074640405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'[32]Sch C'!D78</f>
        <v>15045</v>
      </c>
      <c r="D85" s="558">
        <f>'[32]Sch C'!F78</f>
        <v>0</v>
      </c>
      <c r="E85" s="171">
        <f t="shared" si="14"/>
        <v>15045</v>
      </c>
      <c r="F85" s="171">
        <v>21218.15</v>
      </c>
      <c r="G85" s="171">
        <f t="shared" si="15"/>
        <v>36263.15</v>
      </c>
      <c r="H85" s="172">
        <f t="shared" si="16"/>
        <v>4.3553178644127385E-3</v>
      </c>
      <c r="I85" s="608"/>
      <c r="J85" s="168"/>
      <c r="K85" s="168"/>
      <c r="M85" s="359">
        <f t="shared" si="17"/>
        <v>1.174781326940521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'[32]Sch C'!D79</f>
        <v>0</v>
      </c>
      <c r="D86" s="558">
        <f>'[32]Sch C'!F79</f>
        <v>0</v>
      </c>
      <c r="E86" s="171">
        <f t="shared" si="14"/>
        <v>0</v>
      </c>
      <c r="F86" s="171">
        <v>13705.44</v>
      </c>
      <c r="G86" s="171">
        <f>E86+F86</f>
        <v>13705.44</v>
      </c>
      <c r="H86" s="172">
        <f t="shared" si="16"/>
        <v>1.6460662593193621E-3</v>
      </c>
      <c r="I86" s="608"/>
      <c r="J86" s="168"/>
      <c r="K86" s="168"/>
      <c r="M86" s="359">
        <f t="shared" si="17"/>
        <v>0.44400155500842298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'[32]Sch C'!D80</f>
        <v>15903</v>
      </c>
      <c r="D87" s="558">
        <f>'[32]Sch C'!F80</f>
        <v>0</v>
      </c>
      <c r="E87" s="171">
        <f t="shared" si="14"/>
        <v>15903</v>
      </c>
      <c r="F87" s="171">
        <v>36642.620000000003</v>
      </c>
      <c r="G87" s="171">
        <f t="shared" si="15"/>
        <v>52545.62</v>
      </c>
      <c r="H87" s="172">
        <f t="shared" si="16"/>
        <v>6.3108934960874408E-3</v>
      </c>
      <c r="I87" s="608"/>
      <c r="J87" s="168"/>
      <c r="K87" s="168"/>
      <c r="M87" s="359">
        <f t="shared" si="17"/>
        <v>1.7022683685369964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'[32]Sch C'!D81</f>
        <v>0</v>
      </c>
      <c r="D88" s="558">
        <f>'[32]Sch C'!F81</f>
        <v>0</v>
      </c>
      <c r="E88" s="171">
        <f t="shared" si="14"/>
        <v>0</v>
      </c>
      <c r="F88" s="171">
        <v>3554.56</v>
      </c>
      <c r="G88" s="171">
        <f t="shared" si="15"/>
        <v>3554.56</v>
      </c>
      <c r="H88" s="172">
        <f t="shared" si="16"/>
        <v>4.2691378625759051E-4</v>
      </c>
      <c r="I88" s="608"/>
      <c r="J88" s="168"/>
      <c r="K88" s="168"/>
      <c r="M88" s="359">
        <f t="shared" si="17"/>
        <v>0.11515355708176753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'[32]Sch C'!D82</f>
        <v>10972</v>
      </c>
      <c r="D89" s="558">
        <f>'[32]Sch C'!F82</f>
        <v>0</v>
      </c>
      <c r="E89" s="171">
        <f t="shared" si="14"/>
        <v>10972</v>
      </c>
      <c r="F89" s="171">
        <v>0</v>
      </c>
      <c r="G89" s="171">
        <f t="shared" si="15"/>
        <v>10972</v>
      </c>
      <c r="H89" s="172">
        <f t="shared" si="16"/>
        <v>1.3177715562033791E-3</v>
      </c>
      <c r="I89" s="608"/>
      <c r="J89" s="168"/>
      <c r="K89" s="168"/>
      <c r="M89" s="359">
        <f t="shared" si="17"/>
        <v>0.35544900868213036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'[32]Sch C'!D83</f>
        <v>0</v>
      </c>
      <c r="D90" s="558">
        <f>'[32]Sch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608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'[32]Sch C'!D84</f>
        <v>45089</v>
      </c>
      <c r="D91" s="558">
        <f>'[32]Sch C'!F84</f>
        <v>0</v>
      </c>
      <c r="E91" s="171">
        <f t="shared" si="14"/>
        <v>45089</v>
      </c>
      <c r="F91" s="171">
        <v>142246.42000000001</v>
      </c>
      <c r="G91" s="171">
        <f t="shared" si="15"/>
        <v>187335.42</v>
      </c>
      <c r="H91" s="172">
        <f t="shared" si="16"/>
        <v>2.2499570538225815E-2</v>
      </c>
      <c r="I91" s="608"/>
      <c r="J91" s="168"/>
      <c r="K91" s="168"/>
      <c r="M91" s="359">
        <f t="shared" si="17"/>
        <v>6.0689199170662178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'[32]Sch C'!D85</f>
        <v>0</v>
      </c>
      <c r="D92" s="558">
        <f>'[32]Sch C'!F85</f>
        <v>0</v>
      </c>
      <c r="E92" s="171">
        <f t="shared" si="14"/>
        <v>0</v>
      </c>
      <c r="F92" s="171">
        <v>54.75</v>
      </c>
      <c r="G92" s="171">
        <f t="shared" si="15"/>
        <v>54.75</v>
      </c>
      <c r="H92" s="172">
        <f t="shared" si="16"/>
        <v>6.5756464365781081E-6</v>
      </c>
      <c r="I92" s="608"/>
      <c r="J92" s="168"/>
      <c r="K92" s="168"/>
      <c r="M92" s="359">
        <f t="shared" si="17"/>
        <v>1.7736814824413632E-3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115517</v>
      </c>
      <c r="D93" s="558">
        <f>SUM(D82:D92)</f>
        <v>-253</v>
      </c>
      <c r="E93" s="171">
        <f t="shared" ref="E93:F93" si="18">SUM(E82:E92)</f>
        <v>115264</v>
      </c>
      <c r="F93" s="171">
        <f t="shared" si="18"/>
        <v>269774.44</v>
      </c>
      <c r="G93" s="171">
        <f>SUM(G82:G92)</f>
        <v>385038.44</v>
      </c>
      <c r="H93" s="172">
        <f t="shared" si="16"/>
        <v>4.6244322300120433E-2</v>
      </c>
      <c r="I93" s="608"/>
      <c r="J93" s="168"/>
      <c r="K93" s="168"/>
      <c r="M93" s="364">
        <f>G93/G$228</f>
        <v>12.473708695088765</v>
      </c>
      <c r="N93" s="359">
        <f>SUMMARY!J96</f>
        <v>11.458724454710746</v>
      </c>
      <c r="O93" s="354">
        <f>M93/N93-1</f>
        <v>8.8577419274686653E-2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493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93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'[32]Sch C'!D89</f>
        <v>114171</v>
      </c>
      <c r="D96" s="558">
        <f>'[32]Sch C'!F89</f>
        <v>0</v>
      </c>
      <c r="E96" s="171">
        <f t="shared" ref="E96:E101" si="19">C96+D96</f>
        <v>114171</v>
      </c>
      <c r="F96" s="171">
        <v>235484.25</v>
      </c>
      <c r="G96" s="171">
        <f t="shared" ref="G96:G101" si="20">E96+F96</f>
        <v>349655.25</v>
      </c>
      <c r="H96" s="172">
        <f t="shared" ref="H96:H102" si="21">IF($G$208=0,0,G96/$G$208)</f>
        <v>4.1994690387092741E-2</v>
      </c>
      <c r="I96" s="608"/>
      <c r="J96" s="183">
        <f>9655+17617</f>
        <v>27272</v>
      </c>
      <c r="K96" s="183">
        <f>10366+17939</f>
        <v>28305</v>
      </c>
      <c r="M96" s="364">
        <f t="shared" ref="M96:M101" si="22">G96/G$228</f>
        <v>11.3274345600622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'[32]Sch C'!D90</f>
        <v>24283</v>
      </c>
      <c r="D97" s="558">
        <f>'[32]Sch C'!F90</f>
        <v>-1161</v>
      </c>
      <c r="E97" s="171">
        <f t="shared" si="19"/>
        <v>23122</v>
      </c>
      <c r="F97" s="171">
        <v>52232.82</v>
      </c>
      <c r="G97" s="171">
        <f t="shared" si="20"/>
        <v>75354.820000000007</v>
      </c>
      <c r="H97" s="172">
        <f t="shared" si="21"/>
        <v>9.0503498376618228E-3</v>
      </c>
      <c r="I97" s="608"/>
      <c r="J97" s="168"/>
      <c r="K97" s="168"/>
      <c r="M97" s="364">
        <f t="shared" si="22"/>
        <v>2.4411954127251523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'[32]Sch C'!D91</f>
        <v>0</v>
      </c>
      <c r="D98" s="558">
        <f>'[32]Sch C'!F91</f>
        <v>0</v>
      </c>
      <c r="E98" s="171">
        <f t="shared" si="19"/>
        <v>0</v>
      </c>
      <c r="F98" s="171">
        <v>7298.39</v>
      </c>
      <c r="G98" s="171">
        <f t="shared" si="20"/>
        <v>7298.39</v>
      </c>
      <c r="H98" s="172">
        <f t="shared" si="21"/>
        <v>8.7655949216908311E-4</v>
      </c>
      <c r="I98" s="608"/>
      <c r="J98" s="168"/>
      <c r="K98" s="168"/>
      <c r="M98" s="364">
        <f t="shared" si="22"/>
        <v>0.23643870675132825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'[32]Sch C'!D92</f>
        <v>89926</v>
      </c>
      <c r="D99" s="558">
        <f>'[32]Sch C'!F92</f>
        <v>0</v>
      </c>
      <c r="E99" s="171">
        <f t="shared" si="19"/>
        <v>89926</v>
      </c>
      <c r="F99" s="171">
        <v>174851.83</v>
      </c>
      <c r="G99" s="171">
        <f t="shared" si="20"/>
        <v>264777.82999999996</v>
      </c>
      <c r="H99" s="172">
        <f t="shared" si="21"/>
        <v>3.1800646471678247E-2</v>
      </c>
      <c r="I99" s="608"/>
      <c r="J99" s="168"/>
      <c r="K99" s="168"/>
      <c r="M99" s="364">
        <f t="shared" si="22"/>
        <v>8.5777449138266153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'[32]Sch C'!D93</f>
        <v>6124</v>
      </c>
      <c r="D100" s="558">
        <f>'[32]Sch C'!F93</f>
        <v>0</v>
      </c>
      <c r="E100" s="171">
        <f t="shared" si="19"/>
        <v>6124</v>
      </c>
      <c r="F100" s="171">
        <v>5178.87</v>
      </c>
      <c r="G100" s="171">
        <f t="shared" si="20"/>
        <v>11302.869999999999</v>
      </c>
      <c r="H100" s="172">
        <f t="shared" si="21"/>
        <v>1.3575100792439377E-3</v>
      </c>
      <c r="I100" s="608"/>
      <c r="J100" s="168"/>
      <c r="K100" s="168"/>
      <c r="M100" s="364">
        <f t="shared" si="22"/>
        <v>0.36616787611766227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'[32]Sch C'!D94</f>
        <v>0</v>
      </c>
      <c r="D101" s="558">
        <f>'[32]Sch C'!F94</f>
        <v>0</v>
      </c>
      <c r="E101" s="171">
        <f t="shared" si="19"/>
        <v>0</v>
      </c>
      <c r="F101" s="171">
        <v>8099.25</v>
      </c>
      <c r="G101" s="171">
        <f t="shared" si="20"/>
        <v>8099.25</v>
      </c>
      <c r="H101" s="172">
        <f t="shared" si="21"/>
        <v>9.7274528587132868E-4</v>
      </c>
      <c r="I101" s="608"/>
      <c r="J101" s="168"/>
      <c r="K101" s="168"/>
      <c r="M101" s="364">
        <f t="shared" si="22"/>
        <v>0.26238337436827786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234504</v>
      </c>
      <c r="D102" s="558">
        <f>SUM(D96:D101)</f>
        <v>-1161</v>
      </c>
      <c r="E102" s="171">
        <f t="shared" ref="E102:F102" si="23">SUM(E96:E101)</f>
        <v>233343</v>
      </c>
      <c r="F102" s="171">
        <f t="shared" si="23"/>
        <v>483145.41000000003</v>
      </c>
      <c r="G102" s="171">
        <f>SUM(G96:G101)</f>
        <v>716488.41</v>
      </c>
      <c r="H102" s="172">
        <f t="shared" si="21"/>
        <v>8.6052501553717159E-2</v>
      </c>
      <c r="I102" s="608"/>
      <c r="J102" s="168"/>
      <c r="K102" s="168"/>
      <c r="M102" s="364">
        <f>G102/G$228</f>
        <v>23.211364843851239</v>
      </c>
      <c r="N102" s="359">
        <f>SUMMARY!J105</f>
        <v>19.901077037785338</v>
      </c>
      <c r="O102" s="354">
        <f>M102/N102-1</f>
        <v>0.16633711832685227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493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93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'[32]Sch C'!D98</f>
        <v>11026</v>
      </c>
      <c r="D105" s="558">
        <f>'[32]Sch C'!F98</f>
        <v>0</v>
      </c>
      <c r="E105" s="171">
        <f t="shared" ref="E105:E110" si="24">C105+D105</f>
        <v>11026</v>
      </c>
      <c r="F105" s="171">
        <v>57237.33</v>
      </c>
      <c r="G105" s="171">
        <f t="shared" ref="G105:G110" si="25">E105+F105</f>
        <v>68263.33</v>
      </c>
      <c r="H105" s="172">
        <f t="shared" ref="H105:H111" si="26">IF($G$208=0,0,G105/$G$208)</f>
        <v>8.1986396833507846E-3</v>
      </c>
      <c r="I105" s="608"/>
      <c r="J105" s="183">
        <f>1245+5931</f>
        <v>7176</v>
      </c>
      <c r="K105" s="183">
        <f>1174+6251</f>
        <v>7425</v>
      </c>
      <c r="M105" s="364">
        <f t="shared" ref="M105:M110" si="27">G105/G$228</f>
        <v>2.2114594401969678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'[32]Sch C'!D99</f>
        <v>2340</v>
      </c>
      <c r="D106" s="558">
        <f>'[32]Sch C'!F99</f>
        <v>-112</v>
      </c>
      <c r="E106" s="171">
        <f t="shared" si="24"/>
        <v>2228</v>
      </c>
      <c r="F106" s="171">
        <v>13059.26</v>
      </c>
      <c r="G106" s="171">
        <f t="shared" si="25"/>
        <v>15287.26</v>
      </c>
      <c r="H106" s="172">
        <f t="shared" si="26"/>
        <v>1.8360477944117453E-3</v>
      </c>
      <c r="I106" s="608"/>
      <c r="J106" s="168"/>
      <c r="K106" s="168"/>
      <c r="M106" s="364">
        <f t="shared" si="27"/>
        <v>0.49524620966696903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'[32]Sch C'!D100</f>
        <v>2516</v>
      </c>
      <c r="D107" s="558">
        <f>'[32]Sch C'!F100</f>
        <v>0</v>
      </c>
      <c r="E107" s="171">
        <f t="shared" si="24"/>
        <v>2516</v>
      </c>
      <c r="F107" s="171">
        <v>5710.96</v>
      </c>
      <c r="G107" s="171">
        <f t="shared" si="25"/>
        <v>8226.9599999999991</v>
      </c>
      <c r="H107" s="172">
        <f t="shared" si="26"/>
        <v>9.8808365676476026E-4</v>
      </c>
      <c r="I107" s="608"/>
      <c r="J107" s="168"/>
      <c r="K107" s="168"/>
      <c r="M107" s="364">
        <f t="shared" si="27"/>
        <v>0.26652066865362184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'[32]Sch C'!D101</f>
        <v>0</v>
      </c>
      <c r="D108" s="558">
        <f>'[32]Sch C'!F101</f>
        <v>0</v>
      </c>
      <c r="E108" s="171">
        <f t="shared" si="24"/>
        <v>0</v>
      </c>
      <c r="F108" s="171">
        <v>2655.03</v>
      </c>
      <c r="G108" s="171">
        <f t="shared" si="25"/>
        <v>2655.03</v>
      </c>
      <c r="H108" s="172">
        <f t="shared" si="26"/>
        <v>3.18877416593753E-4</v>
      </c>
      <c r="I108" s="608"/>
      <c r="J108" s="168"/>
      <c r="K108" s="168"/>
      <c r="M108" s="364">
        <f t="shared" si="27"/>
        <v>8.6012375275366079E-2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'[32]Sch C'!D102</f>
        <v>2093</v>
      </c>
      <c r="D109" s="558">
        <f>'[32]Sch C'!F102</f>
        <v>0</v>
      </c>
      <c r="E109" s="171">
        <f t="shared" si="24"/>
        <v>2093</v>
      </c>
      <c r="F109" s="171">
        <v>1197.43</v>
      </c>
      <c r="G109" s="171">
        <f t="shared" si="25"/>
        <v>3290.4300000000003</v>
      </c>
      <c r="H109" s="172">
        <f t="shared" si="26"/>
        <v>3.9519094619743758E-4</v>
      </c>
      <c r="I109" s="608"/>
      <c r="J109" s="168"/>
      <c r="K109" s="168"/>
      <c r="M109" s="364">
        <f t="shared" si="27"/>
        <v>0.10659679927432941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'[32]Sch C'!D103</f>
        <v>0</v>
      </c>
      <c r="D110" s="558">
        <f>'[32]Sch C'!F103</f>
        <v>0</v>
      </c>
      <c r="E110" s="171">
        <f t="shared" si="24"/>
        <v>0</v>
      </c>
      <c r="F110" s="171">
        <v>620</v>
      </c>
      <c r="G110" s="171">
        <f t="shared" si="25"/>
        <v>620</v>
      </c>
      <c r="H110" s="172">
        <f t="shared" si="26"/>
        <v>7.4463941382254371E-5</v>
      </c>
      <c r="I110" s="608"/>
      <c r="J110" s="168"/>
      <c r="K110" s="168"/>
      <c r="M110" s="364">
        <f t="shared" si="27"/>
        <v>2.0085525463262924E-2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17975</v>
      </c>
      <c r="D111" s="558">
        <f>SUM(D105:D110)</f>
        <v>-112</v>
      </c>
      <c r="E111" s="171">
        <f t="shared" ref="E111:F111" si="28">SUM(E105:E110)</f>
        <v>17863</v>
      </c>
      <c r="F111" s="171">
        <f t="shared" si="28"/>
        <v>80480.009999999995</v>
      </c>
      <c r="G111" s="171">
        <f>SUM(G105:G110)</f>
        <v>98343.00999999998</v>
      </c>
      <c r="H111" s="172">
        <f t="shared" si="26"/>
        <v>1.1811303438700732E-2</v>
      </c>
      <c r="I111" s="608"/>
      <c r="J111" s="168"/>
      <c r="K111" s="168"/>
      <c r="M111" s="364">
        <f>G111/G$228</f>
        <v>3.1859210185305162</v>
      </c>
      <c r="N111" s="359">
        <f>SUMMARY!J114</f>
        <v>2.4242384372309496</v>
      </c>
      <c r="O111" s="354">
        <f>M111/N111-1</f>
        <v>0.31419458152374946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493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93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'[32]Sch C'!D115</f>
        <v>58708</v>
      </c>
      <c r="D114" s="558">
        <f>'[32]Sch C'!F115</f>
        <v>0</v>
      </c>
      <c r="E114" s="171">
        <f t="shared" ref="E114:E118" si="29">C114+D114</f>
        <v>58708</v>
      </c>
      <c r="F114" s="171">
        <v>65322.59</v>
      </c>
      <c r="G114" s="171">
        <f>E114+F114</f>
        <v>124030.59</v>
      </c>
      <c r="H114" s="172">
        <f t="shared" ref="H114:H119" si="30">IF($G$208=0,0,G114/$G$208)</f>
        <v>1.489646223123617E-2</v>
      </c>
      <c r="I114" s="608"/>
      <c r="J114" s="183">
        <f>5994+6344</f>
        <v>12338</v>
      </c>
      <c r="K114" s="183">
        <f>6170+6414</f>
        <v>12584</v>
      </c>
      <c r="M114" s="364">
        <f t="shared" ref="M114:M119" si="31">G114/G$228</f>
        <v>4.0180960865621351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'[32]Sch C'!D116</f>
        <v>12439</v>
      </c>
      <c r="D115" s="558">
        <f>'[32]Sch C'!F116</f>
        <v>-597</v>
      </c>
      <c r="E115" s="171">
        <f t="shared" si="29"/>
        <v>11842</v>
      </c>
      <c r="F115" s="171">
        <v>11677.14</v>
      </c>
      <c r="G115" s="171">
        <f>E115+F115</f>
        <v>23519.14</v>
      </c>
      <c r="H115" s="172">
        <f t="shared" si="30"/>
        <v>2.8247223585823131E-3</v>
      </c>
      <c r="I115" s="608"/>
      <c r="J115" s="168"/>
      <c r="K115" s="168"/>
      <c r="M115" s="364">
        <f t="shared" si="31"/>
        <v>0.76192626668394448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'[32]Sch C'!D117</f>
        <v>6050</v>
      </c>
      <c r="D116" s="558">
        <f>'[32]Sch C'!F117</f>
        <v>0</v>
      </c>
      <c r="E116" s="171">
        <f t="shared" si="29"/>
        <v>6050</v>
      </c>
      <c r="F116" s="171">
        <v>24377.57</v>
      </c>
      <c r="G116" s="171">
        <f>E116+F116</f>
        <v>30427.57</v>
      </c>
      <c r="H116" s="172">
        <f t="shared" si="30"/>
        <v>3.6544464336845835E-3</v>
      </c>
      <c r="I116" s="608"/>
      <c r="J116" s="168"/>
      <c r="K116" s="168"/>
      <c r="M116" s="364">
        <f t="shared" si="31"/>
        <v>0.98573182583905661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'[32]Sch C'!D118</f>
        <v>458</v>
      </c>
      <c r="D117" s="558">
        <f>'[32]Sch C'!F118</f>
        <v>0</v>
      </c>
      <c r="E117" s="171">
        <f t="shared" si="29"/>
        <v>458</v>
      </c>
      <c r="F117" s="171">
        <v>123.95</v>
      </c>
      <c r="G117" s="171">
        <f>E117+F117</f>
        <v>581.95000000000005</v>
      </c>
      <c r="H117" s="172">
        <f t="shared" si="30"/>
        <v>6.9894017237746677E-5</v>
      </c>
      <c r="I117" s="608"/>
      <c r="J117" s="168"/>
      <c r="K117" s="168"/>
      <c r="M117" s="364">
        <f t="shared" si="31"/>
        <v>1.8852857327977195E-2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'[32]Sch C'!D119</f>
        <v>0</v>
      </c>
      <c r="D118" s="558">
        <f>'[32]Sch C'!F119</f>
        <v>0</v>
      </c>
      <c r="E118" s="171">
        <f t="shared" si="29"/>
        <v>0</v>
      </c>
      <c r="F118" s="171">
        <v>1244.75</v>
      </c>
      <c r="G118" s="171">
        <f>E118+F118</f>
        <v>1244.75</v>
      </c>
      <c r="H118" s="172">
        <f t="shared" si="30"/>
        <v>1.4949837263800183E-4</v>
      </c>
      <c r="I118" s="608"/>
      <c r="J118" s="168"/>
      <c r="K118" s="168"/>
      <c r="M118" s="364">
        <f t="shared" si="31"/>
        <v>4.0324931968381494E-2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77655</v>
      </c>
      <c r="D119" s="558">
        <f>SUM(D114:D118)</f>
        <v>-597</v>
      </c>
      <c r="E119" s="171">
        <f t="shared" ref="E119:F119" si="32">SUM(E114:E118)</f>
        <v>77058</v>
      </c>
      <c r="F119" s="171">
        <f t="shared" si="32"/>
        <v>102745.99999999999</v>
      </c>
      <c r="G119" s="171">
        <f>SUM(G114:G118)</f>
        <v>179804</v>
      </c>
      <c r="H119" s="172">
        <f t="shared" si="30"/>
        <v>2.1595023413378815E-2</v>
      </c>
      <c r="I119" s="608"/>
      <c r="J119" s="168"/>
      <c r="K119" s="168"/>
      <c r="M119" s="364">
        <f t="shared" si="31"/>
        <v>5.8249319683814953</v>
      </c>
      <c r="N119" s="359">
        <f>SUMMARY!J122</f>
        <v>6.0247597205909562</v>
      </c>
      <c r="O119" s="354">
        <f>M119/N119-1</f>
        <v>-3.3167754645302305E-2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608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93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93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'[32]Sch C'!D124</f>
        <v>0</v>
      </c>
      <c r="D123" s="558">
        <f>'[32]Sch C'!F124</f>
        <v>0</v>
      </c>
      <c r="E123" s="171">
        <f t="shared" ref="E123:E127" si="33">C123+D123</f>
        <v>0</v>
      </c>
      <c r="F123" s="171">
        <v>62336.97</v>
      </c>
      <c r="G123" s="171">
        <f>E123+F123</f>
        <v>62336.97</v>
      </c>
      <c r="H123" s="172">
        <f>IF($G$208=0,0,G123/$G$208)</f>
        <v>7.486865290366693E-3</v>
      </c>
      <c r="I123" s="608"/>
      <c r="J123" s="183">
        <v>1313</v>
      </c>
      <c r="K123" s="183">
        <v>1337</v>
      </c>
      <c r="M123" s="364">
        <f t="shared" ref="M123:M160" si="34">G123/G$228</f>
        <v>2.0194690294155762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'[32]Sch C'!D125</f>
        <v>75402</v>
      </c>
      <c r="D124" s="558">
        <f>'[32]Sch C'!F125</f>
        <v>0</v>
      </c>
      <c r="E124" s="171">
        <f t="shared" si="33"/>
        <v>75402</v>
      </c>
      <c r="F124" s="171">
        <v>124539.23</v>
      </c>
      <c r="G124" s="171">
        <f>E124+F124</f>
        <v>199941.22999999998</v>
      </c>
      <c r="H124" s="172">
        <f>IF($G$208=0,0,G124/$G$208)</f>
        <v>2.401356779131587E-2</v>
      </c>
      <c r="I124" s="608"/>
      <c r="J124" s="183">
        <f>1824+3321</f>
        <v>5145</v>
      </c>
      <c r="K124" s="183">
        <f>2010+3485</f>
        <v>5495</v>
      </c>
      <c r="M124" s="364">
        <f t="shared" si="34"/>
        <v>6.4772978489050139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'[32]Sch C'!D126</f>
        <v>0</v>
      </c>
      <c r="D125" s="558">
        <f>'[32]Sch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608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'[32]Sch C'!D127</f>
        <v>0</v>
      </c>
      <c r="D126" s="558">
        <f>'[32]Sch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608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'[32]Sch C'!D128</f>
        <v>9512</v>
      </c>
      <c r="D127" s="558">
        <f>'[32]Sch C'!F128</f>
        <v>0</v>
      </c>
      <c r="E127" s="171">
        <f t="shared" si="33"/>
        <v>9512</v>
      </c>
      <c r="F127" s="171">
        <v>44150.239999999998</v>
      </c>
      <c r="G127" s="171">
        <f>E127+F127</f>
        <v>53662.239999999998</v>
      </c>
      <c r="H127" s="172">
        <f>IF($G$208=0,0,G127/$G$208)</f>
        <v>6.445003054516881E-3</v>
      </c>
      <c r="I127" s="608"/>
      <c r="J127" s="183">
        <f>733+3311</f>
        <v>4044</v>
      </c>
      <c r="K127" s="183">
        <f>744+3359</f>
        <v>4103</v>
      </c>
      <c r="M127" s="364">
        <f t="shared" si="34"/>
        <v>1.7384423998963328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61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'[32]Sch C'!D130</f>
        <v>0</v>
      </c>
      <c r="D129" s="558">
        <f>'[32]Sch C'!F130</f>
        <v>0</v>
      </c>
      <c r="E129" s="171">
        <f t="shared" ref="E129:E133" si="35">C129+D129</f>
        <v>0</v>
      </c>
      <c r="F129" s="171">
        <v>12953.89</v>
      </c>
      <c r="G129" s="171">
        <f>E129+F129</f>
        <v>12953.89</v>
      </c>
      <c r="H129" s="172">
        <f>IF($G$208=0,0,G129/$G$208)</f>
        <v>1.5558027510196308E-3</v>
      </c>
      <c r="I129" s="608"/>
      <c r="J129" s="204"/>
      <c r="K129" s="204"/>
      <c r="M129" s="364">
        <f t="shared" si="34"/>
        <v>0.41965433458597901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'[32]Sch C'!D131</f>
        <v>0</v>
      </c>
      <c r="D130" s="558">
        <f>'[32]Sch C'!F131</f>
        <v>15183</v>
      </c>
      <c r="E130" s="171">
        <f t="shared" si="35"/>
        <v>15183</v>
      </c>
      <c r="F130" s="171">
        <v>26469.59</v>
      </c>
      <c r="G130" s="171">
        <f>E130+F130</f>
        <v>41652.589999999997</v>
      </c>
      <c r="H130" s="172">
        <f>IF($G$208=0,0,G130/$G$208)</f>
        <v>5.0026064841597979E-3</v>
      </c>
      <c r="I130" s="608"/>
      <c r="J130" s="204"/>
      <c r="K130" s="204"/>
      <c r="M130" s="364">
        <f t="shared" si="34"/>
        <v>1.3493776726707269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'[32]Sch C'!D132</f>
        <v>0</v>
      </c>
      <c r="D131" s="558">
        <f>'[32]Sch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608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'[32]Sch C'!D133</f>
        <v>0</v>
      </c>
      <c r="D132" s="558">
        <f>'[32]Sch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608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'[32]Sch C'!D134</f>
        <v>2038</v>
      </c>
      <c r="D133" s="558">
        <f>'[32]Sch C'!F134</f>
        <v>0</v>
      </c>
      <c r="E133" s="171">
        <f t="shared" si="35"/>
        <v>2038</v>
      </c>
      <c r="F133" s="171">
        <v>8272.42</v>
      </c>
      <c r="G133" s="171">
        <f>E133+F133</f>
        <v>10310.42</v>
      </c>
      <c r="H133" s="172">
        <f>IF($G$208=0,0,G133/$G$208)</f>
        <v>1.2383137266232631E-3</v>
      </c>
      <c r="I133" s="608"/>
      <c r="J133" s="168"/>
      <c r="K133" s="168"/>
      <c r="M133" s="364">
        <f t="shared" si="34"/>
        <v>0.33401645717247636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08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'[32]Sch C'!D136</f>
        <v>314801</v>
      </c>
      <c r="D135" s="558">
        <f>'[32]Sch C'!F136</f>
        <v>7251</v>
      </c>
      <c r="E135" s="171">
        <f t="shared" ref="E135:E138" si="36">C135+D135</f>
        <v>322052</v>
      </c>
      <c r="F135" s="490">
        <f>658975.62+7251</f>
        <v>666226.62</v>
      </c>
      <c r="G135" s="171">
        <f>E135+F135</f>
        <v>988278.62</v>
      </c>
      <c r="H135" s="172">
        <f>IF($G$208=0,0,G135/$G$208)</f>
        <v>0.11869535682099233</v>
      </c>
      <c r="I135" s="661" t="s">
        <v>420</v>
      </c>
      <c r="J135" s="183">
        <f>10489+22065</f>
        <v>32554</v>
      </c>
      <c r="K135" s="183">
        <f>12168+22604</f>
        <v>34772</v>
      </c>
      <c r="M135" s="364">
        <f t="shared" si="34"/>
        <v>32.016282881948946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'[32]Sch C'!D137</f>
        <v>84443</v>
      </c>
      <c r="D136" s="558">
        <f>'[32]Sch C'!F137</f>
        <v>3862</v>
      </c>
      <c r="E136" s="171">
        <f t="shared" si="36"/>
        <v>88305</v>
      </c>
      <c r="F136" s="490">
        <f>159009.93+3862</f>
        <v>162871.93</v>
      </c>
      <c r="G136" s="171">
        <f>E136+F136</f>
        <v>251176.93</v>
      </c>
      <c r="H136" s="172">
        <f>IF($G$208=0,0,G136/$G$208)</f>
        <v>3.0167135793700985E-2</v>
      </c>
      <c r="I136" s="661" t="s">
        <v>420</v>
      </c>
      <c r="J136" s="183">
        <f>3701+6787</f>
        <v>10488</v>
      </c>
      <c r="K136" s="183">
        <f>4545+6997</f>
        <v>11542</v>
      </c>
      <c r="M136" s="364">
        <f t="shared" si="34"/>
        <v>8.1371300375793698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'[32]Sch C'!D138</f>
        <v>296824</v>
      </c>
      <c r="D137" s="558">
        <f>'[32]Sch C'!F138</f>
        <v>5311</v>
      </c>
      <c r="E137" s="171">
        <f t="shared" si="36"/>
        <v>302135</v>
      </c>
      <c r="F137" s="490">
        <f>549915.82-16424+5311</f>
        <v>538802.81999999995</v>
      </c>
      <c r="G137" s="171">
        <f>E137+F137</f>
        <v>840937.82</v>
      </c>
      <c r="H137" s="172">
        <f>IF($G$208=0,0,G137/$G$208)</f>
        <v>0.10099926537838835</v>
      </c>
      <c r="I137" s="661" t="s">
        <v>420</v>
      </c>
      <c r="J137" s="183">
        <f>25887+46860</f>
        <v>72747</v>
      </c>
      <c r="K137" s="183">
        <f>31794+47845</f>
        <v>79639</v>
      </c>
      <c r="M137" s="364">
        <f t="shared" si="34"/>
        <v>27.243029026823894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'[32]Sch C'!D139</f>
        <v>16424</v>
      </c>
      <c r="D138" s="558">
        <f>'[32]Sch C'!F139</f>
        <v>-16424</v>
      </c>
      <c r="E138" s="171">
        <f t="shared" si="36"/>
        <v>0</v>
      </c>
      <c r="F138" s="171">
        <v>56621.149999999994</v>
      </c>
      <c r="G138" s="171">
        <f>E138+F138</f>
        <v>56621.149999999994</v>
      </c>
      <c r="H138" s="172">
        <f>IF($G$208=0,0,G138/$G$208)</f>
        <v>6.8003774106384389E-3</v>
      </c>
      <c r="I138" s="608"/>
      <c r="J138" s="183">
        <v>3595</v>
      </c>
      <c r="K138" s="183">
        <v>3619</v>
      </c>
      <c r="M138" s="364">
        <f t="shared" si="34"/>
        <v>1.8342992743294024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61" t="s">
        <v>645</v>
      </c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'[32]Sch C'!D141</f>
        <v>0</v>
      </c>
      <c r="D140" s="558">
        <f>'[32]Sch C'!F141</f>
        <v>70485</v>
      </c>
      <c r="E140" s="171">
        <f t="shared" ref="E140:E143" si="37">C140+D140</f>
        <v>70485</v>
      </c>
      <c r="F140" s="171">
        <v>140058.76999999999</v>
      </c>
      <c r="G140" s="171">
        <f>E140+F140</f>
        <v>210543.77</v>
      </c>
      <c r="H140" s="172">
        <f>IF($G$208=0,0,G140/$G$208)</f>
        <v>2.52869660446433E-2</v>
      </c>
      <c r="I140" s="661" t="s">
        <v>424</v>
      </c>
      <c r="J140" s="168"/>
      <c r="K140" s="168"/>
      <c r="M140" s="364">
        <f t="shared" si="34"/>
        <v>6.8207778281715692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'[32]Sch C'!D142</f>
        <v>0</v>
      </c>
      <c r="D141" s="558">
        <f>'[32]Sch C'!F142</f>
        <v>17970</v>
      </c>
      <c r="E141" s="171">
        <f t="shared" si="37"/>
        <v>17970</v>
      </c>
      <c r="F141" s="171">
        <v>33795.99</v>
      </c>
      <c r="G141" s="171">
        <f>E141+F141</f>
        <v>51765.99</v>
      </c>
      <c r="H141" s="172">
        <f>IF($G$208=0,0,G141/$G$208)</f>
        <v>6.2172574918618806E-3</v>
      </c>
      <c r="I141" s="661" t="s">
        <v>424</v>
      </c>
      <c r="J141" s="168"/>
      <c r="K141" s="168"/>
      <c r="M141" s="364">
        <f t="shared" si="34"/>
        <v>1.6770114681871193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'[32]Sch C'!D143</f>
        <v>0</v>
      </c>
      <c r="D142" s="558">
        <f>'[32]Sch C'!F143</f>
        <v>55604</v>
      </c>
      <c r="E142" s="171">
        <f t="shared" si="37"/>
        <v>55604</v>
      </c>
      <c r="F142" s="171">
        <v>116879.18</v>
      </c>
      <c r="G142" s="171">
        <f>E142+F142</f>
        <v>172483.18</v>
      </c>
      <c r="H142" s="172">
        <f>IF($G$208=0,0,G142/$G$208)</f>
        <v>2.0715770007975531E-2</v>
      </c>
      <c r="I142" s="661" t="s">
        <v>424</v>
      </c>
      <c r="J142" s="168" t="s">
        <v>646</v>
      </c>
      <c r="K142" s="168"/>
      <c r="M142" s="364">
        <f t="shared" si="34"/>
        <v>5.5877666191525206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'[32]Sch C'!D144</f>
        <v>167349</v>
      </c>
      <c r="D143" s="558">
        <f>'[32]Sch C'!F144</f>
        <v>-167349</v>
      </c>
      <c r="E143" s="171">
        <f t="shared" si="37"/>
        <v>0</v>
      </c>
      <c r="F143" s="171">
        <v>12034.26</v>
      </c>
      <c r="G143" s="171">
        <f>E143+F143</f>
        <v>12034.26</v>
      </c>
      <c r="H143" s="172">
        <f>IF($G$208=0,0,G143/$G$208)</f>
        <v>1.4453523084174331E-3</v>
      </c>
      <c r="I143" s="608"/>
      <c r="J143" s="168"/>
      <c r="K143" s="168"/>
      <c r="M143" s="364">
        <f t="shared" si="34"/>
        <v>0.3898619930024621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08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'[32]Sch C'!D146</f>
        <v>20916</v>
      </c>
      <c r="D145" s="558">
        <f>'[32]Sch C'!F146</f>
        <v>0</v>
      </c>
      <c r="E145" s="171">
        <f t="shared" ref="E145:E153" si="38">C145+D145</f>
        <v>20916</v>
      </c>
      <c r="F145" s="171">
        <v>24967.759999999998</v>
      </c>
      <c r="G145" s="171">
        <f t="shared" ref="G145:G153" si="39">E145+F145</f>
        <v>45883.759999999995</v>
      </c>
      <c r="H145" s="172">
        <f t="shared" ref="H145:H153" si="40">IF($G$208=0,0,G145/$G$208)</f>
        <v>5.5107832500603674E-3</v>
      </c>
      <c r="I145" s="608"/>
      <c r="J145" s="183">
        <v>0</v>
      </c>
      <c r="K145" s="183">
        <v>0</v>
      </c>
      <c r="M145" s="364">
        <f t="shared" si="34"/>
        <v>1.4864506932745885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'[32]Sch C'!D147</f>
        <v>0</v>
      </c>
      <c r="D146" s="558">
        <f>'[32]Sch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608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'[32]Sch C'!D148</f>
        <v>0</v>
      </c>
      <c r="D147" s="558">
        <f>'[32]Sch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608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'[32]Sch C'!D149</f>
        <v>0</v>
      </c>
      <c r="D148" s="558">
        <f>'[32]Sch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608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'[32]Sch C'!D150</f>
        <v>0</v>
      </c>
      <c r="D149" s="558">
        <f>'[32]Sch C'!F150</f>
        <v>0</v>
      </c>
      <c r="E149" s="171">
        <f t="shared" si="38"/>
        <v>0</v>
      </c>
      <c r="F149" s="171">
        <v>4545.37</v>
      </c>
      <c r="G149" s="171">
        <f t="shared" si="39"/>
        <v>4545.37</v>
      </c>
      <c r="H149" s="172">
        <f t="shared" si="40"/>
        <v>5.4591316974299611E-4</v>
      </c>
      <c r="I149" s="608"/>
      <c r="J149" s="183">
        <v>0</v>
      </c>
      <c r="K149" s="183">
        <v>0</v>
      </c>
      <c r="M149" s="364">
        <f t="shared" si="34"/>
        <v>0.14725184657250226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'[32]Sch C'!D151</f>
        <v>78660</v>
      </c>
      <c r="D150" s="558">
        <f>'[32]Sch C'!F151</f>
        <v>0</v>
      </c>
      <c r="E150" s="171">
        <f t="shared" si="38"/>
        <v>78660</v>
      </c>
      <c r="F150" s="171">
        <v>95065.85</v>
      </c>
      <c r="G150" s="171">
        <f t="shared" si="39"/>
        <v>173725.85</v>
      </c>
      <c r="H150" s="172">
        <f t="shared" si="40"/>
        <v>2.0865018566100513E-2</v>
      </c>
      <c r="I150" s="608"/>
      <c r="J150" s="168"/>
      <c r="K150" s="168"/>
      <c r="M150" s="364">
        <f t="shared" si="34"/>
        <v>5.6280241674225735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'[32]Sch C'!D152</f>
        <v>446</v>
      </c>
      <c r="D151" s="558">
        <f>'[32]Sch C'!F152</f>
        <v>0</v>
      </c>
      <c r="E151" s="171">
        <f t="shared" si="38"/>
        <v>446</v>
      </c>
      <c r="F151" s="171">
        <v>15935.45</v>
      </c>
      <c r="G151" s="171">
        <f t="shared" si="39"/>
        <v>16381.45</v>
      </c>
      <c r="H151" s="172">
        <f t="shared" si="40"/>
        <v>1.9674634396069854E-3</v>
      </c>
      <c r="I151" s="608"/>
      <c r="J151" s="168"/>
      <c r="K151" s="168"/>
      <c r="M151" s="364">
        <f t="shared" si="34"/>
        <v>0.53069359854865883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'[32]Sch C'!D153</f>
        <v>8194</v>
      </c>
      <c r="D152" s="558">
        <f>'[32]Sch C'!F153</f>
        <v>0</v>
      </c>
      <c r="E152" s="171">
        <f t="shared" si="38"/>
        <v>8194</v>
      </c>
      <c r="F152" s="171">
        <v>0</v>
      </c>
      <c r="G152" s="171">
        <f t="shared" si="39"/>
        <v>8194</v>
      </c>
      <c r="H152" s="172">
        <f t="shared" si="40"/>
        <v>9.8412505755837471E-4</v>
      </c>
      <c r="I152" s="608"/>
      <c r="J152" s="168"/>
      <c r="K152" s="168"/>
      <c r="M152" s="364">
        <f t="shared" si="34"/>
        <v>0.26545289620318779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'[32]Sch C'!D154</f>
        <v>0</v>
      </c>
      <c r="D153" s="558">
        <f>'[32]Sch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608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608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'[32]Sch C'!D156</f>
        <v>0</v>
      </c>
      <c r="D155" s="558">
        <f>'[32]Sch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608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'[32]Sch C'!D157</f>
        <v>0</v>
      </c>
      <c r="D156" s="558">
        <f>'[32]Sch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608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'[32]Sch C'!D158</f>
        <v>0</v>
      </c>
      <c r="D157" s="558">
        <f>'[32]Sch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608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'[32]Sch C'!D159</f>
        <v>0</v>
      </c>
      <c r="D158" s="558">
        <f>'[32]Sch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608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'[32]Sch C'!D160</f>
        <v>0</v>
      </c>
      <c r="D159" s="558">
        <f>'[32]Sch C'!F160</f>
        <v>0</v>
      </c>
      <c r="E159" s="171">
        <f t="shared" si="41"/>
        <v>0</v>
      </c>
      <c r="F159" s="171">
        <v>450</v>
      </c>
      <c r="G159" s="171">
        <f t="shared" si="42"/>
        <v>450</v>
      </c>
      <c r="H159" s="172">
        <f>IF($G$208=0,0,G159/$G$208)</f>
        <v>5.4046409067765275E-5</v>
      </c>
      <c r="I159" s="608"/>
      <c r="J159" s="168"/>
      <c r="K159" s="168"/>
      <c r="M159" s="364">
        <f t="shared" si="34"/>
        <v>1.4578203965271479E-2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'[32]Sch C'!D161</f>
        <v>3468</v>
      </c>
      <c r="D160" s="558">
        <f>'[32]Sch C'!F161</f>
        <v>0</v>
      </c>
      <c r="E160" s="171">
        <f t="shared" si="41"/>
        <v>3468</v>
      </c>
      <c r="F160" s="171">
        <v>15830.78</v>
      </c>
      <c r="G160" s="171">
        <f t="shared" si="42"/>
        <v>19298.78</v>
      </c>
      <c r="H160" s="172">
        <f t="shared" si="43"/>
        <v>2.3178439075306821E-3</v>
      </c>
      <c r="I160" s="608"/>
      <c r="J160" s="168"/>
      <c r="K160" s="168"/>
      <c r="M160" s="364">
        <f t="shared" si="34"/>
        <v>0.62520344693533758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1078477</v>
      </c>
      <c r="D161" s="558">
        <f>SUM(D123:D160)</f>
        <v>-8107</v>
      </c>
      <c r="E161" s="171">
        <f t="shared" ref="E161:F161" si="44">SUM(E123:E160)</f>
        <v>1070370</v>
      </c>
      <c r="F161" s="171">
        <f t="shared" si="44"/>
        <v>2162808.27</v>
      </c>
      <c r="G161" s="171">
        <f>SUM(G123:G160)</f>
        <v>3233178.27</v>
      </c>
      <c r="H161" s="172">
        <f t="shared" si="43"/>
        <v>0.38831483415428808</v>
      </c>
      <c r="I161" s="608"/>
      <c r="J161" s="168"/>
      <c r="K161" s="168"/>
      <c r="M161" s="364">
        <f>G161/G$228</f>
        <v>104.74207172476351</v>
      </c>
      <c r="N161" s="359">
        <f>SUMMARY!J164</f>
        <v>105.56901037202306</v>
      </c>
      <c r="O161" s="354">
        <f>M161/N161-1</f>
        <v>-7.8331571390641841E-3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608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608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'[32]Sch C'!D175</f>
        <v>0</v>
      </c>
      <c r="D164" s="558">
        <f>'[32]Sch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61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'[32]Sch C'!D176</f>
        <v>0</v>
      </c>
      <c r="D165" s="558">
        <f>'[32]Sch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61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'[32]Sch C'!D177</f>
        <v>74884</v>
      </c>
      <c r="D166" s="558">
        <f>'[32]Sch C'!F177</f>
        <v>0</v>
      </c>
      <c r="E166" s="171">
        <f t="shared" si="45"/>
        <v>74884</v>
      </c>
      <c r="F166" s="216">
        <v>201989.39</v>
      </c>
      <c r="G166" s="171">
        <f t="shared" si="46"/>
        <v>276873.39</v>
      </c>
      <c r="H166" s="172">
        <f t="shared" si="47"/>
        <v>3.3253361102042023E-2</v>
      </c>
      <c r="I166" s="612"/>
      <c r="J166" s="217">
        <f>2214+5197</f>
        <v>7411</v>
      </c>
      <c r="K166" s="217">
        <f>2509+5379</f>
        <v>7888</v>
      </c>
      <c r="L166" s="218"/>
      <c r="M166" s="364">
        <f t="shared" si="48"/>
        <v>8.9695927821692365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'[32]Sch C'!D178</f>
        <v>14580</v>
      </c>
      <c r="D167" s="558">
        <f>'[32]Sch C'!F178</f>
        <v>-701</v>
      </c>
      <c r="E167" s="171">
        <f t="shared" si="45"/>
        <v>13879</v>
      </c>
      <c r="F167" s="216">
        <v>43077.47</v>
      </c>
      <c r="G167" s="171">
        <f t="shared" si="46"/>
        <v>56956.47</v>
      </c>
      <c r="H167" s="172">
        <f t="shared" si="47"/>
        <v>6.8406503926131132E-3</v>
      </c>
      <c r="I167" s="613"/>
      <c r="J167" s="222"/>
      <c r="K167" s="222"/>
      <c r="L167" s="218"/>
      <c r="M167" s="364">
        <f t="shared" si="48"/>
        <v>1.8451623040041467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'[32]Sch C'!D179</f>
        <v>22877</v>
      </c>
      <c r="D168" s="558">
        <f>'[32]Sch C'!F179</f>
        <v>0</v>
      </c>
      <c r="E168" s="171">
        <f t="shared" si="45"/>
        <v>22877</v>
      </c>
      <c r="F168" s="216">
        <v>44306.39</v>
      </c>
      <c r="G168" s="171">
        <f t="shared" si="46"/>
        <v>67183.39</v>
      </c>
      <c r="H168" s="172">
        <f t="shared" si="47"/>
        <v>8.0689355077760237E-3</v>
      </c>
      <c r="I168" s="612"/>
      <c r="J168" s="217">
        <f>601+1066</f>
        <v>1667</v>
      </c>
      <c r="K168" s="217">
        <f>660+1103</f>
        <v>1763</v>
      </c>
      <c r="L168" s="218"/>
      <c r="M168" s="364">
        <f t="shared" si="48"/>
        <v>2.1764736944408449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'[32]Sch C'!D180</f>
        <v>4866</v>
      </c>
      <c r="D169" s="558">
        <f>'[32]Sch C'!F180</f>
        <v>-233</v>
      </c>
      <c r="E169" s="171">
        <f t="shared" si="45"/>
        <v>4633</v>
      </c>
      <c r="F169" s="216">
        <v>10480.24</v>
      </c>
      <c r="G169" s="171">
        <f t="shared" si="46"/>
        <v>15113.24</v>
      </c>
      <c r="H169" s="172">
        <f t="shared" si="47"/>
        <v>1.8151474475095841E-3</v>
      </c>
      <c r="I169" s="613"/>
      <c r="J169" s="222"/>
      <c r="K169" s="222"/>
      <c r="L169" s="218"/>
      <c r="M169" s="364">
        <f t="shared" si="48"/>
        <v>0.48960865621355448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'[32]Sch C'!D181</f>
        <v>0</v>
      </c>
      <c r="D170" s="558">
        <f>'[32]Sch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61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'[32]Sch C'!D182</f>
        <v>0</v>
      </c>
      <c r="D171" s="558">
        <f>'[32]Sch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61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'[32]Sch C'!D183</f>
        <v>78573</v>
      </c>
      <c r="D172" s="558">
        <f>'[32]Sch C'!F183</f>
        <v>0</v>
      </c>
      <c r="E172" s="171">
        <f t="shared" si="45"/>
        <v>78573</v>
      </c>
      <c r="F172" s="216">
        <v>131582.29999999999</v>
      </c>
      <c r="G172" s="171">
        <f t="shared" si="46"/>
        <v>210155.3</v>
      </c>
      <c r="H172" s="172">
        <f t="shared" si="47"/>
        <v>2.5240309581242067E-2</v>
      </c>
      <c r="I172" s="612"/>
      <c r="J172" s="217">
        <f>2368+4046</f>
        <v>6414</v>
      </c>
      <c r="K172" s="217">
        <f>2420+4197</f>
        <v>6617</v>
      </c>
      <c r="L172" s="218"/>
      <c r="M172" s="364">
        <f t="shared" si="48"/>
        <v>6.8081929506284826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'[32]Sch C'!D184</f>
        <v>16602</v>
      </c>
      <c r="D173" s="558">
        <f>'[32]Sch C'!F184</f>
        <v>-799</v>
      </c>
      <c r="E173" s="171">
        <f t="shared" si="45"/>
        <v>15803</v>
      </c>
      <c r="F173" s="216">
        <v>26313.21</v>
      </c>
      <c r="G173" s="171">
        <f t="shared" si="46"/>
        <v>42116.21</v>
      </c>
      <c r="H173" s="172">
        <f t="shared" si="47"/>
        <v>5.058288697875348E-3</v>
      </c>
      <c r="I173" s="613"/>
      <c r="J173" s="222"/>
      <c r="K173" s="222"/>
      <c r="L173" s="218"/>
      <c r="M173" s="364">
        <f t="shared" si="48"/>
        <v>1.364397110276014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'[32]Sch C'!D185</f>
        <v>0</v>
      </c>
      <c r="D174" s="558">
        <f>'[32]Sch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61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'[32]Sch C'!D186</f>
        <v>0</v>
      </c>
      <c r="D175" s="558">
        <f>'[32]Sch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608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'[32]Sch C'!D187</f>
        <v>0</v>
      </c>
      <c r="D176" s="558">
        <f>'[32]Sch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608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'[32]Sch C'!D188</f>
        <v>6077</v>
      </c>
      <c r="D177" s="558">
        <f>'[32]Sch C'!F188</f>
        <v>0</v>
      </c>
      <c r="E177" s="171">
        <f t="shared" si="45"/>
        <v>6077</v>
      </c>
      <c r="F177" s="216">
        <v>15426.49</v>
      </c>
      <c r="G177" s="171">
        <f t="shared" si="46"/>
        <v>21503.489999999998</v>
      </c>
      <c r="H177" s="172">
        <f t="shared" si="47"/>
        <v>2.5826364820546663E-3</v>
      </c>
      <c r="I177" s="608"/>
      <c r="J177" s="223"/>
      <c r="K177" s="218"/>
      <c r="L177" s="220"/>
      <c r="M177" s="364">
        <f t="shared" si="48"/>
        <v>0.6966272515226124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'[32]Sch C'!D189</f>
        <v>0</v>
      </c>
      <c r="D178" s="558">
        <f>'[32]Sch C'!F189</f>
        <v>0</v>
      </c>
      <c r="E178" s="171">
        <f t="shared" si="45"/>
        <v>0</v>
      </c>
      <c r="F178" s="216">
        <v>1013.47</v>
      </c>
      <c r="G178" s="171">
        <f t="shared" si="46"/>
        <v>1013.47</v>
      </c>
      <c r="H178" s="172">
        <f t="shared" si="47"/>
        <v>1.2172092043979572E-4</v>
      </c>
      <c r="I178" s="608"/>
      <c r="J178" s="223"/>
      <c r="K178" s="218"/>
      <c r="L178" s="220"/>
      <c r="M178" s="364">
        <f t="shared" si="48"/>
        <v>3.2832383050408191E-2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'[32]Sch C'!D190</f>
        <v>0</v>
      </c>
      <c r="D179" s="558">
        <f>'[32]Sch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608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'[32]Sch C'!D191</f>
        <v>36</v>
      </c>
      <c r="D180" s="558">
        <f>'[32]Sch C'!F191</f>
        <v>0</v>
      </c>
      <c r="E180" s="171">
        <f t="shared" si="45"/>
        <v>36</v>
      </c>
      <c r="F180" s="216">
        <v>0</v>
      </c>
      <c r="G180" s="171">
        <f t="shared" si="46"/>
        <v>36</v>
      </c>
      <c r="H180" s="172">
        <f t="shared" si="47"/>
        <v>4.323712725421222E-6</v>
      </c>
      <c r="I180" s="608"/>
      <c r="J180" s="223"/>
      <c r="K180" s="218"/>
      <c r="L180" s="220"/>
      <c r="M180" s="364">
        <f t="shared" si="48"/>
        <v>1.1662563172217184E-3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'[32]Sch C'!D192</f>
        <v>0</v>
      </c>
      <c r="D181" s="558">
        <f>'[32]Sch C'!F192</f>
        <v>0</v>
      </c>
      <c r="E181" s="171">
        <f t="shared" si="45"/>
        <v>0</v>
      </c>
      <c r="F181" s="216">
        <v>50023.28</v>
      </c>
      <c r="G181" s="171">
        <f t="shared" si="46"/>
        <v>50023.28</v>
      </c>
      <c r="H181" s="172">
        <f t="shared" si="47"/>
        <v>6.0079525639808026E-3</v>
      </c>
      <c r="I181" s="608"/>
      <c r="J181" s="223"/>
      <c r="K181" s="218"/>
      <c r="L181" s="220"/>
      <c r="M181" s="364">
        <f t="shared" si="48"/>
        <v>1.6205546196708565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'[32]Sch C'!D193</f>
        <v>0</v>
      </c>
      <c r="D182" s="558">
        <f>'[32]Sch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608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'[32]Sch C'!D194</f>
        <v>1899</v>
      </c>
      <c r="D183" s="558">
        <f>'[32]Sch C'!F194</f>
        <v>0</v>
      </c>
      <c r="E183" s="171">
        <f t="shared" si="45"/>
        <v>1899</v>
      </c>
      <c r="F183" s="216">
        <v>0</v>
      </c>
      <c r="G183" s="171">
        <f t="shared" si="46"/>
        <v>1899</v>
      </c>
      <c r="H183" s="172">
        <f t="shared" si="47"/>
        <v>2.2807584626596947E-4</v>
      </c>
      <c r="I183" s="608"/>
      <c r="J183" s="223"/>
      <c r="K183" s="218"/>
      <c r="M183" s="364">
        <f t="shared" si="48"/>
        <v>6.1520020733445639E-2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'[32]Sch C'!D195</f>
        <v>0</v>
      </c>
      <c r="D184" s="558">
        <f>'[32]Sch C'!F195</f>
        <v>0</v>
      </c>
      <c r="E184" s="171">
        <f t="shared" si="45"/>
        <v>0</v>
      </c>
      <c r="F184" s="216">
        <v>0</v>
      </c>
      <c r="G184" s="171">
        <f t="shared" si="46"/>
        <v>0</v>
      </c>
      <c r="H184" s="172">
        <f t="shared" si="47"/>
        <v>0</v>
      </c>
      <c r="I184" s="608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'[32]Sch C'!D196</f>
        <v>0</v>
      </c>
      <c r="D185" s="558">
        <f>'[32]Sch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608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'[32]Sch C'!D197</f>
        <v>-743</v>
      </c>
      <c r="D186" s="558">
        <f>'[32]Sch C'!F197</f>
        <v>0</v>
      </c>
      <c r="E186" s="171">
        <f t="shared" si="45"/>
        <v>-743</v>
      </c>
      <c r="F186" s="216">
        <v>0</v>
      </c>
      <c r="G186" s="171">
        <f t="shared" si="46"/>
        <v>-743</v>
      </c>
      <c r="H186" s="172">
        <f t="shared" si="47"/>
        <v>-8.9236626527443557E-5</v>
      </c>
      <c r="I186" s="608"/>
      <c r="J186" s="223"/>
      <c r="K186" s="218"/>
      <c r="M186" s="364">
        <f t="shared" si="48"/>
        <v>-2.4070234547103796E-2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'[32]Sch C'!D198</f>
        <v>14380</v>
      </c>
      <c r="D187" s="558">
        <f>'[32]Sch C'!F198</f>
        <v>0</v>
      </c>
      <c r="E187" s="171">
        <f t="shared" si="45"/>
        <v>14380</v>
      </c>
      <c r="F187" s="216">
        <v>0</v>
      </c>
      <c r="G187" s="171">
        <f t="shared" si="46"/>
        <v>14380</v>
      </c>
      <c r="H187" s="172">
        <f t="shared" si="47"/>
        <v>1.7270830275432547E-3</v>
      </c>
      <c r="I187" s="608"/>
      <c r="J187" s="223"/>
      <c r="K187" s="218"/>
      <c r="M187" s="364">
        <f t="shared" si="48"/>
        <v>0.46585460671245305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'[32]Sch C'!D199</f>
        <v>1354</v>
      </c>
      <c r="D188" s="558">
        <f>'[32]Sch C'!F199</f>
        <v>0</v>
      </c>
      <c r="E188" s="171">
        <f t="shared" si="45"/>
        <v>1354</v>
      </c>
      <c r="F188" s="216">
        <v>0</v>
      </c>
      <c r="G188" s="171">
        <f t="shared" si="46"/>
        <v>1354</v>
      </c>
      <c r="H188" s="172">
        <f t="shared" si="47"/>
        <v>1.6261963972834262E-4</v>
      </c>
      <c r="I188" s="608"/>
      <c r="J188" s="223"/>
      <c r="K188" s="218"/>
      <c r="M188" s="364">
        <f t="shared" si="48"/>
        <v>4.3864195931061292E-2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'[32]Sch C'!D200</f>
        <v>0</v>
      </c>
      <c r="D189" s="558">
        <f>'[32]Sch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608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'[32]Sch C'!D201</f>
        <v>0</v>
      </c>
      <c r="D190" s="558">
        <f>'[32]Sch C'!F201</f>
        <v>0</v>
      </c>
      <c r="E190" s="171">
        <f t="shared" si="45"/>
        <v>0</v>
      </c>
      <c r="F190" s="216">
        <v>2212.08</v>
      </c>
      <c r="G190" s="171">
        <f t="shared" si="46"/>
        <v>2212.08</v>
      </c>
      <c r="H190" s="172">
        <f t="shared" si="47"/>
        <v>2.6567773460138268E-4</v>
      </c>
      <c r="I190" s="608"/>
      <c r="J190" s="223"/>
      <c r="K190" s="218"/>
      <c r="M190" s="364">
        <f t="shared" si="48"/>
        <v>7.1662563172217184E-2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'[32]Sch C'!D202</f>
        <v>0</v>
      </c>
      <c r="D191" s="558">
        <f>'[32]Sch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608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'[32]Sch C'!D203</f>
        <v>0</v>
      </c>
      <c r="D192" s="558">
        <f>'[32]Sch C'!F203</f>
        <v>0</v>
      </c>
      <c r="E192" s="171">
        <f t="shared" si="45"/>
        <v>0</v>
      </c>
      <c r="F192" s="216">
        <v>1511.14</v>
      </c>
      <c r="G192" s="171">
        <f t="shared" si="46"/>
        <v>1511.14</v>
      </c>
      <c r="H192" s="172">
        <f t="shared" si="47"/>
        <v>1.8149264577480627E-4</v>
      </c>
      <c r="I192" s="608"/>
      <c r="J192" s="223"/>
      <c r="K192" s="218"/>
      <c r="M192" s="364">
        <f t="shared" si="48"/>
        <v>4.8954904755734094E-2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'[32]Sch C'!D204</f>
        <v>0</v>
      </c>
      <c r="D193" s="558">
        <f>'[32]Sch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608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'[32]Sch C'!D205</f>
        <v>56936</v>
      </c>
      <c r="D194" s="558">
        <f>'[32]Sch C'!F205</f>
        <v>0</v>
      </c>
      <c r="E194" s="171">
        <f t="shared" si="45"/>
        <v>56936</v>
      </c>
      <c r="F194" s="216">
        <v>121713.71</v>
      </c>
      <c r="G194" s="171">
        <f t="shared" si="46"/>
        <v>178649.71000000002</v>
      </c>
      <c r="H194" s="172">
        <f t="shared" si="47"/>
        <v>2.1456389569994749E-2</v>
      </c>
      <c r="I194" s="608"/>
      <c r="J194" s="223"/>
      <c r="K194" s="218"/>
      <c r="M194" s="364">
        <f t="shared" si="48"/>
        <v>5.7875375793702224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'[32]Sch C'!D206</f>
        <v>204</v>
      </c>
      <c r="D195" s="558">
        <f>'[32]Sch C'!F206</f>
        <v>0</v>
      </c>
      <c r="E195" s="171">
        <f t="shared" si="45"/>
        <v>204</v>
      </c>
      <c r="F195" s="216">
        <v>1320.87</v>
      </c>
      <c r="G195" s="171">
        <f t="shared" si="46"/>
        <v>1524.87</v>
      </c>
      <c r="H195" s="172">
        <f t="shared" si="47"/>
        <v>1.8314166176702939E-4</v>
      </c>
      <c r="I195" s="608"/>
      <c r="J195" s="223"/>
      <c r="K195" s="218"/>
      <c r="M195" s="364">
        <f t="shared" si="48"/>
        <v>4.939970195671893E-2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'[32]Sch C'!D207</f>
        <v>0</v>
      </c>
      <c r="D196" s="558">
        <f>'[32]Sch C'!F207</f>
        <v>0</v>
      </c>
      <c r="E196" s="171">
        <f t="shared" si="45"/>
        <v>0</v>
      </c>
      <c r="F196" s="216">
        <v>2399.83</v>
      </c>
      <c r="G196" s="171">
        <f t="shared" si="46"/>
        <v>2399.83</v>
      </c>
      <c r="H196" s="172">
        <f t="shared" si="47"/>
        <v>2.8822709749576694E-4</v>
      </c>
      <c r="I196" s="608"/>
      <c r="J196" s="223"/>
      <c r="K196" s="218"/>
      <c r="M196" s="364">
        <f t="shared" si="48"/>
        <v>7.7744913826616552E-2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292525</v>
      </c>
      <c r="D197" s="558">
        <f>SUM(D164:D196)</f>
        <v>-1733</v>
      </c>
      <c r="E197" s="171">
        <f t="shared" ref="E197:F197" si="49">SUM(E164:E196)</f>
        <v>290792</v>
      </c>
      <c r="F197" s="171">
        <f t="shared" si="49"/>
        <v>653369.86999999988</v>
      </c>
      <c r="G197" s="171">
        <f>SUM(G164:G196)</f>
        <v>944161.86999999988</v>
      </c>
      <c r="H197" s="172">
        <f>IF($G$208=0,0,G197/$G$208)</f>
        <v>0.11339679700490268</v>
      </c>
      <c r="I197" s="608"/>
      <c r="J197" s="168"/>
      <c r="K197" s="168"/>
      <c r="M197" s="364">
        <f>G197/G$228</f>
        <v>30.587076260204739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493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93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'[32]Sch C'!D211</f>
        <v>84144</v>
      </c>
      <c r="D200" s="558">
        <f>'[32]Sch C'!F211</f>
        <v>0</v>
      </c>
      <c r="E200" s="171">
        <f t="shared" ref="E200:E205" si="50">C200+D200</f>
        <v>84144</v>
      </c>
      <c r="F200" s="171">
        <v>123527.55</v>
      </c>
      <c r="G200" s="171">
        <f t="shared" ref="G200:G205" si="51">E200+F200</f>
        <v>207671.55</v>
      </c>
      <c r="H200" s="172">
        <f t="shared" ref="H200:H206" si="52">IF($G$208=0,0,G200/$G$208)</f>
        <v>2.4942003428970818E-2</v>
      </c>
      <c r="I200" s="608"/>
      <c r="J200" s="183">
        <f>5566+5592</f>
        <v>11158</v>
      </c>
      <c r="K200" s="183">
        <f>5868+5736</f>
        <v>11604</v>
      </c>
      <c r="M200" s="364">
        <f t="shared" ref="M200:M205" si="53">G200/G$228</f>
        <v>6.7277293637423865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'[32]Sch C'!D212</f>
        <v>17855</v>
      </c>
      <c r="D201" s="558">
        <f>'[32]Sch C'!F212</f>
        <v>-855</v>
      </c>
      <c r="E201" s="171">
        <f t="shared" si="50"/>
        <v>17000</v>
      </c>
      <c r="F201" s="171">
        <v>23082.09</v>
      </c>
      <c r="G201" s="171">
        <f t="shared" si="51"/>
        <v>40082.089999999997</v>
      </c>
      <c r="H201" s="172">
        <f t="shared" si="52"/>
        <v>4.8139845165132969E-3</v>
      </c>
      <c r="I201" s="336"/>
      <c r="J201" s="168"/>
      <c r="K201" s="168"/>
      <c r="M201" s="364">
        <f t="shared" si="53"/>
        <v>1.2984997408319294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'[32]Sch C'!D213</f>
        <v>1685</v>
      </c>
      <c r="D202" s="558">
        <f>'[32]Sch C'!F213</f>
        <v>0</v>
      </c>
      <c r="E202" s="171">
        <f t="shared" si="50"/>
        <v>1685</v>
      </c>
      <c r="F202" s="171">
        <v>2953.6</v>
      </c>
      <c r="G202" s="171">
        <f t="shared" si="51"/>
        <v>4638.6000000000004</v>
      </c>
      <c r="H202" s="172">
        <f t="shared" si="52"/>
        <v>5.5711038467052448E-4</v>
      </c>
      <c r="I202" s="336"/>
      <c r="J202" s="168"/>
      <c r="K202" s="168"/>
      <c r="M202" s="364">
        <f t="shared" si="53"/>
        <v>0.15027212647401841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'[32]Sch C'!D214</f>
        <v>0</v>
      </c>
      <c r="D203" s="558">
        <f>'[32]Sch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'[32]Sch C'!D215</f>
        <v>0</v>
      </c>
      <c r="D204" s="558">
        <f>'[32]Sch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'[32]Sch C'!D216</f>
        <v>2864</v>
      </c>
      <c r="D205" s="558">
        <f>'[32]Sch C'!F216</f>
        <v>0</v>
      </c>
      <c r="E205" s="171">
        <f t="shared" si="50"/>
        <v>2864</v>
      </c>
      <c r="F205" s="171">
        <v>11976.33</v>
      </c>
      <c r="G205" s="171">
        <f t="shared" si="51"/>
        <v>14840.33</v>
      </c>
      <c r="H205" s="172">
        <f t="shared" si="52"/>
        <v>1.7823701019569534E-3</v>
      </c>
      <c r="I205" s="336"/>
      <c r="J205" s="168"/>
      <c r="K205" s="168"/>
      <c r="M205" s="364">
        <f t="shared" si="53"/>
        <v>0.48076746144874949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106548</v>
      </c>
      <c r="D206" s="558">
        <f>SUM(D200:D205)</f>
        <v>-855</v>
      </c>
      <c r="E206" s="171">
        <f t="shared" ref="E206:F206" si="54">SUM(E200:E205)</f>
        <v>105693</v>
      </c>
      <c r="F206" s="171">
        <f t="shared" si="54"/>
        <v>161539.57</v>
      </c>
      <c r="G206" s="171">
        <f>SUM(G200:G205)</f>
        <v>267232.57</v>
      </c>
      <c r="H206" s="172">
        <f t="shared" si="52"/>
        <v>3.2095468432111599E-2</v>
      </c>
      <c r="I206" s="336"/>
      <c r="J206" s="168"/>
      <c r="K206" s="168"/>
      <c r="M206" s="364">
        <f>G206/G$228</f>
        <v>8.6572686924970839</v>
      </c>
      <c r="N206" s="359">
        <f>SUMMARY!J209</f>
        <v>7.1515095990067339</v>
      </c>
      <c r="O206" s="354">
        <f>M206/N206-1</f>
        <v>0.21055122315706365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2866789</v>
      </c>
      <c r="D208" s="558">
        <f>SUM(D25:D206)/2</f>
        <v>9926</v>
      </c>
      <c r="E208" s="171">
        <f t="shared" ref="E208:F208" si="55">SUM(E25:E206)/2</f>
        <v>2876715</v>
      </c>
      <c r="F208" s="171">
        <f t="shared" si="55"/>
        <v>5449462.5900000017</v>
      </c>
      <c r="G208" s="171">
        <f>SUM(G25:G206)/2</f>
        <v>8326177.5899999999</v>
      </c>
      <c r="H208" s="172">
        <f>IF($G$208=0,0,G208/$G$208)</f>
        <v>1</v>
      </c>
      <c r="I208" s="608"/>
      <c r="J208" s="183">
        <f>SUM(J25:J200)</f>
        <v>217055</v>
      </c>
      <c r="K208" s="183">
        <f>SUM(K25:K200)</f>
        <v>233074</v>
      </c>
      <c r="M208" s="364">
        <f>G208/G$228</f>
        <v>269.73492257353894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0.62436794718654554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'[32]Sch C'!D221</f>
        <v>2866789</v>
      </c>
      <c r="D211" s="196"/>
      <c r="E211" s="165"/>
      <c r="F211" s="445" t="s">
        <v>527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45" t="s">
        <v>528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460" t="s">
        <v>529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-347386</v>
      </c>
      <c r="D215" s="558">
        <f>D21-D208</f>
        <v>-10013.679999999993</v>
      </c>
      <c r="E215" s="171">
        <f t="shared" ref="E215:F215" si="56">E21-E208</f>
        <v>-357399.6799999997</v>
      </c>
      <c r="F215" s="171">
        <f t="shared" si="56"/>
        <v>362515.53999999911</v>
      </c>
      <c r="G215" s="171">
        <f>G21-G208</f>
        <v>5115.8600000003353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'[32]Sch D'!C9</f>
        <v>6373</v>
      </c>
      <c r="D219" s="592"/>
      <c r="E219" s="235">
        <f t="shared" ref="E219:G227" si="57">C219+D219</f>
        <v>6373</v>
      </c>
      <c r="F219" s="234">
        <v>12842</v>
      </c>
      <c r="G219" s="235">
        <f t="shared" si="57"/>
        <v>19215</v>
      </c>
      <c r="H219" s="172">
        <f t="shared" ref="H219:H228" si="58">IF($G$228=0,0,G219/$G$228)</f>
        <v>0.62248930931709212</v>
      </c>
      <c r="I219" s="336"/>
      <c r="J219" s="168"/>
      <c r="K219" s="168"/>
    </row>
    <row r="220" spans="1:17">
      <c r="A220" s="163"/>
      <c r="B220" s="170" t="s">
        <v>217</v>
      </c>
      <c r="C220" s="592">
        <f>'[32]Sch D'!D9</f>
        <v>0</v>
      </c>
      <c r="D220" s="592"/>
      <c r="E220" s="235">
        <f t="shared" ref="E220:E227" si="59">C220+D220</f>
        <v>0</v>
      </c>
      <c r="F220" s="234">
        <v>-31</v>
      </c>
      <c r="G220" s="235">
        <f t="shared" si="57"/>
        <v>-31</v>
      </c>
      <c r="H220" s="172">
        <f t="shared" si="58"/>
        <v>-1.0042762731631463E-3</v>
      </c>
      <c r="I220" s="336"/>
      <c r="J220" s="168"/>
      <c r="K220" s="168"/>
    </row>
    <row r="221" spans="1:17">
      <c r="A221" s="163"/>
      <c r="B221" s="170" t="s">
        <v>72</v>
      </c>
      <c r="C221" s="592">
        <f>'[32]Sch D'!E9</f>
        <v>1324</v>
      </c>
      <c r="D221" s="592"/>
      <c r="E221" s="235">
        <f t="shared" si="59"/>
        <v>1324</v>
      </c>
      <c r="F221" s="234">
        <v>2070</v>
      </c>
      <c r="G221" s="235">
        <f t="shared" si="57"/>
        <v>3394</v>
      </c>
      <c r="H221" s="172">
        <f t="shared" si="58"/>
        <v>0.10995205390695867</v>
      </c>
      <c r="I221" s="336"/>
      <c r="J221" s="168"/>
      <c r="K221" s="168"/>
    </row>
    <row r="222" spans="1:17">
      <c r="A222" s="163"/>
      <c r="B222" s="202" t="s">
        <v>334</v>
      </c>
      <c r="C222" s="592">
        <f>'[32]Sch D'!F9</f>
        <v>402</v>
      </c>
      <c r="D222" s="592"/>
      <c r="E222" s="235">
        <f>C222+D222</f>
        <v>402</v>
      </c>
      <c r="F222" s="234">
        <v>1892</v>
      </c>
      <c r="G222" s="235">
        <f>E222+F222</f>
        <v>2294</v>
      </c>
      <c r="H222" s="172">
        <f t="shared" si="58"/>
        <v>7.4316444214072824E-2</v>
      </c>
      <c r="I222" s="336"/>
      <c r="J222" s="168"/>
      <c r="K222" s="168"/>
    </row>
    <row r="223" spans="1:17">
      <c r="A223" s="163"/>
      <c r="B223" s="170" t="s">
        <v>73</v>
      </c>
      <c r="C223" s="592">
        <f>'[32]Sch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'[32]Sch D'!H9</f>
        <v>510</v>
      </c>
      <c r="D224" s="592"/>
      <c r="E224" s="235">
        <f t="shared" si="59"/>
        <v>510</v>
      </c>
      <c r="F224" s="234">
        <v>1902</v>
      </c>
      <c r="G224" s="235">
        <f t="shared" si="57"/>
        <v>2412</v>
      </c>
      <c r="H224" s="172">
        <f t="shared" si="58"/>
        <v>7.8139173253855124E-2</v>
      </c>
      <c r="I224" s="336"/>
      <c r="J224" s="168"/>
      <c r="K224" s="168"/>
    </row>
    <row r="225" spans="1:11">
      <c r="A225" s="163"/>
      <c r="B225" s="170" t="s">
        <v>236</v>
      </c>
      <c r="C225" s="592">
        <f>'[32]Sch D'!I9</f>
        <v>1297</v>
      </c>
      <c r="D225" s="592"/>
      <c r="E225" s="235">
        <f t="shared" si="59"/>
        <v>1297</v>
      </c>
      <c r="F225" s="234">
        <v>1399</v>
      </c>
      <c r="G225" s="235">
        <f t="shared" si="57"/>
        <v>2696</v>
      </c>
      <c r="H225" s="172">
        <f t="shared" si="58"/>
        <v>8.7339639756382009E-2</v>
      </c>
      <c r="I225" s="336"/>
      <c r="J225" s="168"/>
      <c r="K225" s="168"/>
    </row>
    <row r="226" spans="1:11">
      <c r="A226" s="163"/>
      <c r="B226" s="170" t="s">
        <v>235</v>
      </c>
      <c r="C226" s="592">
        <f>'[32]Sch D'!J9</f>
        <v>664</v>
      </c>
      <c r="D226" s="592"/>
      <c r="E226" s="235">
        <f>C226+D226</f>
        <v>664</v>
      </c>
      <c r="F226" s="234">
        <v>83</v>
      </c>
      <c r="G226" s="235">
        <f>E226+F226</f>
        <v>747</v>
      </c>
      <c r="H226" s="172">
        <f t="shared" si="58"/>
        <v>2.4199818582350655E-2</v>
      </c>
      <c r="I226" s="336"/>
      <c r="J226" s="168"/>
      <c r="K226" s="168"/>
    </row>
    <row r="227" spans="1:11">
      <c r="A227" s="163"/>
      <c r="B227" s="170" t="s">
        <v>179</v>
      </c>
      <c r="C227" s="592">
        <f>'[32]Sch D'!K9</f>
        <v>141</v>
      </c>
      <c r="D227" s="592"/>
      <c r="E227" s="235">
        <f t="shared" si="59"/>
        <v>141</v>
      </c>
      <c r="F227" s="234">
        <v>0</v>
      </c>
      <c r="G227" s="235">
        <f t="shared" si="57"/>
        <v>141</v>
      </c>
      <c r="H227" s="172">
        <f t="shared" si="58"/>
        <v>4.5678372424517296E-3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10711</v>
      </c>
      <c r="D228" s="592">
        <f>SUM(D219:D227)</f>
        <v>0</v>
      </c>
      <c r="E228" s="237">
        <f>SUM(E219:E227)</f>
        <v>10711</v>
      </c>
      <c r="F228" s="237">
        <f>SUM(F219:F227)</f>
        <v>20157</v>
      </c>
      <c r="G228" s="237">
        <f>SUM(G219:G227)</f>
        <v>30868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'[32]Sch D'!N22</f>
        <v>140</v>
      </c>
      <c r="D231" s="559"/>
      <c r="E231" s="235">
        <f>C231+D231</f>
        <v>140</v>
      </c>
      <c r="F231" s="235"/>
      <c r="G231" s="235">
        <f>E231+F231</f>
        <v>140</v>
      </c>
      <c r="H231" s="167"/>
      <c r="J231" s="168"/>
      <c r="K231" s="168"/>
    </row>
    <row r="232" spans="1:11">
      <c r="A232" s="163"/>
      <c r="B232" s="202" t="s">
        <v>290</v>
      </c>
      <c r="C232" s="593">
        <f>'[32]Sch D'!N24</f>
        <v>140</v>
      </c>
      <c r="D232" s="559"/>
      <c r="E232" s="235">
        <f>C232+D232</f>
        <v>140</v>
      </c>
      <c r="F232" s="235"/>
      <c r="G232" s="235">
        <f>E232+F232</f>
        <v>140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$C$4-$C$3+1-241</f>
        <v>125</v>
      </c>
      <c r="D233" s="483"/>
      <c r="E233" s="235">
        <f>C233+D233</f>
        <v>125</v>
      </c>
      <c r="F233" s="607">
        <v>241</v>
      </c>
      <c r="G233" s="235">
        <f>E233+F233</f>
        <v>366</v>
      </c>
      <c r="H233" s="167" t="s">
        <v>531</v>
      </c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'[32]Sch D'!N28</f>
        <v>17500</v>
      </c>
      <c r="D235" s="483"/>
      <c r="E235" s="234">
        <f>E231*E233</f>
        <v>17500</v>
      </c>
      <c r="F235" s="239"/>
      <c r="G235" s="234">
        <f>G231*G233</f>
        <v>51240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'[32]Sch D'!N30</f>
        <v>0.61205714285714286</v>
      </c>
      <c r="D236" s="239"/>
      <c r="E236" s="244">
        <f>E228/E235</f>
        <v>0.61205714285714286</v>
      </c>
      <c r="F236" s="245"/>
      <c r="G236" s="244">
        <f>G228/G235</f>
        <v>0.60241998438719746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'[32]Sch D'!N32</f>
        <v>0.36417142857142859</v>
      </c>
      <c r="D237" s="239"/>
      <c r="E237" s="244">
        <f>(E219+E220)/E235</f>
        <v>0.36417142857142859</v>
      </c>
      <c r="F237" s="245"/>
      <c r="G237" s="244">
        <f>(G219+G220)/G235</f>
        <v>0.37439500390320063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'[32]Sch D'!N34</f>
        <v>0.59499579871160491</v>
      </c>
      <c r="D238" s="239"/>
      <c r="E238" s="244">
        <f>(E237/E236)</f>
        <v>0.59499579871160491</v>
      </c>
      <c r="F238" s="245"/>
      <c r="G238" s="244">
        <f>(G237/G236)</f>
        <v>0.62148503304392899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'[33]Sch B'!C85</f>
        <v>244.48367952522256</v>
      </c>
    </row>
    <row r="242" spans="2:7">
      <c r="F242" s="142" t="s">
        <v>341</v>
      </c>
      <c r="G242" s="558">
        <f>'[33]Sch B'!E85*1/3+256*2/3</f>
        <v>294.28323699421964</v>
      </c>
    </row>
    <row r="243" spans="2:7">
      <c r="F243" s="142" t="s">
        <v>342</v>
      </c>
      <c r="G243" s="558">
        <f>'[34]Sch B'!G85</f>
        <v>260.58854296388546</v>
      </c>
    </row>
    <row r="244" spans="2:7">
      <c r="F244" s="142" t="s">
        <v>343</v>
      </c>
      <c r="G244" s="558">
        <f>'[34]Sch B'!I85</f>
        <v>269.6838227848101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B12" sqref="B12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28CAB"/>
  </sheetPr>
  <dimension ref="A1:T245"/>
  <sheetViews>
    <sheetView showGridLines="0" topLeftCell="A221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560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632</v>
      </c>
      <c r="D2" s="541"/>
      <c r="F2" s="458"/>
    </row>
    <row r="3" spans="1:17">
      <c r="A3" s="145"/>
      <c r="B3" s="140" t="s">
        <v>79</v>
      </c>
      <c r="C3" s="489">
        <v>42186</v>
      </c>
      <c r="D3" s="144"/>
      <c r="E3" s="147"/>
      <c r="F3" s="458" t="s">
        <v>500</v>
      </c>
    </row>
    <row r="4" spans="1:17">
      <c r="A4" s="145"/>
      <c r="B4" s="148" t="s">
        <v>80</v>
      </c>
      <c r="C4" s="489">
        <v>42551</v>
      </c>
      <c r="D4" s="144"/>
      <c r="E4" s="149"/>
      <c r="F4" s="458" t="s">
        <v>630</v>
      </c>
      <c r="G4" s="150"/>
    </row>
    <row r="5" spans="1:17">
      <c r="A5" s="145"/>
      <c r="B5" s="148"/>
      <c r="C5" s="151"/>
      <c r="D5" s="144"/>
      <c r="F5" s="458" t="s">
        <v>631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81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'[35]Sch B'!E10</f>
        <v>601981</v>
      </c>
      <c r="D11" s="558">
        <f>'[35]Sch B'!G10</f>
        <v>0</v>
      </c>
      <c r="E11" s="171">
        <f>C11+D11</f>
        <v>601981</v>
      </c>
      <c r="F11" s="677">
        <f>(1301744+608816)</f>
        <v>1910560</v>
      </c>
      <c r="G11" s="171">
        <f t="shared" ref="G11:G20" si="0">E11+F11</f>
        <v>2512541</v>
      </c>
      <c r="H11" s="172">
        <f t="shared" ref="H11:H21" si="1">IF($G$21=0,0,G11/$G$21)</f>
        <v>0.67034896797291643</v>
      </c>
      <c r="I11" s="336"/>
      <c r="J11" s="368" t="s">
        <v>344</v>
      </c>
      <c r="K11" s="369">
        <f>G21</f>
        <v>3748109</v>
      </c>
      <c r="M11" s="359">
        <f>IFERROR(G11/G219,0)</f>
        <v>249.63149528067561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'[35]Sch B'!E15</f>
        <v>0</v>
      </c>
      <c r="D12" s="558">
        <f>'[35]Sch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2595953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'[35]Sch B'!E21</f>
        <v>303300</v>
      </c>
      <c r="D13" s="558">
        <f>'[35]Sch B'!G21</f>
        <v>0</v>
      </c>
      <c r="E13" s="171">
        <f t="shared" si="2"/>
        <v>303300</v>
      </c>
      <c r="F13" s="171">
        <v>493378</v>
      </c>
      <c r="G13" s="171">
        <f t="shared" si="0"/>
        <v>796678</v>
      </c>
      <c r="H13" s="172">
        <f t="shared" si="1"/>
        <v>0.21255465089195644</v>
      </c>
      <c r="I13" s="336"/>
      <c r="J13" s="370" t="s">
        <v>346</v>
      </c>
      <c r="K13" s="371">
        <f>G228</f>
        <v>14037</v>
      </c>
      <c r="M13" s="359">
        <f t="shared" si="3"/>
        <v>443.09121245828698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'[35]Sch B'!E27</f>
        <v>0</v>
      </c>
      <c r="D14" s="558">
        <f>'[35]Sch B'!G27</f>
        <v>0</v>
      </c>
      <c r="E14" s="171">
        <f t="shared" si="2"/>
        <v>0</v>
      </c>
      <c r="F14" s="175">
        <v>0</v>
      </c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41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'[35]Sch B'!E32</f>
        <v>0</v>
      </c>
      <c r="D15" s="558">
        <f>'[35]Sch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15006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'[35]Sch B'!E37</f>
        <v>40367</v>
      </c>
      <c r="D16" s="558">
        <f>'[35]Sch B'!G37</f>
        <v>0</v>
      </c>
      <c r="E16" s="171">
        <f t="shared" si="2"/>
        <v>40367</v>
      </c>
      <c r="F16" s="171">
        <v>97345</v>
      </c>
      <c r="G16" s="171">
        <f t="shared" si="0"/>
        <v>137712</v>
      </c>
      <c r="H16" s="172">
        <f t="shared" si="1"/>
        <v>3.6741727628518808E-2</v>
      </c>
      <c r="I16" s="336"/>
      <c r="J16" s="372"/>
      <c r="K16" s="371"/>
      <c r="M16" s="359">
        <f t="shared" si="3"/>
        <v>174.31898734177216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'[35]Sch B'!E42</f>
        <v>103863</v>
      </c>
      <c r="D17" s="558">
        <f>'[35]Sch B'!G42</f>
        <v>0</v>
      </c>
      <c r="E17" s="171">
        <f t="shared" si="2"/>
        <v>103863</v>
      </c>
      <c r="F17" s="171">
        <v>157024</v>
      </c>
      <c r="G17" s="171">
        <f>E17+F17</f>
        <v>260887</v>
      </c>
      <c r="H17" s="172">
        <f t="shared" si="1"/>
        <v>6.9604966130920959E-2</v>
      </c>
      <c r="I17" s="336"/>
      <c r="J17" s="370" t="s">
        <v>156</v>
      </c>
      <c r="K17" s="371">
        <f>J208</f>
        <v>64369.639999999992</v>
      </c>
      <c r="M17" s="359">
        <f t="shared" si="3"/>
        <v>188.50216763005781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'[35]Sch B'!E47</f>
        <v>0</v>
      </c>
      <c r="D18" s="558">
        <f>'[35]Sch B'!G47</f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64556.639999999992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'[35]Sch B'!E52</f>
        <v>0</v>
      </c>
      <c r="D19" s="558">
        <f>'[35]Sch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'[35]Sch B'!E67</f>
        <v>7283</v>
      </c>
      <c r="D20" s="558">
        <f>'[35]Sch B'!G67</f>
        <v>0</v>
      </c>
      <c r="E20" s="171">
        <f t="shared" si="2"/>
        <v>7283</v>
      </c>
      <c r="F20" s="171">
        <v>33008</v>
      </c>
      <c r="G20" s="171">
        <f t="shared" si="0"/>
        <v>40291</v>
      </c>
      <c r="H20" s="172">
        <f t="shared" si="1"/>
        <v>1.0749687375687314E-2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1056794</v>
      </c>
      <c r="D21" s="558">
        <f>SUM(D11:D20)</f>
        <v>0</v>
      </c>
      <c r="E21" s="171">
        <f>SUM(E11:E20)</f>
        <v>1056794</v>
      </c>
      <c r="F21" s="171">
        <f>SUM(F11:F20)</f>
        <v>2691315</v>
      </c>
      <c r="G21" s="171">
        <f>SUM(G11:G20)</f>
        <v>3748109</v>
      </c>
      <c r="H21" s="172">
        <f t="shared" si="1"/>
        <v>1</v>
      </c>
      <c r="I21" s="336"/>
      <c r="J21" s="168"/>
      <c r="K21" s="168"/>
      <c r="M21" s="359">
        <f>IFERROR(G21/G228,0)</f>
        <v>267.0163852675073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0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575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'[35]Sch C'!D10</f>
        <v>39568</v>
      </c>
      <c r="D25" s="558">
        <f>'[35]Sch C'!F10</f>
        <v>0</v>
      </c>
      <c r="E25" s="171">
        <f t="shared" ref="E25:E60" si="4">C25+D25</f>
        <v>39568</v>
      </c>
      <c r="F25" s="171">
        <v>55305</v>
      </c>
      <c r="G25" s="182">
        <f>E25+F25</f>
        <v>94873</v>
      </c>
      <c r="H25" s="172">
        <f>IF($G$208=0,0,G25/$G$208)</f>
        <v>3.6546501419709831E-2</v>
      </c>
      <c r="I25" s="336"/>
      <c r="J25" s="183">
        <f>1415+677.36</f>
        <v>2092.36</v>
      </c>
      <c r="K25" s="183">
        <f>1415+693.36</f>
        <v>2108.36</v>
      </c>
      <c r="M25" s="359">
        <f>G25/G$228</f>
        <v>6.7587803661751087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'[35]Sch C'!D11</f>
        <v>0</v>
      </c>
      <c r="D26" s="558">
        <f>'[35]Sch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'[35]Sch C'!D12</f>
        <v>20627</v>
      </c>
      <c r="D27" s="558">
        <f>'[35]Sch C'!F12</f>
        <v>0</v>
      </c>
      <c r="E27" s="171">
        <f t="shared" si="4"/>
        <v>20627</v>
      </c>
      <c r="F27" s="171">
        <v>39301</v>
      </c>
      <c r="G27" s="171">
        <f t="shared" si="5"/>
        <v>59928</v>
      </c>
      <c r="H27" s="172">
        <f t="shared" si="6"/>
        <v>2.3085163714443212E-2</v>
      </c>
      <c r="I27" s="336"/>
      <c r="J27" s="185">
        <f>2719+982.88</f>
        <v>3701.88</v>
      </c>
      <c r="K27" s="185">
        <f>2719+982.88</f>
        <v>3701.88</v>
      </c>
      <c r="M27" s="359">
        <f t="shared" si="7"/>
        <v>4.2692883094678349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'[35]Sch C'!D13</f>
        <v>3650</v>
      </c>
      <c r="D28" s="558">
        <f>'[35]Sch C'!F13</f>
        <v>0</v>
      </c>
      <c r="E28" s="171">
        <f t="shared" si="4"/>
        <v>3650</v>
      </c>
      <c r="F28" s="171">
        <v>14298</v>
      </c>
      <c r="G28" s="171">
        <f t="shared" si="5"/>
        <v>17948</v>
      </c>
      <c r="H28" s="172">
        <f t="shared" si="6"/>
        <v>6.9138385787416027E-3</v>
      </c>
      <c r="I28" s="336"/>
      <c r="J28" s="168"/>
      <c r="K28" s="168"/>
      <c r="M28" s="359">
        <f t="shared" si="7"/>
        <v>1.2786207879176463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'[35]Sch C'!D14</f>
        <v>0</v>
      </c>
      <c r="D29" s="558">
        <f>'[35]Sch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'[35]Sch C'!D15</f>
        <v>0</v>
      </c>
      <c r="D30" s="558">
        <f>'[35]Sch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'[35]Sch C'!D16</f>
        <v>0</v>
      </c>
      <c r="D31" s="558">
        <f>'[35]Sch C'!F16</f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'[35]Sch C'!D17</f>
        <v>0</v>
      </c>
      <c r="D32" s="558">
        <f>'[35]Sch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'[35]Sch C'!D18</f>
        <v>3588</v>
      </c>
      <c r="D33" s="558">
        <f>'[35]Sch C'!F18</f>
        <v>0</v>
      </c>
      <c r="E33" s="171">
        <f t="shared" si="4"/>
        <v>3588</v>
      </c>
      <c r="F33" s="171">
        <v>3949</v>
      </c>
      <c r="G33" s="171">
        <f t="shared" si="5"/>
        <v>7537</v>
      </c>
      <c r="H33" s="172">
        <f t="shared" si="6"/>
        <v>2.9033653536870659E-3</v>
      </c>
      <c r="I33" s="336"/>
      <c r="J33" s="168"/>
      <c r="K33" s="168"/>
      <c r="M33" s="359">
        <f t="shared" si="7"/>
        <v>0.53693809218493982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'[35]Sch C'!D19</f>
        <v>7169</v>
      </c>
      <c r="D34" s="558">
        <f>'[35]Sch C'!F19</f>
        <v>0</v>
      </c>
      <c r="E34" s="171">
        <f t="shared" si="4"/>
        <v>7169</v>
      </c>
      <c r="F34" s="171">
        <v>10801</v>
      </c>
      <c r="G34" s="171">
        <f t="shared" si="5"/>
        <v>17970</v>
      </c>
      <c r="H34" s="172">
        <f t="shared" si="6"/>
        <v>6.9223133084458767E-3</v>
      </c>
      <c r="I34" s="336"/>
      <c r="J34" s="168"/>
      <c r="K34" s="168"/>
      <c r="M34" s="359">
        <f t="shared" si="7"/>
        <v>1.2801880743748664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'[35]Sch C'!D20</f>
        <v>2423</v>
      </c>
      <c r="D35" s="558">
        <f>'[35]Sch C'!F20</f>
        <v>0</v>
      </c>
      <c r="E35" s="171">
        <f t="shared" si="4"/>
        <v>2423</v>
      </c>
      <c r="F35" s="171">
        <v>5798</v>
      </c>
      <c r="G35" s="171">
        <f t="shared" si="5"/>
        <v>8221</v>
      </c>
      <c r="H35" s="172">
        <f t="shared" si="6"/>
        <v>3.1668524044926854E-3</v>
      </c>
      <c r="I35" s="336"/>
      <c r="J35" s="168"/>
      <c r="K35" s="168"/>
      <c r="M35" s="359">
        <f t="shared" si="7"/>
        <v>0.58566645294578612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'[35]Sch C'!D21</f>
        <v>13872</v>
      </c>
      <c r="D36" s="558">
        <f>'[35]Sch C'!F21</f>
        <v>0</v>
      </c>
      <c r="E36" s="171">
        <f t="shared" si="4"/>
        <v>13872</v>
      </c>
      <c r="F36" s="171">
        <v>13304</v>
      </c>
      <c r="G36" s="171">
        <f t="shared" si="5"/>
        <v>27176</v>
      </c>
      <c r="H36" s="172">
        <f t="shared" si="6"/>
        <v>1.0468602474698116E-2</v>
      </c>
      <c r="I36" s="336"/>
      <c r="J36" s="168"/>
      <c r="K36" s="168"/>
      <c r="M36" s="359">
        <f t="shared" si="7"/>
        <v>1.9360262164280118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'[35]Sch C'!D22</f>
        <v>0</v>
      </c>
      <c r="D37" s="558">
        <f>'[35]Sch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'[35]Sch C'!D23</f>
        <v>3480</v>
      </c>
      <c r="D38" s="558">
        <f>'[35]Sch C'!F23</f>
        <v>0</v>
      </c>
      <c r="E38" s="171">
        <f t="shared" si="4"/>
        <v>3480</v>
      </c>
      <c r="F38" s="171">
        <v>4824</v>
      </c>
      <c r="G38" s="171">
        <f t="shared" si="5"/>
        <v>8304</v>
      </c>
      <c r="H38" s="172">
        <f t="shared" si="6"/>
        <v>3.1988252483769928E-3</v>
      </c>
      <c r="I38" s="336"/>
      <c r="J38" s="168"/>
      <c r="K38" s="168"/>
      <c r="M38" s="359">
        <f t="shared" si="7"/>
        <v>0.59157939730711695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'[35]Sch C'!D24</f>
        <v>0</v>
      </c>
      <c r="D39" s="558">
        <f>'[35]Sch C'!F24</f>
        <v>0</v>
      </c>
      <c r="E39" s="171">
        <f t="shared" si="4"/>
        <v>0</v>
      </c>
      <c r="F39" s="171">
        <v>0</v>
      </c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'[35]Sch C'!D25</f>
        <v>0</v>
      </c>
      <c r="D40" s="558">
        <f>'[35]Sch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'[35]Sch C'!D26</f>
        <v>75094</v>
      </c>
      <c r="D41" s="558">
        <f>'[35]Sch C'!F26</f>
        <v>0</v>
      </c>
      <c r="E41" s="171">
        <f t="shared" si="4"/>
        <v>75094</v>
      </c>
      <c r="F41" s="171">
        <v>147924</v>
      </c>
      <c r="G41" s="171">
        <f t="shared" si="5"/>
        <v>223018</v>
      </c>
      <c r="H41" s="172">
        <f t="shared" si="6"/>
        <v>8.5909875872174885E-2</v>
      </c>
      <c r="I41" s="336"/>
      <c r="J41" s="168"/>
      <c r="K41" s="168"/>
      <c r="M41" s="359">
        <f t="shared" si="7"/>
        <v>15.887867778015245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'[35]Sch C'!D27</f>
        <v>0</v>
      </c>
      <c r="D42" s="558">
        <f>'[35]Sch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'[35]Sch C'!D28</f>
        <v>0</v>
      </c>
      <c r="D43" s="558">
        <f>'[35]Sch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'[35]Sch C'!D29</f>
        <v>0</v>
      </c>
      <c r="D44" s="558">
        <f>'[35]Sch C'!F29</f>
        <v>0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'[35]Sch C'!D30</f>
        <v>0</v>
      </c>
      <c r="D45" s="558">
        <f>'[35]Sch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'[35]Sch C'!D31</f>
        <v>7675</v>
      </c>
      <c r="D46" s="558">
        <f>'[35]Sch C'!F31</f>
        <v>0</v>
      </c>
      <c r="E46" s="171">
        <f t="shared" si="4"/>
        <v>7675</v>
      </c>
      <c r="F46" s="171">
        <v>12023</v>
      </c>
      <c r="G46" s="171">
        <f t="shared" si="5"/>
        <v>19698</v>
      </c>
      <c r="H46" s="172">
        <f t="shared" si="6"/>
        <v>7.5879648052179678E-3</v>
      </c>
      <c r="I46" s="336"/>
      <c r="J46" s="168"/>
      <c r="K46" s="168"/>
      <c r="M46" s="359">
        <f t="shared" si="7"/>
        <v>1.4032913015601625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'[35]Sch C'!D32</f>
        <v>7269</v>
      </c>
      <c r="D47" s="558">
        <f>'[35]Sch C'!F32</f>
        <v>0</v>
      </c>
      <c r="E47" s="171">
        <f t="shared" si="4"/>
        <v>7269</v>
      </c>
      <c r="F47" s="171">
        <v>32177</v>
      </c>
      <c r="G47" s="171">
        <f t="shared" si="5"/>
        <v>39446</v>
      </c>
      <c r="H47" s="172">
        <f t="shared" si="6"/>
        <v>1.5195190359763832E-2</v>
      </c>
      <c r="I47" s="336"/>
      <c r="J47" s="168"/>
      <c r="K47" s="168"/>
      <c r="M47" s="359">
        <f t="shared" si="7"/>
        <v>2.8101446177958254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'[35]Sch C'!D33</f>
        <v>0</v>
      </c>
      <c r="D48" s="558">
        <f>'[35]Sch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'[35]Sch C'!D34</f>
        <v>0</v>
      </c>
      <c r="D49" s="558">
        <f>'[35]Sch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'[35]Sch C'!D35</f>
        <v>0</v>
      </c>
      <c r="D50" s="558">
        <f>'[35]Sch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'[35]Sch C'!D36</f>
        <v>0</v>
      </c>
      <c r="D51" s="558">
        <f>'[35]Sch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'[35]Sch C'!D37</f>
        <v>0</v>
      </c>
      <c r="D52" s="558">
        <f>'[35]Sch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'[35]Sch C'!D38</f>
        <v>0</v>
      </c>
      <c r="D53" s="558">
        <f>'[35]Sch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'[35]Sch C'!D39</f>
        <v>754</v>
      </c>
      <c r="D54" s="558">
        <f>'[35]Sch C'!F39</f>
        <v>0</v>
      </c>
      <c r="E54" s="171">
        <f t="shared" si="4"/>
        <v>754</v>
      </c>
      <c r="F54" s="171">
        <v>1703</v>
      </c>
      <c r="G54" s="171">
        <f t="shared" si="5"/>
        <v>2457</v>
      </c>
      <c r="H54" s="172">
        <f t="shared" si="6"/>
        <v>9.4647322197281695E-4</v>
      </c>
      <c r="I54" s="336"/>
      <c r="J54" s="168"/>
      <c r="K54" s="168"/>
      <c r="M54" s="359">
        <f t="shared" si="7"/>
        <v>0.17503740115409275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'[35]Sch C'!D40</f>
        <v>165</v>
      </c>
      <c r="D55" s="558">
        <f>'[35]Sch C'!F40</f>
        <v>0</v>
      </c>
      <c r="E55" s="171">
        <f t="shared" si="4"/>
        <v>165</v>
      </c>
      <c r="F55" s="171">
        <v>0</v>
      </c>
      <c r="G55" s="171">
        <f t="shared" si="5"/>
        <v>165</v>
      </c>
      <c r="H55" s="172">
        <f t="shared" si="6"/>
        <v>6.35604727820573E-5</v>
      </c>
      <c r="I55" s="336"/>
      <c r="J55" s="168"/>
      <c r="K55" s="168"/>
      <c r="M55" s="359">
        <f t="shared" si="7"/>
        <v>1.1754648429151528E-2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'[35]Sch C'!D41</f>
        <v>14126</v>
      </c>
      <c r="D56" s="558">
        <f>'[35]Sch C'!F41</f>
        <v>0</v>
      </c>
      <c r="E56" s="171">
        <f t="shared" si="4"/>
        <v>14126</v>
      </c>
      <c r="F56" s="677">
        <f>(59180-214)</f>
        <v>58966</v>
      </c>
      <c r="G56" s="171">
        <f t="shared" si="5"/>
        <v>73092</v>
      </c>
      <c r="H56" s="172">
        <f t="shared" si="6"/>
        <v>2.8156133797491711E-2</v>
      </c>
      <c r="I56" s="336"/>
      <c r="J56" s="168"/>
      <c r="K56" s="168"/>
      <c r="M56" s="359">
        <f t="shared" si="7"/>
        <v>5.2070955332335966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'[35]Sch C'!D42</f>
        <v>0</v>
      </c>
      <c r="D57" s="558">
        <f>'[35]Sch C'!F42</f>
        <v>0</v>
      </c>
      <c r="E57" s="171">
        <f t="shared" si="4"/>
        <v>0</v>
      </c>
      <c r="F57" s="171">
        <v>1261</v>
      </c>
      <c r="G57" s="171">
        <f t="shared" si="5"/>
        <v>1261</v>
      </c>
      <c r="H57" s="172">
        <f t="shared" si="6"/>
        <v>4.8575609804954098E-4</v>
      </c>
      <c r="I57" s="336"/>
      <c r="J57" s="168"/>
      <c r="K57" s="168"/>
      <c r="M57" s="359">
        <f t="shared" si="7"/>
        <v>8.9834010116121674E-2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'[35]Sch C'!D43</f>
        <v>2488</v>
      </c>
      <c r="D58" s="558">
        <f>'[35]Sch C'!F43</f>
        <v>-2488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'[35]Sch C'!D44</f>
        <v>0</v>
      </c>
      <c r="D59" s="558">
        <f>'[35]Sch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'[35]Sch C'!D45</f>
        <v>1471</v>
      </c>
      <c r="D60" s="558">
        <f>'[35]Sch C'!F45</f>
        <v>0</v>
      </c>
      <c r="E60" s="171">
        <f t="shared" si="4"/>
        <v>1471</v>
      </c>
      <c r="F60" s="171">
        <v>1795</v>
      </c>
      <c r="G60" s="171">
        <f t="shared" si="5"/>
        <v>3266</v>
      </c>
      <c r="H60" s="172">
        <f t="shared" si="6"/>
        <v>1.2581121460981766E-3</v>
      </c>
      <c r="I60" s="336"/>
      <c r="J60" s="168"/>
      <c r="K60" s="168"/>
      <c r="M60" s="359">
        <f t="shared" si="7"/>
        <v>0.23267079860369025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203419</v>
      </c>
      <c r="D61" s="558">
        <f>SUM(D25:D60)</f>
        <v>-2488</v>
      </c>
      <c r="E61" s="171">
        <f t="shared" ref="E61:F61" si="8">SUM(E25:E60)</f>
        <v>200931</v>
      </c>
      <c r="F61" s="171">
        <f t="shared" si="8"/>
        <v>403429</v>
      </c>
      <c r="G61" s="171">
        <f>SUM(G25:G60)</f>
        <v>604360</v>
      </c>
      <c r="H61" s="186">
        <f t="shared" si="6"/>
        <v>0.23280852927614637</v>
      </c>
      <c r="I61" s="338"/>
      <c r="J61" s="168"/>
      <c r="K61" s="168"/>
      <c r="M61" s="364">
        <f>G61/G$228</f>
        <v>43.054783785709198</v>
      </c>
      <c r="N61" s="359">
        <f>SUMMARY!J64</f>
        <v>53.728790309602623</v>
      </c>
      <c r="O61" s="354">
        <f>M61/N61-1</f>
        <v>-0.19866456070174587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213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'[35]Sch C'!D57</f>
        <v>58055</v>
      </c>
      <c r="D64" s="558">
        <f>'[35]Sch C'!F57</f>
        <v>0</v>
      </c>
      <c r="E64" s="171">
        <f t="shared" ref="E64:E78" si="9">C64+D64</f>
        <v>58055</v>
      </c>
      <c r="F64" s="679">
        <f>(125109-58055-125109)</f>
        <v>-58055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'[35]Sch C'!D58</f>
        <v>0</v>
      </c>
      <c r="D65" s="558">
        <f>'[35]Sch C'!F58</f>
        <v>0</v>
      </c>
      <c r="E65" s="171">
        <f t="shared" si="9"/>
        <v>0</v>
      </c>
      <c r="F65" s="679">
        <f>(16541+33083)</f>
        <v>49624</v>
      </c>
      <c r="G65" s="171">
        <f t="shared" si="10"/>
        <v>49624</v>
      </c>
      <c r="H65" s="172">
        <f t="shared" si="11"/>
        <v>1.9115908492950372E-2</v>
      </c>
      <c r="I65" s="336"/>
      <c r="J65" s="190"/>
      <c r="K65" s="168"/>
      <c r="M65" s="359">
        <f t="shared" si="12"/>
        <v>3.5352283251406997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'[35]Sch C'!D59</f>
        <v>0</v>
      </c>
      <c r="D66" s="558">
        <f>'[35]Sch C'!F59</f>
        <v>0</v>
      </c>
      <c r="E66" s="171">
        <f t="shared" si="9"/>
        <v>0</v>
      </c>
      <c r="F66" s="679">
        <f>(27932+55863)</f>
        <v>83795</v>
      </c>
      <c r="G66" s="171">
        <f t="shared" si="10"/>
        <v>83795</v>
      </c>
      <c r="H66" s="172">
        <f t="shared" si="11"/>
        <v>3.2279089798621159E-2</v>
      </c>
      <c r="I66" s="336"/>
      <c r="J66" s="190"/>
      <c r="K66" s="168"/>
      <c r="M66" s="359">
        <f t="shared" si="12"/>
        <v>5.969580394671226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'[35]Sch C'!D60</f>
        <v>10812</v>
      </c>
      <c r="D67" s="558">
        <f>'[35]Sch C'!F60</f>
        <v>0</v>
      </c>
      <c r="E67" s="171">
        <f t="shared" si="9"/>
        <v>10812</v>
      </c>
      <c r="F67" s="679">
        <f>(639-639)</f>
        <v>0</v>
      </c>
      <c r="G67" s="171">
        <f t="shared" si="10"/>
        <v>10812</v>
      </c>
      <c r="H67" s="172">
        <f t="shared" si="11"/>
        <v>4.1649444346642641E-3</v>
      </c>
      <c r="I67" s="336"/>
      <c r="J67" s="193"/>
      <c r="K67" s="168"/>
      <c r="M67" s="359">
        <f t="shared" si="12"/>
        <v>0.77025005343022013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'[35]Sch C'!D61</f>
        <v>0</v>
      </c>
      <c r="D68" s="558">
        <f>'[35]Sch C'!F61</f>
        <v>0</v>
      </c>
      <c r="E68" s="171">
        <f t="shared" si="9"/>
        <v>0</v>
      </c>
      <c r="F68" s="679">
        <f>(2157)</f>
        <v>2157</v>
      </c>
      <c r="G68" s="171">
        <f t="shared" si="10"/>
        <v>2157</v>
      </c>
      <c r="H68" s="172">
        <f t="shared" si="11"/>
        <v>8.3090872600544E-4</v>
      </c>
      <c r="I68" s="336"/>
      <c r="J68" s="193"/>
      <c r="K68" s="168"/>
      <c r="M68" s="359">
        <f t="shared" si="12"/>
        <v>0.15366531310108997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'[35]Sch C'!D62</f>
        <v>0</v>
      </c>
      <c r="D69" s="558">
        <f>'[35]Sch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'[35]Sch C'!D63</f>
        <v>0</v>
      </c>
      <c r="D70" s="558">
        <f>'[35]Sch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'[35]Sch C'!D64</f>
        <v>0</v>
      </c>
      <c r="D71" s="558">
        <f>'[35]Sch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'[35]Sch C'!D65</f>
        <v>2039</v>
      </c>
      <c r="D72" s="558">
        <f>'[35]Sch C'!F65</f>
        <v>0</v>
      </c>
      <c r="E72" s="171">
        <f t="shared" si="9"/>
        <v>2039</v>
      </c>
      <c r="F72" s="171">
        <v>0</v>
      </c>
      <c r="G72" s="171">
        <f t="shared" si="10"/>
        <v>2039</v>
      </c>
      <c r="H72" s="172">
        <f t="shared" si="11"/>
        <v>7.8545335759160507E-4</v>
      </c>
      <c r="I72" s="336"/>
      <c r="J72" s="195"/>
      <c r="K72" s="168"/>
      <c r="M72" s="359">
        <f t="shared" si="12"/>
        <v>0.14525895846690889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'[35]Sch C'!D66</f>
        <v>0</v>
      </c>
      <c r="D73" s="558">
        <f>'[35]Sch C'!F66</f>
        <v>0</v>
      </c>
      <c r="E73" s="171">
        <f t="shared" si="9"/>
        <v>0</v>
      </c>
      <c r="F73" s="679">
        <f>(856)</f>
        <v>856</v>
      </c>
      <c r="G73" s="171">
        <f t="shared" si="10"/>
        <v>856</v>
      </c>
      <c r="H73" s="172">
        <f t="shared" si="11"/>
        <v>3.2974402849358215E-4</v>
      </c>
      <c r="I73" s="336"/>
      <c r="J73" s="195"/>
      <c r="K73" s="168"/>
      <c r="M73" s="359">
        <f t="shared" si="12"/>
        <v>6.0981691244567926E-2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'[35]Sch C'!D67</f>
        <v>0</v>
      </c>
      <c r="D74" s="558">
        <f>'[35]Sch C'!F67</f>
        <v>0</v>
      </c>
      <c r="E74" s="171">
        <f t="shared" si="9"/>
        <v>0</v>
      </c>
      <c r="F74" s="679">
        <f>(500)</f>
        <v>500</v>
      </c>
      <c r="G74" s="171">
        <f t="shared" si="10"/>
        <v>500</v>
      </c>
      <c r="H74" s="172">
        <f t="shared" si="11"/>
        <v>1.9260749327896154E-4</v>
      </c>
      <c r="I74" s="336"/>
      <c r="J74" s="195"/>
      <c r="K74" s="168"/>
      <c r="M74" s="359">
        <f t="shared" si="12"/>
        <v>3.5620146755004634E-2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'[35]Sch C'!D68</f>
        <v>0</v>
      </c>
      <c r="D75" s="558">
        <f>'[35]Sch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'[35]Sch C'!D69</f>
        <v>0</v>
      </c>
      <c r="D76" s="558">
        <f>'[35]Sch C'!F69</f>
        <v>0</v>
      </c>
      <c r="E76" s="171">
        <f t="shared" si="9"/>
        <v>0</v>
      </c>
      <c r="F76" s="679">
        <f>(639)</f>
        <v>639</v>
      </c>
      <c r="G76" s="171">
        <f t="shared" si="10"/>
        <v>639</v>
      </c>
      <c r="H76" s="172">
        <f t="shared" si="11"/>
        <v>2.4615237641051281E-4</v>
      </c>
      <c r="I76" s="336"/>
      <c r="J76" s="195"/>
      <c r="K76" s="168"/>
      <c r="M76" s="359">
        <f t="shared" si="12"/>
        <v>4.552254755289592E-2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'[35]Sch C'!D70</f>
        <v>0</v>
      </c>
      <c r="D77" s="558">
        <f>'[35]Sch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'[35]Sch C'!D71</f>
        <v>0</v>
      </c>
      <c r="D78" s="558">
        <f>'[35]Sch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70906</v>
      </c>
      <c r="D79" s="558">
        <f>SUM(D64:D78)</f>
        <v>0</v>
      </c>
      <c r="E79" s="171">
        <f t="shared" ref="E79:F79" si="13">SUM(E64:E78)</f>
        <v>70906</v>
      </c>
      <c r="F79" s="171">
        <f t="shared" si="13"/>
        <v>79516</v>
      </c>
      <c r="G79" s="171">
        <f>SUM(G64:G78)</f>
        <v>150422</v>
      </c>
      <c r="H79" s="172">
        <f t="shared" si="11"/>
        <v>5.7944808708015903E-2</v>
      </c>
      <c r="I79" s="336"/>
      <c r="J79" s="195"/>
      <c r="K79" s="168"/>
      <c r="M79" s="359">
        <f t="shared" si="12"/>
        <v>10.716107430362612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'[35]Sch C'!D75</f>
        <v>11250</v>
      </c>
      <c r="D82" s="558">
        <f>'[35]Sch C'!F75</f>
        <v>0</v>
      </c>
      <c r="E82" s="171">
        <f t="shared" ref="E82:E92" si="14">C82+D82</f>
        <v>11250</v>
      </c>
      <c r="F82" s="171">
        <v>25733</v>
      </c>
      <c r="G82" s="171">
        <f t="shared" ref="G82:G92" si="15">E82+F82</f>
        <v>36983</v>
      </c>
      <c r="H82" s="172">
        <f t="shared" ref="H82:H93" si="16">IF($G$208=0,0,G82/$G$208)</f>
        <v>1.4246405847871667E-2</v>
      </c>
      <c r="I82" s="336"/>
      <c r="J82" s="183">
        <f>1274+717.36</f>
        <v>1991.3600000000001</v>
      </c>
      <c r="K82" s="183">
        <f>1387+717.36</f>
        <v>2104.36</v>
      </c>
      <c r="M82" s="359">
        <f t="shared" ref="M82:M92" si="17">G82/G$228</f>
        <v>2.6346797748806723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'[35]Sch C'!D76</f>
        <v>999</v>
      </c>
      <c r="D83" s="558">
        <f>'[35]Sch C'!F76</f>
        <v>0</v>
      </c>
      <c r="E83" s="171">
        <f t="shared" si="14"/>
        <v>999</v>
      </c>
      <c r="F83" s="171">
        <v>3440</v>
      </c>
      <c r="G83" s="171">
        <f t="shared" si="15"/>
        <v>4439</v>
      </c>
      <c r="H83" s="172">
        <f t="shared" si="16"/>
        <v>1.7099693253306203E-3</v>
      </c>
      <c r="I83" s="336"/>
      <c r="J83" s="168"/>
      <c r="K83" s="168"/>
      <c r="M83" s="359">
        <f t="shared" si="17"/>
        <v>0.31623566289093114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'[35]Sch C'!D77</f>
        <v>2429</v>
      </c>
      <c r="D84" s="558">
        <f>'[35]Sch C'!F77</f>
        <v>0</v>
      </c>
      <c r="E84" s="171">
        <f t="shared" si="14"/>
        <v>2429</v>
      </c>
      <c r="F84" s="171">
        <v>2404</v>
      </c>
      <c r="G84" s="171">
        <f t="shared" si="15"/>
        <v>4833</v>
      </c>
      <c r="H84" s="172">
        <f t="shared" si="16"/>
        <v>1.861744030034442E-3</v>
      </c>
      <c r="I84" s="336"/>
      <c r="J84" s="168"/>
      <c r="K84" s="168"/>
      <c r="M84" s="359">
        <f t="shared" si="17"/>
        <v>0.34430433853387477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'[35]Sch C'!D78</f>
        <v>49</v>
      </c>
      <c r="D85" s="558">
        <f>'[35]Sch C'!F78</f>
        <v>0</v>
      </c>
      <c r="E85" s="171">
        <f t="shared" si="14"/>
        <v>49</v>
      </c>
      <c r="F85" s="171">
        <v>98</v>
      </c>
      <c r="G85" s="171">
        <f t="shared" si="15"/>
        <v>147</v>
      </c>
      <c r="H85" s="172">
        <f t="shared" si="16"/>
        <v>5.6626603024014684E-5</v>
      </c>
      <c r="I85" s="336"/>
      <c r="J85" s="168"/>
      <c r="K85" s="168"/>
      <c r="M85" s="359">
        <f t="shared" si="17"/>
        <v>1.0472323145971362E-2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'[35]Sch C'!D79</f>
        <v>0</v>
      </c>
      <c r="D86" s="558">
        <f>'[35]Sch C'!F79</f>
        <v>0</v>
      </c>
      <c r="E86" s="171">
        <f t="shared" si="14"/>
        <v>0</v>
      </c>
      <c r="F86" s="171">
        <v>0</v>
      </c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'[35]Sch C'!D80</f>
        <v>5819</v>
      </c>
      <c r="D87" s="558">
        <f>'[35]Sch C'!F80</f>
        <v>0</v>
      </c>
      <c r="E87" s="171">
        <f t="shared" si="14"/>
        <v>5819</v>
      </c>
      <c r="F87" s="679">
        <f>(17172-7157)</f>
        <v>10015</v>
      </c>
      <c r="G87" s="171">
        <f t="shared" si="15"/>
        <v>15834</v>
      </c>
      <c r="H87" s="172">
        <f t="shared" si="16"/>
        <v>6.0994940971581535E-3</v>
      </c>
      <c r="I87" s="336"/>
      <c r="J87" s="168"/>
      <c r="K87" s="168"/>
      <c r="M87" s="359">
        <f t="shared" si="17"/>
        <v>1.1280188074374866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'[35]Sch C'!D81</f>
        <v>0</v>
      </c>
      <c r="D88" s="558">
        <f>'[35]Sch C'!F81</f>
        <v>0</v>
      </c>
      <c r="E88" s="171">
        <f t="shared" si="14"/>
        <v>0</v>
      </c>
      <c r="F88" s="679">
        <f>(1750)</f>
        <v>1750</v>
      </c>
      <c r="G88" s="171">
        <f t="shared" si="15"/>
        <v>1750</v>
      </c>
      <c r="H88" s="172">
        <f t="shared" si="16"/>
        <v>6.7412622647636537E-4</v>
      </c>
      <c r="I88" s="336"/>
      <c r="J88" s="168"/>
      <c r="K88" s="168"/>
      <c r="M88" s="359">
        <f t="shared" si="17"/>
        <v>0.1246705136425162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'[35]Sch C'!D82</f>
        <v>391</v>
      </c>
      <c r="D89" s="558">
        <f>'[35]Sch C'!F82</f>
        <v>0</v>
      </c>
      <c r="E89" s="171">
        <f t="shared" si="14"/>
        <v>391</v>
      </c>
      <c r="F89" s="171">
        <v>0</v>
      </c>
      <c r="G89" s="171">
        <f t="shared" si="15"/>
        <v>391</v>
      </c>
      <c r="H89" s="172">
        <f t="shared" si="16"/>
        <v>1.5061905974414792E-4</v>
      </c>
      <c r="I89" s="336"/>
      <c r="J89" s="168"/>
      <c r="K89" s="168"/>
      <c r="M89" s="359">
        <f t="shared" si="17"/>
        <v>2.785495476241362E-2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'[35]Sch C'!D83</f>
        <v>0</v>
      </c>
      <c r="D90" s="558">
        <f>'[35]Sch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'[35]Sch C'!D84</f>
        <v>13351</v>
      </c>
      <c r="D91" s="558">
        <f>'[35]Sch C'!F84</f>
        <v>0</v>
      </c>
      <c r="E91" s="171">
        <f t="shared" si="14"/>
        <v>13351</v>
      </c>
      <c r="F91" s="171">
        <v>34452</v>
      </c>
      <c r="G91" s="171">
        <f t="shared" si="15"/>
        <v>47803</v>
      </c>
      <c r="H91" s="172">
        <f t="shared" si="16"/>
        <v>1.8414432002428396E-2</v>
      </c>
      <c r="I91" s="336"/>
      <c r="J91" s="168"/>
      <c r="K91" s="168"/>
      <c r="M91" s="359">
        <f t="shared" si="17"/>
        <v>3.4054997506589726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'[35]Sch C'!D85</f>
        <v>1210</v>
      </c>
      <c r="D92" s="558">
        <f>'[35]Sch C'!F85</f>
        <v>0</v>
      </c>
      <c r="E92" s="171">
        <f t="shared" si="14"/>
        <v>1210</v>
      </c>
      <c r="F92" s="171">
        <v>0</v>
      </c>
      <c r="G92" s="171">
        <f t="shared" si="15"/>
        <v>1210</v>
      </c>
      <c r="H92" s="172">
        <f t="shared" si="16"/>
        <v>4.6611013373508691E-4</v>
      </c>
      <c r="I92" s="336"/>
      <c r="J92" s="168"/>
      <c r="K92" s="168"/>
      <c r="M92" s="359">
        <f t="shared" si="17"/>
        <v>8.6200755147111202E-2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35498</v>
      </c>
      <c r="D93" s="558">
        <f>SUM(D82:D92)</f>
        <v>0</v>
      </c>
      <c r="E93" s="171">
        <f t="shared" ref="E93:F93" si="18">SUM(E82:E92)</f>
        <v>35498</v>
      </c>
      <c r="F93" s="171">
        <f t="shared" si="18"/>
        <v>77892</v>
      </c>
      <c r="G93" s="171">
        <f>SUM(G82:G92)</f>
        <v>113390</v>
      </c>
      <c r="H93" s="172">
        <f t="shared" si="16"/>
        <v>4.3679527325802894E-2</v>
      </c>
      <c r="I93" s="336"/>
      <c r="J93" s="168"/>
      <c r="K93" s="168"/>
      <c r="M93" s="364">
        <f>G93/G$228</f>
        <v>8.0779368810999497</v>
      </c>
      <c r="N93" s="359">
        <f>SUMMARY!J96</f>
        <v>11.458724454710746</v>
      </c>
      <c r="O93" s="354">
        <f>M93/N93-1</f>
        <v>-0.2950404808993321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'[35]Sch C'!D89</f>
        <v>41847</v>
      </c>
      <c r="D96" s="558">
        <f>'[35]Sch C'!F89</f>
        <v>0</v>
      </c>
      <c r="E96" s="171">
        <f t="shared" ref="E96:E101" si="19">C96+D96</f>
        <v>41847</v>
      </c>
      <c r="F96" s="171">
        <v>84421</v>
      </c>
      <c r="G96" s="171">
        <f t="shared" ref="G96:G101" si="20">E96+F96</f>
        <v>126268</v>
      </c>
      <c r="H96" s="172">
        <f t="shared" ref="H96:H102" si="21">IF($G$208=0,0,G96/$G$208)</f>
        <v>4.8640325922695828E-2</v>
      </c>
      <c r="I96" s="336"/>
      <c r="J96" s="183">
        <f>5378+2720.47</f>
        <v>8098.4699999999993</v>
      </c>
      <c r="K96" s="183">
        <f>5378+2720.47</f>
        <v>8098.4699999999993</v>
      </c>
      <c r="M96" s="364">
        <f t="shared" ref="M96:M101" si="22">G96/G$228</f>
        <v>8.9953693809218489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'[35]Sch C'!D90</f>
        <v>3594</v>
      </c>
      <c r="D97" s="558">
        <f>'[35]Sch C'!F90</f>
        <v>0</v>
      </c>
      <c r="E97" s="171">
        <f t="shared" si="19"/>
        <v>3594</v>
      </c>
      <c r="F97" s="171">
        <v>11332</v>
      </c>
      <c r="G97" s="171">
        <f t="shared" si="20"/>
        <v>14926</v>
      </c>
      <c r="H97" s="172">
        <f t="shared" si="21"/>
        <v>5.7497188893635594E-3</v>
      </c>
      <c r="I97" s="336"/>
      <c r="J97" s="168"/>
      <c r="K97" s="168"/>
      <c r="M97" s="364">
        <f t="shared" si="22"/>
        <v>1.0633326209303982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'[35]Sch C'!D91</f>
        <v>800</v>
      </c>
      <c r="D98" s="558">
        <f>'[35]Sch C'!F91</f>
        <v>0</v>
      </c>
      <c r="E98" s="171">
        <f t="shared" si="19"/>
        <v>800</v>
      </c>
      <c r="F98" s="171">
        <v>3959</v>
      </c>
      <c r="G98" s="171">
        <f t="shared" si="20"/>
        <v>4759</v>
      </c>
      <c r="H98" s="172">
        <f t="shared" si="21"/>
        <v>1.8332381210291557E-3</v>
      </c>
      <c r="I98" s="336"/>
      <c r="J98" s="168"/>
      <c r="K98" s="168"/>
      <c r="M98" s="364">
        <f t="shared" si="22"/>
        <v>0.33903255681413408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'[35]Sch C'!D92</f>
        <v>25796</v>
      </c>
      <c r="D99" s="558">
        <f>'[35]Sch C'!F92</f>
        <v>0</v>
      </c>
      <c r="E99" s="171">
        <f t="shared" si="19"/>
        <v>25796</v>
      </c>
      <c r="F99" s="171">
        <v>56830</v>
      </c>
      <c r="G99" s="171">
        <f t="shared" si="20"/>
        <v>82626</v>
      </c>
      <c r="H99" s="172">
        <f t="shared" si="21"/>
        <v>3.1828773479334951E-2</v>
      </c>
      <c r="I99" s="336"/>
      <c r="J99" s="168"/>
      <c r="K99" s="168"/>
      <c r="M99" s="364">
        <f t="shared" si="22"/>
        <v>5.8863004915580248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'[35]Sch C'!D93</f>
        <v>2427</v>
      </c>
      <c r="D100" s="558">
        <f>'[35]Sch C'!F93</f>
        <v>0</v>
      </c>
      <c r="E100" s="171">
        <f t="shared" si="19"/>
        <v>2427</v>
      </c>
      <c r="F100" s="171">
        <v>5029</v>
      </c>
      <c r="G100" s="171">
        <f t="shared" si="20"/>
        <v>7456</v>
      </c>
      <c r="H100" s="172">
        <f t="shared" si="21"/>
        <v>2.872162939775874E-3</v>
      </c>
      <c r="I100" s="336"/>
      <c r="J100" s="168"/>
      <c r="K100" s="168"/>
      <c r="M100" s="364">
        <f t="shared" si="22"/>
        <v>0.53116762841062903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'[35]Sch C'!D94</f>
        <v>0</v>
      </c>
      <c r="D101" s="558">
        <f>'[35]Sch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74464</v>
      </c>
      <c r="D102" s="558">
        <f>SUM(D96:D101)</f>
        <v>0</v>
      </c>
      <c r="E102" s="171">
        <f t="shared" ref="E102:F102" si="23">SUM(E96:E101)</f>
        <v>74464</v>
      </c>
      <c r="F102" s="171">
        <f t="shared" si="23"/>
        <v>161571</v>
      </c>
      <c r="G102" s="171">
        <f>SUM(G96:G101)</f>
        <v>236035</v>
      </c>
      <c r="H102" s="172">
        <f t="shared" si="21"/>
        <v>9.0924219352199367E-2</v>
      </c>
      <c r="I102" s="336"/>
      <c r="J102" s="168"/>
      <c r="K102" s="168"/>
      <c r="M102" s="364">
        <f>G102/G$228</f>
        <v>16.815202678635035</v>
      </c>
      <c r="N102" s="359">
        <f>SUMMARY!J105</f>
        <v>19.901077037785338</v>
      </c>
      <c r="O102" s="354">
        <f>M102/N102-1</f>
        <v>-0.15506067100244292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'[35]Sch C'!D98</f>
        <v>6207</v>
      </c>
      <c r="D105" s="558">
        <f>'[35]Sch C'!F98</f>
        <v>0</v>
      </c>
      <c r="E105" s="171">
        <f t="shared" ref="E105:E110" si="24">C105+D105</f>
        <v>6207</v>
      </c>
      <c r="F105" s="171">
        <v>17679</v>
      </c>
      <c r="G105" s="171">
        <f t="shared" ref="G105:G110" si="25">E105+F105</f>
        <v>23886</v>
      </c>
      <c r="H105" s="172">
        <f t="shared" ref="H105:H111" si="26">IF($G$208=0,0,G105/$G$208)</f>
        <v>9.2012451689225498E-3</v>
      </c>
      <c r="I105" s="336"/>
      <c r="J105" s="183">
        <f>1744+520.57</f>
        <v>2264.5700000000002</v>
      </c>
      <c r="K105" s="183">
        <f>1744+520.57</f>
        <v>2264.5700000000002</v>
      </c>
      <c r="M105" s="364">
        <f t="shared" ref="M105:M110" si="27">G105/G$228</f>
        <v>1.7016456507800812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'[35]Sch C'!D99</f>
        <v>533</v>
      </c>
      <c r="D106" s="558">
        <f>'[35]Sch C'!F99</f>
        <v>0</v>
      </c>
      <c r="E106" s="171">
        <f t="shared" si="24"/>
        <v>533</v>
      </c>
      <c r="F106" s="171">
        <v>2447</v>
      </c>
      <c r="G106" s="171">
        <f t="shared" si="25"/>
        <v>2980</v>
      </c>
      <c r="H106" s="172">
        <f t="shared" si="26"/>
        <v>1.1479406599426106E-3</v>
      </c>
      <c r="I106" s="336"/>
      <c r="J106" s="168"/>
      <c r="K106" s="168"/>
      <c r="M106" s="364">
        <f t="shared" si="27"/>
        <v>0.21229607465982761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'[35]Sch C'!D100</f>
        <v>1136</v>
      </c>
      <c r="D107" s="558">
        <f>'[35]Sch C'!F100</f>
        <v>0</v>
      </c>
      <c r="E107" s="171">
        <f t="shared" si="24"/>
        <v>1136</v>
      </c>
      <c r="F107" s="171">
        <v>3031</v>
      </c>
      <c r="G107" s="171">
        <f t="shared" si="25"/>
        <v>4167</v>
      </c>
      <c r="H107" s="172">
        <f t="shared" si="26"/>
        <v>1.6051908489868652E-3</v>
      </c>
      <c r="I107" s="336"/>
      <c r="J107" s="168"/>
      <c r="K107" s="168"/>
      <c r="M107" s="364">
        <f t="shared" si="27"/>
        <v>0.29685830305620858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'[35]Sch C'!D101</f>
        <v>0</v>
      </c>
      <c r="D108" s="558">
        <f>'[35]Sch C'!F101</f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'[35]Sch C'!D102</f>
        <v>0</v>
      </c>
      <c r="D109" s="558">
        <f>'[35]Sch C'!F102</f>
        <v>0</v>
      </c>
      <c r="E109" s="171">
        <f t="shared" si="24"/>
        <v>0</v>
      </c>
      <c r="F109" s="171">
        <v>0</v>
      </c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'[35]Sch C'!D103</f>
        <v>11</v>
      </c>
      <c r="D110" s="558">
        <f>'[35]Sch C'!F103</f>
        <v>0</v>
      </c>
      <c r="E110" s="171">
        <f t="shared" si="24"/>
        <v>11</v>
      </c>
      <c r="F110" s="171">
        <v>110</v>
      </c>
      <c r="G110" s="171">
        <f t="shared" si="25"/>
        <v>121</v>
      </c>
      <c r="H110" s="172">
        <f t="shared" si="26"/>
        <v>4.6611013373508686E-5</v>
      </c>
      <c r="I110" s="336"/>
      <c r="J110" s="168"/>
      <c r="K110" s="168"/>
      <c r="M110" s="364">
        <f t="shared" si="27"/>
        <v>8.6200755147111206E-3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7887</v>
      </c>
      <c r="D111" s="558">
        <f>SUM(D105:D110)</f>
        <v>0</v>
      </c>
      <c r="E111" s="171">
        <f t="shared" ref="E111:F111" si="28">SUM(E105:E110)</f>
        <v>7887</v>
      </c>
      <c r="F111" s="171">
        <f t="shared" si="28"/>
        <v>23267</v>
      </c>
      <c r="G111" s="171">
        <f>SUM(G105:G110)</f>
        <v>31154</v>
      </c>
      <c r="H111" s="172">
        <f t="shared" si="26"/>
        <v>1.2000987691225535E-2</v>
      </c>
      <c r="I111" s="336"/>
      <c r="J111" s="168"/>
      <c r="K111" s="168"/>
      <c r="M111" s="364">
        <f>G111/G$228</f>
        <v>2.2194201040108283</v>
      </c>
      <c r="N111" s="359">
        <f>SUMMARY!J114</f>
        <v>2.4242384372309496</v>
      </c>
      <c r="O111" s="354">
        <f>M111/N111-1</f>
        <v>-8.4487701405341897E-2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'[35]Sch C'!D115</f>
        <v>10755</v>
      </c>
      <c r="D114" s="558">
        <f>'[35]Sch C'!F115</f>
        <v>0</v>
      </c>
      <c r="E114" s="171">
        <f t="shared" ref="E114:E118" si="29">C114+D114</f>
        <v>10755</v>
      </c>
      <c r="F114" s="171">
        <v>18916</v>
      </c>
      <c r="G114" s="171">
        <f>E114+F114</f>
        <v>29671</v>
      </c>
      <c r="H114" s="172">
        <f t="shared" ref="H114:H119" si="30">IF($G$208=0,0,G114/$G$208)</f>
        <v>1.1429713866160134E-2</v>
      </c>
      <c r="I114" s="336"/>
      <c r="J114" s="183">
        <f>1871+1147.87</f>
        <v>3018.87</v>
      </c>
      <c r="K114" s="183">
        <f>1871+1147.87</f>
        <v>3018.87</v>
      </c>
      <c r="M114" s="364">
        <f t="shared" ref="M114:M119" si="31">G114/G$228</f>
        <v>2.1137707487354849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'[35]Sch C'!D116</f>
        <v>944</v>
      </c>
      <c r="D115" s="558">
        <f>'[35]Sch C'!F116</f>
        <v>0</v>
      </c>
      <c r="E115" s="171">
        <f t="shared" si="29"/>
        <v>944</v>
      </c>
      <c r="F115" s="171">
        <v>2528</v>
      </c>
      <c r="G115" s="171">
        <f>E115+F115</f>
        <v>3472</v>
      </c>
      <c r="H115" s="172">
        <f t="shared" si="30"/>
        <v>1.3374664333291088E-3</v>
      </c>
      <c r="I115" s="336"/>
      <c r="J115" s="168"/>
      <c r="K115" s="168"/>
      <c r="M115" s="364">
        <f t="shared" si="31"/>
        <v>0.24734629906675215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'[35]Sch C'!D117</f>
        <v>1957</v>
      </c>
      <c r="D116" s="558">
        <f>'[35]Sch C'!F117</f>
        <v>0</v>
      </c>
      <c r="E116" s="171">
        <f t="shared" si="29"/>
        <v>1957</v>
      </c>
      <c r="F116" s="171">
        <v>4623</v>
      </c>
      <c r="G116" s="171">
        <f>E116+F116</f>
        <v>6580</v>
      </c>
      <c r="H116" s="172">
        <f t="shared" si="30"/>
        <v>2.5347146115511335E-3</v>
      </c>
      <c r="I116" s="336"/>
      <c r="J116" s="168"/>
      <c r="K116" s="168"/>
      <c r="M116" s="364">
        <f t="shared" si="31"/>
        <v>0.46876113129586094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'[35]Sch C'!D118</f>
        <v>370</v>
      </c>
      <c r="D117" s="558">
        <f>'[35]Sch C'!F118</f>
        <v>0</v>
      </c>
      <c r="E117" s="171">
        <f t="shared" si="29"/>
        <v>370</v>
      </c>
      <c r="F117" s="171">
        <v>820</v>
      </c>
      <c r="G117" s="171">
        <f>E117+F117</f>
        <v>1190</v>
      </c>
      <c r="H117" s="172">
        <f t="shared" si="30"/>
        <v>4.5840583400392842E-4</v>
      </c>
      <c r="I117" s="336"/>
      <c r="J117" s="168"/>
      <c r="K117" s="168"/>
      <c r="M117" s="364">
        <f t="shared" si="31"/>
        <v>8.4775949276911025E-2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'[35]Sch C'!D119</f>
        <v>0</v>
      </c>
      <c r="D118" s="558">
        <f>'[35]Sch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14026</v>
      </c>
      <c r="D119" s="558">
        <f>SUM(D114:D118)</f>
        <v>0</v>
      </c>
      <c r="E119" s="171">
        <f t="shared" ref="E119:F119" si="32">SUM(E114:E118)</f>
        <v>14026</v>
      </c>
      <c r="F119" s="171">
        <f t="shared" si="32"/>
        <v>26887</v>
      </c>
      <c r="G119" s="171">
        <f>SUM(G114:G118)</f>
        <v>40913</v>
      </c>
      <c r="H119" s="172">
        <f t="shared" si="30"/>
        <v>1.5760300745044305E-2</v>
      </c>
      <c r="I119" s="336"/>
      <c r="J119" s="168"/>
      <c r="K119" s="168"/>
      <c r="M119" s="364">
        <f t="shared" si="31"/>
        <v>2.9146541283750089</v>
      </c>
      <c r="N119" s="359">
        <f>SUMMARY!J122</f>
        <v>6.0247597205909562</v>
      </c>
      <c r="O119" s="354">
        <f>M119/N119-1</f>
        <v>-0.51622068538044252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'[35]Sch C'!D124</f>
        <v>0</v>
      </c>
      <c r="D123" s="558">
        <f>'[35]Sch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'[35]Sch C'!D125</f>
        <v>24584</v>
      </c>
      <c r="D124" s="558">
        <f>'[35]Sch C'!F125</f>
        <v>0</v>
      </c>
      <c r="E124" s="171">
        <f t="shared" si="33"/>
        <v>24584</v>
      </c>
      <c r="F124" s="171">
        <v>60828</v>
      </c>
      <c r="G124" s="171">
        <f>E124+F124</f>
        <v>85412</v>
      </c>
      <c r="H124" s="172">
        <f>IF($G$208=0,0,G124/$G$208)</f>
        <v>3.2901982431885322E-2</v>
      </c>
      <c r="I124" s="336"/>
      <c r="J124" s="183">
        <f>1367+671.36</f>
        <v>2038.3600000000001</v>
      </c>
      <c r="K124" s="183">
        <f>1387+693.36</f>
        <v>2080.36</v>
      </c>
      <c r="M124" s="364">
        <f t="shared" si="34"/>
        <v>6.0847759492769109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'[35]Sch C'!D126</f>
        <v>0</v>
      </c>
      <c r="D125" s="558">
        <f>'[35]Sch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'[35]Sch C'!D127</f>
        <v>0</v>
      </c>
      <c r="D126" s="558">
        <f>'[35]Sch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'[35]Sch C'!D128</f>
        <v>0</v>
      </c>
      <c r="D127" s="558">
        <f>'[35]Sch C'!F128</f>
        <v>0</v>
      </c>
      <c r="E127" s="171">
        <f t="shared" si="33"/>
        <v>0</v>
      </c>
      <c r="F127" s="171">
        <v>0</v>
      </c>
      <c r="G127" s="171">
        <f>E127+F127</f>
        <v>0</v>
      </c>
      <c r="H127" s="172">
        <f>IF($G$208=0,0,G127/$G$208)</f>
        <v>0</v>
      </c>
      <c r="I127" s="336"/>
      <c r="J127" s="183">
        <v>0</v>
      </c>
      <c r="K127" s="183">
        <v>0</v>
      </c>
      <c r="M127" s="364">
        <f t="shared" si="34"/>
        <v>0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'[35]Sch C'!D130</f>
        <v>0</v>
      </c>
      <c r="D129" s="558">
        <f>'[35]Sch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'[35]Sch C'!D131</f>
        <v>0</v>
      </c>
      <c r="D130" s="558">
        <f>'[35]Sch C'!F131</f>
        <v>2054</v>
      </c>
      <c r="E130" s="171">
        <f t="shared" si="35"/>
        <v>2054</v>
      </c>
      <c r="F130" s="171">
        <v>8004</v>
      </c>
      <c r="G130" s="171">
        <f>E130+F130</f>
        <v>10058</v>
      </c>
      <c r="H130" s="172">
        <f>IF($G$208=0,0,G130/$G$208)</f>
        <v>3.8744923347995902E-3</v>
      </c>
      <c r="I130" s="336"/>
      <c r="J130" s="204"/>
      <c r="K130" s="204"/>
      <c r="M130" s="364">
        <f t="shared" si="34"/>
        <v>0.71653487212367317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'[35]Sch C'!D132</f>
        <v>0</v>
      </c>
      <c r="D131" s="558">
        <f>'[35]Sch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'[35]Sch C'!D133</f>
        <v>0</v>
      </c>
      <c r="D132" s="558">
        <f>'[35]Sch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'[35]Sch C'!D134</f>
        <v>0</v>
      </c>
      <c r="D133" s="558">
        <f>'[35]Sch C'!F134</f>
        <v>0</v>
      </c>
      <c r="E133" s="171">
        <f t="shared" si="35"/>
        <v>0</v>
      </c>
      <c r="F133" s="171">
        <v>0</v>
      </c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'[35]Sch C'!D136</f>
        <v>94067</v>
      </c>
      <c r="D135" s="558">
        <f>'[35]Sch C'!F136</f>
        <v>3376</v>
      </c>
      <c r="E135" s="171">
        <f t="shared" ref="E135:E138" si="36">C135+D135</f>
        <v>97443</v>
      </c>
      <c r="F135" s="171">
        <v>176386</v>
      </c>
      <c r="G135" s="171">
        <f>E135+F135</f>
        <v>273829</v>
      </c>
      <c r="H135" s="172">
        <f>IF($G$208=0,0,G135/$G$208)</f>
        <v>0.10548303455416951</v>
      </c>
      <c r="I135" s="336"/>
      <c r="J135" s="183">
        <f>6615+3366.74</f>
        <v>9981.74</v>
      </c>
      <c r="K135" s="183">
        <f>6615+3366.74</f>
        <v>9981.74</v>
      </c>
      <c r="M135" s="364">
        <f t="shared" si="34"/>
        <v>19.507658331552324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'[35]Sch C'!D137</f>
        <v>29174</v>
      </c>
      <c r="D136" s="558">
        <f>'[35]Sch C'!F137</f>
        <v>-3376</v>
      </c>
      <c r="E136" s="171">
        <f t="shared" si="36"/>
        <v>25798</v>
      </c>
      <c r="F136" s="171">
        <v>66623</v>
      </c>
      <c r="G136" s="171">
        <f>E136+F136</f>
        <v>92421</v>
      </c>
      <c r="H136" s="172">
        <f>IF($G$208=0,0,G136/$G$208)</f>
        <v>3.5601954272669808E-2</v>
      </c>
      <c r="I136" s="336"/>
      <c r="J136" s="183">
        <f>2738+1158.35</f>
        <v>3896.35</v>
      </c>
      <c r="K136" s="183">
        <f>2738+1158.35</f>
        <v>3896.35</v>
      </c>
      <c r="M136" s="364">
        <f t="shared" si="34"/>
        <v>6.5840991664885662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'[35]Sch C'!D138</f>
        <v>98828</v>
      </c>
      <c r="D137" s="558">
        <f>'[35]Sch C'!F138</f>
        <v>0</v>
      </c>
      <c r="E137" s="171">
        <f t="shared" si="36"/>
        <v>98828</v>
      </c>
      <c r="F137" s="171">
        <v>194318</v>
      </c>
      <c r="G137" s="171">
        <f>E137+F137</f>
        <v>293146</v>
      </c>
      <c r="H137" s="172">
        <f>IF($G$208=0,0,G137/$G$208)</f>
        <v>0.11292423244950892</v>
      </c>
      <c r="I137" s="336"/>
      <c r="J137" s="183">
        <f>15635+7489.66</f>
        <v>23124.66</v>
      </c>
      <c r="K137" s="183">
        <f>15635+7489.66</f>
        <v>23124.66</v>
      </c>
      <c r="M137" s="364">
        <f t="shared" si="34"/>
        <v>20.883807081285173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'[35]Sch C'!D139</f>
        <v>0</v>
      </c>
      <c r="D138" s="558">
        <f>'[35]Sch C'!F139</f>
        <v>0</v>
      </c>
      <c r="E138" s="171">
        <f t="shared" si="36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'[35]Sch C'!D141</f>
        <v>0</v>
      </c>
      <c r="D140" s="558">
        <f>'[35]Sch C'!F141</f>
        <v>7861</v>
      </c>
      <c r="E140" s="171">
        <f t="shared" ref="E140:E143" si="37">C140+D140</f>
        <v>7861</v>
      </c>
      <c r="F140" s="171">
        <v>23277</v>
      </c>
      <c r="G140" s="171">
        <f>E140+F140</f>
        <v>31138</v>
      </c>
      <c r="H140" s="172">
        <f>IF($G$208=0,0,G140/$G$208)</f>
        <v>1.1994824251440607E-2</v>
      </c>
      <c r="I140" s="336"/>
      <c r="J140" s="168"/>
      <c r="K140" s="168"/>
      <c r="M140" s="364">
        <f t="shared" si="34"/>
        <v>2.2182802593146684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'[35]Sch C'!D142</f>
        <v>12353</v>
      </c>
      <c r="D141" s="558">
        <f>'[35]Sch C'!F142</f>
        <v>-9915</v>
      </c>
      <c r="E141" s="171">
        <f t="shared" si="37"/>
        <v>2438</v>
      </c>
      <c r="F141" s="171">
        <v>8699</v>
      </c>
      <c r="G141" s="171">
        <f>E141+F141</f>
        <v>11137</v>
      </c>
      <c r="H141" s="172">
        <f>IF($G$208=0,0,G141/$G$208)</f>
        <v>4.2901393052955893E-3</v>
      </c>
      <c r="I141" s="336"/>
      <c r="J141" s="168"/>
      <c r="K141" s="168"/>
      <c r="M141" s="364">
        <f t="shared" si="34"/>
        <v>0.79340314882097318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'[35]Sch C'!D143</f>
        <v>8645</v>
      </c>
      <c r="D142" s="558">
        <f>'[35]Sch C'!F143</f>
        <v>0</v>
      </c>
      <c r="E142" s="171">
        <f t="shared" si="37"/>
        <v>8645</v>
      </c>
      <c r="F142" s="171">
        <v>25717</v>
      </c>
      <c r="G142" s="171">
        <f>E142+F142</f>
        <v>34362</v>
      </c>
      <c r="H142" s="172">
        <f>IF($G$208=0,0,G142/$G$208)</f>
        <v>1.3236757368103352E-2</v>
      </c>
      <c r="I142" s="336"/>
      <c r="J142" s="168"/>
      <c r="K142" s="168"/>
      <c r="M142" s="364">
        <f t="shared" si="34"/>
        <v>2.4479589655909382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'[35]Sch C'!D144</f>
        <v>0</v>
      </c>
      <c r="D143" s="558">
        <f>'[35]Sch C'!F144</f>
        <v>0</v>
      </c>
      <c r="E143" s="171">
        <f t="shared" si="37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'[35]Sch C'!D146</f>
        <v>4000</v>
      </c>
      <c r="D145" s="558">
        <f>'[35]Sch C'!F146</f>
        <v>0</v>
      </c>
      <c r="E145" s="171">
        <f t="shared" ref="E145:E153" si="38">C145+D145</f>
        <v>4000</v>
      </c>
      <c r="F145" s="171">
        <v>8000</v>
      </c>
      <c r="G145" s="171">
        <f t="shared" ref="G145:G153" si="39">E145+F145</f>
        <v>12000</v>
      </c>
      <c r="H145" s="172">
        <f t="shared" ref="H145:H153" si="40">IF($G$208=0,0,G145/$G$208)</f>
        <v>4.6225798386950769E-3</v>
      </c>
      <c r="I145" s="336"/>
      <c r="J145" s="183">
        <f>72+36</f>
        <v>108</v>
      </c>
      <c r="K145" s="183">
        <f>72+36</f>
        <v>108</v>
      </c>
      <c r="M145" s="364">
        <f t="shared" si="34"/>
        <v>0.85488352212011109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'[35]Sch C'!D147</f>
        <v>0</v>
      </c>
      <c r="D146" s="558">
        <f>'[35]Sch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'[35]Sch C'!D148</f>
        <v>0</v>
      </c>
      <c r="D147" s="558">
        <f>'[35]Sch C'!F148</f>
        <v>0</v>
      </c>
      <c r="E147" s="171">
        <f t="shared" si="38"/>
        <v>0</v>
      </c>
      <c r="F147" s="171">
        <v>111</v>
      </c>
      <c r="G147" s="171">
        <f t="shared" si="39"/>
        <v>111</v>
      </c>
      <c r="H147" s="172">
        <f t="shared" si="40"/>
        <v>4.275886350792946E-5</v>
      </c>
      <c r="I147" s="336"/>
      <c r="J147" s="183">
        <v>0</v>
      </c>
      <c r="K147" s="183">
        <v>0</v>
      </c>
      <c r="M147" s="364">
        <f t="shared" si="34"/>
        <v>7.9076725796110286E-3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'[35]Sch C'!D149</f>
        <v>0</v>
      </c>
      <c r="D148" s="558">
        <f>'[35]Sch C'!F149</f>
        <v>0</v>
      </c>
      <c r="E148" s="171">
        <f t="shared" si="38"/>
        <v>0</v>
      </c>
      <c r="F148" s="171">
        <v>666</v>
      </c>
      <c r="G148" s="171">
        <f t="shared" si="39"/>
        <v>666</v>
      </c>
      <c r="H148" s="172">
        <f t="shared" si="40"/>
        <v>2.5655318104757675E-4</v>
      </c>
      <c r="I148" s="336"/>
      <c r="J148" s="183">
        <v>0</v>
      </c>
      <c r="K148" s="183">
        <v>0</v>
      </c>
      <c r="M148" s="364">
        <f t="shared" si="34"/>
        <v>4.7446035477666168E-2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'[35]Sch C'!D150</f>
        <v>1418</v>
      </c>
      <c r="D149" s="558">
        <f>'[35]Sch C'!F150</f>
        <v>0</v>
      </c>
      <c r="E149" s="171">
        <f t="shared" si="38"/>
        <v>1418</v>
      </c>
      <c r="F149" s="171">
        <v>8506</v>
      </c>
      <c r="G149" s="171">
        <f t="shared" si="39"/>
        <v>9924</v>
      </c>
      <c r="H149" s="172">
        <f t="shared" si="40"/>
        <v>3.8228735266008281E-3</v>
      </c>
      <c r="I149" s="336"/>
      <c r="J149" s="183">
        <v>310</v>
      </c>
      <c r="K149" s="183">
        <v>310</v>
      </c>
      <c r="M149" s="364">
        <f t="shared" si="34"/>
        <v>0.70698867279333188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'[35]Sch C'!D151</f>
        <v>15859</v>
      </c>
      <c r="D150" s="558">
        <f>'[35]Sch C'!F151</f>
        <v>0</v>
      </c>
      <c r="E150" s="171">
        <f t="shared" si="38"/>
        <v>15859</v>
      </c>
      <c r="F150" s="171">
        <v>26644</v>
      </c>
      <c r="G150" s="171">
        <f t="shared" si="39"/>
        <v>42503</v>
      </c>
      <c r="H150" s="172">
        <f t="shared" si="40"/>
        <v>1.6372792573671403E-2</v>
      </c>
      <c r="I150" s="336"/>
      <c r="J150" s="168"/>
      <c r="K150" s="168"/>
      <c r="M150" s="364">
        <f t="shared" si="34"/>
        <v>3.0279261950559238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'[35]Sch C'!D152</f>
        <v>7259</v>
      </c>
      <c r="D151" s="558">
        <f>'[35]Sch C'!F152</f>
        <v>0</v>
      </c>
      <c r="E151" s="171">
        <f t="shared" si="38"/>
        <v>7259</v>
      </c>
      <c r="F151" s="679">
        <f>(3498-2392)</f>
        <v>1106</v>
      </c>
      <c r="G151" s="171">
        <f t="shared" si="39"/>
        <v>8365</v>
      </c>
      <c r="H151" s="172">
        <f t="shared" si="40"/>
        <v>3.2223233625570261E-3</v>
      </c>
      <c r="I151" s="336"/>
      <c r="J151" s="168"/>
      <c r="K151" s="168"/>
      <c r="M151" s="364">
        <f t="shared" si="34"/>
        <v>0.59592505521122752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'[35]Sch C'!D153</f>
        <v>0</v>
      </c>
      <c r="D152" s="558">
        <f>'[35]Sch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'[35]Sch C'!D154</f>
        <v>0</v>
      </c>
      <c r="D153" s="558">
        <f>'[35]Sch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'[35]Sch C'!D156</f>
        <v>0</v>
      </c>
      <c r="D155" s="558">
        <f>'[35]Sch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'[35]Sch C'!D157</f>
        <v>0</v>
      </c>
      <c r="D156" s="558">
        <f>'[35]Sch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'[35]Sch C'!D158</f>
        <v>0</v>
      </c>
      <c r="D157" s="558">
        <f>'[35]Sch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'[35]Sch C'!D159</f>
        <v>0</v>
      </c>
      <c r="D158" s="558">
        <f>'[35]Sch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'[35]Sch C'!D160</f>
        <v>0</v>
      </c>
      <c r="D159" s="558">
        <f>'[35]Sch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'[35]Sch C'!D161</f>
        <v>635</v>
      </c>
      <c r="D160" s="558">
        <f>'[35]Sch C'!F161</f>
        <v>0</v>
      </c>
      <c r="E160" s="171">
        <f t="shared" si="41"/>
        <v>635</v>
      </c>
      <c r="F160" s="171">
        <v>2295</v>
      </c>
      <c r="G160" s="171">
        <f t="shared" si="42"/>
        <v>2930</v>
      </c>
      <c r="H160" s="172">
        <f t="shared" si="43"/>
        <v>1.1286799106147145E-3</v>
      </c>
      <c r="I160" s="336"/>
      <c r="J160" s="168"/>
      <c r="K160" s="168"/>
      <c r="M160" s="364">
        <f t="shared" si="34"/>
        <v>0.20873405998432715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296822</v>
      </c>
      <c r="D161" s="558">
        <f>SUM(D123:D160)</f>
        <v>0</v>
      </c>
      <c r="E161" s="171">
        <f t="shared" ref="E161:F161" si="44">SUM(E123:E160)</f>
        <v>296822</v>
      </c>
      <c r="F161" s="171">
        <f t="shared" si="44"/>
        <v>611180</v>
      </c>
      <c r="G161" s="171">
        <f>SUM(G123:G160)</f>
        <v>908002</v>
      </c>
      <c r="H161" s="172">
        <f t="shared" si="43"/>
        <v>0.34977597822456724</v>
      </c>
      <c r="I161" s="336"/>
      <c r="J161" s="168"/>
      <c r="K161" s="168"/>
      <c r="M161" s="364">
        <f>G161/G$228</f>
        <v>64.686328987675424</v>
      </c>
      <c r="N161" s="359">
        <f>SUMMARY!J164</f>
        <v>105.56901037202306</v>
      </c>
      <c r="O161" s="354">
        <f>M161/N161-1</f>
        <v>-0.38726025033556621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'[35]Sch C'!D175</f>
        <v>0</v>
      </c>
      <c r="D164" s="558">
        <f>'[35]Sch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'[35]Sch C'!D176</f>
        <v>0</v>
      </c>
      <c r="D165" s="558">
        <f>'[35]Sch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'[35]Sch C'!D177</f>
        <v>0</v>
      </c>
      <c r="D166" s="558">
        <f>'[35]Sch C'!F177</f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'[35]Sch C'!D178</f>
        <v>0</v>
      </c>
      <c r="D167" s="558">
        <f>'[35]Sch C'!F178</f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'[35]Sch C'!D179</f>
        <v>0</v>
      </c>
      <c r="D168" s="558">
        <f>'[35]Sch C'!F179</f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'[35]Sch C'!D180</f>
        <v>0</v>
      </c>
      <c r="D169" s="558">
        <f>'[35]Sch C'!F180</f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'[35]Sch C'!D181</f>
        <v>0</v>
      </c>
      <c r="D170" s="558">
        <f>'[35]Sch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'[35]Sch C'!D182</f>
        <v>0</v>
      </c>
      <c r="D171" s="558">
        <f>'[35]Sch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'[35]Sch C'!D183</f>
        <v>0</v>
      </c>
      <c r="D172" s="558">
        <f>'[35]Sch C'!F183</f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'[35]Sch C'!D184</f>
        <v>0</v>
      </c>
      <c r="D173" s="558">
        <f>'[35]Sch C'!F184</f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'[35]Sch C'!D185</f>
        <v>0</v>
      </c>
      <c r="D174" s="558">
        <f>'[35]Sch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'[35]Sch C'!D186</f>
        <v>0</v>
      </c>
      <c r="D175" s="558">
        <f>'[35]Sch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'[35]Sch C'!D187</f>
        <v>0</v>
      </c>
      <c r="D176" s="558">
        <f>'[35]Sch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'[35]Sch C'!D188</f>
        <v>0</v>
      </c>
      <c r="D177" s="558">
        <f>'[35]Sch C'!F188</f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'[35]Sch C'!D189</f>
        <v>0</v>
      </c>
      <c r="D178" s="558">
        <f>'[35]Sch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'[35]Sch C'!D190</f>
        <v>0</v>
      </c>
      <c r="D179" s="558">
        <f>'[35]Sch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'[35]Sch C'!D191</f>
        <v>0</v>
      </c>
      <c r="D180" s="558">
        <f>'[35]Sch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'[35]Sch C'!D192</f>
        <v>0</v>
      </c>
      <c r="D181" s="558">
        <f>'[35]Sch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'[35]Sch C'!D193</f>
        <v>0</v>
      </c>
      <c r="D182" s="558">
        <f>'[35]Sch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'[35]Sch C'!D194</f>
        <v>42734</v>
      </c>
      <c r="D183" s="558">
        <f>'[35]Sch C'!F194</f>
        <v>0</v>
      </c>
      <c r="E183" s="171">
        <f t="shared" si="45"/>
        <v>42734</v>
      </c>
      <c r="F183" s="216">
        <v>76913</v>
      </c>
      <c r="G183" s="171">
        <f t="shared" si="46"/>
        <v>119647</v>
      </c>
      <c r="H183" s="172">
        <f t="shared" si="47"/>
        <v>4.6089817496695822E-2</v>
      </c>
      <c r="I183" s="336"/>
      <c r="J183" s="223"/>
      <c r="K183" s="218"/>
      <c r="M183" s="364">
        <f t="shared" si="48"/>
        <v>8.5236873975920773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'[35]Sch C'!D195</f>
        <v>16892</v>
      </c>
      <c r="D184" s="558">
        <f>'[35]Sch C'!F195</f>
        <v>0</v>
      </c>
      <c r="E184" s="171">
        <f t="shared" si="45"/>
        <v>16892</v>
      </c>
      <c r="F184" s="216">
        <v>37720</v>
      </c>
      <c r="G184" s="171">
        <f t="shared" si="46"/>
        <v>54612</v>
      </c>
      <c r="H184" s="172">
        <f t="shared" si="47"/>
        <v>2.1037360845901295E-2</v>
      </c>
      <c r="I184" s="336"/>
      <c r="J184" s="223"/>
      <c r="K184" s="218"/>
      <c r="M184" s="364">
        <f t="shared" si="48"/>
        <v>3.8905749091686257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'[35]Sch C'!D196</f>
        <v>0</v>
      </c>
      <c r="D185" s="558">
        <f>'[35]Sch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'[35]Sch C'!D197</f>
        <v>35847</v>
      </c>
      <c r="D186" s="558">
        <f>'[35]Sch C'!F197</f>
        <v>0</v>
      </c>
      <c r="E186" s="171">
        <f t="shared" si="45"/>
        <v>35847</v>
      </c>
      <c r="F186" s="216">
        <v>74130</v>
      </c>
      <c r="G186" s="171">
        <f t="shared" si="46"/>
        <v>109977</v>
      </c>
      <c r="H186" s="172">
        <f t="shared" si="47"/>
        <v>4.2364788576680704E-2</v>
      </c>
      <c r="I186" s="336"/>
      <c r="J186" s="223"/>
      <c r="K186" s="218"/>
      <c r="M186" s="364">
        <f t="shared" si="48"/>
        <v>7.8347937593502888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'[35]Sch C'!D198</f>
        <v>4453</v>
      </c>
      <c r="D187" s="558">
        <f>'[35]Sch C'!F198</f>
        <v>0</v>
      </c>
      <c r="E187" s="171">
        <f t="shared" si="45"/>
        <v>4453</v>
      </c>
      <c r="F187" s="216">
        <v>9234</v>
      </c>
      <c r="G187" s="171">
        <f t="shared" si="46"/>
        <v>13687</v>
      </c>
      <c r="H187" s="172">
        <f t="shared" si="47"/>
        <v>5.2724375210182924E-3</v>
      </c>
      <c r="I187" s="336"/>
      <c r="J187" s="223"/>
      <c r="K187" s="218"/>
      <c r="M187" s="364">
        <f t="shared" si="48"/>
        <v>0.97506589727149673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'[35]Sch C'!D199</f>
        <v>0</v>
      </c>
      <c r="D188" s="558">
        <f>'[35]Sch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'[35]Sch C'!D200</f>
        <v>0</v>
      </c>
      <c r="D189" s="558">
        <f>'[35]Sch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'[35]Sch C'!D201</f>
        <v>0</v>
      </c>
      <c r="D190" s="558">
        <f>'[35]Sch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'[35]Sch C'!D202</f>
        <v>0</v>
      </c>
      <c r="D191" s="558">
        <f>'[35]Sch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'[35]Sch C'!D203</f>
        <v>0</v>
      </c>
      <c r="D192" s="558">
        <f>'[35]Sch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'[35]Sch C'!D204</f>
        <v>0</v>
      </c>
      <c r="D193" s="558">
        <f>'[35]Sch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'[35]Sch C'!D205</f>
        <v>34647</v>
      </c>
      <c r="D194" s="558">
        <f>'[35]Sch C'!F205</f>
        <v>0</v>
      </c>
      <c r="E194" s="171">
        <f t="shared" si="45"/>
        <v>34647</v>
      </c>
      <c r="F194" s="216">
        <v>53719</v>
      </c>
      <c r="G194" s="171">
        <f t="shared" si="46"/>
        <v>88366</v>
      </c>
      <c r="H194" s="172">
        <f t="shared" si="47"/>
        <v>3.4039907502177426E-2</v>
      </c>
      <c r="I194" s="336"/>
      <c r="J194" s="223"/>
      <c r="K194" s="218"/>
      <c r="M194" s="364">
        <f t="shared" si="48"/>
        <v>6.295219776305478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'[35]Sch C'!D206</f>
        <v>378</v>
      </c>
      <c r="D195" s="558">
        <f>'[35]Sch C'!F206</f>
        <v>0</v>
      </c>
      <c r="E195" s="171">
        <f t="shared" si="45"/>
        <v>378</v>
      </c>
      <c r="F195" s="216">
        <v>399</v>
      </c>
      <c r="G195" s="171">
        <f t="shared" si="46"/>
        <v>777</v>
      </c>
      <c r="H195" s="172">
        <f t="shared" si="47"/>
        <v>2.9931204455550619E-4</v>
      </c>
      <c r="I195" s="336"/>
      <c r="J195" s="223"/>
      <c r="K195" s="218"/>
      <c r="M195" s="364">
        <f t="shared" si="48"/>
        <v>5.5353708057277198E-2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'[35]Sch C'!D207</f>
        <v>0</v>
      </c>
      <c r="D196" s="558">
        <f>'[35]Sch C'!F207</f>
        <v>0</v>
      </c>
      <c r="E196" s="171">
        <f t="shared" si="45"/>
        <v>0</v>
      </c>
      <c r="F196" s="216">
        <v>0</v>
      </c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134951</v>
      </c>
      <c r="D197" s="558">
        <f>SUM(D164:D196)</f>
        <v>0</v>
      </c>
      <c r="E197" s="171">
        <f t="shared" ref="E197:F197" si="49">SUM(E164:E196)</f>
        <v>134951</v>
      </c>
      <c r="F197" s="171">
        <f t="shared" si="49"/>
        <v>252115</v>
      </c>
      <c r="G197" s="171">
        <f>SUM(G164:G196)</f>
        <v>387066</v>
      </c>
      <c r="H197" s="172">
        <f>IF($G$208=0,0,G197/$G$208)</f>
        <v>0.14910362398702903</v>
      </c>
      <c r="I197" s="336"/>
      <c r="J197" s="168"/>
      <c r="K197" s="168"/>
      <c r="M197" s="364">
        <f>G197/G$228</f>
        <v>27.574695447745246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'[35]Sch C'!D211</f>
        <v>31751</v>
      </c>
      <c r="D200" s="558">
        <f>'[35]Sch C'!F211</f>
        <v>0</v>
      </c>
      <c r="E200" s="171">
        <f t="shared" ref="E200:E205" si="50">C200+D200</f>
        <v>31751</v>
      </c>
      <c r="F200" s="171">
        <v>66887</v>
      </c>
      <c r="G200" s="171">
        <f t="shared" ref="G200:G205" si="51">E200+F200</f>
        <v>98638</v>
      </c>
      <c r="H200" s="172">
        <f t="shared" ref="H200:H206" si="52">IF($G$208=0,0,G200/$G$208)</f>
        <v>3.7996835844100414E-2</v>
      </c>
      <c r="I200" s="336"/>
      <c r="J200" s="183">
        <f>2167+1576.02</f>
        <v>3743.02</v>
      </c>
      <c r="K200" s="183">
        <f>2167+1592.02</f>
        <v>3759.02</v>
      </c>
      <c r="M200" s="364">
        <f t="shared" ref="M200:M205" si="53">G200/G$228</f>
        <v>7.0270000712402938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'[35]Sch C'!D212</f>
        <v>2773</v>
      </c>
      <c r="D201" s="558">
        <f>'[35]Sch C'!F212</f>
        <v>0</v>
      </c>
      <c r="E201" s="171">
        <f t="shared" si="50"/>
        <v>2773</v>
      </c>
      <c r="F201" s="171">
        <v>8971</v>
      </c>
      <c r="G201" s="171">
        <f t="shared" si="51"/>
        <v>11744</v>
      </c>
      <c r="H201" s="172">
        <f t="shared" si="52"/>
        <v>4.5239648021362482E-3</v>
      </c>
      <c r="I201" s="336"/>
      <c r="J201" s="168"/>
      <c r="K201" s="168"/>
      <c r="M201" s="364">
        <f t="shared" si="53"/>
        <v>0.83664600698154878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'[35]Sch C'!D213</f>
        <v>3361</v>
      </c>
      <c r="D202" s="558">
        <f>'[35]Sch C'!F213</f>
        <v>0</v>
      </c>
      <c r="E202" s="171">
        <f t="shared" si="50"/>
        <v>3361</v>
      </c>
      <c r="F202" s="171">
        <v>7290</v>
      </c>
      <c r="G202" s="171">
        <f t="shared" si="51"/>
        <v>10651</v>
      </c>
      <c r="H202" s="172">
        <f t="shared" si="52"/>
        <v>4.1029248218284386E-3</v>
      </c>
      <c r="I202" s="336"/>
      <c r="J202" s="168"/>
      <c r="K202" s="168"/>
      <c r="M202" s="364">
        <f t="shared" si="53"/>
        <v>0.75878036617510869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'[35]Sch C'!D214</f>
        <v>0</v>
      </c>
      <c r="D203" s="558">
        <f>'[35]Sch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'[35]Sch C'!D215</f>
        <v>0</v>
      </c>
      <c r="D204" s="558">
        <f>'[35]Sch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'[35]Sch C'!D216</f>
        <v>1240</v>
      </c>
      <c r="D205" s="558">
        <f>'[35]Sch C'!F216</f>
        <v>0</v>
      </c>
      <c r="E205" s="171">
        <f t="shared" si="50"/>
        <v>1240</v>
      </c>
      <c r="F205" s="171">
        <v>2338</v>
      </c>
      <c r="G205" s="171">
        <f t="shared" si="51"/>
        <v>3578</v>
      </c>
      <c r="H205" s="172">
        <f t="shared" si="52"/>
        <v>1.3782992219042486E-3</v>
      </c>
      <c r="I205" s="336"/>
      <c r="J205" s="168"/>
      <c r="K205" s="168"/>
      <c r="M205" s="364">
        <f t="shared" si="53"/>
        <v>0.25489777017881315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39125</v>
      </c>
      <c r="D206" s="558">
        <f>SUM(D200:D205)</f>
        <v>0</v>
      </c>
      <c r="E206" s="171">
        <f t="shared" ref="E206:F206" si="54">SUM(E200:E205)</f>
        <v>39125</v>
      </c>
      <c r="F206" s="171">
        <f t="shared" si="54"/>
        <v>85486</v>
      </c>
      <c r="G206" s="171">
        <f>SUM(G200:G205)</f>
        <v>124611</v>
      </c>
      <c r="H206" s="172">
        <f t="shared" si="52"/>
        <v>4.800202468996935E-2</v>
      </c>
      <c r="I206" s="336"/>
      <c r="J206" s="168"/>
      <c r="K206" s="168"/>
      <c r="M206" s="364">
        <f>G206/G$228</f>
        <v>8.8773242145757649</v>
      </c>
      <c r="N206" s="359">
        <f>SUMMARY!J209</f>
        <v>7.1515095990067339</v>
      </c>
      <c r="O206" s="354">
        <f>M206/N206-1</f>
        <v>0.24132172259248974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877098</v>
      </c>
      <c r="D208" s="558">
        <f>SUM(D25:D206)/2</f>
        <v>-2488</v>
      </c>
      <c r="E208" s="171">
        <f t="shared" ref="E208:F208" si="55">SUM(E25:E206)/2</f>
        <v>874610</v>
      </c>
      <c r="F208" s="171">
        <f t="shared" si="55"/>
        <v>1721343</v>
      </c>
      <c r="G208" s="171">
        <f>SUM(G25:G206)/2</f>
        <v>2595953</v>
      </c>
      <c r="H208" s="172">
        <f>IF($G$208=0,0,G208/$G$208)</f>
        <v>1</v>
      </c>
      <c r="I208" s="336"/>
      <c r="J208" s="183">
        <f>SUM(J25:J200)</f>
        <v>64369.639999999992</v>
      </c>
      <c r="K208" s="183">
        <f>SUM(K25:K200)</f>
        <v>64556.639999999992</v>
      </c>
      <c r="M208" s="364">
        <f>G208/G$228</f>
        <v>184.93645365818907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-1.3954126271323819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'[35]Sch C'!D221</f>
        <v>877098</v>
      </c>
      <c r="D211" s="196"/>
      <c r="E211" s="165"/>
      <c r="F211" s="458" t="s">
        <v>500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58" t="s">
        <v>630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20"/>
      <c r="D213" s="232"/>
      <c r="E213" s="232"/>
      <c r="F213" s="458" t="s">
        <v>631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179696</v>
      </c>
      <c r="D215" s="558">
        <f>D21-D208</f>
        <v>2488</v>
      </c>
      <c r="E215" s="171">
        <f t="shared" ref="E215:F215" si="56">E21-E208</f>
        <v>182184</v>
      </c>
      <c r="F215" s="171">
        <f t="shared" si="56"/>
        <v>969972</v>
      </c>
      <c r="G215" s="171">
        <f>G21-G208</f>
        <v>1152156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'[35]Sch D'!C9</f>
        <v>3298</v>
      </c>
      <c r="D219" s="592"/>
      <c r="E219" s="235">
        <f t="shared" ref="E219:G227" si="57">C219+D219</f>
        <v>3298</v>
      </c>
      <c r="F219" s="234">
        <v>6767</v>
      </c>
      <c r="G219" s="235">
        <f t="shared" si="57"/>
        <v>10065</v>
      </c>
      <c r="H219" s="172">
        <f t="shared" ref="H219:H228" si="58">IF($G$228=0,0,G219/$G$228)</f>
        <v>0.71703355417824322</v>
      </c>
      <c r="I219" s="336"/>
      <c r="J219" s="168"/>
      <c r="K219" s="168"/>
    </row>
    <row r="220" spans="1:17">
      <c r="A220" s="163"/>
      <c r="B220" s="170" t="s">
        <v>217</v>
      </c>
      <c r="C220" s="592">
        <f>'[35]Sch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'[35]Sch D'!E9</f>
        <v>700</v>
      </c>
      <c r="D221" s="592"/>
      <c r="E221" s="235">
        <f t="shared" si="59"/>
        <v>700</v>
      </c>
      <c r="F221" s="234">
        <v>1098</v>
      </c>
      <c r="G221" s="235">
        <f t="shared" si="57"/>
        <v>1798</v>
      </c>
      <c r="H221" s="172">
        <f t="shared" si="58"/>
        <v>0.12809004773099666</v>
      </c>
      <c r="I221" s="336"/>
      <c r="J221" s="168"/>
      <c r="K221" s="168"/>
    </row>
    <row r="222" spans="1:17">
      <c r="A222" s="163"/>
      <c r="B222" s="202" t="s">
        <v>334</v>
      </c>
      <c r="C222" s="592">
        <f>'[35]Sch D'!F9</f>
        <v>0</v>
      </c>
      <c r="D222" s="592"/>
      <c r="E222" s="235">
        <f>C222+D222</f>
        <v>0</v>
      </c>
      <c r="F222" s="234">
        <v>0</v>
      </c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f>'[35]Sch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'[35]Sch D'!H9</f>
        <v>245</v>
      </c>
      <c r="D224" s="592"/>
      <c r="E224" s="235">
        <f t="shared" si="59"/>
        <v>245</v>
      </c>
      <c r="F224" s="234">
        <v>545</v>
      </c>
      <c r="G224" s="235">
        <f t="shared" si="57"/>
        <v>790</v>
      </c>
      <c r="H224" s="172">
        <f t="shared" si="58"/>
        <v>5.6279831872907318E-2</v>
      </c>
      <c r="I224" s="336"/>
      <c r="J224" s="168"/>
      <c r="K224" s="168"/>
    </row>
    <row r="225" spans="1:11">
      <c r="A225" s="163"/>
      <c r="B225" s="170" t="s">
        <v>236</v>
      </c>
      <c r="C225" s="592">
        <f>'[35]Sch D'!I9</f>
        <v>557</v>
      </c>
      <c r="D225" s="592"/>
      <c r="E225" s="235">
        <f t="shared" si="59"/>
        <v>557</v>
      </c>
      <c r="F225" s="234">
        <v>827</v>
      </c>
      <c r="G225" s="235">
        <f t="shared" si="57"/>
        <v>1384</v>
      </c>
      <c r="H225" s="172">
        <f t="shared" si="58"/>
        <v>9.8596566217852816E-2</v>
      </c>
      <c r="I225" s="336"/>
      <c r="J225" s="168"/>
      <c r="K225" s="168"/>
    </row>
    <row r="226" spans="1:11">
      <c r="A226" s="163"/>
      <c r="B226" s="170" t="s">
        <v>235</v>
      </c>
      <c r="C226" s="592">
        <f>'[35]Sch D'!J9</f>
        <v>0</v>
      </c>
      <c r="D226" s="592"/>
      <c r="E226" s="235">
        <f>C226+D226</f>
        <v>0</v>
      </c>
      <c r="F226" s="234">
        <v>0</v>
      </c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'[35]Sch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4800</v>
      </c>
      <c r="D228" s="592">
        <f>SUM(D219:D227)</f>
        <v>0</v>
      </c>
      <c r="E228" s="237">
        <f>SUM(E219:E227)</f>
        <v>4800</v>
      </c>
      <c r="F228" s="237">
        <f>SUM(F219:F227)</f>
        <v>9237</v>
      </c>
      <c r="G228" s="237">
        <f>SUM(G219:G227)</f>
        <v>14037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21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20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'[35]Sch D'!N22</f>
        <v>41</v>
      </c>
      <c r="D231" s="559"/>
      <c r="E231" s="235">
        <f>C231+D231</f>
        <v>41</v>
      </c>
      <c r="F231" s="235"/>
      <c r="G231" s="235">
        <f>E231+F231</f>
        <v>41</v>
      </c>
      <c r="H231" s="167"/>
      <c r="J231" s="168"/>
      <c r="K231" s="168"/>
    </row>
    <row r="232" spans="1:11">
      <c r="A232" s="163"/>
      <c r="B232" s="202" t="s">
        <v>290</v>
      </c>
      <c r="C232" s="593">
        <f>'[35]Sch D'!N24</f>
        <v>41</v>
      </c>
      <c r="D232" s="559"/>
      <c r="E232" s="235">
        <f>C232+D232</f>
        <v>41</v>
      </c>
      <c r="F232" s="235"/>
      <c r="G232" s="235">
        <f>E232+F232</f>
        <v>41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$C$4-$C$3+1-243</f>
        <v>123</v>
      </c>
      <c r="D233" s="483"/>
      <c r="E233" s="235">
        <f>C233+D233</f>
        <v>123</v>
      </c>
      <c r="F233" s="239">
        <v>243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23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'[35]Sch D'!N28</f>
        <v>5043</v>
      </c>
      <c r="D235" s="483"/>
      <c r="E235" s="234">
        <f>E231*E233</f>
        <v>5043</v>
      </c>
      <c r="F235" s="239"/>
      <c r="G235" s="234">
        <f>G231*G233</f>
        <v>15006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'[35]Sch D'!N30</f>
        <v>0.95181439619274244</v>
      </c>
      <c r="D236" s="239"/>
      <c r="E236" s="244">
        <f>E228/E235</f>
        <v>0.95181439619274244</v>
      </c>
      <c r="F236" s="245"/>
      <c r="G236" s="244">
        <f>G228/G235</f>
        <v>0.9354258296681327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'[35]Sch D'!N32</f>
        <v>0.65397580805076339</v>
      </c>
      <c r="D237" s="239"/>
      <c r="E237" s="244">
        <f>(E219+E220)/E235</f>
        <v>0.65397580805076339</v>
      </c>
      <c r="F237" s="245"/>
      <c r="G237" s="244">
        <f>(G219+G220)/G235</f>
        <v>0.67073170731707321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'[35]Sch D'!N34</f>
        <v>0.68708333333333327</v>
      </c>
      <c r="D238" s="239"/>
      <c r="E238" s="244">
        <f>(E237/E236)</f>
        <v>0.68708333333333327</v>
      </c>
      <c r="F238" s="245"/>
      <c r="G238" s="244">
        <f>(G237/G236)</f>
        <v>0.71703355417824333</v>
      </c>
      <c r="H238" s="167"/>
      <c r="J238" s="168"/>
      <c r="K238" s="168"/>
    </row>
    <row r="241" spans="2:7">
      <c r="B241" s="148" t="s">
        <v>339</v>
      </c>
      <c r="D241"/>
      <c r="E241"/>
      <c r="F241" s="142" t="s">
        <v>340</v>
      </c>
      <c r="G241" s="558">
        <v>189.24590163934425</v>
      </c>
    </row>
    <row r="242" spans="2:7">
      <c r="D242"/>
      <c r="E242"/>
      <c r="F242" s="142" t="s">
        <v>341</v>
      </c>
      <c r="G242" s="558">
        <f>92.5*1/3+174*2/3</f>
        <v>146.83333333333334</v>
      </c>
    </row>
    <row r="243" spans="2:7">
      <c r="D243"/>
      <c r="E243"/>
      <c r="F243" s="142" t="s">
        <v>342</v>
      </c>
      <c r="G243" s="558">
        <v>182.49180327868854</v>
      </c>
    </row>
    <row r="244" spans="2:7">
      <c r="D244"/>
      <c r="E244"/>
      <c r="F244" s="142" t="s">
        <v>343</v>
      </c>
      <c r="G244" s="558">
        <v>169.44186046511629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rgb="FFE28CAB"/>
  </sheetPr>
  <dimension ref="A1:T248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363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'[36]Sch B'!E10</f>
        <v>3793397</v>
      </c>
      <c r="D11" s="558">
        <f>'[36]Sch B'!G10</f>
        <v>0</v>
      </c>
      <c r="E11" s="171">
        <f>C11+D11</f>
        <v>3793397</v>
      </c>
      <c r="F11" s="171"/>
      <c r="G11" s="171">
        <f t="shared" ref="G11:G20" si="0">E11+F11</f>
        <v>3793397</v>
      </c>
      <c r="H11" s="172">
        <f t="shared" ref="H11:H21" si="1">IF($G$21=0,0,G11/$G$21)</f>
        <v>0.59134608114826048</v>
      </c>
      <c r="I11" s="336"/>
      <c r="J11" s="368" t="s">
        <v>344</v>
      </c>
      <c r="K11" s="369">
        <f>G21</f>
        <v>6414851</v>
      </c>
      <c r="M11" s="359">
        <f>IFERROR(G11/G219,0)</f>
        <v>202.32529734919197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'[36]Sch B'!E15</f>
        <v>489666</v>
      </c>
      <c r="D12" s="558">
        <f>'[36]Sch B'!G15</f>
        <v>0</v>
      </c>
      <c r="E12" s="171">
        <f t="shared" ref="E12:E20" si="2">C12+D12</f>
        <v>489666</v>
      </c>
      <c r="F12" s="171"/>
      <c r="G12" s="171">
        <f>E12+F12</f>
        <v>489666</v>
      </c>
      <c r="H12" s="172">
        <f t="shared" si="1"/>
        <v>7.6333183732560581E-2</v>
      </c>
      <c r="I12" s="336"/>
      <c r="J12" s="370" t="s">
        <v>345</v>
      </c>
      <c r="K12" s="371">
        <f>G208</f>
        <v>6024124</v>
      </c>
      <c r="M12" s="359">
        <f t="shared" ref="M12:M19" si="3">IFERROR(G12/G220,0)</f>
        <v>192.02588235294118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'[36]Sch B'!E21</f>
        <v>566433</v>
      </c>
      <c r="D13" s="558">
        <f>'[36]Sch B'!G21</f>
        <v>0</v>
      </c>
      <c r="E13" s="171">
        <f t="shared" si="2"/>
        <v>566433</v>
      </c>
      <c r="F13" s="171"/>
      <c r="G13" s="171">
        <f t="shared" si="0"/>
        <v>566433</v>
      </c>
      <c r="H13" s="172">
        <f t="shared" si="1"/>
        <v>8.8300258260090525E-2</v>
      </c>
      <c r="I13" s="336"/>
      <c r="J13" s="370" t="s">
        <v>346</v>
      </c>
      <c r="K13" s="371">
        <f>G228</f>
        <v>28977</v>
      </c>
      <c r="M13" s="359">
        <f t="shared" si="3"/>
        <v>582.75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'[36]Sch B'!E27</f>
        <v>0</v>
      </c>
      <c r="D14" s="558">
        <f>'[36]Sch B'!G27</f>
        <v>0</v>
      </c>
      <c r="E14" s="171">
        <f t="shared" si="2"/>
        <v>0</v>
      </c>
      <c r="F14" s="171"/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82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'[36]Sch B'!E32</f>
        <v>971509</v>
      </c>
      <c r="D15" s="558">
        <f>'[36]Sch B'!G32</f>
        <v>0</v>
      </c>
      <c r="E15" s="171">
        <f t="shared" si="2"/>
        <v>971509</v>
      </c>
      <c r="F15" s="171"/>
      <c r="G15" s="171">
        <f t="shared" si="0"/>
        <v>971509</v>
      </c>
      <c r="H15" s="172">
        <f t="shared" si="1"/>
        <v>0.15144685355903045</v>
      </c>
      <c r="I15" s="336"/>
      <c r="J15" s="370" t="s">
        <v>348</v>
      </c>
      <c r="K15" s="371">
        <f>G235</f>
        <v>30012</v>
      </c>
      <c r="M15" s="359">
        <f t="shared" si="3"/>
        <v>223.38675557599447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'[36]Sch B'!E37</f>
        <v>252764</v>
      </c>
      <c r="D16" s="558">
        <f>'[36]Sch B'!G37</f>
        <v>0</v>
      </c>
      <c r="E16" s="171">
        <f t="shared" si="2"/>
        <v>252764</v>
      </c>
      <c r="F16" s="171"/>
      <c r="G16" s="171">
        <f t="shared" si="0"/>
        <v>252764</v>
      </c>
      <c r="H16" s="172">
        <f t="shared" si="1"/>
        <v>3.9402941705115206E-2</v>
      </c>
      <c r="I16" s="336"/>
      <c r="J16" s="372"/>
      <c r="K16" s="371"/>
      <c r="M16" s="359">
        <f t="shared" si="3"/>
        <v>273.25837837837838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'[36]Sch B'!E42</f>
        <v>289717</v>
      </c>
      <c r="D17" s="558">
        <f>'[36]Sch B'!G42</f>
        <v>0</v>
      </c>
      <c r="E17" s="171">
        <f t="shared" si="2"/>
        <v>289717</v>
      </c>
      <c r="F17" s="171"/>
      <c r="G17" s="171">
        <f>E17+F17</f>
        <v>289717</v>
      </c>
      <c r="H17" s="172">
        <f t="shared" si="1"/>
        <v>4.5163480804152736E-2</v>
      </c>
      <c r="I17" s="336"/>
      <c r="J17" s="370" t="s">
        <v>156</v>
      </c>
      <c r="K17" s="371">
        <f>J208</f>
        <v>184994</v>
      </c>
      <c r="M17" s="359">
        <f t="shared" si="3"/>
        <v>202.31634078212289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'[36]Sch B'!E47</f>
        <v>0</v>
      </c>
      <c r="D18" s="558">
        <f>'[36]Sch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192603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'[36]Sch B'!E52</f>
        <v>0</v>
      </c>
      <c r="D19" s="558">
        <f>'[36]Sch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'[36]Sch B'!E67</f>
        <v>51365</v>
      </c>
      <c r="D20" s="558">
        <f>'[36]Sch B'!G67</f>
        <v>0</v>
      </c>
      <c r="E20" s="171">
        <f t="shared" si="2"/>
        <v>51365</v>
      </c>
      <c r="F20" s="171"/>
      <c r="G20" s="171">
        <f t="shared" si="0"/>
        <v>51365</v>
      </c>
      <c r="H20" s="172">
        <f t="shared" si="1"/>
        <v>8.0072007907899968E-3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6414851</v>
      </c>
      <c r="D21" s="558">
        <f>SUM(D11:D20)</f>
        <v>0</v>
      </c>
      <c r="E21" s="171">
        <f>SUM(E11:E20)</f>
        <v>6414851</v>
      </c>
      <c r="F21" s="171">
        <f>SUM(F11:F20)</f>
        <v>0</v>
      </c>
      <c r="G21" s="171">
        <f>SUM(G11:G20)</f>
        <v>6414851</v>
      </c>
      <c r="H21" s="172">
        <f t="shared" si="1"/>
        <v>1</v>
      </c>
      <c r="I21" s="336"/>
      <c r="J21" s="168"/>
      <c r="K21" s="168"/>
      <c r="M21" s="359">
        <f>IFERROR(G21/G228,0)</f>
        <v>221.37733374745488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'[36]Sch C'!D10</f>
        <v>132940</v>
      </c>
      <c r="D25" s="558">
        <f>'[36]Sch C'!F10</f>
        <v>0</v>
      </c>
      <c r="E25" s="171">
        <f t="shared" ref="E25:E60" si="4">C25+D25</f>
        <v>132940</v>
      </c>
      <c r="F25" s="171"/>
      <c r="G25" s="182">
        <f>E25+F25</f>
        <v>132940</v>
      </c>
      <c r="H25" s="172">
        <f>IF($G$208=0,0,G25/$G$208)</f>
        <v>2.2067938840568353E-2</v>
      </c>
      <c r="I25" s="336"/>
      <c r="J25" s="183">
        <v>2608</v>
      </c>
      <c r="K25" s="183">
        <v>2952</v>
      </c>
      <c r="M25" s="359">
        <f>G25/G$228</f>
        <v>4.5877765124063909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'[36]Sch C'!D11</f>
        <v>71062</v>
      </c>
      <c r="D26" s="558">
        <f>'[36]Sch C'!F11</f>
        <v>0</v>
      </c>
      <c r="E26" s="171">
        <f t="shared" si="4"/>
        <v>71062</v>
      </c>
      <c r="F26" s="171"/>
      <c r="G26" s="171">
        <f t="shared" ref="G26:G60" si="5">E26+F26</f>
        <v>71062</v>
      </c>
      <c r="H26" s="184">
        <f t="shared" ref="H26:H61" si="6">IF($G$208=0,0,G26/$G$208)</f>
        <v>1.1796237926045347E-2</v>
      </c>
      <c r="I26" s="336"/>
      <c r="J26" s="183">
        <v>1030</v>
      </c>
      <c r="K26" s="183">
        <v>1390</v>
      </c>
      <c r="M26" s="359">
        <f t="shared" ref="M26:M60" si="7">G26/G$228</f>
        <v>2.4523587672982021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'[36]Sch C'!D12</f>
        <v>101143</v>
      </c>
      <c r="D27" s="558">
        <f>'[36]Sch C'!F12</f>
        <v>0</v>
      </c>
      <c r="E27" s="171">
        <f t="shared" si="4"/>
        <v>101143</v>
      </c>
      <c r="F27" s="171"/>
      <c r="G27" s="171">
        <f t="shared" si="5"/>
        <v>101143</v>
      </c>
      <c r="H27" s="172">
        <f t="shared" si="6"/>
        <v>1.6789661036193809E-2</v>
      </c>
      <c r="I27" s="336"/>
      <c r="J27" s="185">
        <v>2982</v>
      </c>
      <c r="K27" s="185">
        <v>3263</v>
      </c>
      <c r="M27" s="359">
        <f t="shared" si="7"/>
        <v>3.4904579494081514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'[36]Sch C'!D13</f>
        <v>31263</v>
      </c>
      <c r="D28" s="558">
        <f>'[36]Sch C'!F13</f>
        <v>0</v>
      </c>
      <c r="E28" s="171">
        <f t="shared" si="4"/>
        <v>31263</v>
      </c>
      <c r="F28" s="171"/>
      <c r="G28" s="171">
        <f t="shared" si="5"/>
        <v>31263</v>
      </c>
      <c r="H28" s="172">
        <f t="shared" si="6"/>
        <v>5.1896342107167785E-3</v>
      </c>
      <c r="I28" s="336"/>
      <c r="J28" s="168"/>
      <c r="K28" s="168"/>
      <c r="M28" s="359">
        <f t="shared" si="7"/>
        <v>1.0788901542602753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'[36]Sch C'!D14</f>
        <v>0</v>
      </c>
      <c r="D29" s="558">
        <f>'[36]Sch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'[36]Sch C'!D15</f>
        <v>0</v>
      </c>
      <c r="D30" s="558">
        <f>'[36]Sch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'[36]Sch C'!D16</f>
        <v>0</v>
      </c>
      <c r="D31" s="558">
        <f>'[36]Sch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'[36]Sch C'!D17</f>
        <v>7284</v>
      </c>
      <c r="D32" s="558">
        <f>'[36]Sch C'!F17</f>
        <v>0</v>
      </c>
      <c r="E32" s="171">
        <f t="shared" si="4"/>
        <v>7284</v>
      </c>
      <c r="F32" s="171"/>
      <c r="G32" s="171">
        <f t="shared" si="5"/>
        <v>7284</v>
      </c>
      <c r="H32" s="172">
        <f t="shared" si="6"/>
        <v>1.2091384573093117E-3</v>
      </c>
      <c r="I32" s="336"/>
      <c r="J32" s="168"/>
      <c r="K32" s="168"/>
      <c r="M32" s="359">
        <f t="shared" si="7"/>
        <v>0.25137177761673052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'[36]Sch C'!D18</f>
        <v>16087</v>
      </c>
      <c r="D33" s="558">
        <f>'[36]Sch C'!F18</f>
        <v>0</v>
      </c>
      <c r="E33" s="171">
        <f t="shared" si="4"/>
        <v>16087</v>
      </c>
      <c r="F33" s="171"/>
      <c r="G33" s="171">
        <f t="shared" si="5"/>
        <v>16087</v>
      </c>
      <c r="H33" s="172">
        <f t="shared" si="6"/>
        <v>2.6704297587499858E-3</v>
      </c>
      <c r="I33" s="336"/>
      <c r="J33" s="168"/>
      <c r="K33" s="168"/>
      <c r="M33" s="359">
        <f t="shared" si="7"/>
        <v>0.55516444076336402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'[36]Sch C'!D19</f>
        <v>13994</v>
      </c>
      <c r="D34" s="558">
        <f>'[36]Sch C'!F19</f>
        <v>0</v>
      </c>
      <c r="E34" s="171">
        <f t="shared" si="4"/>
        <v>13994</v>
      </c>
      <c r="F34" s="171"/>
      <c r="G34" s="171">
        <f t="shared" si="5"/>
        <v>13994</v>
      </c>
      <c r="H34" s="172">
        <f t="shared" si="6"/>
        <v>2.3229933513984773E-3</v>
      </c>
      <c r="I34" s="336"/>
      <c r="J34" s="168"/>
      <c r="K34" s="168"/>
      <c r="M34" s="359">
        <f t="shared" si="7"/>
        <v>0.48293474134658521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'[36]Sch C'!D20</f>
        <v>39684</v>
      </c>
      <c r="D35" s="558">
        <f>'[36]Sch C'!F20</f>
        <v>0</v>
      </c>
      <c r="E35" s="171">
        <f t="shared" si="4"/>
        <v>39684</v>
      </c>
      <c r="F35" s="171"/>
      <c r="G35" s="171">
        <f t="shared" si="5"/>
        <v>39684</v>
      </c>
      <c r="H35" s="172">
        <f t="shared" si="6"/>
        <v>6.5875138028367282E-3</v>
      </c>
      <c r="I35" s="336"/>
      <c r="J35" s="168"/>
      <c r="K35" s="168"/>
      <c r="M35" s="359">
        <f t="shared" si="7"/>
        <v>1.3694999482348069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'[36]Sch C'!D21</f>
        <v>5407</v>
      </c>
      <c r="D36" s="558">
        <f>'[36]Sch C'!F21</f>
        <v>0</v>
      </c>
      <c r="E36" s="171">
        <f t="shared" si="4"/>
        <v>5407</v>
      </c>
      <c r="F36" s="171"/>
      <c r="G36" s="171">
        <f t="shared" si="5"/>
        <v>5407</v>
      </c>
      <c r="H36" s="172">
        <f t="shared" si="6"/>
        <v>8.9755788559465241E-4</v>
      </c>
      <c r="I36" s="336"/>
      <c r="J36" s="168"/>
      <c r="K36" s="168"/>
      <c r="M36" s="359">
        <f t="shared" si="7"/>
        <v>0.1865962660040722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'[36]Sch C'!D22</f>
        <v>0</v>
      </c>
      <c r="D37" s="558">
        <f>'[36]Sch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'[36]Sch C'!D23</f>
        <v>26491</v>
      </c>
      <c r="D38" s="558">
        <f>'[36]Sch C'!F23</f>
        <v>-18603</v>
      </c>
      <c r="E38" s="171">
        <f t="shared" si="4"/>
        <v>7888</v>
      </c>
      <c r="F38" s="171"/>
      <c r="G38" s="171">
        <f t="shared" si="5"/>
        <v>7888</v>
      </c>
      <c r="H38" s="172">
        <f t="shared" si="6"/>
        <v>1.3094019977012426E-3</v>
      </c>
      <c r="I38" s="336"/>
      <c r="J38" s="168"/>
      <c r="K38" s="168"/>
      <c r="M38" s="359">
        <f t="shared" si="7"/>
        <v>0.27221589536528973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'[36]Sch C'!D24</f>
        <v>16898</v>
      </c>
      <c r="D39" s="558">
        <f>'[36]Sch C'!F24</f>
        <v>0</v>
      </c>
      <c r="E39" s="171">
        <f t="shared" si="4"/>
        <v>16898</v>
      </c>
      <c r="F39" s="171"/>
      <c r="G39" s="171">
        <f t="shared" si="5"/>
        <v>16898</v>
      </c>
      <c r="H39" s="172">
        <f t="shared" si="6"/>
        <v>2.8050551416272307E-3</v>
      </c>
      <c r="I39" s="336"/>
      <c r="J39" s="168"/>
      <c r="K39" s="168"/>
      <c r="M39" s="359">
        <f t="shared" si="7"/>
        <v>0.58315215515753871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'[36]Sch C'!D25</f>
        <v>0</v>
      </c>
      <c r="D40" s="558">
        <f>'[36]Sch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'[36]Sch C'!D26</f>
        <v>513674</v>
      </c>
      <c r="D41" s="558">
        <f>'[36]Sch C'!F26</f>
        <v>0</v>
      </c>
      <c r="E41" s="171">
        <f t="shared" si="4"/>
        <v>513674</v>
      </c>
      <c r="F41" s="171"/>
      <c r="G41" s="171">
        <f t="shared" si="5"/>
        <v>513674</v>
      </c>
      <c r="H41" s="172">
        <f t="shared" si="6"/>
        <v>8.5269493124643519E-2</v>
      </c>
      <c r="I41" s="336"/>
      <c r="J41" s="168"/>
      <c r="K41" s="168"/>
      <c r="M41" s="359">
        <f t="shared" si="7"/>
        <v>17.726955861545363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'[36]Sch C'!D27</f>
        <v>16997</v>
      </c>
      <c r="D42" s="558">
        <f>'[36]Sch C'!F27</f>
        <v>0</v>
      </c>
      <c r="E42" s="171">
        <f t="shared" si="4"/>
        <v>16997</v>
      </c>
      <c r="F42" s="171"/>
      <c r="G42" s="171">
        <f t="shared" si="5"/>
        <v>16997</v>
      </c>
      <c r="H42" s="172">
        <f t="shared" si="6"/>
        <v>2.8214890662941203E-3</v>
      </c>
      <c r="I42" s="336"/>
      <c r="J42" s="168"/>
      <c r="K42" s="168"/>
      <c r="M42" s="359">
        <f t="shared" si="7"/>
        <v>0.58656865790109403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'[36]Sch C'!D28</f>
        <v>0</v>
      </c>
      <c r="D43" s="558">
        <f>'[36]Sch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'[36]Sch C'!D29</f>
        <v>69946</v>
      </c>
      <c r="D44" s="558">
        <f>'[36]Sch C'!F29</f>
        <v>-69946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'[36]Sch C'!D30</f>
        <v>0</v>
      </c>
      <c r="D45" s="558">
        <f>'[36]Sch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'[36]Sch C'!D31</f>
        <v>32638</v>
      </c>
      <c r="D46" s="558">
        <f>'[36]Sch C'!F31</f>
        <v>0</v>
      </c>
      <c r="E46" s="171">
        <f t="shared" si="4"/>
        <v>32638</v>
      </c>
      <c r="F46" s="171"/>
      <c r="G46" s="171">
        <f t="shared" si="5"/>
        <v>32638</v>
      </c>
      <c r="H46" s="172">
        <f t="shared" si="6"/>
        <v>5.4178831644235747E-3</v>
      </c>
      <c r="I46" s="336"/>
      <c r="J46" s="168"/>
      <c r="K46" s="168"/>
      <c r="M46" s="359">
        <f t="shared" si="7"/>
        <v>1.126341581254098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'[36]Sch C'!D32</f>
        <v>65101</v>
      </c>
      <c r="D47" s="558">
        <f>'[36]Sch C'!F32</f>
        <v>0</v>
      </c>
      <c r="E47" s="171">
        <f t="shared" si="4"/>
        <v>65101</v>
      </c>
      <c r="F47" s="171"/>
      <c r="G47" s="171">
        <f t="shared" si="5"/>
        <v>65101</v>
      </c>
      <c r="H47" s="172">
        <f t="shared" si="6"/>
        <v>1.0806716462011739E-2</v>
      </c>
      <c r="I47" s="336"/>
      <c r="J47" s="168"/>
      <c r="K47" s="168"/>
      <c r="M47" s="359">
        <f t="shared" si="7"/>
        <v>2.2466438899817098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'[36]Sch C'!D33</f>
        <v>0</v>
      </c>
      <c r="D48" s="558">
        <f>'[36]Sch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'[36]Sch C'!D34</f>
        <v>0</v>
      </c>
      <c r="D49" s="558">
        <f>'[36]Sch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'[36]Sch C'!D35</f>
        <v>0</v>
      </c>
      <c r="D50" s="558">
        <f>'[36]Sch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'[36]Sch C'!D36</f>
        <v>57573</v>
      </c>
      <c r="D51" s="558">
        <f>'[36]Sch C'!F36</f>
        <v>0</v>
      </c>
      <c r="E51" s="171">
        <f t="shared" si="4"/>
        <v>57573</v>
      </c>
      <c r="F51" s="171"/>
      <c r="G51" s="171">
        <f t="shared" si="5"/>
        <v>57573</v>
      </c>
      <c r="H51" s="172">
        <f t="shared" si="6"/>
        <v>9.5570741903719114E-3</v>
      </c>
      <c r="I51" s="336"/>
      <c r="J51" s="183">
        <v>3079</v>
      </c>
      <c r="K51" s="183">
        <v>3199</v>
      </c>
      <c r="M51" s="359">
        <f t="shared" si="7"/>
        <v>1.9868516409566208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'[36]Sch C'!D37</f>
        <v>5898</v>
      </c>
      <c r="D52" s="558">
        <f>'[36]Sch C'!F37</f>
        <v>0</v>
      </c>
      <c r="E52" s="171">
        <f t="shared" si="4"/>
        <v>5898</v>
      </c>
      <c r="F52" s="171"/>
      <c r="G52" s="171">
        <f t="shared" si="5"/>
        <v>5898</v>
      </c>
      <c r="H52" s="172">
        <f t="shared" si="6"/>
        <v>9.7906351197286109E-4</v>
      </c>
      <c r="I52" s="336"/>
      <c r="J52" s="168"/>
      <c r="K52" s="168"/>
      <c r="M52" s="359">
        <f t="shared" si="7"/>
        <v>0.20354073920695726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'[36]Sch C'!D38</f>
        <v>0</v>
      </c>
      <c r="D53" s="558">
        <f>'[36]Sch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'[36]Sch C'!D39</f>
        <v>3649</v>
      </c>
      <c r="D54" s="558">
        <f>'[36]Sch C'!F39</f>
        <v>0</v>
      </c>
      <c r="E54" s="171">
        <f t="shared" si="4"/>
        <v>3649</v>
      </c>
      <c r="F54" s="171"/>
      <c r="G54" s="171">
        <f t="shared" si="5"/>
        <v>3649</v>
      </c>
      <c r="H54" s="172">
        <f t="shared" si="6"/>
        <v>6.0573122332807227E-4</v>
      </c>
      <c r="I54" s="336"/>
      <c r="J54" s="168"/>
      <c r="K54" s="168"/>
      <c r="M54" s="359">
        <f t="shared" si="7"/>
        <v>0.12592745970942471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'[36]Sch C'!D40</f>
        <v>4545</v>
      </c>
      <c r="D55" s="558">
        <f>'[36]Sch C'!F40</f>
        <v>0</v>
      </c>
      <c r="E55" s="171">
        <f t="shared" si="4"/>
        <v>4545</v>
      </c>
      <c r="F55" s="171"/>
      <c r="G55" s="171">
        <f t="shared" si="5"/>
        <v>4545</v>
      </c>
      <c r="H55" s="172">
        <f t="shared" si="6"/>
        <v>7.5446654152537367E-4</v>
      </c>
      <c r="I55" s="336"/>
      <c r="J55" s="168"/>
      <c r="K55" s="168"/>
      <c r="M55" s="359">
        <f t="shared" si="7"/>
        <v>0.15684853504503571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'[36]Sch C'!D41</f>
        <v>739</v>
      </c>
      <c r="D56" s="558">
        <f>'[36]Sch C'!F41</f>
        <v>0</v>
      </c>
      <c r="E56" s="171">
        <f t="shared" si="4"/>
        <v>739</v>
      </c>
      <c r="F56" s="171"/>
      <c r="G56" s="171">
        <f t="shared" si="5"/>
        <v>739</v>
      </c>
      <c r="H56" s="172">
        <f t="shared" si="6"/>
        <v>1.2267343766496174E-4</v>
      </c>
      <c r="I56" s="336"/>
      <c r="J56" s="168"/>
      <c r="K56" s="168"/>
      <c r="M56" s="359">
        <f t="shared" si="7"/>
        <v>2.5502985126134522E-2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'[36]Sch C'!D42</f>
        <v>0</v>
      </c>
      <c r="D57" s="558">
        <f>'[36]Sch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'[36]Sch C'!D43</f>
        <v>0</v>
      </c>
      <c r="D58" s="558">
        <f>'[36]Sch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'[36]Sch C'!D44</f>
        <v>0</v>
      </c>
      <c r="D59" s="558">
        <f>'[36]Sch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'[36]Sch C'!D45</f>
        <v>0</v>
      </c>
      <c r="D60" s="558">
        <f>'[36]Sch C'!F45</f>
        <v>0</v>
      </c>
      <c r="E60" s="171">
        <f t="shared" si="4"/>
        <v>0</v>
      </c>
      <c r="F60" s="171"/>
      <c r="G60" s="171">
        <f t="shared" si="5"/>
        <v>0</v>
      </c>
      <c r="H60" s="172">
        <f t="shared" si="6"/>
        <v>0</v>
      </c>
      <c r="I60" s="336"/>
      <c r="J60" s="168"/>
      <c r="K60" s="168"/>
      <c r="M60" s="359">
        <f t="shared" si="7"/>
        <v>0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1233013</v>
      </c>
      <c r="D61" s="558">
        <f>SUM(D25:D60)</f>
        <v>-88549</v>
      </c>
      <c r="E61" s="171">
        <f t="shared" ref="E61:F61" si="8">SUM(E25:E60)</f>
        <v>1144464</v>
      </c>
      <c r="F61" s="171">
        <f t="shared" si="8"/>
        <v>0</v>
      </c>
      <c r="G61" s="171">
        <f>SUM(G25:G60)</f>
        <v>1144464</v>
      </c>
      <c r="H61" s="186">
        <f t="shared" si="6"/>
        <v>0.18998015313097805</v>
      </c>
      <c r="I61" s="338"/>
      <c r="J61" s="168"/>
      <c r="K61" s="168"/>
      <c r="M61" s="364">
        <f>G61/G$228</f>
        <v>39.495599958587846</v>
      </c>
      <c r="N61" s="359">
        <f>SUMMARY!J64</f>
        <v>53.728790309602623</v>
      </c>
      <c r="O61" s="354">
        <f>M61/N61-1</f>
        <v>-0.26490807384641535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'[36]Sch C'!D57</f>
        <v>280968</v>
      </c>
      <c r="D64" s="558">
        <f>'[36]Sch C'!F57</f>
        <v>-280968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'[36]Sch C'!D58</f>
        <v>9558</v>
      </c>
      <c r="D65" s="558">
        <f>'[36]Sch C'!F58</f>
        <v>76408</v>
      </c>
      <c r="E65" s="171">
        <f t="shared" si="9"/>
        <v>85966</v>
      </c>
      <c r="F65" s="171"/>
      <c r="G65" s="171">
        <f t="shared" si="10"/>
        <v>85966</v>
      </c>
      <c r="H65" s="172">
        <f t="shared" si="11"/>
        <v>1.4270290584987959E-2</v>
      </c>
      <c r="I65" s="336"/>
      <c r="J65" s="190"/>
      <c r="K65" s="168"/>
      <c r="M65" s="359">
        <f t="shared" si="12"/>
        <v>2.9666977257825171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'[36]Sch C'!D59</f>
        <v>0</v>
      </c>
      <c r="D66" s="558">
        <f>'[36]Sch C'!F59</f>
        <v>164152</v>
      </c>
      <c r="E66" s="171">
        <f t="shared" si="9"/>
        <v>164152</v>
      </c>
      <c r="F66" s="171"/>
      <c r="G66" s="171">
        <f t="shared" si="10"/>
        <v>164152</v>
      </c>
      <c r="H66" s="172">
        <f t="shared" si="11"/>
        <v>2.7249107090093098E-2</v>
      </c>
      <c r="I66" s="336"/>
      <c r="J66" s="190"/>
      <c r="K66" s="168"/>
      <c r="M66" s="359">
        <f t="shared" si="12"/>
        <v>5.6649066501018046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'[36]Sch C'!D60</f>
        <v>0</v>
      </c>
      <c r="D67" s="558">
        <f>'[36]Sch C'!F60</f>
        <v>24893</v>
      </c>
      <c r="E67" s="171">
        <f t="shared" si="9"/>
        <v>24893</v>
      </c>
      <c r="F67" s="171"/>
      <c r="G67" s="171">
        <f t="shared" si="10"/>
        <v>24893</v>
      </c>
      <c r="H67" s="172">
        <f t="shared" si="11"/>
        <v>4.1322190579078386E-3</v>
      </c>
      <c r="I67" s="336"/>
      <c r="J67" s="193"/>
      <c r="K67" s="168"/>
      <c r="M67" s="359">
        <f t="shared" si="12"/>
        <v>0.85906063429616597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'[36]Sch C'!D61</f>
        <v>0</v>
      </c>
      <c r="D68" s="558">
        <f>'[36]Sch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'[36]Sch C'!D62</f>
        <v>5025</v>
      </c>
      <c r="D69" s="558">
        <f>'[36]Sch C'!F62</f>
        <v>0</v>
      </c>
      <c r="E69" s="171">
        <f t="shared" si="9"/>
        <v>5025</v>
      </c>
      <c r="F69" s="171"/>
      <c r="G69" s="171">
        <f t="shared" si="10"/>
        <v>5025</v>
      </c>
      <c r="H69" s="172">
        <f t="shared" si="11"/>
        <v>8.3414617627392798E-4</v>
      </c>
      <c r="I69" s="336"/>
      <c r="J69" s="195"/>
      <c r="K69" s="168"/>
      <c r="M69" s="359">
        <f t="shared" si="12"/>
        <v>0.17341339683197018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'[36]Sch C'!D63</f>
        <v>0</v>
      </c>
      <c r="D70" s="558">
        <f>'[36]Sch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'[36]Sch C'!D64</f>
        <v>0</v>
      </c>
      <c r="D71" s="558">
        <f>'[36]Sch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'[36]Sch C'!D65</f>
        <v>12596</v>
      </c>
      <c r="D72" s="558">
        <f>'[36]Sch C'!F65</f>
        <v>0</v>
      </c>
      <c r="E72" s="171">
        <f t="shared" si="9"/>
        <v>12596</v>
      </c>
      <c r="F72" s="171"/>
      <c r="G72" s="171">
        <f t="shared" si="10"/>
        <v>12596</v>
      </c>
      <c r="H72" s="172">
        <f t="shared" si="11"/>
        <v>2.0909264151933128E-3</v>
      </c>
      <c r="I72" s="336"/>
      <c r="J72" s="195"/>
      <c r="K72" s="168"/>
      <c r="M72" s="359">
        <f t="shared" si="12"/>
        <v>0.43468958139213859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'[36]Sch C'!D66</f>
        <v>6891</v>
      </c>
      <c r="D73" s="558">
        <f>'[36]Sch C'!F66</f>
        <v>0</v>
      </c>
      <c r="E73" s="171">
        <f t="shared" si="9"/>
        <v>6891</v>
      </c>
      <c r="F73" s="171"/>
      <c r="G73" s="171">
        <f t="shared" si="10"/>
        <v>6891</v>
      </c>
      <c r="H73" s="172">
        <f t="shared" si="11"/>
        <v>1.1439007563589329E-3</v>
      </c>
      <c r="I73" s="336"/>
      <c r="J73" s="195"/>
      <c r="K73" s="168"/>
      <c r="M73" s="359">
        <f t="shared" si="12"/>
        <v>0.23780929702867792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'[36]Sch C'!D67</f>
        <v>57605</v>
      </c>
      <c r="D74" s="558">
        <f>'[36]Sch C'!F67</f>
        <v>0</v>
      </c>
      <c r="E74" s="171">
        <f t="shared" si="9"/>
        <v>57605</v>
      </c>
      <c r="F74" s="171"/>
      <c r="G74" s="171">
        <f t="shared" si="10"/>
        <v>57605</v>
      </c>
      <c r="H74" s="172">
        <f t="shared" si="11"/>
        <v>9.5623861660218152E-3</v>
      </c>
      <c r="I74" s="336"/>
      <c r="J74" s="195"/>
      <c r="K74" s="168"/>
      <c r="M74" s="359">
        <f t="shared" si="12"/>
        <v>1.9879559650757497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'[36]Sch C'!D68</f>
        <v>42078</v>
      </c>
      <c r="D75" s="558">
        <f>'[36]Sch C'!F68</f>
        <v>-42078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'[36]Sch C'!D69</f>
        <v>2193</v>
      </c>
      <c r="D76" s="558">
        <f>'[36]Sch C'!F69</f>
        <v>0</v>
      </c>
      <c r="E76" s="171">
        <f t="shared" si="9"/>
        <v>2193</v>
      </c>
      <c r="F76" s="171"/>
      <c r="G76" s="171">
        <f t="shared" si="10"/>
        <v>2193</v>
      </c>
      <c r="H76" s="172">
        <f t="shared" si="11"/>
        <v>3.6403633125745754E-4</v>
      </c>
      <c r="I76" s="336"/>
      <c r="J76" s="195"/>
      <c r="K76" s="168"/>
      <c r="M76" s="359">
        <f t="shared" si="12"/>
        <v>7.5680712289056845E-2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'[36]Sch C'!D70</f>
        <v>0</v>
      </c>
      <c r="D77" s="558">
        <f>'[36]Sch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'[36]Sch C'!D71</f>
        <v>0</v>
      </c>
      <c r="D78" s="558">
        <f>'[36]Sch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416914</v>
      </c>
      <c r="D79" s="558">
        <f>SUM(D64:D78)</f>
        <v>-57593</v>
      </c>
      <c r="E79" s="171">
        <f t="shared" ref="E79:F79" si="13">SUM(E64:E78)</f>
        <v>359321</v>
      </c>
      <c r="F79" s="171">
        <f t="shared" si="13"/>
        <v>0</v>
      </c>
      <c r="G79" s="171">
        <f>SUM(G64:G78)</f>
        <v>359321</v>
      </c>
      <c r="H79" s="172">
        <f t="shared" si="11"/>
        <v>5.9647012578094342E-2</v>
      </c>
      <c r="I79" s="336"/>
      <c r="J79" s="195"/>
      <c r="K79" s="168"/>
      <c r="M79" s="359">
        <f t="shared" si="12"/>
        <v>12.400213962798082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'[36]Sch C'!D75</f>
        <v>146421</v>
      </c>
      <c r="D82" s="558">
        <f>'[36]Sch C'!F75</f>
        <v>0</v>
      </c>
      <c r="E82" s="171">
        <f t="shared" ref="E82:E92" si="14">C82+D82</f>
        <v>146421</v>
      </c>
      <c r="F82" s="171"/>
      <c r="G82" s="171">
        <f t="shared" ref="G82:G92" si="15">E82+F82</f>
        <v>146421</v>
      </c>
      <c r="H82" s="172">
        <f t="shared" ref="H82:H93" si="16">IF($G$208=0,0,G82/$G$208)</f>
        <v>2.4305774582329315E-2</v>
      </c>
      <c r="I82" s="336"/>
      <c r="J82" s="183">
        <v>7257</v>
      </c>
      <c r="K82" s="183">
        <v>7497</v>
      </c>
      <c r="M82" s="359">
        <f t="shared" ref="M82:M92" si="17">G82/G$228</f>
        <v>5.0530075577181899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'[36]Sch C'!D76</f>
        <v>15001</v>
      </c>
      <c r="D83" s="558">
        <f>'[36]Sch C'!F76</f>
        <v>0</v>
      </c>
      <c r="E83" s="171">
        <f t="shared" si="14"/>
        <v>15001</v>
      </c>
      <c r="F83" s="171"/>
      <c r="G83" s="171">
        <f t="shared" si="15"/>
        <v>15001</v>
      </c>
      <c r="H83" s="172">
        <f t="shared" si="16"/>
        <v>2.4901545851313818E-3</v>
      </c>
      <c r="I83" s="336"/>
      <c r="J83" s="168"/>
      <c r="K83" s="168"/>
      <c r="M83" s="359">
        <f t="shared" si="17"/>
        <v>0.51768644097042482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'[36]Sch C'!D77</f>
        <v>42321</v>
      </c>
      <c r="D84" s="558">
        <f>'[36]Sch C'!F77</f>
        <v>0</v>
      </c>
      <c r="E84" s="171">
        <f t="shared" si="14"/>
        <v>42321</v>
      </c>
      <c r="F84" s="171"/>
      <c r="G84" s="171">
        <f t="shared" si="15"/>
        <v>42321</v>
      </c>
      <c r="H84" s="172">
        <f t="shared" si="16"/>
        <v>7.0252537962365979E-3</v>
      </c>
      <c r="I84" s="336"/>
      <c r="J84" s="168"/>
      <c r="K84" s="168"/>
      <c r="M84" s="359">
        <f t="shared" si="17"/>
        <v>1.4605031576767782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'[36]Sch C'!D78</f>
        <v>8122</v>
      </c>
      <c r="D85" s="558">
        <f>'[36]Sch C'!F78</f>
        <v>0</v>
      </c>
      <c r="E85" s="171">
        <f t="shared" si="14"/>
        <v>8122</v>
      </c>
      <c r="F85" s="171"/>
      <c r="G85" s="171">
        <f t="shared" si="15"/>
        <v>8122</v>
      </c>
      <c r="H85" s="172">
        <f t="shared" si="16"/>
        <v>1.3482458196411628E-3</v>
      </c>
      <c r="I85" s="336"/>
      <c r="J85" s="168"/>
      <c r="K85" s="168"/>
      <c r="M85" s="359">
        <f t="shared" si="17"/>
        <v>0.28029126548642025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'[36]Sch C'!D79</f>
        <v>0</v>
      </c>
      <c r="D86" s="558">
        <f>'[36]Sch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'[36]Sch C'!D80</f>
        <v>30982</v>
      </c>
      <c r="D87" s="558">
        <f>'[36]Sch C'!F80</f>
        <v>0</v>
      </c>
      <c r="E87" s="171">
        <f t="shared" si="14"/>
        <v>30982</v>
      </c>
      <c r="F87" s="171"/>
      <c r="G87" s="171">
        <f t="shared" si="15"/>
        <v>30982</v>
      </c>
      <c r="H87" s="172">
        <f t="shared" si="16"/>
        <v>5.1429884245410623E-3</v>
      </c>
      <c r="I87" s="336"/>
      <c r="J87" s="168"/>
      <c r="K87" s="168"/>
      <c r="M87" s="359">
        <f t="shared" si="17"/>
        <v>1.0691928080891742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'[36]Sch C'!D81</f>
        <v>0</v>
      </c>
      <c r="D88" s="558">
        <f>'[36]Sch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'[36]Sch C'!D82</f>
        <v>0</v>
      </c>
      <c r="D89" s="558">
        <f>'[36]Sch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'[36]Sch C'!D83</f>
        <v>17858</v>
      </c>
      <c r="D90" s="558">
        <f>'[36]Sch C'!F83</f>
        <v>0</v>
      </c>
      <c r="E90" s="171">
        <f t="shared" si="14"/>
        <v>17858</v>
      </c>
      <c r="F90" s="171"/>
      <c r="G90" s="171">
        <f t="shared" si="15"/>
        <v>17858</v>
      </c>
      <c r="H90" s="172">
        <f t="shared" si="16"/>
        <v>2.9644144111243393E-3</v>
      </c>
      <c r="I90" s="336"/>
      <c r="J90" s="168"/>
      <c r="K90" s="168"/>
      <c r="M90" s="359">
        <f t="shared" si="17"/>
        <v>0.61628187873140772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'[36]Sch C'!D84</f>
        <v>90669</v>
      </c>
      <c r="D91" s="558">
        <f>'[36]Sch C'!F84</f>
        <v>0</v>
      </c>
      <c r="E91" s="171">
        <f t="shared" si="14"/>
        <v>90669</v>
      </c>
      <c r="F91" s="171"/>
      <c r="G91" s="171">
        <f t="shared" si="15"/>
        <v>90669</v>
      </c>
      <c r="H91" s="172">
        <f t="shared" si="16"/>
        <v>1.5050985006284731E-2</v>
      </c>
      <c r="I91" s="336"/>
      <c r="J91" s="168"/>
      <c r="K91" s="168"/>
      <c r="M91" s="359">
        <f t="shared" si="17"/>
        <v>3.1289988611657522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'[36]Sch C'!D85</f>
        <v>0</v>
      </c>
      <c r="D92" s="558">
        <f>'[36]Sch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351374</v>
      </c>
      <c r="D93" s="558">
        <f>SUM(D82:D92)</f>
        <v>0</v>
      </c>
      <c r="E93" s="171">
        <f t="shared" ref="E93:F93" si="18">SUM(E82:E92)</f>
        <v>351374</v>
      </c>
      <c r="F93" s="171">
        <f t="shared" si="18"/>
        <v>0</v>
      </c>
      <c r="G93" s="171">
        <f>SUM(G82:G92)</f>
        <v>351374</v>
      </c>
      <c r="H93" s="172">
        <f t="shared" si="16"/>
        <v>5.8327816625288589E-2</v>
      </c>
      <c r="I93" s="336"/>
      <c r="J93" s="168"/>
      <c r="K93" s="168"/>
      <c r="M93" s="364">
        <f>G93/G$228</f>
        <v>12.125961969838148</v>
      </c>
      <c r="N93" s="359">
        <f>SUMMARY!J96</f>
        <v>11.458724454710746</v>
      </c>
      <c r="O93" s="354">
        <f>M93/N93-1</f>
        <v>5.8229650059618665E-2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'[36]Sch C'!D89</f>
        <v>254869</v>
      </c>
      <c r="D96" s="558">
        <f>'[36]Sch C'!F89</f>
        <v>0</v>
      </c>
      <c r="E96" s="171">
        <f t="shared" ref="E96:E101" si="19">C96+D96</f>
        <v>254869</v>
      </c>
      <c r="F96" s="171"/>
      <c r="G96" s="171">
        <f t="shared" ref="G96:G101" si="20">E96+F96</f>
        <v>254869</v>
      </c>
      <c r="H96" s="172">
        <f t="shared" ref="H96:H102" si="21">IF($G$208=0,0,G96/$G$208)</f>
        <v>4.2308060059852687E-2</v>
      </c>
      <c r="I96" s="336"/>
      <c r="J96" s="183">
        <v>19125</v>
      </c>
      <c r="K96" s="183">
        <v>19605</v>
      </c>
      <c r="M96" s="364">
        <f t="shared" ref="M96:M101" si="22">G96/G$228</f>
        <v>8.7955619974462511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'[36]Sch C'!D90</f>
        <v>26111</v>
      </c>
      <c r="D97" s="558">
        <f>'[36]Sch C'!F90</f>
        <v>0</v>
      </c>
      <c r="E97" s="171">
        <f t="shared" si="19"/>
        <v>26111</v>
      </c>
      <c r="F97" s="171"/>
      <c r="G97" s="171">
        <f t="shared" si="20"/>
        <v>26111</v>
      </c>
      <c r="H97" s="172">
        <f t="shared" si="21"/>
        <v>4.334406131082295E-3</v>
      </c>
      <c r="I97" s="336"/>
      <c r="J97" s="168"/>
      <c r="K97" s="168"/>
      <c r="M97" s="364">
        <f t="shared" si="22"/>
        <v>0.90109397108051215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'[36]Sch C'!D91</f>
        <v>13092</v>
      </c>
      <c r="D98" s="558">
        <f>'[36]Sch C'!F91</f>
        <v>0</v>
      </c>
      <c r="E98" s="171">
        <f t="shared" si="19"/>
        <v>13092</v>
      </c>
      <c r="F98" s="171"/>
      <c r="G98" s="171">
        <f t="shared" si="20"/>
        <v>13092</v>
      </c>
      <c r="H98" s="172">
        <f t="shared" si="21"/>
        <v>2.1732620377668188E-3</v>
      </c>
      <c r="I98" s="336"/>
      <c r="J98" s="168"/>
      <c r="K98" s="168"/>
      <c r="M98" s="364">
        <f t="shared" si="22"/>
        <v>0.45180660523863753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'[36]Sch C'!D92</f>
        <v>291961</v>
      </c>
      <c r="D99" s="558">
        <f>'[36]Sch C'!F92</f>
        <v>0</v>
      </c>
      <c r="E99" s="171">
        <f t="shared" si="19"/>
        <v>291961</v>
      </c>
      <c r="F99" s="171"/>
      <c r="G99" s="171">
        <f t="shared" si="20"/>
        <v>291961</v>
      </c>
      <c r="H99" s="172">
        <f t="shared" si="21"/>
        <v>4.846530383504722E-2</v>
      </c>
      <c r="I99" s="336"/>
      <c r="J99" s="168"/>
      <c r="K99" s="168"/>
      <c r="M99" s="364">
        <f t="shared" si="22"/>
        <v>10.075611692031611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'[36]Sch C'!D93</f>
        <v>536</v>
      </c>
      <c r="D100" s="558">
        <f>'[36]Sch C'!F93</f>
        <v>0</v>
      </c>
      <c r="E100" s="171">
        <f t="shared" si="19"/>
        <v>536</v>
      </c>
      <c r="F100" s="171"/>
      <c r="G100" s="171">
        <f t="shared" si="20"/>
        <v>536</v>
      </c>
      <c r="H100" s="172">
        <f t="shared" si="21"/>
        <v>8.8975592135885647E-5</v>
      </c>
      <c r="I100" s="336"/>
      <c r="J100" s="168"/>
      <c r="K100" s="168"/>
      <c r="M100" s="364">
        <f t="shared" si="22"/>
        <v>1.8497428995410153E-2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'[36]Sch C'!D94</f>
        <v>0</v>
      </c>
      <c r="D101" s="558">
        <f>'[36]Sch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586569</v>
      </c>
      <c r="D102" s="558">
        <f>SUM(D96:D101)</f>
        <v>0</v>
      </c>
      <c r="E102" s="171">
        <f t="shared" ref="E102:F102" si="23">SUM(E96:E101)</f>
        <v>586569</v>
      </c>
      <c r="F102" s="171">
        <f t="shared" si="23"/>
        <v>0</v>
      </c>
      <c r="G102" s="171">
        <f>SUM(G96:G101)</f>
        <v>586569</v>
      </c>
      <c r="H102" s="172">
        <f t="shared" si="21"/>
        <v>9.737000765588491E-2</v>
      </c>
      <c r="I102" s="336"/>
      <c r="J102" s="168"/>
      <c r="K102" s="168"/>
      <c r="M102" s="364">
        <f>G102/G$228</f>
        <v>20.242571694792421</v>
      </c>
      <c r="N102" s="359">
        <f>SUMMARY!J105</f>
        <v>19.901077037785338</v>
      </c>
      <c r="O102" s="354">
        <f>M102/N102-1</f>
        <v>1.7159606807144234E-2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'[36]Sch C'!D98</f>
        <v>84563</v>
      </c>
      <c r="D105" s="558">
        <f>'[36]Sch C'!F98</f>
        <v>0</v>
      </c>
      <c r="E105" s="171">
        <f t="shared" ref="E105:E110" si="24">C105+D105</f>
        <v>84563</v>
      </c>
      <c r="F105" s="171"/>
      <c r="G105" s="171">
        <f t="shared" ref="G105:G110" si="25">E105+F105</f>
        <v>84563</v>
      </c>
      <c r="H105" s="172">
        <f t="shared" ref="H105:H111" si="26">IF($G$208=0,0,G105/$G$208)</f>
        <v>1.4037393652587497E-2</v>
      </c>
      <c r="I105" s="336"/>
      <c r="J105" s="183">
        <v>7113</v>
      </c>
      <c r="K105" s="183">
        <v>7353</v>
      </c>
      <c r="M105" s="364">
        <f t="shared" ref="M105:M110" si="27">G105/G$228</f>
        <v>2.9182800151844566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'[36]Sch C'!D99</f>
        <v>8663</v>
      </c>
      <c r="D106" s="558">
        <f>'[36]Sch C'!F99</f>
        <v>0</v>
      </c>
      <c r="E106" s="171">
        <f t="shared" si="24"/>
        <v>8663</v>
      </c>
      <c r="F106" s="171"/>
      <c r="G106" s="171">
        <f t="shared" si="25"/>
        <v>8663</v>
      </c>
      <c r="H106" s="172">
        <f t="shared" si="26"/>
        <v>1.4380514079723459E-3</v>
      </c>
      <c r="I106" s="336"/>
      <c r="J106" s="168"/>
      <c r="K106" s="168"/>
      <c r="M106" s="364">
        <f t="shared" si="27"/>
        <v>0.29896124512544431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'[36]Sch C'!D100</f>
        <v>9379</v>
      </c>
      <c r="D107" s="558">
        <f>'[36]Sch C'!F100</f>
        <v>0</v>
      </c>
      <c r="E107" s="171">
        <f t="shared" si="24"/>
        <v>9379</v>
      </c>
      <c r="F107" s="171"/>
      <c r="G107" s="171">
        <f t="shared" si="25"/>
        <v>9379</v>
      </c>
      <c r="H107" s="172">
        <f t="shared" si="26"/>
        <v>1.5569068631389393E-3</v>
      </c>
      <c r="I107" s="336"/>
      <c r="J107" s="168"/>
      <c r="K107" s="168"/>
      <c r="M107" s="364">
        <f t="shared" si="27"/>
        <v>0.32367049729095487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'[36]Sch C'!D101</f>
        <v>0</v>
      </c>
      <c r="D108" s="558">
        <f>'[36]Sch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'[36]Sch C'!D102</f>
        <v>0</v>
      </c>
      <c r="D109" s="558">
        <f>'[36]Sch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'[36]Sch C'!D103</f>
        <v>0</v>
      </c>
      <c r="D110" s="558">
        <f>'[36]Sch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102605</v>
      </c>
      <c r="D111" s="558">
        <f>SUM(D105:D110)</f>
        <v>0</v>
      </c>
      <c r="E111" s="171">
        <f t="shared" ref="E111:F111" si="28">SUM(E105:E110)</f>
        <v>102605</v>
      </c>
      <c r="F111" s="171">
        <f t="shared" si="28"/>
        <v>0</v>
      </c>
      <c r="G111" s="171">
        <f>SUM(G105:G110)</f>
        <v>102605</v>
      </c>
      <c r="H111" s="172">
        <f t="shared" si="26"/>
        <v>1.7032351923698782E-2</v>
      </c>
      <c r="I111" s="336"/>
      <c r="J111" s="168"/>
      <c r="K111" s="168"/>
      <c r="M111" s="364">
        <f>G111/G$228</f>
        <v>3.5409117576008557</v>
      </c>
      <c r="N111" s="359">
        <f>SUMMARY!J114</f>
        <v>2.4242384372309496</v>
      </c>
      <c r="O111" s="354">
        <f>M111/N111-1</f>
        <v>0.46062850222167495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'[36]Sch C'!D115</f>
        <v>172276</v>
      </c>
      <c r="D114" s="558">
        <f>'[36]Sch C'!F115</f>
        <v>0</v>
      </c>
      <c r="E114" s="171">
        <f t="shared" ref="E114:E118" si="29">C114+D114</f>
        <v>172276</v>
      </c>
      <c r="F114" s="171"/>
      <c r="G114" s="171">
        <f>E114+F114</f>
        <v>172276</v>
      </c>
      <c r="H114" s="172">
        <f t="shared" ref="H114:H119" si="30">IF($G$208=0,0,G114/$G$208)</f>
        <v>2.8597684908212382E-2</v>
      </c>
      <c r="I114" s="336"/>
      <c r="J114" s="183">
        <v>14501</v>
      </c>
      <c r="K114" s="183">
        <v>14981</v>
      </c>
      <c r="M114" s="364">
        <f t="shared" ref="M114:M119" si="31">G114/G$228</f>
        <v>5.9452669358456705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'[36]Sch C'!D116</f>
        <v>17650</v>
      </c>
      <c r="D115" s="558">
        <f>'[36]Sch C'!F116</f>
        <v>0</v>
      </c>
      <c r="E115" s="171">
        <f t="shared" si="29"/>
        <v>17650</v>
      </c>
      <c r="F115" s="171"/>
      <c r="G115" s="171">
        <f>E115+F115</f>
        <v>17650</v>
      </c>
      <c r="H115" s="172">
        <f t="shared" si="30"/>
        <v>2.929886569399966E-3</v>
      </c>
      <c r="I115" s="336"/>
      <c r="J115" s="168"/>
      <c r="K115" s="168"/>
      <c r="M115" s="364">
        <f t="shared" si="31"/>
        <v>0.60910377195706944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'[36]Sch C'!D117</f>
        <v>40219</v>
      </c>
      <c r="D116" s="558">
        <f>'[36]Sch C'!F117</f>
        <v>0</v>
      </c>
      <c r="E116" s="171">
        <f t="shared" si="29"/>
        <v>40219</v>
      </c>
      <c r="F116" s="171"/>
      <c r="G116" s="171">
        <f>E116+F116</f>
        <v>40219</v>
      </c>
      <c r="H116" s="172">
        <f t="shared" si="30"/>
        <v>6.6763233957335541E-3</v>
      </c>
      <c r="I116" s="336"/>
      <c r="J116" s="168"/>
      <c r="K116" s="168"/>
      <c r="M116" s="364">
        <f t="shared" si="31"/>
        <v>1.3879628671014943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'[36]Sch C'!D118</f>
        <v>0</v>
      </c>
      <c r="D117" s="558">
        <f>'[36]Sch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'[36]Sch C'!D119</f>
        <v>0</v>
      </c>
      <c r="D118" s="558">
        <f>'[36]Sch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230145</v>
      </c>
      <c r="D119" s="558">
        <f>SUM(D114:D118)</f>
        <v>0</v>
      </c>
      <c r="E119" s="171">
        <f t="shared" ref="E119:F119" si="32">SUM(E114:E118)</f>
        <v>230145</v>
      </c>
      <c r="F119" s="171">
        <f t="shared" si="32"/>
        <v>0</v>
      </c>
      <c r="G119" s="171">
        <f>SUM(G114:G118)</f>
        <v>230145</v>
      </c>
      <c r="H119" s="172">
        <f t="shared" si="30"/>
        <v>3.8203894873345898E-2</v>
      </c>
      <c r="I119" s="336"/>
      <c r="J119" s="168"/>
      <c r="K119" s="168"/>
      <c r="M119" s="364">
        <f t="shared" si="31"/>
        <v>7.9423335749042341</v>
      </c>
      <c r="N119" s="359">
        <f>SUMMARY!J122</f>
        <v>6.0247597205909562</v>
      </c>
      <c r="O119" s="354">
        <f>M119/N119-1</f>
        <v>0.31828221260999712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'[36]Sch C'!D124</f>
        <v>0</v>
      </c>
      <c r="D123" s="558">
        <f>'[36]Sch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'[36]Sch C'!D125</f>
        <v>95174</v>
      </c>
      <c r="D124" s="558">
        <f>'[36]Sch C'!F125</f>
        <v>0</v>
      </c>
      <c r="E124" s="171">
        <f t="shared" si="33"/>
        <v>95174</v>
      </c>
      <c r="F124" s="171"/>
      <c r="G124" s="171">
        <f>E124+F124</f>
        <v>95174</v>
      </c>
      <c r="H124" s="172">
        <f>IF($G$208=0,0,G124/$G$208)</f>
        <v>1.5798811578247727E-2</v>
      </c>
      <c r="I124" s="336"/>
      <c r="J124" s="183">
        <v>2329</v>
      </c>
      <c r="K124" s="183">
        <v>2449</v>
      </c>
      <c r="M124" s="364">
        <f t="shared" si="34"/>
        <v>3.2844669910618767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'[36]Sch C'!D126</f>
        <v>85154</v>
      </c>
      <c r="D125" s="558">
        <f>'[36]Sch C'!F126</f>
        <v>0</v>
      </c>
      <c r="E125" s="171">
        <f t="shared" si="33"/>
        <v>85154</v>
      </c>
      <c r="F125" s="171"/>
      <c r="G125" s="171">
        <f>E125+F125</f>
        <v>85154</v>
      </c>
      <c r="H125" s="172">
        <f>IF($G$208=0,0,G125/$G$208)</f>
        <v>1.4135499202871655E-2</v>
      </c>
      <c r="I125" s="336"/>
      <c r="J125" s="183">
        <v>1986</v>
      </c>
      <c r="K125" s="183">
        <v>2192</v>
      </c>
      <c r="M125" s="364">
        <f t="shared" si="34"/>
        <v>2.9386755012596195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'[36]Sch C'!D127</f>
        <v>0</v>
      </c>
      <c r="D126" s="558">
        <f>'[36]Sch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'[36]Sch C'!D128</f>
        <v>181055</v>
      </c>
      <c r="D127" s="558">
        <f>'[36]Sch C'!F128</f>
        <v>-51133</v>
      </c>
      <c r="E127" s="171">
        <f t="shared" si="33"/>
        <v>129922</v>
      </c>
      <c r="F127" s="171"/>
      <c r="G127" s="171">
        <f>E127+F127</f>
        <v>129922</v>
      </c>
      <c r="H127" s="172">
        <f>IF($G$208=0,0,G127/$G$208)</f>
        <v>2.1566953137086821E-2</v>
      </c>
      <c r="I127" s="336"/>
      <c r="J127" s="183">
        <v>4060</v>
      </c>
      <c r="K127" s="183">
        <v>5358</v>
      </c>
      <c r="M127" s="364">
        <f t="shared" si="34"/>
        <v>4.4836249439210407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'[36]Sch C'!D130</f>
        <v>0</v>
      </c>
      <c r="D129" s="558">
        <f>'[36]Sch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'[36]Sch C'!D131</f>
        <v>9751</v>
      </c>
      <c r="D130" s="558">
        <f>'[36]Sch C'!F131</f>
        <v>0</v>
      </c>
      <c r="E130" s="171">
        <f t="shared" si="35"/>
        <v>9751</v>
      </c>
      <c r="F130" s="171"/>
      <c r="G130" s="171">
        <f>E130+F130</f>
        <v>9751</v>
      </c>
      <c r="H130" s="172">
        <f>IF($G$208=0,0,G130/$G$208)</f>
        <v>1.618658580069069E-3</v>
      </c>
      <c r="I130" s="336"/>
      <c r="J130" s="204"/>
      <c r="K130" s="204"/>
      <c r="M130" s="364">
        <f t="shared" si="34"/>
        <v>0.3365082651758291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'[36]Sch C'!D132</f>
        <v>8724</v>
      </c>
      <c r="D131" s="558">
        <f>'[36]Sch C'!F132</f>
        <v>0</v>
      </c>
      <c r="E131" s="171">
        <f t="shared" si="35"/>
        <v>8724</v>
      </c>
      <c r="F131" s="171"/>
      <c r="G131" s="171">
        <f>E131+F131</f>
        <v>8724</v>
      </c>
      <c r="H131" s="172">
        <f>IF($G$208=0,0,G131/$G$208)</f>
        <v>1.4481773615549747E-3</v>
      </c>
      <c r="I131" s="336"/>
      <c r="J131" s="168"/>
      <c r="K131" s="168"/>
      <c r="M131" s="364">
        <f t="shared" si="34"/>
        <v>0.30106636297753392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'[36]Sch C'!D133</f>
        <v>0</v>
      </c>
      <c r="D132" s="558">
        <f>'[36]Sch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'[36]Sch C'!D134</f>
        <v>13310</v>
      </c>
      <c r="D133" s="558">
        <f>'[36]Sch C'!F134</f>
        <v>0</v>
      </c>
      <c r="E133" s="171">
        <f t="shared" si="35"/>
        <v>13310</v>
      </c>
      <c r="F133" s="171"/>
      <c r="G133" s="171">
        <f>E133+F133</f>
        <v>13310</v>
      </c>
      <c r="H133" s="172">
        <f>IF($G$208=0,0,G133/$G$208)</f>
        <v>2.2094498718817873E-3</v>
      </c>
      <c r="I133" s="336"/>
      <c r="J133" s="168"/>
      <c r="K133" s="168"/>
      <c r="M133" s="364">
        <f t="shared" si="34"/>
        <v>0.45932981330020362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'[36]Sch C'!D136</f>
        <v>571366</v>
      </c>
      <c r="D135" s="558">
        <f>'[36]Sch C'!F136</f>
        <v>0</v>
      </c>
      <c r="E135" s="171">
        <f t="shared" ref="E135:E138" si="36">C135+D135</f>
        <v>571366</v>
      </c>
      <c r="F135" s="171"/>
      <c r="G135" s="171">
        <f>E135+F135</f>
        <v>571366</v>
      </c>
      <c r="H135" s="172">
        <f>IF($G$208=0,0,G135/$G$208)</f>
        <v>9.4846321224463501E-2</v>
      </c>
      <c r="I135" s="336"/>
      <c r="J135" s="183">
        <v>15264</v>
      </c>
      <c r="K135" s="183">
        <v>16104</v>
      </c>
      <c r="M135" s="364">
        <f t="shared" si="34"/>
        <v>19.717914207819994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'[36]Sch C'!D137</f>
        <v>179633</v>
      </c>
      <c r="D136" s="558">
        <f>'[36]Sch C'!F137</f>
        <v>0</v>
      </c>
      <c r="E136" s="171">
        <f t="shared" si="36"/>
        <v>179633</v>
      </c>
      <c r="F136" s="171"/>
      <c r="G136" s="171">
        <f>E136+F136</f>
        <v>179633</v>
      </c>
      <c r="H136" s="172">
        <f>IF($G$208=0,0,G136/$G$208)</f>
        <v>2.9818941309973035E-2</v>
      </c>
      <c r="I136" s="336"/>
      <c r="J136" s="183">
        <v>5823</v>
      </c>
      <c r="K136" s="183">
        <v>6303</v>
      </c>
      <c r="M136" s="364">
        <f t="shared" si="34"/>
        <v>6.1991579528591645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'[36]Sch C'!D138</f>
        <v>1190862</v>
      </c>
      <c r="D137" s="558">
        <f>'[36]Sch C'!F138</f>
        <v>0</v>
      </c>
      <c r="E137" s="171">
        <f t="shared" si="36"/>
        <v>1190862</v>
      </c>
      <c r="F137" s="171"/>
      <c r="G137" s="171">
        <f>E137+F137</f>
        <v>1190862</v>
      </c>
      <c r="H137" s="172">
        <f>IF($G$208=0,0,G137/$G$208)</f>
        <v>0.19768218582486019</v>
      </c>
      <c r="I137" s="336"/>
      <c r="J137" s="183">
        <v>83502</v>
      </c>
      <c r="K137" s="183">
        <v>85062</v>
      </c>
      <c r="M137" s="364">
        <f t="shared" si="34"/>
        <v>41.096800911067398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'[36]Sch C'!D139</f>
        <v>0</v>
      </c>
      <c r="D138" s="558">
        <f>'[36]Sch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'[36]Sch C'!D141</f>
        <v>58536</v>
      </c>
      <c r="D140" s="558">
        <f>'[36]Sch C'!F141</f>
        <v>0</v>
      </c>
      <c r="E140" s="171">
        <f t="shared" ref="E140:E143" si="37">C140+D140</f>
        <v>58536</v>
      </c>
      <c r="F140" s="171"/>
      <c r="G140" s="171">
        <f>E140+F140</f>
        <v>58536</v>
      </c>
      <c r="H140" s="172">
        <f>IF($G$208=0,0,G140/$G$208)</f>
        <v>9.7169314575861979E-3</v>
      </c>
      <c r="I140" s="336"/>
      <c r="J140" s="168"/>
      <c r="K140" s="168"/>
      <c r="M140" s="364">
        <f t="shared" si="34"/>
        <v>2.0200848949166579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'[36]Sch C'!D142</f>
        <v>18403</v>
      </c>
      <c r="D141" s="558">
        <f>'[36]Sch C'!F142</f>
        <v>0</v>
      </c>
      <c r="E141" s="171">
        <f t="shared" si="37"/>
        <v>18403</v>
      </c>
      <c r="F141" s="171"/>
      <c r="G141" s="171">
        <f>E141+F141</f>
        <v>18403</v>
      </c>
      <c r="H141" s="172">
        <f>IF($G$208=0,0,G141/$G$208)</f>
        <v>3.0548839964117604E-3</v>
      </c>
      <c r="I141" s="336"/>
      <c r="J141" s="168"/>
      <c r="K141" s="168"/>
      <c r="M141" s="364">
        <f t="shared" si="34"/>
        <v>0.63508989888532286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'[36]Sch C'!D143</f>
        <v>122004</v>
      </c>
      <c r="D142" s="558">
        <f>'[36]Sch C'!F143</f>
        <v>0</v>
      </c>
      <c r="E142" s="171">
        <f t="shared" si="37"/>
        <v>122004</v>
      </c>
      <c r="F142" s="171"/>
      <c r="G142" s="171">
        <f>E142+F142</f>
        <v>122004</v>
      </c>
      <c r="H142" s="172">
        <f>IF($G$208=0,0,G142/$G$208)</f>
        <v>2.0252571162213791E-2</v>
      </c>
      <c r="I142" s="336"/>
      <c r="J142" s="168"/>
      <c r="K142" s="168"/>
      <c r="M142" s="364">
        <f t="shared" si="34"/>
        <v>4.2103737446940679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'[36]Sch C'!D144</f>
        <v>0</v>
      </c>
      <c r="D143" s="558">
        <f>'[36]Sch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'[36]Sch C'!D146</f>
        <v>26725</v>
      </c>
      <c r="D145" s="558">
        <f>'[36]Sch C'!F146</f>
        <v>0</v>
      </c>
      <c r="E145" s="171">
        <f t="shared" ref="E145:E153" si="38">C145+D145</f>
        <v>26725</v>
      </c>
      <c r="F145" s="171"/>
      <c r="G145" s="171">
        <f t="shared" ref="G145:G153" si="39">E145+F145</f>
        <v>26725</v>
      </c>
      <c r="H145" s="172">
        <f t="shared" ref="H145:H153" si="40">IF($G$208=0,0,G145/$G$208)</f>
        <v>4.4363296638648209E-3</v>
      </c>
      <c r="I145" s="336"/>
      <c r="J145" s="183">
        <v>208</v>
      </c>
      <c r="K145" s="183">
        <v>208</v>
      </c>
      <c r="M145" s="364">
        <f t="shared" si="34"/>
        <v>0.92228319011629911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'[36]Sch C'!D147</f>
        <v>0</v>
      </c>
      <c r="D146" s="558">
        <f>'[36]Sch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'[36]Sch C'!D148</f>
        <v>0</v>
      </c>
      <c r="D147" s="558">
        <f>'[36]Sch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'[36]Sch C'!D149</f>
        <v>0</v>
      </c>
      <c r="D148" s="558">
        <f>'[36]Sch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'[36]Sch C'!D150</f>
        <v>7550</v>
      </c>
      <c r="D149" s="558">
        <f>'[36]Sch C'!F150</f>
        <v>0</v>
      </c>
      <c r="E149" s="171">
        <f t="shared" si="38"/>
        <v>7550</v>
      </c>
      <c r="F149" s="171"/>
      <c r="G149" s="171">
        <f t="shared" si="39"/>
        <v>7550</v>
      </c>
      <c r="H149" s="172">
        <f t="shared" si="40"/>
        <v>1.2532942548991355E-3</v>
      </c>
      <c r="I149" s="336"/>
      <c r="J149" s="183">
        <v>378</v>
      </c>
      <c r="K149" s="183">
        <v>378</v>
      </c>
      <c r="M149" s="364">
        <f t="shared" si="34"/>
        <v>0.26055147185699001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'[36]Sch C'!D151</f>
        <v>123909</v>
      </c>
      <c r="D150" s="558">
        <f>'[36]Sch C'!F151</f>
        <v>0</v>
      </c>
      <c r="E150" s="171">
        <f t="shared" si="38"/>
        <v>123909</v>
      </c>
      <c r="F150" s="171"/>
      <c r="G150" s="171">
        <f t="shared" si="39"/>
        <v>123909</v>
      </c>
      <c r="H150" s="172">
        <f t="shared" si="40"/>
        <v>2.0568799712622116E-2</v>
      </c>
      <c r="I150" s="336"/>
      <c r="J150" s="168"/>
      <c r="K150" s="168"/>
      <c r="M150" s="364">
        <f t="shared" si="34"/>
        <v>4.2761155399109638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'[36]Sch C'!D152</f>
        <v>858</v>
      </c>
      <c r="D151" s="558">
        <f>'[36]Sch C'!F152</f>
        <v>0</v>
      </c>
      <c r="E151" s="171">
        <f t="shared" si="38"/>
        <v>858</v>
      </c>
      <c r="F151" s="171"/>
      <c r="G151" s="171">
        <f t="shared" si="39"/>
        <v>858</v>
      </c>
      <c r="H151" s="172">
        <f t="shared" si="40"/>
        <v>1.4242734711304082E-4</v>
      </c>
      <c r="I151" s="336"/>
      <c r="J151" s="168"/>
      <c r="K151" s="168"/>
      <c r="M151" s="364">
        <f t="shared" si="34"/>
        <v>2.9609690444145357E-2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'[36]Sch C'!D153</f>
        <v>0</v>
      </c>
      <c r="D152" s="558">
        <f>'[36]Sch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'[36]Sch C'!D154</f>
        <v>2807</v>
      </c>
      <c r="D153" s="558">
        <f>'[36]Sch C'!F154</f>
        <v>0</v>
      </c>
      <c r="E153" s="171">
        <f t="shared" si="38"/>
        <v>2807</v>
      </c>
      <c r="F153" s="171"/>
      <c r="G153" s="171">
        <f t="shared" si="39"/>
        <v>2807</v>
      </c>
      <c r="H153" s="172">
        <f t="shared" si="40"/>
        <v>4.6595986403998323E-4</v>
      </c>
      <c r="I153" s="336"/>
      <c r="J153" s="168"/>
      <c r="K153" s="168"/>
      <c r="M153" s="364">
        <f t="shared" si="34"/>
        <v>9.6869931324843839E-2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'[36]Sch C'!D156</f>
        <v>0</v>
      </c>
      <c r="D155" s="558">
        <f>'[36]Sch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'[36]Sch C'!D157</f>
        <v>0</v>
      </c>
      <c r="D156" s="558">
        <f>'[36]Sch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'[36]Sch C'!D158</f>
        <v>0</v>
      </c>
      <c r="D157" s="558">
        <f>'[36]Sch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'[36]Sch C'!D159</f>
        <v>0</v>
      </c>
      <c r="D158" s="558">
        <f>'[36]Sch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'[36]Sch C'!D160</f>
        <v>0</v>
      </c>
      <c r="D159" s="558">
        <f>'[36]Sch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'[36]Sch C'!D161</f>
        <v>0</v>
      </c>
      <c r="D160" s="558">
        <f>'[36]Sch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2695821</v>
      </c>
      <c r="D161" s="558">
        <f>SUM(D123:D160)</f>
        <v>-51133</v>
      </c>
      <c r="E161" s="171">
        <f t="shared" ref="E161:F161" si="44">SUM(E123:E160)</f>
        <v>2644688</v>
      </c>
      <c r="F161" s="171">
        <f t="shared" si="44"/>
        <v>0</v>
      </c>
      <c r="G161" s="171">
        <f>SUM(G123:G160)</f>
        <v>2644688</v>
      </c>
      <c r="H161" s="172">
        <f t="shared" si="43"/>
        <v>0.43901619554975962</v>
      </c>
      <c r="I161" s="336"/>
      <c r="J161" s="168"/>
      <c r="K161" s="168"/>
      <c r="M161" s="364">
        <f>G161/G$228</f>
        <v>91.268523311591949</v>
      </c>
      <c r="N161" s="359">
        <f>SUMMARY!J164</f>
        <v>105.56901037202306</v>
      </c>
      <c r="O161" s="354">
        <f>M161/N161-1</f>
        <v>-0.1354610316989473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'[36]Sch C'!D175</f>
        <v>0</v>
      </c>
      <c r="D164" s="558">
        <f>'[36]Sch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'[36]Sch C'!D176</f>
        <v>0</v>
      </c>
      <c r="D165" s="558">
        <f>'[36]Sch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'[36]Sch C'!D177</f>
        <v>0</v>
      </c>
      <c r="D166" s="558">
        <f>'[36]Sch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'[36]Sch C'!D178</f>
        <v>0</v>
      </c>
      <c r="D167" s="558">
        <f>'[36]Sch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'[36]Sch C'!D179</f>
        <v>0</v>
      </c>
      <c r="D168" s="558">
        <f>'[36]Sch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'[36]Sch C'!D180</f>
        <v>0</v>
      </c>
      <c r="D169" s="558">
        <f>'[36]Sch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'[36]Sch C'!D181</f>
        <v>0</v>
      </c>
      <c r="D170" s="558">
        <f>'[36]Sch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'[36]Sch C'!D182</f>
        <v>0</v>
      </c>
      <c r="D171" s="558">
        <f>'[36]Sch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'[36]Sch C'!D183</f>
        <v>17929</v>
      </c>
      <c r="D172" s="558">
        <f>'[36]Sch C'!F183</f>
        <v>0</v>
      </c>
      <c r="E172" s="171">
        <f t="shared" si="45"/>
        <v>17929</v>
      </c>
      <c r="F172" s="216"/>
      <c r="G172" s="171">
        <f t="shared" si="46"/>
        <v>17929</v>
      </c>
      <c r="H172" s="172">
        <f t="shared" si="47"/>
        <v>2.9762003570975629E-3</v>
      </c>
      <c r="I172" s="342"/>
      <c r="J172" s="217">
        <v>610</v>
      </c>
      <c r="K172" s="217">
        <v>690</v>
      </c>
      <c r="L172" s="218"/>
      <c r="M172" s="364">
        <f t="shared" si="48"/>
        <v>0.61873209787072503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'[36]Sch C'!D184</f>
        <v>1837</v>
      </c>
      <c r="D173" s="558">
        <f>'[36]Sch C'!F184</f>
        <v>0</v>
      </c>
      <c r="E173" s="171">
        <f t="shared" si="45"/>
        <v>1837</v>
      </c>
      <c r="F173" s="216"/>
      <c r="G173" s="171">
        <f t="shared" si="46"/>
        <v>1837</v>
      </c>
      <c r="H173" s="172">
        <f t="shared" si="47"/>
        <v>3.0494060215227972E-4</v>
      </c>
      <c r="I173" s="343"/>
      <c r="J173" s="222"/>
      <c r="K173" s="222"/>
      <c r="L173" s="218"/>
      <c r="M173" s="364">
        <f t="shared" si="48"/>
        <v>6.3395106463747103E-2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'[36]Sch C'!D185</f>
        <v>0</v>
      </c>
      <c r="D174" s="558">
        <f>'[36]Sch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'[36]Sch C'!D186</f>
        <v>0</v>
      </c>
      <c r="D175" s="558">
        <f>'[36]Sch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'[36]Sch C'!D187</f>
        <v>0</v>
      </c>
      <c r="D176" s="558">
        <f>'[36]Sch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'[36]Sch C'!D188</f>
        <v>0</v>
      </c>
      <c r="D177" s="558">
        <f>'[36]Sch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'[36]Sch C'!D189</f>
        <v>0</v>
      </c>
      <c r="D178" s="558">
        <f>'[36]Sch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'[36]Sch C'!D190</f>
        <v>0</v>
      </c>
      <c r="D179" s="558">
        <f>'[36]Sch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'[36]Sch C'!D191</f>
        <v>0</v>
      </c>
      <c r="D180" s="558">
        <f>'[36]Sch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'[36]Sch C'!D192</f>
        <v>0</v>
      </c>
      <c r="D181" s="558">
        <f>'[36]Sch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'[36]Sch C'!D193</f>
        <v>0</v>
      </c>
      <c r="D182" s="558">
        <f>'[36]Sch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'[36]Sch C'!D194</f>
        <v>90339</v>
      </c>
      <c r="D183" s="558">
        <f>'[36]Sch C'!F194</f>
        <v>0</v>
      </c>
      <c r="E183" s="171">
        <f t="shared" si="45"/>
        <v>90339</v>
      </c>
      <c r="F183" s="216"/>
      <c r="G183" s="171">
        <f t="shared" si="46"/>
        <v>90339</v>
      </c>
      <c r="H183" s="172">
        <f t="shared" si="47"/>
        <v>1.49962052573951E-2</v>
      </c>
      <c r="I183" s="336"/>
      <c r="J183" s="223"/>
      <c r="K183" s="218"/>
      <c r="M183" s="364">
        <f t="shared" si="48"/>
        <v>3.1176105186872345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'[36]Sch C'!D195</f>
        <v>28482</v>
      </c>
      <c r="D184" s="558">
        <f>'[36]Sch C'!F195</f>
        <v>0</v>
      </c>
      <c r="E184" s="171">
        <f t="shared" si="45"/>
        <v>28482</v>
      </c>
      <c r="F184" s="216"/>
      <c r="G184" s="171">
        <f t="shared" si="46"/>
        <v>28482</v>
      </c>
      <c r="H184" s="172">
        <f t="shared" si="47"/>
        <v>4.7279903268923418E-3</v>
      </c>
      <c r="I184" s="336"/>
      <c r="J184" s="223"/>
      <c r="K184" s="218"/>
      <c r="M184" s="364">
        <f t="shared" si="48"/>
        <v>0.98291748628222386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'[36]Sch C'!D196</f>
        <v>0</v>
      </c>
      <c r="D185" s="558">
        <f>'[36]Sch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'[36]Sch C'!D197</f>
        <v>42620</v>
      </c>
      <c r="D186" s="558">
        <f>'[36]Sch C'!F197</f>
        <v>0</v>
      </c>
      <c r="E186" s="171">
        <f t="shared" si="45"/>
        <v>42620</v>
      </c>
      <c r="F186" s="216"/>
      <c r="G186" s="171">
        <f t="shared" si="46"/>
        <v>42620</v>
      </c>
      <c r="H186" s="172">
        <f t="shared" si="47"/>
        <v>7.0748875687153849E-3</v>
      </c>
      <c r="I186" s="336"/>
      <c r="J186" s="223"/>
      <c r="K186" s="218"/>
      <c r="M186" s="364">
        <f t="shared" si="48"/>
        <v>1.4708216861648893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'[36]Sch C'!D198</f>
        <v>39841</v>
      </c>
      <c r="D187" s="558">
        <f>'[36]Sch C'!F198</f>
        <v>0</v>
      </c>
      <c r="E187" s="171">
        <f t="shared" si="45"/>
        <v>39841</v>
      </c>
      <c r="F187" s="216"/>
      <c r="G187" s="171">
        <f t="shared" si="46"/>
        <v>39841</v>
      </c>
      <c r="H187" s="172">
        <f t="shared" si="47"/>
        <v>6.6135756833690671E-3</v>
      </c>
      <c r="I187" s="336"/>
      <c r="J187" s="223"/>
      <c r="K187" s="218"/>
      <c r="M187" s="364">
        <f t="shared" si="48"/>
        <v>1.3749180384442834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'[36]Sch C'!D199</f>
        <v>0</v>
      </c>
      <c r="D188" s="558">
        <f>'[36]Sch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'[36]Sch C'!D200</f>
        <v>0</v>
      </c>
      <c r="D189" s="558">
        <f>'[36]Sch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'[36]Sch C'!D201</f>
        <v>0</v>
      </c>
      <c r="D190" s="558">
        <f>'[36]Sch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'[36]Sch C'!D202</f>
        <v>0</v>
      </c>
      <c r="D191" s="558">
        <f>'[36]Sch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'[36]Sch C'!D203</f>
        <v>0</v>
      </c>
      <c r="D192" s="558">
        <f>'[36]Sch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'[36]Sch C'!D204</f>
        <v>0</v>
      </c>
      <c r="D193" s="558">
        <f>'[36]Sch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'[36]Sch C'!D205</f>
        <v>104354</v>
      </c>
      <c r="D194" s="558">
        <f>'[36]Sch C'!F205</f>
        <v>0</v>
      </c>
      <c r="E194" s="171">
        <f t="shared" si="45"/>
        <v>104354</v>
      </c>
      <c r="F194" s="216"/>
      <c r="G194" s="171">
        <f t="shared" si="46"/>
        <v>104354</v>
      </c>
      <c r="H194" s="172">
        <f t="shared" si="47"/>
        <v>1.7322684592813827E-2</v>
      </c>
      <c r="I194" s="336"/>
      <c r="J194" s="223"/>
      <c r="K194" s="218"/>
      <c r="M194" s="364">
        <f t="shared" si="48"/>
        <v>3.6012699727369983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'[36]Sch C'!D206</f>
        <v>0</v>
      </c>
      <c r="D195" s="558">
        <f>'[36]Sch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'[36]Sch C'!D207</f>
        <v>0</v>
      </c>
      <c r="D196" s="558">
        <f>'[36]Sch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325402</v>
      </c>
      <c r="D197" s="558">
        <f>SUM(D164:D196)</f>
        <v>0</v>
      </c>
      <c r="E197" s="171">
        <f t="shared" ref="E197:F197" si="49">SUM(E164:E196)</f>
        <v>325402</v>
      </c>
      <c r="F197" s="171">
        <f t="shared" si="49"/>
        <v>0</v>
      </c>
      <c r="G197" s="171">
        <f>SUM(G164:G196)</f>
        <v>325402</v>
      </c>
      <c r="H197" s="172">
        <f>IF($G$208=0,0,G197/$G$208)</f>
        <v>5.4016484388435565E-2</v>
      </c>
      <c r="I197" s="336"/>
      <c r="J197" s="168"/>
      <c r="K197" s="168"/>
      <c r="M197" s="364">
        <f>G197/G$228</f>
        <v>11.229664906650102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'[36]Sch C'!D211</f>
        <v>224726</v>
      </c>
      <c r="D200" s="558">
        <f>'[36]Sch C'!F211</f>
        <v>0</v>
      </c>
      <c r="E200" s="171">
        <f t="shared" ref="E200:E205" si="50">C200+D200</f>
        <v>224726</v>
      </c>
      <c r="F200" s="171"/>
      <c r="G200" s="171">
        <f t="shared" ref="G200:G205" si="51">E200+F200</f>
        <v>224726</v>
      </c>
      <c r="H200" s="172">
        <f t="shared" ref="H200:H206" si="52">IF($G$208=0,0,G200/$G$208)</f>
        <v>3.7304344996882531E-2</v>
      </c>
      <c r="I200" s="336"/>
      <c r="J200" s="183">
        <v>13139</v>
      </c>
      <c r="K200" s="183">
        <v>13619</v>
      </c>
      <c r="M200" s="364">
        <f t="shared" ref="M200:M205" si="53">G200/G$228</f>
        <v>7.7553231873554891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'[36]Sch C'!D212</f>
        <v>23023</v>
      </c>
      <c r="D201" s="558">
        <f>'[36]Sch C'!F212</f>
        <v>0</v>
      </c>
      <c r="E201" s="171">
        <f t="shared" si="50"/>
        <v>23023</v>
      </c>
      <c r="F201" s="171"/>
      <c r="G201" s="171">
        <f t="shared" si="51"/>
        <v>23023</v>
      </c>
      <c r="H201" s="172">
        <f t="shared" si="52"/>
        <v>3.8218004808665959E-3</v>
      </c>
      <c r="I201" s="336"/>
      <c r="J201" s="168"/>
      <c r="K201" s="168"/>
      <c r="M201" s="364">
        <f t="shared" si="53"/>
        <v>0.79452669358456707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'[36]Sch C'!D213</f>
        <v>21633</v>
      </c>
      <c r="D202" s="558">
        <f>'[36]Sch C'!F213</f>
        <v>0</v>
      </c>
      <c r="E202" s="171">
        <f t="shared" si="50"/>
        <v>21633</v>
      </c>
      <c r="F202" s="171"/>
      <c r="G202" s="171">
        <f t="shared" si="51"/>
        <v>21633</v>
      </c>
      <c r="H202" s="172">
        <f t="shared" si="52"/>
        <v>3.5910615385739073E-3</v>
      </c>
      <c r="I202" s="336"/>
      <c r="J202" s="168"/>
      <c r="K202" s="168"/>
      <c r="M202" s="364">
        <f t="shared" si="53"/>
        <v>0.74655761465990267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'[36]Sch C'!D214</f>
        <v>0</v>
      </c>
      <c r="D203" s="558">
        <f>'[36]Sch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'[36]Sch C'!D215</f>
        <v>0</v>
      </c>
      <c r="D204" s="558">
        <f>'[36]Sch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'[36]Sch C'!D216</f>
        <v>232386</v>
      </c>
      <c r="D205" s="558">
        <f>'[36]Sch C'!F216</f>
        <v>-167855</v>
      </c>
      <c r="E205" s="171">
        <f t="shared" si="50"/>
        <v>64531</v>
      </c>
      <c r="F205" s="171">
        <f>-18823-24883-10651</f>
        <v>-54357</v>
      </c>
      <c r="G205" s="171">
        <f t="shared" si="51"/>
        <v>10174</v>
      </c>
      <c r="H205" s="172">
        <f t="shared" si="52"/>
        <v>1.6888762581912325E-3</v>
      </c>
      <c r="I205" s="555" t="s">
        <v>424</v>
      </c>
      <c r="J205" s="168" t="s">
        <v>663</v>
      </c>
      <c r="K205" s="168"/>
      <c r="M205" s="364">
        <f t="shared" si="53"/>
        <v>0.35110604962556513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501768</v>
      </c>
      <c r="D206" s="558">
        <f>SUM(D200:D205)</f>
        <v>-167855</v>
      </c>
      <c r="E206" s="171">
        <f t="shared" ref="E206:F206" si="54">SUM(E200:E205)</f>
        <v>333913</v>
      </c>
      <c r="F206" s="171">
        <f t="shared" si="54"/>
        <v>-54357</v>
      </c>
      <c r="G206" s="171">
        <f>SUM(G200:G205)</f>
        <v>279556</v>
      </c>
      <c r="H206" s="172">
        <f t="shared" si="52"/>
        <v>4.6406083274514266E-2</v>
      </c>
      <c r="I206" s="336"/>
      <c r="J206" s="168" t="s">
        <v>664</v>
      </c>
      <c r="K206" s="168"/>
      <c r="M206" s="364">
        <f>G206/G$228</f>
        <v>9.6475135452255234</v>
      </c>
      <c r="N206" s="359">
        <f>SUMMARY!J209</f>
        <v>7.1515095990067339</v>
      </c>
      <c r="O206" s="354">
        <f>M206/N206-1</f>
        <v>0.34901777193523698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6443611</v>
      </c>
      <c r="D208" s="558">
        <f>SUM(D25:D206)/2</f>
        <v>-365130</v>
      </c>
      <c r="E208" s="171">
        <f t="shared" ref="E208:F208" si="55">SUM(E25:E206)/2</f>
        <v>6078481</v>
      </c>
      <c r="F208" s="171">
        <f t="shared" si="55"/>
        <v>-54357</v>
      </c>
      <c r="G208" s="171">
        <f>SUM(G25:G206)/2</f>
        <v>6024124</v>
      </c>
      <c r="H208" s="172">
        <f>IF($G$208=0,0,G208/$G$208)</f>
        <v>1</v>
      </c>
      <c r="I208" s="336"/>
      <c r="J208" s="183">
        <f>SUM(J25:J200)</f>
        <v>184994</v>
      </c>
      <c r="K208" s="183">
        <f>SUM(K25:K200)</f>
        <v>192603</v>
      </c>
      <c r="M208" s="364">
        <f>G208/G$228</f>
        <v>207.89329468198918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0.8029486380883093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'[36]Sch C'!D221</f>
        <v>6443611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-28760</v>
      </c>
      <c r="D215" s="558">
        <f>D21-D208</f>
        <v>365130</v>
      </c>
      <c r="E215" s="171">
        <f t="shared" ref="E215:F215" si="56">E21-E208</f>
        <v>336370</v>
      </c>
      <c r="F215" s="171">
        <f t="shared" si="56"/>
        <v>54357</v>
      </c>
      <c r="G215" s="171">
        <f>G21-G208</f>
        <v>390727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'[36]Sch D'!C9</f>
        <v>18749</v>
      </c>
      <c r="D219" s="592"/>
      <c r="E219" s="235">
        <f t="shared" ref="E219:G227" si="57">C219+D219</f>
        <v>18749</v>
      </c>
      <c r="F219" s="234"/>
      <c r="G219" s="235">
        <f t="shared" si="57"/>
        <v>18749</v>
      </c>
      <c r="H219" s="172">
        <f t="shared" ref="H219:H228" si="58">IF($G$228=0,0,G219/$G$228)</f>
        <v>0.64703040342340479</v>
      </c>
      <c r="I219" s="336"/>
      <c r="J219" s="168"/>
      <c r="K219" s="168"/>
    </row>
    <row r="220" spans="1:17">
      <c r="A220" s="163"/>
      <c r="B220" s="170" t="s">
        <v>217</v>
      </c>
      <c r="C220" s="592">
        <f>'[36]Sch D'!D9</f>
        <v>2550</v>
      </c>
      <c r="D220" s="592"/>
      <c r="E220" s="235">
        <f t="shared" ref="E220:E227" si="59">C220+D220</f>
        <v>2550</v>
      </c>
      <c r="F220" s="234"/>
      <c r="G220" s="235">
        <f t="shared" si="57"/>
        <v>2550</v>
      </c>
      <c r="H220" s="172">
        <f t="shared" si="58"/>
        <v>8.8000828243089343E-2</v>
      </c>
      <c r="I220" s="336"/>
      <c r="J220" s="168"/>
      <c r="K220" s="168"/>
    </row>
    <row r="221" spans="1:17">
      <c r="A221" s="163"/>
      <c r="B221" s="170" t="s">
        <v>72</v>
      </c>
      <c r="C221" s="592">
        <f>'[36]Sch D'!E9</f>
        <v>972</v>
      </c>
      <c r="D221" s="592"/>
      <c r="E221" s="235">
        <f t="shared" si="59"/>
        <v>972</v>
      </c>
      <c r="F221" s="234"/>
      <c r="G221" s="235">
        <f t="shared" si="57"/>
        <v>972</v>
      </c>
      <c r="H221" s="172">
        <f t="shared" si="58"/>
        <v>3.354384511854229E-2</v>
      </c>
      <c r="I221" s="336"/>
      <c r="J221" s="168"/>
      <c r="K221" s="168"/>
    </row>
    <row r="222" spans="1:17">
      <c r="A222" s="163"/>
      <c r="B222" s="202" t="s">
        <v>334</v>
      </c>
      <c r="C222" s="592">
        <f>'[36]Sch D'!F9</f>
        <v>0</v>
      </c>
      <c r="D222" s="592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f>'[36]Sch D'!G9</f>
        <v>4349</v>
      </c>
      <c r="D223" s="592"/>
      <c r="E223" s="235">
        <f t="shared" si="59"/>
        <v>4349</v>
      </c>
      <c r="F223" s="234"/>
      <c r="G223" s="235">
        <f t="shared" si="57"/>
        <v>4349</v>
      </c>
      <c r="H223" s="172">
        <f t="shared" si="58"/>
        <v>0.15008454981537081</v>
      </c>
      <c r="I223" s="336"/>
      <c r="J223" s="168"/>
      <c r="K223" s="168"/>
    </row>
    <row r="224" spans="1:17">
      <c r="A224" s="163"/>
      <c r="B224" s="170" t="s">
        <v>74</v>
      </c>
      <c r="C224" s="592">
        <f>'[36]Sch D'!H9</f>
        <v>925</v>
      </c>
      <c r="D224" s="592"/>
      <c r="E224" s="235">
        <f t="shared" si="59"/>
        <v>925</v>
      </c>
      <c r="F224" s="234"/>
      <c r="G224" s="235">
        <f t="shared" si="57"/>
        <v>925</v>
      </c>
      <c r="H224" s="172">
        <f t="shared" si="58"/>
        <v>3.1921869068571626E-2</v>
      </c>
      <c r="I224" s="336"/>
      <c r="J224" s="168"/>
      <c r="K224" s="168"/>
    </row>
    <row r="225" spans="1:11">
      <c r="A225" s="163"/>
      <c r="B225" s="170" t="s">
        <v>236</v>
      </c>
      <c r="C225" s="592">
        <f>'[36]Sch D'!I9</f>
        <v>1432</v>
      </c>
      <c r="D225" s="592"/>
      <c r="E225" s="235">
        <f t="shared" si="59"/>
        <v>1432</v>
      </c>
      <c r="F225" s="234"/>
      <c r="G225" s="235">
        <f t="shared" si="57"/>
        <v>1432</v>
      </c>
      <c r="H225" s="172">
        <f t="shared" si="58"/>
        <v>4.9418504331021157E-2</v>
      </c>
      <c r="I225" s="336"/>
      <c r="J225" s="168"/>
      <c r="K225" s="168"/>
    </row>
    <row r="226" spans="1:11">
      <c r="A226" s="163"/>
      <c r="B226" s="170" t="s">
        <v>235</v>
      </c>
      <c r="C226" s="592">
        <f>'[36]Sch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'[36]Sch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28977</v>
      </c>
      <c r="D228" s="592">
        <f>SUM(D219:D227)</f>
        <v>0</v>
      </c>
      <c r="E228" s="237">
        <f>SUM(E219:E227)</f>
        <v>28977</v>
      </c>
      <c r="F228" s="237">
        <f>SUM(F219:F227)</f>
        <v>0</v>
      </c>
      <c r="G228" s="237">
        <f>SUM(G219:G227)</f>
        <v>28977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'[36]Sch D'!N22</f>
        <v>82</v>
      </c>
      <c r="D231" s="559"/>
      <c r="E231" s="235">
        <f>C231+D231</f>
        <v>82</v>
      </c>
      <c r="F231" s="235"/>
      <c r="G231" s="235">
        <f>E231+F231</f>
        <v>82</v>
      </c>
      <c r="J231" s="168"/>
      <c r="K231" s="168"/>
    </row>
    <row r="232" spans="1:11">
      <c r="A232" s="163"/>
      <c r="B232" s="202" t="s">
        <v>290</v>
      </c>
      <c r="C232" s="593">
        <f>'[36]Sch D'!N24</f>
        <v>78</v>
      </c>
      <c r="D232" s="559"/>
      <c r="E232" s="235">
        <f>C232+D232</f>
        <v>78</v>
      </c>
      <c r="F232" s="235"/>
      <c r="G232" s="235">
        <f>E232+F232</f>
        <v>78</v>
      </c>
      <c r="H232" s="278" t="s">
        <v>532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'[36]Sch D'!N28</f>
        <v>30012</v>
      </c>
      <c r="D235" s="483"/>
      <c r="E235" s="234">
        <f>E231*E233</f>
        <v>30012</v>
      </c>
      <c r="F235" s="239"/>
      <c r="G235" s="234">
        <f>G231*G233</f>
        <v>30012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'[36]Sch D'!N30</f>
        <v>0.96551379448220709</v>
      </c>
      <c r="D236" s="239"/>
      <c r="E236" s="244">
        <f>E228/E235</f>
        <v>0.96551379448220709</v>
      </c>
      <c r="F236" s="245"/>
      <c r="G236" s="244">
        <f>G228/G235</f>
        <v>0.96551379448220709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'[36]Sch D'!N32</f>
        <v>0.70968279354924702</v>
      </c>
      <c r="D237" s="239"/>
      <c r="E237" s="244">
        <f>(E219+E220)/E235</f>
        <v>0.70968279354924702</v>
      </c>
      <c r="F237" s="245"/>
      <c r="G237" s="244">
        <f>(G219+G220)/G235</f>
        <v>0.70968279354924702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'[36]Sch D'!N34</f>
        <v>0.7350312316664942</v>
      </c>
      <c r="D238" s="239"/>
      <c r="E238" s="244">
        <f>(E237/E236)</f>
        <v>0.7350312316664942</v>
      </c>
      <c r="F238" s="245"/>
      <c r="G238" s="244">
        <f>(G237/G236)</f>
        <v>0.7350312316664942</v>
      </c>
      <c r="H238" s="167"/>
      <c r="J238" s="168"/>
      <c r="K238" s="168"/>
    </row>
    <row r="241" spans="2:7">
      <c r="B241" s="148"/>
      <c r="F241" s="142" t="s">
        <v>340</v>
      </c>
      <c r="G241" s="558">
        <f>'[36]Sch B'!C85</f>
        <v>279.78350515463916</v>
      </c>
    </row>
    <row r="242" spans="2:7">
      <c r="F242" s="142" t="s">
        <v>341</v>
      </c>
      <c r="G242" s="558">
        <f>'[36]Sch B'!E85</f>
        <v>292</v>
      </c>
    </row>
    <row r="243" spans="2:7">
      <c r="B243" s="506"/>
      <c r="F243" s="142" t="s">
        <v>342</v>
      </c>
      <c r="G243" s="558">
        <f>'[36]Sch B'!G85</f>
        <v>267.3435114503817</v>
      </c>
    </row>
    <row r="244" spans="2:7">
      <c r="B244" s="460"/>
      <c r="F244" s="142" t="s">
        <v>343</v>
      </c>
      <c r="G244" s="558">
        <f>'[36]Sch B'!I85</f>
        <v>262.15438596491231</v>
      </c>
    </row>
    <row r="245" spans="2:7">
      <c r="B245" s="460"/>
      <c r="F245" s="142"/>
    </row>
    <row r="246" spans="2:7">
      <c r="B246" s="460"/>
    </row>
    <row r="247" spans="2:7">
      <c r="B247" s="460"/>
    </row>
    <row r="248" spans="2:7">
      <c r="B248" s="460"/>
    </row>
  </sheetData>
  <customSheetViews>
    <customSheetView guid="{00D6F160-3E2B-11D5-8BE5-C1A1C12816BD}" showPageBreaks="1" showGridLines="0" showRuler="0">
      <selection activeCell="F4" sqref="F4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86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28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527"/>
    </row>
    <row r="2" spans="1:17" ht="23">
      <c r="B2" s="143" t="s">
        <v>189</v>
      </c>
      <c r="C2" s="246" t="s">
        <v>378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29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30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30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31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v>1514865.82</v>
      </c>
      <c r="D11" s="558">
        <v>691406.94</v>
      </c>
      <c r="E11" s="171">
        <f>C11+D11</f>
        <v>2206272.7599999998</v>
      </c>
      <c r="F11" s="171"/>
      <c r="G11" s="171">
        <f t="shared" ref="G11:G20" si="0">E11+F11</f>
        <v>2206272.7599999998</v>
      </c>
      <c r="H11" s="172">
        <f t="shared" ref="H11:H21" si="1">IF($G$21=0,0,G11/$G$21)</f>
        <v>0.54391787494552157</v>
      </c>
      <c r="I11" s="526"/>
      <c r="J11" s="368" t="s">
        <v>344</v>
      </c>
      <c r="K11" s="369">
        <f>G21</f>
        <v>4056260.8099999996</v>
      </c>
      <c r="M11" s="359">
        <f>IFERROR(G11/G219,0)</f>
        <v>250.39981386902733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v>0</v>
      </c>
      <c r="D12" s="558"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26"/>
      <c r="J12" s="370" t="s">
        <v>345</v>
      </c>
      <c r="K12" s="371">
        <f>G208</f>
        <v>3656284.0900000017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v>594100.68999999994</v>
      </c>
      <c r="D13" s="558">
        <v>0</v>
      </c>
      <c r="E13" s="171">
        <f t="shared" si="2"/>
        <v>594100.68999999994</v>
      </c>
      <c r="F13" s="171"/>
      <c r="G13" s="171">
        <f t="shared" si="0"/>
        <v>594100.68999999994</v>
      </c>
      <c r="H13" s="172">
        <f t="shared" si="1"/>
        <v>0.14646511105384272</v>
      </c>
      <c r="I13" s="526"/>
      <c r="J13" s="370" t="s">
        <v>346</v>
      </c>
      <c r="K13" s="371">
        <f>G228</f>
        <v>17160</v>
      </c>
      <c r="M13" s="359">
        <f t="shared" si="3"/>
        <v>465.96132549019603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v>60656.71</v>
      </c>
      <c r="D14" s="558">
        <v>0</v>
      </c>
      <c r="E14" s="171">
        <f t="shared" si="2"/>
        <v>60656.71</v>
      </c>
      <c r="F14" s="175"/>
      <c r="G14" s="175">
        <f>E14+F14</f>
        <v>60656.71</v>
      </c>
      <c r="H14" s="176">
        <f t="shared" si="1"/>
        <v>1.4953848591407515E-2</v>
      </c>
      <c r="I14" s="532"/>
      <c r="J14" s="370" t="s">
        <v>347</v>
      </c>
      <c r="K14" s="371">
        <f>G231</f>
        <v>60</v>
      </c>
      <c r="M14" s="359">
        <f t="shared" si="3"/>
        <v>276.97127853881278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v>0</v>
      </c>
      <c r="D15" s="558"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26"/>
      <c r="J15" s="370" t="s">
        <v>348</v>
      </c>
      <c r="K15" s="371">
        <f>G235</f>
        <v>21960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v>1016401.68</v>
      </c>
      <c r="D16" s="558">
        <v>0</v>
      </c>
      <c r="E16" s="171">
        <f t="shared" si="2"/>
        <v>1016401.68</v>
      </c>
      <c r="F16" s="171"/>
      <c r="G16" s="171">
        <f t="shared" si="0"/>
        <v>1016401.68</v>
      </c>
      <c r="H16" s="172">
        <f t="shared" si="1"/>
        <v>0.25057601757121734</v>
      </c>
      <c r="I16" s="526"/>
      <c r="J16" s="372"/>
      <c r="K16" s="371"/>
      <c r="M16" s="359">
        <f t="shared" si="3"/>
        <v>151.79236559139787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v>2593.9</v>
      </c>
      <c r="D17" s="558">
        <v>0</v>
      </c>
      <c r="E17" s="171">
        <f t="shared" si="2"/>
        <v>2593.9</v>
      </c>
      <c r="F17" s="171"/>
      <c r="G17" s="171">
        <f>E17+F17</f>
        <v>2593.9</v>
      </c>
      <c r="H17" s="172">
        <f t="shared" si="1"/>
        <v>6.3948057620091749E-4</v>
      </c>
      <c r="I17" s="526"/>
      <c r="J17" s="370" t="s">
        <v>156</v>
      </c>
      <c r="K17" s="371">
        <f>J208</f>
        <v>98244.54</v>
      </c>
      <c r="M17" s="359">
        <f t="shared" si="3"/>
        <v>152.58235294117648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v>40204</v>
      </c>
      <c r="D18" s="558">
        <v>0</v>
      </c>
      <c r="E18" s="171">
        <f t="shared" si="2"/>
        <v>40204</v>
      </c>
      <c r="F18" s="171"/>
      <c r="G18" s="171">
        <f>E18+F18</f>
        <v>40204</v>
      </c>
      <c r="H18" s="172">
        <f t="shared" si="1"/>
        <v>9.9115914590314526E-3</v>
      </c>
      <c r="I18" s="526"/>
      <c r="J18" s="373" t="s">
        <v>252</v>
      </c>
      <c r="K18" s="374">
        <f>K208</f>
        <v>105809.1</v>
      </c>
      <c r="M18" s="359">
        <f t="shared" si="3"/>
        <v>283.12676056338029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v>0</v>
      </c>
      <c r="D19" s="558"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2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v>1155378.1099999999</v>
      </c>
      <c r="D20" s="558">
        <v>-1019347.04</v>
      </c>
      <c r="E20" s="171">
        <f t="shared" si="2"/>
        <v>136031.06999999983</v>
      </c>
      <c r="F20" s="171"/>
      <c r="G20" s="171">
        <f t="shared" si="0"/>
        <v>136031.06999999983</v>
      </c>
      <c r="H20" s="172">
        <f t="shared" si="1"/>
        <v>3.353607580277853E-2</v>
      </c>
      <c r="I20" s="52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v>4384200.91</v>
      </c>
      <c r="D21" s="558">
        <v>-327940.10000000009</v>
      </c>
      <c r="E21" s="171">
        <f>SUM(E11:E20)</f>
        <v>4056260.8099999996</v>
      </c>
      <c r="F21" s="171">
        <f>SUM(F11:F20)</f>
        <v>0</v>
      </c>
      <c r="G21" s="171">
        <f>SUM(G11:G20)</f>
        <v>4056260.8099999996</v>
      </c>
      <c r="H21" s="172">
        <f t="shared" si="1"/>
        <v>1</v>
      </c>
      <c r="I21" s="526"/>
      <c r="J21" s="168"/>
      <c r="K21" s="168"/>
      <c r="M21" s="359">
        <f>IFERROR(G21/G228,0)</f>
        <v>236.37883508158507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v>73876.649999999994</v>
      </c>
      <c r="D25" s="558">
        <v>0</v>
      </c>
      <c r="E25" s="171">
        <f t="shared" ref="E25:E60" si="4">C25+D25</f>
        <v>73876.649999999994</v>
      </c>
      <c r="F25" s="171"/>
      <c r="G25" s="182">
        <f>E25+F25</f>
        <v>73876.649999999994</v>
      </c>
      <c r="H25" s="172">
        <f>IF($G$208=0,0,G25/$G$208)</f>
        <v>2.0205391096948366E-2</v>
      </c>
      <c r="I25" s="526"/>
      <c r="J25" s="183">
        <v>1880.91</v>
      </c>
      <c r="K25" s="183">
        <v>1971.41</v>
      </c>
      <c r="M25" s="359">
        <f>G25/G$228</f>
        <v>4.3051660839160837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v>0</v>
      </c>
      <c r="D26" s="558"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2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v>29916.87</v>
      </c>
      <c r="D27" s="558">
        <v>0</v>
      </c>
      <c r="E27" s="171">
        <f t="shared" si="4"/>
        <v>29916.87</v>
      </c>
      <c r="F27" s="171"/>
      <c r="G27" s="171">
        <f t="shared" si="5"/>
        <v>29916.87</v>
      </c>
      <c r="H27" s="172">
        <f t="shared" si="6"/>
        <v>8.1823155049201846E-3</v>
      </c>
      <c r="I27" s="526"/>
      <c r="J27" s="185">
        <v>2548.9699999999998</v>
      </c>
      <c r="K27" s="185">
        <v>2656.29</v>
      </c>
      <c r="M27" s="359">
        <f t="shared" si="7"/>
        <v>1.7434073426573427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v>573956.66</v>
      </c>
      <c r="D28" s="558">
        <v>-535901.16870501614</v>
      </c>
      <c r="E28" s="171">
        <f t="shared" si="4"/>
        <v>38055.491294983891</v>
      </c>
      <c r="F28" s="171"/>
      <c r="G28" s="171">
        <f t="shared" si="5"/>
        <v>38055.491294983891</v>
      </c>
      <c r="H28" s="172">
        <f t="shared" si="6"/>
        <v>1.0408242455520975E-2</v>
      </c>
      <c r="I28" s="526"/>
      <c r="J28" s="168"/>
      <c r="K28" s="168"/>
      <c r="M28" s="359">
        <f t="shared" si="7"/>
        <v>2.2176859729011591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v>0</v>
      </c>
      <c r="D29" s="558"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52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v>178927.95</v>
      </c>
      <c r="D30" s="558">
        <v>-178927.95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52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v>0</v>
      </c>
      <c r="D31" s="558">
        <v>128558</v>
      </c>
      <c r="E31" s="171">
        <f t="shared" si="4"/>
        <v>128558</v>
      </c>
      <c r="F31" s="171"/>
      <c r="G31" s="171">
        <f t="shared" si="5"/>
        <v>128558</v>
      </c>
      <c r="H31" s="172">
        <f t="shared" si="6"/>
        <v>3.5160834561955477E-2</v>
      </c>
      <c r="I31" s="526"/>
      <c r="J31" s="168"/>
      <c r="K31" s="168"/>
      <c r="M31" s="359">
        <f t="shared" si="7"/>
        <v>7.4917249417249421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v>15068.7</v>
      </c>
      <c r="D32" s="558">
        <v>-15069</v>
      </c>
      <c r="E32" s="171">
        <f t="shared" si="4"/>
        <v>-0.2999999999992724</v>
      </c>
      <c r="F32" s="171"/>
      <c r="G32" s="171">
        <f t="shared" si="5"/>
        <v>-0.2999999999992724</v>
      </c>
      <c r="H32" s="172">
        <f t="shared" si="6"/>
        <v>-8.2050517031698229E-8</v>
      </c>
      <c r="I32" s="526"/>
      <c r="J32" s="168"/>
      <c r="K32" s="168"/>
      <c r="M32" s="359">
        <f t="shared" si="7"/>
        <v>-1.7482517482475083E-5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v>37139.339999999997</v>
      </c>
      <c r="D33" s="558">
        <v>0</v>
      </c>
      <c r="E33" s="171">
        <f t="shared" si="4"/>
        <v>37139.339999999997</v>
      </c>
      <c r="F33" s="171"/>
      <c r="G33" s="171">
        <f t="shared" si="5"/>
        <v>37139.339999999997</v>
      </c>
      <c r="H33" s="172">
        <f t="shared" si="6"/>
        <v>1.0157673497411406E-2</v>
      </c>
      <c r="I33" s="526"/>
      <c r="J33" s="168"/>
      <c r="K33" s="168"/>
      <c r="M33" s="359">
        <f t="shared" si="7"/>
        <v>2.1642972027972025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v>4583.6099999999997</v>
      </c>
      <c r="D34" s="558">
        <v>0</v>
      </c>
      <c r="E34" s="171">
        <f t="shared" si="4"/>
        <v>4583.6099999999997</v>
      </c>
      <c r="F34" s="171"/>
      <c r="G34" s="171">
        <f t="shared" si="5"/>
        <v>4583.6099999999997</v>
      </c>
      <c r="H34" s="172">
        <f t="shared" si="6"/>
        <v>1.2536252345752481E-3</v>
      </c>
      <c r="I34" s="526"/>
      <c r="J34" s="168"/>
      <c r="K34" s="168"/>
      <c r="M34" s="359">
        <f t="shared" si="7"/>
        <v>0.26711013986013982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v>6732.38</v>
      </c>
      <c r="D35" s="558">
        <v>0</v>
      </c>
      <c r="E35" s="171">
        <f t="shared" si="4"/>
        <v>6732.38</v>
      </c>
      <c r="F35" s="171"/>
      <c r="G35" s="171">
        <f t="shared" si="5"/>
        <v>6732.38</v>
      </c>
      <c r="H35" s="172">
        <f t="shared" si="6"/>
        <v>1.841317532850681E-3</v>
      </c>
      <c r="I35" s="526"/>
      <c r="J35" s="168"/>
      <c r="K35" s="168"/>
      <c r="M35" s="359">
        <f t="shared" si="7"/>
        <v>0.39232983682983685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v>6965.6</v>
      </c>
      <c r="D36" s="558">
        <v>0</v>
      </c>
      <c r="E36" s="171">
        <f t="shared" si="4"/>
        <v>6965.6</v>
      </c>
      <c r="F36" s="171"/>
      <c r="G36" s="171">
        <f t="shared" si="5"/>
        <v>6965.6</v>
      </c>
      <c r="H36" s="172">
        <f t="shared" si="6"/>
        <v>1.9051036047912778E-3</v>
      </c>
      <c r="I36" s="526"/>
      <c r="J36" s="168"/>
      <c r="K36" s="168"/>
      <c r="M36" s="359">
        <f t="shared" si="7"/>
        <v>0.40592074592074595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v>0</v>
      </c>
      <c r="D37" s="558"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2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v>15287.58</v>
      </c>
      <c r="D38" s="558">
        <v>0</v>
      </c>
      <c r="E38" s="171">
        <f t="shared" si="4"/>
        <v>15287.58</v>
      </c>
      <c r="F38" s="171"/>
      <c r="G38" s="171">
        <f t="shared" si="5"/>
        <v>15287.58</v>
      </c>
      <c r="H38" s="172">
        <f t="shared" si="6"/>
        <v>4.1811794772216382E-3</v>
      </c>
      <c r="I38" s="526"/>
      <c r="J38" s="168"/>
      <c r="K38" s="168"/>
      <c r="M38" s="359">
        <f t="shared" si="7"/>
        <v>0.89088461538461539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v>43895.05</v>
      </c>
      <c r="D39" s="558">
        <v>0</v>
      </c>
      <c r="E39" s="171">
        <f t="shared" si="4"/>
        <v>43895.05</v>
      </c>
      <c r="F39" s="171"/>
      <c r="G39" s="171">
        <f t="shared" si="5"/>
        <v>43895.05</v>
      </c>
      <c r="H39" s="172">
        <f t="shared" si="6"/>
        <v>1.2005371825469936E-2</v>
      </c>
      <c r="I39" s="526"/>
      <c r="J39" s="168"/>
      <c r="K39" s="168"/>
      <c r="M39" s="359">
        <f t="shared" si="7"/>
        <v>2.5579865967365971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v>0</v>
      </c>
      <c r="D40" s="558"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2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v>286964.47999999998</v>
      </c>
      <c r="D41" s="558">
        <v>0</v>
      </c>
      <c r="E41" s="171">
        <f t="shared" si="4"/>
        <v>286964.47999999998</v>
      </c>
      <c r="F41" s="171"/>
      <c r="G41" s="171">
        <f t="shared" si="5"/>
        <v>286964.47999999998</v>
      </c>
      <c r="H41" s="172">
        <f t="shared" si="6"/>
        <v>7.8485279845965095E-2</v>
      </c>
      <c r="I41" s="526"/>
      <c r="J41" s="168"/>
      <c r="K41" s="168"/>
      <c r="M41" s="359">
        <f t="shared" si="7"/>
        <v>16.722871794871793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v>0</v>
      </c>
      <c r="D42" s="558"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52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v>0</v>
      </c>
      <c r="D43" s="558"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2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v>36222.35</v>
      </c>
      <c r="D44" s="558">
        <v>-36222.35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2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v>1025</v>
      </c>
      <c r="D45" s="558">
        <v>-1025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2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v>49109.73</v>
      </c>
      <c r="D46" s="558">
        <v>0</v>
      </c>
      <c r="E46" s="171">
        <f t="shared" si="4"/>
        <v>49109.73</v>
      </c>
      <c r="F46" s="171"/>
      <c r="G46" s="171">
        <f t="shared" si="5"/>
        <v>49109.73</v>
      </c>
      <c r="H46" s="172">
        <f t="shared" si="6"/>
        <v>1.3431595792656249E-2</v>
      </c>
      <c r="I46" s="526"/>
      <c r="J46" s="168"/>
      <c r="K46" s="168"/>
      <c r="M46" s="359">
        <f t="shared" si="7"/>
        <v>2.8618723776223778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v>17430.47</v>
      </c>
      <c r="D47" s="558">
        <v>0</v>
      </c>
      <c r="E47" s="171">
        <f t="shared" si="4"/>
        <v>17430.47</v>
      </c>
      <c r="F47" s="171"/>
      <c r="G47" s="171">
        <f t="shared" si="5"/>
        <v>17430.47</v>
      </c>
      <c r="H47" s="172">
        <f t="shared" si="6"/>
        <v>4.7672635853632456E-3</v>
      </c>
      <c r="I47" s="526"/>
      <c r="J47" s="168"/>
      <c r="K47" s="168"/>
      <c r="M47" s="359">
        <f t="shared" si="7"/>
        <v>1.0157616550116551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v>1495</v>
      </c>
      <c r="D48" s="558">
        <v>-1495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2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v>0</v>
      </c>
      <c r="D49" s="558"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2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v>0</v>
      </c>
      <c r="D50" s="558"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2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v>0</v>
      </c>
      <c r="D51" s="558"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52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v>0</v>
      </c>
      <c r="D52" s="558"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52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v>450.1</v>
      </c>
      <c r="D53" s="558">
        <v>0</v>
      </c>
      <c r="E53" s="171">
        <f t="shared" si="4"/>
        <v>450.1</v>
      </c>
      <c r="F53" s="171"/>
      <c r="G53" s="171">
        <f t="shared" si="5"/>
        <v>450.1</v>
      </c>
      <c r="H53" s="172">
        <f t="shared" si="6"/>
        <v>1.2310312572018982E-4</v>
      </c>
      <c r="I53" s="526"/>
      <c r="J53" s="168"/>
      <c r="K53" s="168"/>
      <c r="M53" s="359">
        <f t="shared" si="7"/>
        <v>2.6229603729603732E-2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v>3136.55</v>
      </c>
      <c r="D54" s="558">
        <v>0</v>
      </c>
      <c r="E54" s="171">
        <f t="shared" si="4"/>
        <v>3136.55</v>
      </c>
      <c r="F54" s="171"/>
      <c r="G54" s="171">
        <f t="shared" si="5"/>
        <v>3136.55</v>
      </c>
      <c r="H54" s="172">
        <f t="shared" si="6"/>
        <v>8.5785183065465755E-4</v>
      </c>
      <c r="I54" s="526"/>
      <c r="J54" s="168"/>
      <c r="K54" s="168"/>
      <c r="M54" s="359">
        <f t="shared" si="7"/>
        <v>0.18278263403263403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v>2229.38</v>
      </c>
      <c r="D55" s="558">
        <v>-2229.38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52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v>5160.3599999999997</v>
      </c>
      <c r="D56" s="558">
        <v>0</v>
      </c>
      <c r="E56" s="171">
        <f t="shared" si="4"/>
        <v>5160.3599999999997</v>
      </c>
      <c r="F56" s="171"/>
      <c r="G56" s="171">
        <f t="shared" si="5"/>
        <v>5160.3599999999997</v>
      </c>
      <c r="H56" s="172">
        <f t="shared" si="6"/>
        <v>1.4113673535690705E-3</v>
      </c>
      <c r="I56" s="526"/>
      <c r="J56" s="168"/>
      <c r="K56" s="168"/>
      <c r="M56" s="359">
        <f t="shared" si="7"/>
        <v>0.3007202797202797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v>3683.38</v>
      </c>
      <c r="D57" s="558">
        <v>0</v>
      </c>
      <c r="E57" s="171">
        <f t="shared" si="4"/>
        <v>3683.38</v>
      </c>
      <c r="F57" s="171"/>
      <c r="G57" s="171">
        <f t="shared" si="5"/>
        <v>3683.38</v>
      </c>
      <c r="H57" s="172">
        <f t="shared" si="6"/>
        <v>1.0074107780831654E-3</v>
      </c>
      <c r="I57" s="526"/>
      <c r="J57" s="168"/>
      <c r="K57" s="168"/>
      <c r="M57" s="359">
        <f t="shared" si="7"/>
        <v>0.21464918414918416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v>7479.13</v>
      </c>
      <c r="D58" s="558">
        <v>0</v>
      </c>
      <c r="E58" s="171">
        <f t="shared" si="4"/>
        <v>7479.13</v>
      </c>
      <c r="F58" s="171"/>
      <c r="G58" s="171">
        <f t="shared" si="5"/>
        <v>7479.13</v>
      </c>
      <c r="H58" s="172">
        <f t="shared" si="6"/>
        <v>2.045554944829245E-3</v>
      </c>
      <c r="I58" s="526"/>
      <c r="J58" s="168"/>
      <c r="K58" s="168"/>
      <c r="M58" s="359">
        <f t="shared" si="7"/>
        <v>0.43584673659673662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v>280</v>
      </c>
      <c r="D59" s="558">
        <v>0</v>
      </c>
      <c r="E59" s="171">
        <f t="shared" si="4"/>
        <v>280</v>
      </c>
      <c r="F59" s="171"/>
      <c r="G59" s="171">
        <f t="shared" si="5"/>
        <v>280</v>
      </c>
      <c r="H59" s="172">
        <f t="shared" si="6"/>
        <v>7.6580482563104075E-5</v>
      </c>
      <c r="I59" s="526"/>
      <c r="J59" s="168"/>
      <c r="K59" s="168"/>
      <c r="M59" s="359">
        <f t="shared" si="7"/>
        <v>1.6317016317016316E-2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v>327940.09999999998</v>
      </c>
      <c r="D60" s="558">
        <v>-327940.09999999998</v>
      </c>
      <c r="E60" s="171">
        <f t="shared" si="4"/>
        <v>0</v>
      </c>
      <c r="F60" s="171"/>
      <c r="G60" s="171">
        <f t="shared" si="5"/>
        <v>0</v>
      </c>
      <c r="H60" s="172">
        <f t="shared" si="6"/>
        <v>0</v>
      </c>
      <c r="I60" s="526"/>
      <c r="J60" s="168"/>
      <c r="K60" s="168"/>
      <c r="M60" s="359">
        <f t="shared" si="7"/>
        <v>0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v>1728956.42</v>
      </c>
      <c r="D61" s="558">
        <v>-970251.94870501605</v>
      </c>
      <c r="E61" s="171">
        <f t="shared" ref="E61:F61" si="8">SUM(E25:E60)</f>
        <v>758704.47129498387</v>
      </c>
      <c r="F61" s="171">
        <f t="shared" si="8"/>
        <v>0</v>
      </c>
      <c r="G61" s="171">
        <f>SUM(G25:G60)</f>
        <v>758704.47129498387</v>
      </c>
      <c r="H61" s="186">
        <f t="shared" si="6"/>
        <v>0.20750698048055219</v>
      </c>
      <c r="I61" s="533"/>
      <c r="J61" s="168"/>
      <c r="K61" s="168"/>
      <c r="M61" s="364">
        <f>G61/G$228</f>
        <v>44.21354727826246</v>
      </c>
      <c r="N61" s="359">
        <f>SUMMARY!J64</f>
        <v>53.728790309602623</v>
      </c>
      <c r="O61" s="354">
        <f>M61/N61-1</f>
        <v>-0.1770976598674614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534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34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v>0</v>
      </c>
      <c r="D64" s="558"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52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v>165171.84</v>
      </c>
      <c r="D65" s="558">
        <v>0</v>
      </c>
      <c r="E65" s="171">
        <f t="shared" si="9"/>
        <v>165171.84</v>
      </c>
      <c r="F65" s="171"/>
      <c r="G65" s="171">
        <f t="shared" si="10"/>
        <v>165171.84</v>
      </c>
      <c r="H65" s="172">
        <f t="shared" si="11"/>
        <v>4.5174782903699348E-2</v>
      </c>
      <c r="I65" s="526"/>
      <c r="J65" s="190"/>
      <c r="K65" s="168"/>
      <c r="M65" s="359">
        <f t="shared" si="12"/>
        <v>9.6253986013986008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v>0</v>
      </c>
      <c r="D66" s="558"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52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v>0</v>
      </c>
      <c r="D67" s="558"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52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v>3239</v>
      </c>
      <c r="D68" s="558">
        <v>0</v>
      </c>
      <c r="E68" s="171">
        <f t="shared" si="9"/>
        <v>3239</v>
      </c>
      <c r="F68" s="171"/>
      <c r="G68" s="171">
        <f t="shared" si="10"/>
        <v>3239</v>
      </c>
      <c r="H68" s="172">
        <f t="shared" si="11"/>
        <v>8.8587208222105039E-4</v>
      </c>
      <c r="I68" s="526"/>
      <c r="J68" s="193"/>
      <c r="K68" s="168"/>
      <c r="M68" s="359">
        <f t="shared" si="12"/>
        <v>0.18875291375291375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v>0</v>
      </c>
      <c r="D69" s="558"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52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v>0</v>
      </c>
      <c r="D70" s="558"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52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v>0</v>
      </c>
      <c r="D71" s="558"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2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v>1545</v>
      </c>
      <c r="D72" s="558">
        <v>0</v>
      </c>
      <c r="E72" s="171">
        <f t="shared" si="9"/>
        <v>1545</v>
      </c>
      <c r="F72" s="171"/>
      <c r="G72" s="171">
        <f t="shared" si="10"/>
        <v>1545</v>
      </c>
      <c r="H72" s="172">
        <f t="shared" si="11"/>
        <v>4.2256016271427071E-4</v>
      </c>
      <c r="I72" s="526"/>
      <c r="J72" s="195"/>
      <c r="K72" s="168"/>
      <c r="M72" s="359">
        <f t="shared" si="12"/>
        <v>9.0034965034965039E-2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v>5887.69</v>
      </c>
      <c r="D73" s="558">
        <v>0</v>
      </c>
      <c r="E73" s="171">
        <f t="shared" si="9"/>
        <v>5887.69</v>
      </c>
      <c r="F73" s="171"/>
      <c r="G73" s="171">
        <f t="shared" si="10"/>
        <v>5887.69</v>
      </c>
      <c r="H73" s="172">
        <f t="shared" si="11"/>
        <v>1.6102933620784365E-3</v>
      </c>
      <c r="I73" s="526"/>
      <c r="J73" s="195"/>
      <c r="K73" s="168"/>
      <c r="M73" s="359">
        <f t="shared" si="12"/>
        <v>0.34310547785547785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v>36243.96</v>
      </c>
      <c r="D74" s="558">
        <v>0</v>
      </c>
      <c r="E74" s="171">
        <f t="shared" si="9"/>
        <v>36243.96</v>
      </c>
      <c r="F74" s="171"/>
      <c r="G74" s="171">
        <f t="shared" si="10"/>
        <v>36243.96</v>
      </c>
      <c r="H74" s="172">
        <f t="shared" si="11"/>
        <v>9.9127855242780068E-3</v>
      </c>
      <c r="I74" s="526"/>
      <c r="J74" s="195"/>
      <c r="K74" s="168"/>
      <c r="M74" s="359">
        <f t="shared" si="12"/>
        <v>2.1121188811188811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v>0</v>
      </c>
      <c r="D75" s="558"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2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v>0</v>
      </c>
      <c r="D76" s="558"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52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v>0</v>
      </c>
      <c r="D77" s="558"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52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v>0</v>
      </c>
      <c r="D78" s="558"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2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v>212087.49</v>
      </c>
      <c r="D79" s="558">
        <v>0</v>
      </c>
      <c r="E79" s="171">
        <f t="shared" ref="E79:F79" si="13">SUM(E64:E78)</f>
        <v>212087.49</v>
      </c>
      <c r="F79" s="171">
        <f t="shared" si="13"/>
        <v>0</v>
      </c>
      <c r="G79" s="171">
        <f>SUM(G64:G78)</f>
        <v>212087.49</v>
      </c>
      <c r="H79" s="172">
        <f t="shared" si="11"/>
        <v>5.8006294034991107E-2</v>
      </c>
      <c r="I79" s="526"/>
      <c r="J79" s="195"/>
      <c r="K79" s="168"/>
      <c r="M79" s="359">
        <f t="shared" si="12"/>
        <v>12.359410839160839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52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2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v>46398.34</v>
      </c>
      <c r="D82" s="558">
        <v>0</v>
      </c>
      <c r="E82" s="171">
        <f t="shared" ref="E82:E92" si="14">C82+D82</f>
        <v>46398.34</v>
      </c>
      <c r="F82" s="171"/>
      <c r="G82" s="171">
        <f t="shared" ref="G82:G92" si="15">E82+F82</f>
        <v>46398.34</v>
      </c>
      <c r="H82" s="172">
        <f t="shared" ref="H82:H93" si="16">IF($G$208=0,0,G82/$G$208)</f>
        <v>1.2690025954739195E-2</v>
      </c>
      <c r="I82" s="526"/>
      <c r="J82" s="183">
        <v>2140.4899999999998</v>
      </c>
      <c r="K82" s="183">
        <v>2284.4899999999998</v>
      </c>
      <c r="M82" s="359">
        <f t="shared" ref="M82:M92" si="17">G82/G$228</f>
        <v>2.7038659673659673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v>0</v>
      </c>
      <c r="D83" s="558">
        <v>17011.771293349539</v>
      </c>
      <c r="E83" s="171">
        <f t="shared" si="14"/>
        <v>17011.771293349539</v>
      </c>
      <c r="F83" s="171"/>
      <c r="G83" s="171">
        <f t="shared" si="15"/>
        <v>17011.771293349539</v>
      </c>
      <c r="H83" s="172">
        <f t="shared" si="16"/>
        <v>4.652748767492389E-3</v>
      </c>
      <c r="I83" s="526"/>
      <c r="J83" s="168"/>
      <c r="K83" s="168"/>
      <c r="M83" s="359">
        <f t="shared" si="17"/>
        <v>0.99136196348190786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v>4219.6000000000004</v>
      </c>
      <c r="D84" s="558">
        <v>0</v>
      </c>
      <c r="E84" s="171">
        <f t="shared" si="14"/>
        <v>4219.6000000000004</v>
      </c>
      <c r="F84" s="171"/>
      <c r="G84" s="171">
        <f t="shared" si="15"/>
        <v>4219.6000000000004</v>
      </c>
      <c r="H84" s="172">
        <f t="shared" si="16"/>
        <v>1.1540678722259787E-3</v>
      </c>
      <c r="I84" s="526"/>
      <c r="J84" s="168"/>
      <c r="K84" s="168"/>
      <c r="M84" s="359">
        <f t="shared" si="17"/>
        <v>0.24589743589743593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v>247</v>
      </c>
      <c r="D85" s="558">
        <v>0</v>
      </c>
      <c r="E85" s="171">
        <f t="shared" si="14"/>
        <v>247</v>
      </c>
      <c r="F85" s="171"/>
      <c r="G85" s="171">
        <f t="shared" si="15"/>
        <v>247</v>
      </c>
      <c r="H85" s="172">
        <f t="shared" si="16"/>
        <v>6.7554925689595382E-5</v>
      </c>
      <c r="I85" s="526"/>
      <c r="J85" s="168"/>
      <c r="K85" s="168"/>
      <c r="M85" s="359">
        <f t="shared" si="17"/>
        <v>1.4393939393939395E-2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v>29319.119999999999</v>
      </c>
      <c r="D86" s="558">
        <v>0</v>
      </c>
      <c r="E86" s="171">
        <f t="shared" si="14"/>
        <v>29319.119999999999</v>
      </c>
      <c r="F86" s="171"/>
      <c r="G86" s="171">
        <f>E86+F86</f>
        <v>29319.119999999999</v>
      </c>
      <c r="H86" s="172">
        <f t="shared" si="16"/>
        <v>8.0188298497341284E-3</v>
      </c>
      <c r="I86" s="526"/>
      <c r="J86" s="168"/>
      <c r="K86" s="168"/>
      <c r="M86" s="359">
        <f t="shared" si="17"/>
        <v>1.7085734265734265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v>9771.82</v>
      </c>
      <c r="D87" s="558">
        <v>0</v>
      </c>
      <c r="E87" s="171">
        <f t="shared" si="14"/>
        <v>9771.82</v>
      </c>
      <c r="F87" s="171"/>
      <c r="G87" s="171">
        <f t="shared" si="15"/>
        <v>9771.82</v>
      </c>
      <c r="H87" s="172">
        <f t="shared" si="16"/>
        <v>2.6726096111421133E-3</v>
      </c>
      <c r="I87" s="526"/>
      <c r="J87" s="168"/>
      <c r="K87" s="168"/>
      <c r="M87" s="359">
        <f t="shared" si="17"/>
        <v>0.56945337995337997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v>20220.61</v>
      </c>
      <c r="D88" s="558">
        <v>0</v>
      </c>
      <c r="E88" s="171">
        <f t="shared" si="14"/>
        <v>20220.61</v>
      </c>
      <c r="F88" s="171"/>
      <c r="G88" s="171">
        <f t="shared" si="15"/>
        <v>20220.61</v>
      </c>
      <c r="H88" s="172">
        <f t="shared" si="16"/>
        <v>5.5303716840011717E-3</v>
      </c>
      <c r="I88" s="526"/>
      <c r="J88" s="168"/>
      <c r="K88" s="168"/>
      <c r="M88" s="359">
        <f t="shared" si="17"/>
        <v>1.1783572261072262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v>16103.91</v>
      </c>
      <c r="D89" s="558">
        <v>0</v>
      </c>
      <c r="E89" s="171">
        <f t="shared" si="14"/>
        <v>16103.91</v>
      </c>
      <c r="F89" s="171"/>
      <c r="G89" s="171">
        <f t="shared" si="15"/>
        <v>16103.91</v>
      </c>
      <c r="H89" s="172">
        <f t="shared" si="16"/>
        <v>4.4044471391171333E-3</v>
      </c>
      <c r="I89" s="526"/>
      <c r="J89" s="168"/>
      <c r="K89" s="168"/>
      <c r="M89" s="359">
        <f t="shared" si="17"/>
        <v>0.93845629370629369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v>5691.54</v>
      </c>
      <c r="D90" s="558">
        <v>0</v>
      </c>
      <c r="E90" s="171">
        <f t="shared" si="14"/>
        <v>5691.54</v>
      </c>
      <c r="F90" s="171"/>
      <c r="G90" s="171">
        <f t="shared" si="15"/>
        <v>5691.54</v>
      </c>
      <c r="H90" s="172">
        <f t="shared" si="16"/>
        <v>1.5566459990257479E-3</v>
      </c>
      <c r="I90" s="526"/>
      <c r="J90" s="168"/>
      <c r="K90" s="168"/>
      <c r="M90" s="359">
        <f t="shared" si="17"/>
        <v>0.33167482517482516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v>91619.09</v>
      </c>
      <c r="D91" s="558">
        <v>0</v>
      </c>
      <c r="E91" s="171">
        <f t="shared" si="14"/>
        <v>91619.09</v>
      </c>
      <c r="F91" s="171"/>
      <c r="G91" s="171">
        <f t="shared" si="15"/>
        <v>91619.09</v>
      </c>
      <c r="H91" s="172">
        <f t="shared" si="16"/>
        <v>2.5057979014973083E-2</v>
      </c>
      <c r="I91" s="526"/>
      <c r="J91" s="168"/>
      <c r="K91" s="168"/>
      <c r="M91" s="359">
        <f t="shared" si="17"/>
        <v>5.3391078088578086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v>0</v>
      </c>
      <c r="D92" s="558"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52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v>223591.03</v>
      </c>
      <c r="D93" s="558">
        <v>17011.771293349539</v>
      </c>
      <c r="E93" s="171">
        <f t="shared" ref="E93:F93" si="18">SUM(E82:E92)</f>
        <v>240602.80129334953</v>
      </c>
      <c r="F93" s="171">
        <f t="shared" si="18"/>
        <v>0</v>
      </c>
      <c r="G93" s="171">
        <f>SUM(G82:G92)</f>
        <v>240602.80129334953</v>
      </c>
      <c r="H93" s="172">
        <f t="shared" si="16"/>
        <v>6.5805280818140535E-2</v>
      </c>
      <c r="I93" s="526"/>
      <c r="J93" s="168"/>
      <c r="K93" s="168"/>
      <c r="M93" s="364">
        <f>G93/G$228</f>
        <v>14.021142266512211</v>
      </c>
      <c r="N93" s="359">
        <f>SUMMARY!J96</f>
        <v>11.458724454710746</v>
      </c>
      <c r="O93" s="354">
        <f>M93/N93-1</f>
        <v>0.2236215576986007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52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2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v>151485.51</v>
      </c>
      <c r="D96" s="558">
        <v>0</v>
      </c>
      <c r="E96" s="171">
        <f t="shared" ref="E96:E101" si="19">C96+D96</f>
        <v>151485.51</v>
      </c>
      <c r="F96" s="171"/>
      <c r="G96" s="171">
        <f t="shared" ref="G96:G101" si="20">E96+F96</f>
        <v>151485.51</v>
      </c>
      <c r="H96" s="172">
        <f t="shared" ref="H96:H102" si="21">IF($G$208=0,0,G96/$G$208)</f>
        <v>4.1431548061135463E-2</v>
      </c>
      <c r="I96" s="526"/>
      <c r="J96" s="183">
        <v>12927.05</v>
      </c>
      <c r="K96" s="183">
        <v>13846.49</v>
      </c>
      <c r="M96" s="364">
        <f t="shared" ref="M96:M101" si="22">G96/G$228</f>
        <v>8.8278269230769233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v>0</v>
      </c>
      <c r="D97" s="558">
        <v>55541.574340297833</v>
      </c>
      <c r="E97" s="171">
        <f t="shared" si="19"/>
        <v>55541.574340297833</v>
      </c>
      <c r="F97" s="171"/>
      <c r="G97" s="171">
        <f t="shared" si="20"/>
        <v>55541.574340297833</v>
      </c>
      <c r="H97" s="172">
        <f t="shared" si="21"/>
        <v>1.5190716304623311E-2</v>
      </c>
      <c r="I97" s="526"/>
      <c r="J97" s="168"/>
      <c r="K97" s="168"/>
      <c r="M97" s="364">
        <f t="shared" si="22"/>
        <v>3.2366884813693377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v>2898</v>
      </c>
      <c r="D98" s="558">
        <v>0</v>
      </c>
      <c r="E98" s="171">
        <f t="shared" si="19"/>
        <v>2898</v>
      </c>
      <c r="F98" s="171"/>
      <c r="G98" s="171">
        <f t="shared" si="20"/>
        <v>2898</v>
      </c>
      <c r="H98" s="172">
        <f t="shared" si="21"/>
        <v>7.9260799452812725E-4</v>
      </c>
      <c r="I98" s="526"/>
      <c r="J98" s="168"/>
      <c r="K98" s="168"/>
      <c r="M98" s="364">
        <f t="shared" si="22"/>
        <v>0.16888111888111887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v>151972.98000000001</v>
      </c>
      <c r="D99" s="558">
        <v>0</v>
      </c>
      <c r="E99" s="171">
        <f t="shared" si="19"/>
        <v>151972.98000000001</v>
      </c>
      <c r="F99" s="171"/>
      <c r="G99" s="171">
        <f t="shared" si="20"/>
        <v>151972.98000000001</v>
      </c>
      <c r="H99" s="172">
        <f t="shared" si="21"/>
        <v>4.1564871946260594E-2</v>
      </c>
      <c r="I99" s="526"/>
      <c r="J99" s="168"/>
      <c r="K99" s="168"/>
      <c r="M99" s="364">
        <f t="shared" si="22"/>
        <v>8.8562342657342672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v>16959.41</v>
      </c>
      <c r="D100" s="558">
        <v>0</v>
      </c>
      <c r="E100" s="171">
        <f t="shared" si="19"/>
        <v>16959.41</v>
      </c>
      <c r="F100" s="171"/>
      <c r="G100" s="171">
        <f t="shared" si="20"/>
        <v>16959.41</v>
      </c>
      <c r="H100" s="172">
        <f t="shared" si="21"/>
        <v>4.6384278635197606E-3</v>
      </c>
      <c r="I100" s="526"/>
      <c r="J100" s="168"/>
      <c r="K100" s="168"/>
      <c r="M100" s="364">
        <f t="shared" si="22"/>
        <v>0.98831060606060606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v>0</v>
      </c>
      <c r="D101" s="558"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2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v>323315.89999999997</v>
      </c>
      <c r="D102" s="558">
        <v>55541.574340297833</v>
      </c>
      <c r="E102" s="171">
        <f t="shared" ref="E102:F102" si="23">SUM(E96:E101)</f>
        <v>378857.47434029781</v>
      </c>
      <c r="F102" s="171">
        <f t="shared" si="23"/>
        <v>0</v>
      </c>
      <c r="G102" s="171">
        <f>SUM(G96:G101)</f>
        <v>378857.47434029781</v>
      </c>
      <c r="H102" s="172">
        <f t="shared" si="21"/>
        <v>0.10361817217006725</v>
      </c>
      <c r="I102" s="526"/>
      <c r="J102" s="168"/>
      <c r="K102" s="168"/>
      <c r="M102" s="364">
        <f>G102/G$228</f>
        <v>22.077941395122249</v>
      </c>
      <c r="N102" s="359">
        <f>SUMMARY!J105</f>
        <v>19.901077037785338</v>
      </c>
      <c r="O102" s="354">
        <f>M102/N102-1</f>
        <v>0.10938424856121043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52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2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v>46350.400000000001</v>
      </c>
      <c r="D105" s="558">
        <v>0</v>
      </c>
      <c r="E105" s="171">
        <f t="shared" ref="E105:E110" si="24">C105+D105</f>
        <v>46350.400000000001</v>
      </c>
      <c r="F105" s="171"/>
      <c r="G105" s="171">
        <f t="shared" ref="G105:G110" si="25">E105+F105</f>
        <v>46350.400000000001</v>
      </c>
      <c r="H105" s="172">
        <f t="shared" ref="H105:H111" si="26">IF($G$208=0,0,G105/$G$208)</f>
        <v>1.2676914282117499E-2</v>
      </c>
      <c r="I105" s="526"/>
      <c r="J105" s="183">
        <v>4452.4399999999996</v>
      </c>
      <c r="K105" s="183">
        <v>4864.93</v>
      </c>
      <c r="M105" s="364">
        <f t="shared" ref="M105:M110" si="27">G105/G$228</f>
        <v>2.7010722610722611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v>0</v>
      </c>
      <c r="D106" s="558">
        <v>16994.194278400231</v>
      </c>
      <c r="E106" s="171">
        <f t="shared" si="24"/>
        <v>16994.194278400231</v>
      </c>
      <c r="F106" s="171"/>
      <c r="G106" s="171">
        <f t="shared" si="25"/>
        <v>16994.194278400231</v>
      </c>
      <c r="H106" s="172">
        <f t="shared" si="26"/>
        <v>4.6479414236108288E-3</v>
      </c>
      <c r="I106" s="526"/>
      <c r="J106" s="168"/>
      <c r="K106" s="168"/>
      <c r="M106" s="364">
        <f t="shared" si="27"/>
        <v>0.99033766191143535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v>10586.61</v>
      </c>
      <c r="D107" s="558">
        <v>0</v>
      </c>
      <c r="E107" s="171">
        <f t="shared" si="24"/>
        <v>10586.61</v>
      </c>
      <c r="F107" s="171"/>
      <c r="G107" s="171">
        <f t="shared" si="25"/>
        <v>10586.61</v>
      </c>
      <c r="H107" s="172">
        <f t="shared" si="26"/>
        <v>2.8954560803835117E-3</v>
      </c>
      <c r="I107" s="526"/>
      <c r="J107" s="168"/>
      <c r="K107" s="168"/>
      <c r="M107" s="364">
        <f t="shared" si="27"/>
        <v>0.61693531468531471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v>0</v>
      </c>
      <c r="D108" s="558"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52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v>6598.25</v>
      </c>
      <c r="D109" s="558">
        <v>0</v>
      </c>
      <c r="E109" s="171">
        <f t="shared" si="24"/>
        <v>6598.25</v>
      </c>
      <c r="F109" s="171"/>
      <c r="G109" s="171">
        <f t="shared" si="25"/>
        <v>6598.25</v>
      </c>
      <c r="H109" s="172">
        <f t="shared" si="26"/>
        <v>1.8046327466857196E-3</v>
      </c>
      <c r="I109" s="526"/>
      <c r="J109" s="168"/>
      <c r="K109" s="168"/>
      <c r="M109" s="364">
        <f t="shared" si="27"/>
        <v>0.38451340326340328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v>0</v>
      </c>
      <c r="D110" s="558"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52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v>63535.26</v>
      </c>
      <c r="D111" s="558">
        <v>16994.194278400231</v>
      </c>
      <c r="E111" s="171">
        <f t="shared" ref="E111:F111" si="28">SUM(E105:E110)</f>
        <v>80529.454278400226</v>
      </c>
      <c r="F111" s="171">
        <f t="shared" si="28"/>
        <v>0</v>
      </c>
      <c r="G111" s="171">
        <f>SUM(G105:G110)</f>
        <v>80529.454278400226</v>
      </c>
      <c r="H111" s="172">
        <f t="shared" si="26"/>
        <v>2.2024944532797557E-2</v>
      </c>
      <c r="I111" s="526"/>
      <c r="J111" s="168"/>
      <c r="K111" s="168"/>
      <c r="M111" s="364">
        <f>G111/G$228</f>
        <v>4.692858640932414</v>
      </c>
      <c r="N111" s="359">
        <f>SUMMARY!J114</f>
        <v>2.4242384372309496</v>
      </c>
      <c r="O111" s="354">
        <f>M111/N111-1</f>
        <v>0.93580737309518214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52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2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v>86843.5</v>
      </c>
      <c r="D114" s="558">
        <v>0</v>
      </c>
      <c r="E114" s="171">
        <f t="shared" ref="E114:E118" si="29">C114+D114</f>
        <v>86843.5</v>
      </c>
      <c r="F114" s="171"/>
      <c r="G114" s="171">
        <f>E114+F114</f>
        <v>86843.5</v>
      </c>
      <c r="H114" s="172">
        <f t="shared" ref="H114:H119" si="30">IF($G$208=0,0,G114/$G$208)</f>
        <v>2.3751846919531888E-2</v>
      </c>
      <c r="I114" s="526"/>
      <c r="J114" s="183">
        <v>8366.3799999999992</v>
      </c>
      <c r="K114" s="183">
        <v>8802.1200000000008</v>
      </c>
      <c r="M114" s="364">
        <f t="shared" ref="M114:M119" si="31">G114/G$228</f>
        <v>5.0608100233100233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v>0</v>
      </c>
      <c r="D115" s="558">
        <v>31840.832243438035</v>
      </c>
      <c r="E115" s="171">
        <f t="shared" si="29"/>
        <v>31840.832243438035</v>
      </c>
      <c r="F115" s="171"/>
      <c r="G115" s="171">
        <f>E115+F115</f>
        <v>31840.832243438035</v>
      </c>
      <c r="H115" s="172">
        <f t="shared" si="30"/>
        <v>8.7085224943333171E-3</v>
      </c>
      <c r="I115" s="526"/>
      <c r="J115" s="168"/>
      <c r="K115" s="168"/>
      <c r="M115" s="364">
        <f t="shared" si="31"/>
        <v>1.8555263545127061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v>20770.11</v>
      </c>
      <c r="D116" s="558">
        <v>0</v>
      </c>
      <c r="E116" s="171">
        <f t="shared" si="29"/>
        <v>20770.11</v>
      </c>
      <c r="F116" s="171"/>
      <c r="G116" s="171">
        <f>E116+F116</f>
        <v>20770.11</v>
      </c>
      <c r="H116" s="172">
        <f t="shared" si="30"/>
        <v>5.6806608810312633E-3</v>
      </c>
      <c r="I116" s="526"/>
      <c r="J116" s="168"/>
      <c r="K116" s="168"/>
      <c r="M116" s="364">
        <f t="shared" si="31"/>
        <v>1.2103793706293706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v>0</v>
      </c>
      <c r="D117" s="558"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2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v>0</v>
      </c>
      <c r="D118" s="558"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2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v>107613.61</v>
      </c>
      <c r="D119" s="558">
        <v>31840.832243438035</v>
      </c>
      <c r="E119" s="171">
        <f t="shared" ref="E119:F119" si="32">SUM(E114:E118)</f>
        <v>139454.44224343804</v>
      </c>
      <c r="F119" s="171">
        <f t="shared" si="32"/>
        <v>0</v>
      </c>
      <c r="G119" s="171">
        <f>SUM(G114:G118)</f>
        <v>139454.44224343804</v>
      </c>
      <c r="H119" s="172">
        <f t="shared" si="30"/>
        <v>3.8141030294896468E-2</v>
      </c>
      <c r="I119" s="526"/>
      <c r="J119" s="168"/>
      <c r="K119" s="168"/>
      <c r="M119" s="364">
        <f t="shared" si="31"/>
        <v>8.1267157484520993</v>
      </c>
      <c r="N119" s="359">
        <f>SUMMARY!J122</f>
        <v>6.0247597205909562</v>
      </c>
      <c r="O119" s="354">
        <f>M119/N119-1</f>
        <v>0.34888628349396922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52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2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2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v>0</v>
      </c>
      <c r="D123" s="558"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2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v>145199.37</v>
      </c>
      <c r="D124" s="558">
        <v>0</v>
      </c>
      <c r="E124" s="171">
        <f t="shared" si="33"/>
        <v>145199.37</v>
      </c>
      <c r="F124" s="171"/>
      <c r="G124" s="171">
        <f>E124+F124</f>
        <v>145199.37</v>
      </c>
      <c r="H124" s="172">
        <f>IF($G$208=0,0,G124/$G$208)</f>
        <v>3.9712277937352491E-2</v>
      </c>
      <c r="I124" s="526"/>
      <c r="J124" s="183">
        <v>4033.16</v>
      </c>
      <c r="K124" s="183">
        <v>4440.67</v>
      </c>
      <c r="M124" s="364">
        <f t="shared" si="34"/>
        <v>8.4615017482517487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v>0</v>
      </c>
      <c r="D125" s="558"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2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v>0</v>
      </c>
      <c r="D126" s="558"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52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v>0</v>
      </c>
      <c r="D127" s="558"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526"/>
      <c r="J127" s="183">
        <v>0</v>
      </c>
      <c r="K127" s="183">
        <v>0</v>
      </c>
      <c r="M127" s="364">
        <f t="shared" si="34"/>
        <v>0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53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v>0</v>
      </c>
      <c r="D129" s="558"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2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v>0</v>
      </c>
      <c r="D130" s="558">
        <v>53236.785505223641</v>
      </c>
      <c r="E130" s="171">
        <f t="shared" si="35"/>
        <v>53236.785505223641</v>
      </c>
      <c r="F130" s="171"/>
      <c r="G130" s="171">
        <f>E130+F130</f>
        <v>53236.785505223641</v>
      </c>
      <c r="H130" s="172">
        <f>IF($G$208=0,0,G130/$G$208)</f>
        <v>1.456035258606604E-2</v>
      </c>
      <c r="I130" s="526"/>
      <c r="J130" s="204"/>
      <c r="K130" s="204"/>
      <c r="M130" s="364">
        <f t="shared" si="34"/>
        <v>3.1023767776936855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v>0</v>
      </c>
      <c r="D131" s="558"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2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v>0</v>
      </c>
      <c r="D132" s="558"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52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v>0</v>
      </c>
      <c r="D133" s="558"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52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2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v>335576.86</v>
      </c>
      <c r="D135" s="558">
        <v>0</v>
      </c>
      <c r="E135" s="171">
        <f t="shared" ref="E135:E138" si="36">C135+D135</f>
        <v>335576.86</v>
      </c>
      <c r="F135" s="171"/>
      <c r="G135" s="171">
        <f>E135+F135</f>
        <v>335576.86</v>
      </c>
      <c r="H135" s="172">
        <f>IF($G$208=0,0,G135/$G$208)</f>
        <v>9.1780849556468633E-2</v>
      </c>
      <c r="I135" s="526"/>
      <c r="J135" s="183">
        <v>11983</v>
      </c>
      <c r="K135" s="183">
        <v>13271.55</v>
      </c>
      <c r="M135" s="364">
        <f t="shared" si="34"/>
        <v>19.55576107226107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v>149533.22</v>
      </c>
      <c r="D136" s="558">
        <v>0</v>
      </c>
      <c r="E136" s="171">
        <f t="shared" si="36"/>
        <v>149533.22</v>
      </c>
      <c r="F136" s="171"/>
      <c r="G136" s="171">
        <f>E136+F136</f>
        <v>149533.22</v>
      </c>
      <c r="H136" s="172">
        <f>IF($G$208=0,0,G136/$G$208)</f>
        <v>4.0897593381481454E-2</v>
      </c>
      <c r="I136" s="526"/>
      <c r="J136" s="183">
        <v>7642.7</v>
      </c>
      <c r="K136" s="183">
        <v>8108.75</v>
      </c>
      <c r="M136" s="364">
        <f t="shared" si="34"/>
        <v>8.7140571095571104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v>421734.65</v>
      </c>
      <c r="D137" s="558">
        <v>0</v>
      </c>
      <c r="E137" s="171">
        <f t="shared" si="36"/>
        <v>421734.65</v>
      </c>
      <c r="F137" s="171"/>
      <c r="G137" s="171">
        <f>E137+F137</f>
        <v>421734.65</v>
      </c>
      <c r="H137" s="172">
        <f>IF($G$208=0,0,G137/$G$208)</f>
        <v>0.11534515360922072</v>
      </c>
      <c r="I137" s="526"/>
      <c r="J137" s="183">
        <v>36455.31</v>
      </c>
      <c r="K137" s="183">
        <v>39519.910000000003</v>
      </c>
      <c r="M137" s="364">
        <f t="shared" si="34"/>
        <v>24.576611305361308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v>0</v>
      </c>
      <c r="D138" s="558"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2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2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v>0</v>
      </c>
      <c r="D140" s="558">
        <v>123037.95337635737</v>
      </c>
      <c r="E140" s="171">
        <f t="shared" ref="E140:E143" si="37">C140+D140</f>
        <v>123037.95337635737</v>
      </c>
      <c r="F140" s="171"/>
      <c r="G140" s="171">
        <f>E140+F140</f>
        <v>123037.95337635737</v>
      </c>
      <c r="H140" s="172">
        <f>IF($G$208=0,0,G140/$G$208)</f>
        <v>3.365109229692196E-2</v>
      </c>
      <c r="I140" s="526"/>
      <c r="J140" s="168"/>
      <c r="K140" s="168"/>
      <c r="M140" s="364">
        <f t="shared" si="34"/>
        <v>7.1700439030511287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v>0</v>
      </c>
      <c r="D141" s="558">
        <v>54825.774788454095</v>
      </c>
      <c r="E141" s="171">
        <f t="shared" si="37"/>
        <v>54825.774788454095</v>
      </c>
      <c r="F141" s="171"/>
      <c r="G141" s="171">
        <f>E141+F141</f>
        <v>54825.774788454095</v>
      </c>
      <c r="H141" s="172">
        <f>IF($G$208=0,0,G141/$G$208)</f>
        <v>1.4994943893556715E-2</v>
      </c>
      <c r="I141" s="526"/>
      <c r="J141" s="168"/>
      <c r="K141" s="168"/>
      <c r="M141" s="364">
        <f t="shared" si="34"/>
        <v>3.1949752207723829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v>0</v>
      </c>
      <c r="D142" s="558">
        <v>154627.37270947229</v>
      </c>
      <c r="E142" s="171">
        <f t="shared" si="37"/>
        <v>154627.37270947229</v>
      </c>
      <c r="F142" s="171"/>
      <c r="G142" s="171">
        <f>E142+F142</f>
        <v>154627.37270947229</v>
      </c>
      <c r="H142" s="172">
        <f>IF($G$208=0,0,G142/$G$208)</f>
        <v>4.2290852926986922E-2</v>
      </c>
      <c r="I142" s="526"/>
      <c r="J142" s="168"/>
      <c r="K142" s="168"/>
      <c r="M142" s="364">
        <f t="shared" si="34"/>
        <v>9.0109191555636539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v>0</v>
      </c>
      <c r="D143" s="558"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2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2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v>12000</v>
      </c>
      <c r="D145" s="558">
        <v>0</v>
      </c>
      <c r="E145" s="171">
        <f t="shared" ref="E145:E153" si="38">C145+D145</f>
        <v>12000</v>
      </c>
      <c r="F145" s="171"/>
      <c r="G145" s="171">
        <f t="shared" ref="G145:G153" si="39">E145+F145</f>
        <v>12000</v>
      </c>
      <c r="H145" s="172">
        <f t="shared" ref="H145:H153" si="40">IF($G$208=0,0,G145/$G$208)</f>
        <v>3.2820206812758891E-3</v>
      </c>
      <c r="I145" s="526"/>
      <c r="J145" s="183">
        <v>0</v>
      </c>
      <c r="K145" s="183">
        <v>0</v>
      </c>
      <c r="M145" s="364">
        <f t="shared" si="34"/>
        <v>0.69930069930069927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v>0</v>
      </c>
      <c r="D146" s="558"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2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v>0</v>
      </c>
      <c r="D147" s="558"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2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v>0</v>
      </c>
      <c r="D148" s="558"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2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v>6168.5</v>
      </c>
      <c r="D149" s="558">
        <v>0</v>
      </c>
      <c r="E149" s="171">
        <f t="shared" si="38"/>
        <v>6168.5</v>
      </c>
      <c r="F149" s="171"/>
      <c r="G149" s="171">
        <f t="shared" si="39"/>
        <v>6168.5</v>
      </c>
      <c r="H149" s="172">
        <f t="shared" si="40"/>
        <v>1.6870953810375268E-3</v>
      </c>
      <c r="I149" s="526"/>
      <c r="J149" s="183">
        <v>0</v>
      </c>
      <c r="K149" s="183">
        <v>0</v>
      </c>
      <c r="M149" s="364">
        <f t="shared" si="34"/>
        <v>0.35946969696969699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v>61786.69</v>
      </c>
      <c r="D150" s="558">
        <v>0</v>
      </c>
      <c r="E150" s="171">
        <f t="shared" si="38"/>
        <v>61786.69</v>
      </c>
      <c r="F150" s="171">
        <v>-2129.12</v>
      </c>
      <c r="G150" s="171">
        <f t="shared" si="39"/>
        <v>59657.57</v>
      </c>
      <c r="H150" s="172">
        <f t="shared" si="40"/>
        <v>1.6316448211222002E-2</v>
      </c>
      <c r="I150" s="525" t="s">
        <v>424</v>
      </c>
      <c r="J150" s="168"/>
      <c r="K150" s="168"/>
      <c r="M150" s="364">
        <f t="shared" si="34"/>
        <v>3.4765483682983684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v>43.39</v>
      </c>
      <c r="D151" s="558">
        <v>0</v>
      </c>
      <c r="E151" s="171">
        <f t="shared" si="38"/>
        <v>43.39</v>
      </c>
      <c r="F151" s="171"/>
      <c r="G151" s="171">
        <f t="shared" si="39"/>
        <v>43.39</v>
      </c>
      <c r="H151" s="172">
        <f t="shared" si="40"/>
        <v>1.1867239780046736E-5</v>
      </c>
      <c r="I151" s="526"/>
      <c r="J151" s="168"/>
      <c r="K151" s="168"/>
      <c r="M151" s="364">
        <f t="shared" si="34"/>
        <v>2.5285547785547785E-3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v>248.4</v>
      </c>
      <c r="D152" s="558">
        <v>0</v>
      </c>
      <c r="E152" s="171">
        <f t="shared" si="38"/>
        <v>248.4</v>
      </c>
      <c r="F152" s="171"/>
      <c r="G152" s="171">
        <f t="shared" si="39"/>
        <v>248.4</v>
      </c>
      <c r="H152" s="172">
        <f t="shared" si="40"/>
        <v>6.7937828102410913E-5</v>
      </c>
      <c r="I152" s="526"/>
      <c r="J152" s="168"/>
      <c r="K152" s="168"/>
      <c r="M152" s="364">
        <f t="shared" si="34"/>
        <v>1.4475524475524476E-2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v>0</v>
      </c>
      <c r="D153" s="558"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2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52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v>0</v>
      </c>
      <c r="D155" s="558"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2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v>0</v>
      </c>
      <c r="D156" s="558"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52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v>0</v>
      </c>
      <c r="D157" s="558"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52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v>0</v>
      </c>
      <c r="D158" s="558"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52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v>0</v>
      </c>
      <c r="D159" s="558"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2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v>0</v>
      </c>
      <c r="D160" s="558"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2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v>1132291.0799999998</v>
      </c>
      <c r="D161" s="558">
        <v>385727.88637950737</v>
      </c>
      <c r="E161" s="171">
        <f t="shared" ref="E161:F161" si="44">SUM(E123:E160)</f>
        <v>1518018.9663795072</v>
      </c>
      <c r="F161" s="171">
        <f t="shared" si="44"/>
        <v>-2129.12</v>
      </c>
      <c r="G161" s="171">
        <f>SUM(G123:G160)</f>
        <v>1515889.8463795073</v>
      </c>
      <c r="H161" s="172">
        <f t="shared" si="43"/>
        <v>0.41459848552947282</v>
      </c>
      <c r="I161" s="526"/>
      <c r="J161" s="168"/>
      <c r="K161" s="168"/>
      <c r="M161" s="364">
        <f>G161/G$228</f>
        <v>88.338569136334925</v>
      </c>
      <c r="N161" s="359">
        <f>SUMMARY!J164</f>
        <v>105.56901037202306</v>
      </c>
      <c r="O161" s="354">
        <f>M161/N161-1</f>
        <v>-0.16321495460617097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52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2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v>0</v>
      </c>
      <c r="D164" s="558"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536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v>0</v>
      </c>
      <c r="D165" s="558"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537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v>0</v>
      </c>
      <c r="D166" s="558"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536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v>0</v>
      </c>
      <c r="D167" s="558"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537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v>0</v>
      </c>
      <c r="D168" s="558"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536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v>0</v>
      </c>
      <c r="D169" s="558"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537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v>0</v>
      </c>
      <c r="D170" s="558"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536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v>0</v>
      </c>
      <c r="D171" s="558"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537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v>0</v>
      </c>
      <c r="D172" s="558"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536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v>0</v>
      </c>
      <c r="D173" s="558"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537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v>0</v>
      </c>
      <c r="D174" s="558"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536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v>0</v>
      </c>
      <c r="D175" s="558"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52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v>0</v>
      </c>
      <c r="D176" s="558"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52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v>0</v>
      </c>
      <c r="D177" s="558"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52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v>0</v>
      </c>
      <c r="D178" s="558"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52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v>0</v>
      </c>
      <c r="D179" s="558"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52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v>0</v>
      </c>
      <c r="D180" s="558"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52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v>0</v>
      </c>
      <c r="D181" s="558"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52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v>166.23</v>
      </c>
      <c r="D182" s="558">
        <v>0</v>
      </c>
      <c r="E182" s="171">
        <f t="shared" si="45"/>
        <v>166.23</v>
      </c>
      <c r="F182" s="216"/>
      <c r="G182" s="171">
        <f t="shared" si="46"/>
        <v>166.23</v>
      </c>
      <c r="H182" s="172">
        <f t="shared" si="47"/>
        <v>4.5464191487374253E-5</v>
      </c>
      <c r="I182" s="526"/>
      <c r="J182" s="223"/>
      <c r="K182" s="218"/>
      <c r="L182" s="220"/>
      <c r="M182" s="364">
        <f t="shared" si="48"/>
        <v>9.6870629370629357E-3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v>108545</v>
      </c>
      <c r="D183" s="558">
        <v>0</v>
      </c>
      <c r="E183" s="171">
        <f t="shared" si="45"/>
        <v>108545</v>
      </c>
      <c r="F183" s="216"/>
      <c r="G183" s="171">
        <f t="shared" si="46"/>
        <v>108545</v>
      </c>
      <c r="H183" s="172">
        <f t="shared" si="47"/>
        <v>2.9687244570757616E-2</v>
      </c>
      <c r="I183" s="526"/>
      <c r="J183" s="223"/>
      <c r="K183" s="218"/>
      <c r="M183" s="364">
        <f t="shared" si="48"/>
        <v>6.3254662004662006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v>659</v>
      </c>
      <c r="D184" s="558">
        <v>0</v>
      </c>
      <c r="E184" s="171">
        <f t="shared" si="45"/>
        <v>659</v>
      </c>
      <c r="F184" s="216"/>
      <c r="G184" s="171">
        <f t="shared" si="46"/>
        <v>659</v>
      </c>
      <c r="H184" s="172">
        <f t="shared" si="47"/>
        <v>1.8023763574673426E-4</v>
      </c>
      <c r="I184" s="526"/>
      <c r="J184" s="223"/>
      <c r="K184" s="218"/>
      <c r="M184" s="364">
        <f t="shared" si="48"/>
        <v>3.8403263403263402E-2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v>0</v>
      </c>
      <c r="D185" s="558"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52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v>0</v>
      </c>
      <c r="D186" s="558"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52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v>8803.15</v>
      </c>
      <c r="D187" s="558">
        <v>0</v>
      </c>
      <c r="E187" s="171">
        <f t="shared" si="45"/>
        <v>8803.15</v>
      </c>
      <c r="F187" s="216"/>
      <c r="G187" s="171">
        <f t="shared" si="46"/>
        <v>8803.15</v>
      </c>
      <c r="H187" s="172">
        <f t="shared" si="47"/>
        <v>2.4076766966978202E-3</v>
      </c>
      <c r="I187" s="526"/>
      <c r="J187" s="223"/>
      <c r="K187" s="218"/>
      <c r="M187" s="364">
        <f t="shared" si="48"/>
        <v>0.5130040792540792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v>0</v>
      </c>
      <c r="D188" s="558"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52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v>165</v>
      </c>
      <c r="D189" s="558">
        <v>0</v>
      </c>
      <c r="E189" s="171">
        <f t="shared" si="45"/>
        <v>165</v>
      </c>
      <c r="F189" s="216"/>
      <c r="G189" s="171">
        <f t="shared" si="46"/>
        <v>165</v>
      </c>
      <c r="H189" s="172">
        <f t="shared" si="47"/>
        <v>4.5127784367543474E-5</v>
      </c>
      <c r="I189" s="526"/>
      <c r="J189" s="223"/>
      <c r="K189" s="218"/>
      <c r="M189" s="364">
        <f t="shared" si="48"/>
        <v>9.6153846153846159E-3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v>0</v>
      </c>
      <c r="D190" s="558"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52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v>9.5399999999999991</v>
      </c>
      <c r="D191" s="558">
        <v>0</v>
      </c>
      <c r="E191" s="171">
        <f t="shared" si="45"/>
        <v>9.5399999999999991</v>
      </c>
      <c r="F191" s="216"/>
      <c r="G191" s="171">
        <f t="shared" si="46"/>
        <v>9.5399999999999991</v>
      </c>
      <c r="H191" s="172">
        <f t="shared" si="47"/>
        <v>2.6092064416143317E-6</v>
      </c>
      <c r="I191" s="526"/>
      <c r="J191" s="223"/>
      <c r="K191" s="218"/>
      <c r="M191" s="364">
        <f t="shared" si="48"/>
        <v>5.5594405594405587E-4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v>0</v>
      </c>
      <c r="D192" s="558"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52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v>0</v>
      </c>
      <c r="D193" s="558"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52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v>84147.02</v>
      </c>
      <c r="D194" s="558">
        <v>0</v>
      </c>
      <c r="E194" s="171">
        <f t="shared" si="45"/>
        <v>84147.02</v>
      </c>
      <c r="F194" s="216"/>
      <c r="G194" s="171">
        <f t="shared" si="46"/>
        <v>84147.02</v>
      </c>
      <c r="H194" s="172">
        <f t="shared" si="47"/>
        <v>2.3014354992311324E-2</v>
      </c>
      <c r="I194" s="526"/>
      <c r="J194" s="223"/>
      <c r="K194" s="218"/>
      <c r="M194" s="364">
        <f t="shared" si="48"/>
        <v>4.9036724941724943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v>0</v>
      </c>
      <c r="D195" s="558"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52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v>153.91999999999999</v>
      </c>
      <c r="D196" s="558">
        <v>0</v>
      </c>
      <c r="E196" s="171">
        <f t="shared" si="45"/>
        <v>153.91999999999999</v>
      </c>
      <c r="F196" s="216"/>
      <c r="G196" s="171">
        <f t="shared" si="46"/>
        <v>153.91999999999999</v>
      </c>
      <c r="H196" s="172">
        <f t="shared" si="47"/>
        <v>4.209738527183207E-5</v>
      </c>
      <c r="I196" s="526"/>
      <c r="J196" s="223"/>
      <c r="K196" s="218"/>
      <c r="M196" s="364">
        <f t="shared" si="48"/>
        <v>8.9696969696969695E-3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v>202648.86000000002</v>
      </c>
      <c r="D197" s="558">
        <v>0</v>
      </c>
      <c r="E197" s="171">
        <f t="shared" ref="E197:F197" si="49">SUM(E164:E196)</f>
        <v>202648.86000000002</v>
      </c>
      <c r="F197" s="171">
        <f t="shared" si="49"/>
        <v>0</v>
      </c>
      <c r="G197" s="171">
        <f>SUM(G164:G196)</f>
        <v>202648.86000000002</v>
      </c>
      <c r="H197" s="172">
        <f>IF($G$208=0,0,G197/$G$208)</f>
        <v>5.5424812463081861E-2</v>
      </c>
      <c r="I197" s="526"/>
      <c r="J197" s="168"/>
      <c r="K197" s="168"/>
      <c r="M197" s="364">
        <f>G197/G$228</f>
        <v>11.809374125874127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52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2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v>78508.7</v>
      </c>
      <c r="D200" s="558">
        <v>0</v>
      </c>
      <c r="E200" s="171">
        <f t="shared" ref="E200:E205" si="50">C200+D200</f>
        <v>78508.7</v>
      </c>
      <c r="F200" s="171"/>
      <c r="G200" s="171">
        <f t="shared" ref="G200:G205" si="51">E200+F200</f>
        <v>78508.7</v>
      </c>
      <c r="H200" s="172">
        <f t="shared" ref="H200:H206" si="52">IF($G$208=0,0,G200/$G$208)</f>
        <v>2.1472264755007034E-2</v>
      </c>
      <c r="I200" s="526"/>
      <c r="J200" s="183">
        <v>5814.13</v>
      </c>
      <c r="K200" s="183">
        <v>6042.49</v>
      </c>
      <c r="M200" s="364">
        <f t="shared" ref="M200:M205" si="53">G200/G$228</f>
        <v>4.5750990675990675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v>0</v>
      </c>
      <c r="D201" s="558">
        <v>28784.910170023129</v>
      </c>
      <c r="E201" s="171">
        <f t="shared" si="50"/>
        <v>28784.910170023129</v>
      </c>
      <c r="F201" s="171"/>
      <c r="G201" s="171">
        <f t="shared" si="51"/>
        <v>28784.910170023129</v>
      </c>
      <c r="H201" s="172">
        <f t="shared" si="52"/>
        <v>7.8727225405570492E-3</v>
      </c>
      <c r="I201" s="526"/>
      <c r="J201" s="168"/>
      <c r="K201" s="168"/>
      <c r="M201" s="364">
        <f t="shared" si="53"/>
        <v>1.6774423176004154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v>13456.19</v>
      </c>
      <c r="D202" s="558">
        <v>0</v>
      </c>
      <c r="E202" s="171">
        <f t="shared" si="50"/>
        <v>13456.19</v>
      </c>
      <c r="F202" s="171"/>
      <c r="G202" s="171">
        <f t="shared" si="51"/>
        <v>13456.19</v>
      </c>
      <c r="H202" s="172">
        <f t="shared" si="52"/>
        <v>3.6802911559314839E-3</v>
      </c>
      <c r="I202" s="526"/>
      <c r="J202" s="168"/>
      <c r="K202" s="168"/>
      <c r="M202" s="364">
        <f t="shared" si="53"/>
        <v>0.78416025641025644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v>2227.5</v>
      </c>
      <c r="D203" s="558">
        <v>0</v>
      </c>
      <c r="E203" s="171">
        <f t="shared" si="50"/>
        <v>2227.5</v>
      </c>
      <c r="F203" s="171"/>
      <c r="G203" s="171">
        <f t="shared" si="51"/>
        <v>2227.5</v>
      </c>
      <c r="H203" s="172">
        <f t="shared" si="52"/>
        <v>6.0922508896183694E-4</v>
      </c>
      <c r="I203" s="526"/>
      <c r="J203" s="168"/>
      <c r="K203" s="168"/>
      <c r="M203" s="364">
        <f t="shared" si="53"/>
        <v>0.12980769230769232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v>0</v>
      </c>
      <c r="D204" s="558"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2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v>2402.83</v>
      </c>
      <c r="D205" s="558">
        <v>0</v>
      </c>
      <c r="E205" s="171">
        <f t="shared" si="50"/>
        <v>2402.83</v>
      </c>
      <c r="F205" s="248">
        <v>2129.12</v>
      </c>
      <c r="G205" s="171">
        <f t="shared" si="51"/>
        <v>4531.95</v>
      </c>
      <c r="H205" s="172">
        <f t="shared" si="52"/>
        <v>1.2394961355423554E-3</v>
      </c>
      <c r="I205" s="525" t="s">
        <v>424</v>
      </c>
      <c r="J205" s="168"/>
      <c r="K205" s="168"/>
      <c r="M205" s="364">
        <f t="shared" si="53"/>
        <v>0.26409965034965033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v>96595.22</v>
      </c>
      <c r="D206" s="558">
        <v>28784.910170023129</v>
      </c>
      <c r="E206" s="171">
        <f t="shared" ref="E206:F206" si="54">SUM(E200:E205)</f>
        <v>125380.13017002313</v>
      </c>
      <c r="F206" s="171">
        <f t="shared" si="54"/>
        <v>2129.12</v>
      </c>
      <c r="G206" s="171">
        <f>SUM(G200:G205)</f>
        <v>127509.25017002312</v>
      </c>
      <c r="H206" s="172">
        <f t="shared" si="52"/>
        <v>3.4873999675999759E-2</v>
      </c>
      <c r="I206" s="526"/>
      <c r="J206" s="168"/>
      <c r="K206" s="168"/>
      <c r="M206" s="364">
        <f>G206/G$228</f>
        <v>7.4306089842670815</v>
      </c>
      <c r="N206" s="359">
        <f>SUMMARY!J209</f>
        <v>7.1515095990067339</v>
      </c>
      <c r="O206" s="354">
        <f>M206/N206-1</f>
        <v>3.9026639256571904E-2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52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v>4090634.8700000015</v>
      </c>
      <c r="D208" s="558">
        <v>-434350.77999999991</v>
      </c>
      <c r="E208" s="171">
        <f t="shared" ref="E208:F208" si="55">SUM(E25:E206)/2</f>
        <v>3656284.0900000017</v>
      </c>
      <c r="F208" s="171">
        <f t="shared" si="55"/>
        <v>0</v>
      </c>
      <c r="G208" s="171">
        <f>SUM(G25:G206)/2</f>
        <v>3656284.0900000017</v>
      </c>
      <c r="H208" s="172">
        <f>IF($G$208=0,0,G208/$G$208)</f>
        <v>1</v>
      </c>
      <c r="I208" s="526"/>
      <c r="J208" s="183">
        <f>SUM(J25:J200)</f>
        <v>98244.54</v>
      </c>
      <c r="K208" s="183">
        <f>SUM(K25:K200)</f>
        <v>105809.1</v>
      </c>
      <c r="M208" s="364">
        <f>G208/G$228</f>
        <v>213.07016841491853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528"/>
      <c r="J209" s="168"/>
      <c r="K209" s="168"/>
      <c r="O209" s="553">
        <f>SUM(O61:O206)</f>
        <v>1.316413487631902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528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v>4090634.87</v>
      </c>
      <c r="D211" s="196"/>
      <c r="E211" s="165"/>
      <c r="F211"/>
      <c r="G211"/>
      <c r="I211" s="528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v>0</v>
      </c>
      <c r="D212" s="229"/>
      <c r="E212" s="165"/>
      <c r="F212"/>
      <c r="G212"/>
      <c r="I212" s="528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531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528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v>293566.03999999864</v>
      </c>
      <c r="D215" s="558">
        <v>106410.67999999982</v>
      </c>
      <c r="E215" s="171">
        <f t="shared" ref="E215:F215" si="56">E21-E208</f>
        <v>399976.71999999788</v>
      </c>
      <c r="F215" s="171">
        <f t="shared" si="56"/>
        <v>0</v>
      </c>
      <c r="G215" s="171">
        <f>G21-G208</f>
        <v>399976.71999999788</v>
      </c>
      <c r="I215" s="528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528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528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31"/>
      <c r="J218" s="168"/>
      <c r="K218" s="168"/>
    </row>
    <row r="219" spans="1:17">
      <c r="A219" s="163"/>
      <c r="B219" s="170" t="s">
        <v>218</v>
      </c>
      <c r="C219" s="592">
        <v>8693</v>
      </c>
      <c r="D219" s="592"/>
      <c r="E219" s="235">
        <f t="shared" ref="E219:G227" si="57">C219+D219</f>
        <v>8693</v>
      </c>
      <c r="F219" s="671">
        <v>118</v>
      </c>
      <c r="G219" s="235">
        <f t="shared" si="57"/>
        <v>8811</v>
      </c>
      <c r="H219" s="172">
        <f t="shared" ref="H219:H228" si="58">IF($G$228=0,0,G219/$G$228)</f>
        <v>0.51346153846153841</v>
      </c>
      <c r="I219" s="525" t="s">
        <v>681</v>
      </c>
      <c r="J219" s="168"/>
      <c r="K219" s="168"/>
    </row>
    <row r="220" spans="1:17">
      <c r="A220" s="163"/>
      <c r="B220" s="170" t="s">
        <v>217</v>
      </c>
      <c r="C220" s="592"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26"/>
      <c r="J220" s="168"/>
      <c r="K220" s="168"/>
    </row>
    <row r="221" spans="1:17">
      <c r="A221" s="163"/>
      <c r="B221" s="170" t="s">
        <v>72</v>
      </c>
      <c r="C221" s="592">
        <v>1275</v>
      </c>
      <c r="D221" s="592"/>
      <c r="E221" s="235">
        <f t="shared" si="59"/>
        <v>1275</v>
      </c>
      <c r="F221" s="234"/>
      <c r="G221" s="235">
        <f t="shared" si="57"/>
        <v>1275</v>
      </c>
      <c r="H221" s="172">
        <f t="shared" si="58"/>
        <v>7.4300699300699297E-2</v>
      </c>
      <c r="I221" s="526"/>
      <c r="J221" s="168"/>
      <c r="K221" s="168"/>
    </row>
    <row r="222" spans="1:17">
      <c r="A222" s="163"/>
      <c r="B222" s="202" t="s">
        <v>334</v>
      </c>
      <c r="C222" s="592">
        <v>219</v>
      </c>
      <c r="D222" s="592"/>
      <c r="E222" s="235">
        <f>C222+D222</f>
        <v>219</v>
      </c>
      <c r="F222" s="234"/>
      <c r="G222" s="235">
        <f>E222+F222</f>
        <v>219</v>
      </c>
      <c r="H222" s="172">
        <f t="shared" si="58"/>
        <v>1.2762237762237762E-2</v>
      </c>
      <c r="I222" s="526"/>
      <c r="J222" s="168"/>
      <c r="K222" s="168"/>
    </row>
    <row r="223" spans="1:17">
      <c r="A223" s="163"/>
      <c r="B223" s="170" t="s">
        <v>73</v>
      </c>
      <c r="C223" s="592"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26"/>
      <c r="J223" s="168"/>
      <c r="K223" s="168"/>
    </row>
    <row r="224" spans="1:17">
      <c r="A224" s="163"/>
      <c r="B224" s="170" t="s">
        <v>74</v>
      </c>
      <c r="C224" s="592">
        <v>6696</v>
      </c>
      <c r="D224" s="592"/>
      <c r="E224" s="235">
        <f t="shared" si="59"/>
        <v>6696</v>
      </c>
      <c r="F224" s="234"/>
      <c r="G224" s="235">
        <f t="shared" si="57"/>
        <v>6696</v>
      </c>
      <c r="H224" s="172">
        <f t="shared" si="58"/>
        <v>0.39020979020979019</v>
      </c>
      <c r="I224" s="526"/>
      <c r="J224" s="168"/>
      <c r="K224" s="168"/>
    </row>
    <row r="225" spans="1:11">
      <c r="A225" s="163"/>
      <c r="B225" s="170" t="s">
        <v>236</v>
      </c>
      <c r="C225" s="592">
        <v>17</v>
      </c>
      <c r="D225" s="592"/>
      <c r="E225" s="235">
        <f t="shared" si="59"/>
        <v>17</v>
      </c>
      <c r="F225" s="234"/>
      <c r="G225" s="235">
        <f t="shared" si="57"/>
        <v>17</v>
      </c>
      <c r="H225" s="172">
        <f t="shared" si="58"/>
        <v>9.9067599067599078E-4</v>
      </c>
      <c r="I225" s="526"/>
      <c r="J225" s="168"/>
      <c r="K225" s="168"/>
    </row>
    <row r="226" spans="1:11">
      <c r="A226" s="163"/>
      <c r="B226" s="170" t="s">
        <v>235</v>
      </c>
      <c r="C226" s="592">
        <v>260</v>
      </c>
      <c r="D226" s="592"/>
      <c r="E226" s="235">
        <f>C226+D226</f>
        <v>260</v>
      </c>
      <c r="F226" s="671">
        <v>-118</v>
      </c>
      <c r="G226" s="235">
        <f>E226+F226</f>
        <v>142</v>
      </c>
      <c r="H226" s="172">
        <f t="shared" si="58"/>
        <v>8.2750582750582748E-3</v>
      </c>
      <c r="I226" s="525" t="s">
        <v>682</v>
      </c>
      <c r="J226" s="168"/>
      <c r="K226" s="168"/>
    </row>
    <row r="227" spans="1:11">
      <c r="A227" s="163"/>
      <c r="B227" s="170" t="s">
        <v>179</v>
      </c>
      <c r="C227" s="592"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26"/>
      <c r="J227" s="168"/>
      <c r="K227" s="168"/>
    </row>
    <row r="228" spans="1:11" ht="16" thickBot="1">
      <c r="A228" s="163"/>
      <c r="B228" s="236" t="s">
        <v>75</v>
      </c>
      <c r="C228" s="592">
        <v>17160</v>
      </c>
      <c r="D228" s="592">
        <v>0</v>
      </c>
      <c r="E228" s="237">
        <f>SUM(E219:E227)</f>
        <v>17160</v>
      </c>
      <c r="F228" s="237">
        <f>SUM(F219:F227)</f>
        <v>0</v>
      </c>
      <c r="G228" s="237">
        <f>SUM(G219:G227)</f>
        <v>17160</v>
      </c>
      <c r="H228" s="172">
        <f t="shared" si="58"/>
        <v>1</v>
      </c>
      <c r="I228" s="52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v>60</v>
      </c>
      <c r="D231" s="559"/>
      <c r="E231" s="235">
        <f>C231+D231</f>
        <v>60</v>
      </c>
      <c r="F231" s="235"/>
      <c r="G231" s="235">
        <f>E231+F231</f>
        <v>60</v>
      </c>
      <c r="H231" s="167"/>
      <c r="J231" s="168"/>
      <c r="K231" s="168"/>
    </row>
    <row r="232" spans="1:11">
      <c r="A232" s="163"/>
      <c r="B232" s="202" t="s">
        <v>290</v>
      </c>
      <c r="C232" s="593">
        <v>60</v>
      </c>
      <c r="D232" s="559"/>
      <c r="E232" s="235">
        <f>C232+D232</f>
        <v>60</v>
      </c>
      <c r="F232" s="235"/>
      <c r="G232" s="235">
        <f>E232+F232</f>
        <v>60</v>
      </c>
      <c r="H232" s="167"/>
      <c r="J232" s="168"/>
      <c r="K232" s="168"/>
    </row>
    <row r="233" spans="1:11">
      <c r="A233" s="163"/>
      <c r="B233" s="202" t="s">
        <v>76</v>
      </c>
      <c r="C233" s="593"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v>21960</v>
      </c>
      <c r="D235" s="483"/>
      <c r="E235" s="234">
        <f>E231*E233</f>
        <v>21960</v>
      </c>
      <c r="F235" s="239"/>
      <c r="G235" s="234">
        <f>G231*G233</f>
        <v>21960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v>0.78142076502732238</v>
      </c>
      <c r="D236" s="239"/>
      <c r="E236" s="244">
        <f>E228/E235</f>
        <v>0.78142076502732238</v>
      </c>
      <c r="F236" s="245"/>
      <c r="G236" s="244">
        <f>G228/G235</f>
        <v>0.78142076502732238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v>0.39585610200364296</v>
      </c>
      <c r="D237" s="239"/>
      <c r="E237" s="244">
        <f>(E219+E220)/E235</f>
        <v>0.39585610200364296</v>
      </c>
      <c r="F237" s="245"/>
      <c r="G237" s="244">
        <f>(G219+G220)/G235</f>
        <v>0.40122950819672132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v>0.50658508158508153</v>
      </c>
      <c r="D238" s="239"/>
      <c r="E238" s="244">
        <f>(E237/E236)</f>
        <v>0.50658508158508153</v>
      </c>
      <c r="F238" s="245"/>
      <c r="G238" s="244">
        <f>(G237/G236)</f>
        <v>0.51346153846153852</v>
      </c>
      <c r="H238" s="167"/>
      <c r="J238" s="168"/>
      <c r="K238" s="168"/>
    </row>
    <row r="241" spans="1:7">
      <c r="B241" s="148" t="s">
        <v>339</v>
      </c>
      <c r="F241" s="142" t="s">
        <v>340</v>
      </c>
      <c r="G241" s="558">
        <f>'[37]Sch B'!C85</f>
        <v>136.20203769140164</v>
      </c>
    </row>
    <row r="242" spans="1:7">
      <c r="F242" s="142" t="s">
        <v>341</v>
      </c>
      <c r="G242" s="558">
        <f>'[37]Sch B'!E85</f>
        <v>153.87094017094017</v>
      </c>
    </row>
    <row r="243" spans="1:7">
      <c r="A243" s="251"/>
      <c r="B243" s="458" t="s">
        <v>683</v>
      </c>
      <c r="F243" s="142" t="s">
        <v>342</v>
      </c>
      <c r="G243" s="558">
        <f>'[37]Sch B'!G85</f>
        <v>149.19229323308269</v>
      </c>
    </row>
    <row r="244" spans="1:7">
      <c r="B244" s="458" t="s">
        <v>684</v>
      </c>
      <c r="F244" s="142" t="s">
        <v>343</v>
      </c>
      <c r="G244" s="558">
        <f>'[37]Sch B'!I85</f>
        <v>168.17013964784454</v>
      </c>
    </row>
    <row r="245" spans="1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6">
    <tabColor rgb="FFE28CAB"/>
  </sheetPr>
  <dimension ref="A1:T245"/>
  <sheetViews>
    <sheetView showGridLines="0" topLeftCell="A222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622</v>
      </c>
      <c r="D2" s="246"/>
      <c r="E2" s="539"/>
    </row>
    <row r="3" spans="1:17">
      <c r="A3" s="145"/>
      <c r="B3" s="140" t="s">
        <v>79</v>
      </c>
      <c r="C3" s="489">
        <v>42186</v>
      </c>
      <c r="D3" s="144" t="s">
        <v>623</v>
      </c>
      <c r="E3" s="147"/>
      <c r="F3" s="445" t="s">
        <v>524</v>
      </c>
    </row>
    <row r="4" spans="1:17">
      <c r="A4" s="145"/>
      <c r="B4" s="148" t="s">
        <v>80</v>
      </c>
      <c r="C4" s="489">
        <v>42308</v>
      </c>
      <c r="D4" s="645">
        <v>42551</v>
      </c>
      <c r="E4" s="149"/>
      <c r="F4" s="445" t="s">
        <v>533</v>
      </c>
      <c r="G4" s="150"/>
    </row>
    <row r="5" spans="1:17">
      <c r="A5" s="145"/>
      <c r="B5" s="148"/>
      <c r="C5" s="151"/>
      <c r="D5" s="144"/>
      <c r="F5" s="460" t="s">
        <v>519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213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745">
        <v>575850</v>
      </c>
      <c r="D11" s="745">
        <v>0</v>
      </c>
      <c r="E11" s="171">
        <f>C11+D11</f>
        <v>575850</v>
      </c>
      <c r="F11" s="677">
        <f>(2253715-94320)</f>
        <v>2159395</v>
      </c>
      <c r="G11" s="171">
        <f t="shared" ref="G11:G20" si="0">E11+F11</f>
        <v>2735245</v>
      </c>
      <c r="H11" s="172">
        <f t="shared" ref="H11:H21" si="1">IF($G$21=0,0,G11/$G$21)</f>
        <v>0.70101305894697019</v>
      </c>
      <c r="I11" s="336"/>
      <c r="J11" s="368" t="s">
        <v>344</v>
      </c>
      <c r="K11" s="369">
        <f>G21</f>
        <v>3901846</v>
      </c>
      <c r="M11" s="359">
        <f>IFERROR(G11/G219,0)</f>
        <v>218.71461698384775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745">
        <v>378261</v>
      </c>
      <c r="D12" s="745">
        <v>0</v>
      </c>
      <c r="E12" s="171">
        <f t="shared" ref="E12:E20" si="2">C12+D12</f>
        <v>378261</v>
      </c>
      <c r="F12" s="171">
        <v>704927</v>
      </c>
      <c r="G12" s="171">
        <f>E12+F12</f>
        <v>1083188</v>
      </c>
      <c r="H12" s="172">
        <f t="shared" si="1"/>
        <v>0.27760911117455689</v>
      </c>
      <c r="I12" s="336"/>
      <c r="J12" s="370" t="s">
        <v>345</v>
      </c>
      <c r="K12" s="371">
        <f>G208</f>
        <v>3289046</v>
      </c>
      <c r="M12" s="359">
        <f t="shared" ref="M12:M19" si="3">IFERROR(G12/G220,0)</f>
        <v>196.15863817457443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745">
        <v>0</v>
      </c>
      <c r="D13" s="745">
        <v>0</v>
      </c>
      <c r="E13" s="171">
        <f t="shared" si="2"/>
        <v>0</v>
      </c>
      <c r="F13" s="171">
        <v>122221</v>
      </c>
      <c r="G13" s="171">
        <f t="shared" si="0"/>
        <v>122221</v>
      </c>
      <c r="H13" s="172">
        <f t="shared" si="1"/>
        <v>3.1323891306832712E-2</v>
      </c>
      <c r="I13" s="336"/>
      <c r="J13" s="370" t="s">
        <v>346</v>
      </c>
      <c r="K13" s="371">
        <f>G228</f>
        <v>19963</v>
      </c>
      <c r="M13" s="359">
        <f t="shared" si="3"/>
        <v>410.13758389261744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745">
        <v>0</v>
      </c>
      <c r="D14" s="745">
        <v>0</v>
      </c>
      <c r="E14" s="171">
        <f t="shared" si="2"/>
        <v>0</v>
      </c>
      <c r="F14" s="175">
        <v>0</v>
      </c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61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745">
        <v>0</v>
      </c>
      <c r="D15" s="745"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22326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745">
        <v>3223</v>
      </c>
      <c r="D16" s="745">
        <v>0</v>
      </c>
      <c r="E16" s="171">
        <f t="shared" si="2"/>
        <v>3223</v>
      </c>
      <c r="F16" s="171">
        <v>22487</v>
      </c>
      <c r="G16" s="171">
        <f t="shared" si="0"/>
        <v>25710</v>
      </c>
      <c r="H16" s="172">
        <f t="shared" si="1"/>
        <v>6.5891888096044791E-3</v>
      </c>
      <c r="I16" s="336"/>
      <c r="J16" s="372"/>
      <c r="K16" s="371"/>
      <c r="M16" s="359">
        <f t="shared" si="3"/>
        <v>164.80769230769232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745">
        <v>78371</v>
      </c>
      <c r="D17" s="745">
        <v>0</v>
      </c>
      <c r="E17" s="171">
        <f t="shared" si="2"/>
        <v>78371</v>
      </c>
      <c r="F17" s="171">
        <v>127304</v>
      </c>
      <c r="G17" s="171">
        <f>E17+F17</f>
        <v>205675</v>
      </c>
      <c r="H17" s="172">
        <f t="shared" si="1"/>
        <v>5.2712229032104291E-2</v>
      </c>
      <c r="I17" s="336"/>
      <c r="J17" s="370" t="s">
        <v>156</v>
      </c>
      <c r="K17" s="371">
        <f>J208</f>
        <v>94625.890000000014</v>
      </c>
      <c r="M17" s="359">
        <f t="shared" si="3"/>
        <v>174.30084745762713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745">
        <v>0</v>
      </c>
      <c r="D18" s="745"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95124.890000000014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745">
        <v>0</v>
      </c>
      <c r="D19" s="745"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745">
        <v>0</v>
      </c>
      <c r="D20" s="745">
        <v>0</v>
      </c>
      <c r="E20" s="171">
        <f t="shared" si="2"/>
        <v>0</v>
      </c>
      <c r="F20" s="171">
        <v>-270193</v>
      </c>
      <c r="G20" s="171">
        <f t="shared" si="0"/>
        <v>-270193</v>
      </c>
      <c r="H20" s="172">
        <f t="shared" si="1"/>
        <v>-6.9247479270068579E-2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745">
        <v>1035705</v>
      </c>
      <c r="D21" s="745">
        <v>0</v>
      </c>
      <c r="E21" s="171">
        <f>SUM(E11:E20)</f>
        <v>1035705</v>
      </c>
      <c r="F21" s="171">
        <f>SUM(F11:F20)</f>
        <v>2866141</v>
      </c>
      <c r="G21" s="171">
        <f>SUM(G11:G20)</f>
        <v>3901846</v>
      </c>
      <c r="H21" s="172">
        <f t="shared" si="1"/>
        <v>1</v>
      </c>
      <c r="I21" s="336"/>
      <c r="J21" s="168"/>
      <c r="K21" s="168"/>
      <c r="M21" s="359">
        <f>IFERROR(G21/G228,0)</f>
        <v>195.45388969593748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739"/>
      <c r="D22" s="732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739"/>
      <c r="D23" s="732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C24" s="731"/>
      <c r="D24" s="731"/>
      <c r="M24" s="363"/>
      <c r="N24" s="363"/>
    </row>
    <row r="25" spans="1:17" s="167" customFormat="1">
      <c r="A25" s="169" t="s">
        <v>83</v>
      </c>
      <c r="B25" s="170" t="s">
        <v>14</v>
      </c>
      <c r="C25" s="745">
        <v>20172</v>
      </c>
      <c r="D25" s="745">
        <v>0</v>
      </c>
      <c r="E25" s="171">
        <f t="shared" ref="E25:E60" si="4">C25+D25</f>
        <v>20172</v>
      </c>
      <c r="F25" s="171">
        <v>60889</v>
      </c>
      <c r="G25" s="182">
        <f>E25+F25</f>
        <v>81061</v>
      </c>
      <c r="H25" s="172">
        <f>IF($G$208=0,0,G25/$G$208)</f>
        <v>2.4645748341616383E-2</v>
      </c>
      <c r="I25" s="336"/>
      <c r="J25" s="183">
        <f>1760+1360</f>
        <v>3120</v>
      </c>
      <c r="K25" s="183">
        <f>1760+1360</f>
        <v>3120</v>
      </c>
      <c r="M25" s="359">
        <f>G25/G$228</f>
        <v>4.0605620397735809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745">
        <v>0</v>
      </c>
      <c r="D26" s="745"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745">
        <v>10433</v>
      </c>
      <c r="D27" s="745">
        <v>0</v>
      </c>
      <c r="E27" s="171">
        <f t="shared" si="4"/>
        <v>10433</v>
      </c>
      <c r="F27" s="171">
        <v>46248</v>
      </c>
      <c r="G27" s="171">
        <f t="shared" si="5"/>
        <v>56681</v>
      </c>
      <c r="H27" s="172">
        <f t="shared" si="6"/>
        <v>1.7233264600130249E-2</v>
      </c>
      <c r="I27" s="336"/>
      <c r="J27" s="185">
        <f>579+1360</f>
        <v>1939</v>
      </c>
      <c r="K27" s="185">
        <f>579+1360</f>
        <v>1939</v>
      </c>
      <c r="M27" s="359">
        <f t="shared" si="7"/>
        <v>2.8393027100135249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745">
        <v>7529</v>
      </c>
      <c r="D28" s="745">
        <v>0</v>
      </c>
      <c r="E28" s="171">
        <f t="shared" si="4"/>
        <v>7529</v>
      </c>
      <c r="F28" s="171">
        <v>15691</v>
      </c>
      <c r="G28" s="171">
        <f t="shared" si="5"/>
        <v>23220</v>
      </c>
      <c r="H28" s="172">
        <f t="shared" si="6"/>
        <v>7.0597978866820347E-3</v>
      </c>
      <c r="I28" s="336"/>
      <c r="J28" s="168"/>
      <c r="K28" s="168"/>
      <c r="M28" s="359">
        <f t="shared" si="7"/>
        <v>1.1631518308871411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745">
        <v>4083</v>
      </c>
      <c r="D29" s="745">
        <v>-4083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745">
        <v>0</v>
      </c>
      <c r="D30" s="745">
        <v>0</v>
      </c>
      <c r="E30" s="171">
        <f t="shared" si="4"/>
        <v>0</v>
      </c>
      <c r="F30" s="677">
        <f>(464587-464587)</f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745">
        <v>0</v>
      </c>
      <c r="D31" s="745"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745">
        <v>851</v>
      </c>
      <c r="D32" s="745">
        <v>0</v>
      </c>
      <c r="E32" s="171">
        <f t="shared" si="4"/>
        <v>851</v>
      </c>
      <c r="F32" s="171">
        <v>0</v>
      </c>
      <c r="G32" s="171">
        <f t="shared" si="5"/>
        <v>851</v>
      </c>
      <c r="H32" s="172">
        <f t="shared" si="6"/>
        <v>2.5873764003300651E-4</v>
      </c>
      <c r="I32" s="336"/>
      <c r="J32" s="168"/>
      <c r="K32" s="168"/>
      <c r="M32" s="359">
        <f t="shared" si="7"/>
        <v>4.2628863397284979E-2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745">
        <v>1702</v>
      </c>
      <c r="D33" s="745">
        <v>0</v>
      </c>
      <c r="E33" s="171">
        <f t="shared" si="4"/>
        <v>1702</v>
      </c>
      <c r="F33" s="171">
        <v>3360</v>
      </c>
      <c r="G33" s="171">
        <f t="shared" si="5"/>
        <v>5062</v>
      </c>
      <c r="H33" s="172">
        <f t="shared" si="6"/>
        <v>1.5390481008778838E-3</v>
      </c>
      <c r="I33" s="336"/>
      <c r="J33" s="168"/>
      <c r="K33" s="168"/>
      <c r="M33" s="359">
        <f t="shared" si="7"/>
        <v>0.25356910284025447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745">
        <v>2258</v>
      </c>
      <c r="D34" s="745">
        <v>0</v>
      </c>
      <c r="E34" s="171">
        <f t="shared" si="4"/>
        <v>2258</v>
      </c>
      <c r="F34" s="171">
        <v>20284</v>
      </c>
      <c r="G34" s="171">
        <f t="shared" si="5"/>
        <v>22542</v>
      </c>
      <c r="H34" s="172">
        <f t="shared" si="6"/>
        <v>6.8536590853396397E-3</v>
      </c>
      <c r="I34" s="336"/>
      <c r="J34" s="168"/>
      <c r="K34" s="168"/>
      <c r="M34" s="359">
        <f t="shared" si="7"/>
        <v>1.1291889996493514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745">
        <v>1689</v>
      </c>
      <c r="D35" s="745">
        <v>0</v>
      </c>
      <c r="E35" s="171">
        <f t="shared" si="4"/>
        <v>1689</v>
      </c>
      <c r="F35" s="171">
        <v>9996</v>
      </c>
      <c r="G35" s="171">
        <f t="shared" si="5"/>
        <v>11685</v>
      </c>
      <c r="H35" s="172">
        <f t="shared" si="6"/>
        <v>3.5527019080912824E-3</v>
      </c>
      <c r="I35" s="336"/>
      <c r="J35" s="168"/>
      <c r="K35" s="168"/>
      <c r="M35" s="359">
        <f t="shared" si="7"/>
        <v>0.58533286580173316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745">
        <v>1052</v>
      </c>
      <c r="D36" s="745">
        <v>0</v>
      </c>
      <c r="E36" s="171">
        <f t="shared" si="4"/>
        <v>1052</v>
      </c>
      <c r="F36" s="171">
        <v>9872</v>
      </c>
      <c r="G36" s="171">
        <f t="shared" si="5"/>
        <v>10924</v>
      </c>
      <c r="H36" s="172">
        <f t="shared" si="6"/>
        <v>3.3213278257585937E-3</v>
      </c>
      <c r="I36" s="336"/>
      <c r="J36" s="168"/>
      <c r="K36" s="168"/>
      <c r="M36" s="359">
        <f t="shared" si="7"/>
        <v>0.54721234283424336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745">
        <v>0</v>
      </c>
      <c r="D37" s="745"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745">
        <v>5203</v>
      </c>
      <c r="D38" s="745">
        <v>-5203</v>
      </c>
      <c r="E38" s="171">
        <f t="shared" si="4"/>
        <v>0</v>
      </c>
      <c r="F38" s="171">
        <v>10950</v>
      </c>
      <c r="G38" s="171">
        <f t="shared" si="5"/>
        <v>10950</v>
      </c>
      <c r="H38" s="172">
        <f t="shared" si="6"/>
        <v>3.3292328535386856E-3</v>
      </c>
      <c r="I38" s="336"/>
      <c r="J38" s="168"/>
      <c r="K38" s="168"/>
      <c r="M38" s="359">
        <f t="shared" si="7"/>
        <v>0.54851475229173974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745">
        <v>0</v>
      </c>
      <c r="D39" s="745">
        <v>0</v>
      </c>
      <c r="E39" s="171">
        <f t="shared" si="4"/>
        <v>0</v>
      </c>
      <c r="F39" s="171">
        <v>0</v>
      </c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745">
        <v>0</v>
      </c>
      <c r="D40" s="745"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745">
        <v>83339</v>
      </c>
      <c r="D41" s="745">
        <v>0</v>
      </c>
      <c r="E41" s="171">
        <f t="shared" si="4"/>
        <v>83339</v>
      </c>
      <c r="F41" s="171">
        <v>250709</v>
      </c>
      <c r="G41" s="171">
        <f t="shared" si="5"/>
        <v>334048</v>
      </c>
      <c r="H41" s="172">
        <f t="shared" si="6"/>
        <v>0.10156379691862018</v>
      </c>
      <c r="I41" s="336"/>
      <c r="J41" s="168"/>
      <c r="K41" s="168"/>
      <c r="M41" s="359">
        <f t="shared" si="7"/>
        <v>16.733356709913341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745">
        <v>0</v>
      </c>
      <c r="D42" s="745"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745">
        <v>0</v>
      </c>
      <c r="D43" s="745"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745">
        <v>333</v>
      </c>
      <c r="D44" s="745">
        <v>-333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745">
        <v>738</v>
      </c>
      <c r="D45" s="745">
        <v>-738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745">
        <v>2543</v>
      </c>
      <c r="D46" s="745">
        <v>0</v>
      </c>
      <c r="E46" s="171">
        <f t="shared" si="4"/>
        <v>2543</v>
      </c>
      <c r="F46" s="171">
        <v>18440</v>
      </c>
      <c r="G46" s="171">
        <f t="shared" si="5"/>
        <v>20983</v>
      </c>
      <c r="H46" s="172">
        <f t="shared" si="6"/>
        <v>6.3796614580641318E-3</v>
      </c>
      <c r="I46" s="336"/>
      <c r="J46" s="168"/>
      <c r="K46" s="168"/>
      <c r="M46" s="359">
        <f t="shared" si="7"/>
        <v>1.0510945248710113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745">
        <v>5925</v>
      </c>
      <c r="D47" s="745">
        <v>0</v>
      </c>
      <c r="E47" s="171">
        <f t="shared" si="4"/>
        <v>5925</v>
      </c>
      <c r="F47" s="171">
        <v>48586</v>
      </c>
      <c r="G47" s="171">
        <f t="shared" si="5"/>
        <v>54511</v>
      </c>
      <c r="H47" s="172">
        <f t="shared" si="6"/>
        <v>1.6573498820022584E-2</v>
      </c>
      <c r="I47" s="336"/>
      <c r="J47" s="168"/>
      <c r="K47" s="168"/>
      <c r="M47" s="359">
        <f t="shared" si="7"/>
        <v>2.7306016129840205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745">
        <v>0</v>
      </c>
      <c r="D48" s="745"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745">
        <v>0</v>
      </c>
      <c r="D49" s="745"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745">
        <v>0</v>
      </c>
      <c r="D50" s="745"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745">
        <v>0</v>
      </c>
      <c r="D51" s="745">
        <v>0</v>
      </c>
      <c r="E51" s="171">
        <f t="shared" si="4"/>
        <v>0</v>
      </c>
      <c r="F51" s="171">
        <v>12292</v>
      </c>
      <c r="G51" s="171">
        <f t="shared" si="5"/>
        <v>12292</v>
      </c>
      <c r="H51" s="172">
        <f t="shared" si="6"/>
        <v>3.7372539028034269E-3</v>
      </c>
      <c r="I51" s="336"/>
      <c r="J51" s="183">
        <v>863.29</v>
      </c>
      <c r="K51" s="183">
        <v>863.29</v>
      </c>
      <c r="M51" s="359">
        <f t="shared" si="7"/>
        <v>0.61573911736712916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745">
        <v>0</v>
      </c>
      <c r="D52" s="745">
        <v>0</v>
      </c>
      <c r="E52" s="171">
        <f t="shared" si="4"/>
        <v>0</v>
      </c>
      <c r="F52" s="171">
        <v>1714</v>
      </c>
      <c r="G52" s="171">
        <f t="shared" si="5"/>
        <v>1714</v>
      </c>
      <c r="H52" s="172">
        <f t="shared" si="6"/>
        <v>5.2112375442605545E-4</v>
      </c>
      <c r="I52" s="336"/>
      <c r="J52" s="168"/>
      <c r="K52" s="168"/>
      <c r="M52" s="359">
        <f t="shared" si="7"/>
        <v>8.5858838851875965E-2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745">
        <v>191</v>
      </c>
      <c r="D53" s="745">
        <v>0</v>
      </c>
      <c r="E53" s="171">
        <f t="shared" si="4"/>
        <v>191</v>
      </c>
      <c r="F53" s="171">
        <v>0</v>
      </c>
      <c r="G53" s="171">
        <f t="shared" si="5"/>
        <v>191</v>
      </c>
      <c r="H53" s="172">
        <f t="shared" si="6"/>
        <v>5.8071550230674791E-5</v>
      </c>
      <c r="I53" s="336"/>
      <c r="J53" s="168"/>
      <c r="K53" s="168"/>
      <c r="M53" s="359">
        <f t="shared" si="7"/>
        <v>9.5677002454540895E-3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745">
        <v>5</v>
      </c>
      <c r="D54" s="745">
        <v>0</v>
      </c>
      <c r="E54" s="171">
        <f t="shared" si="4"/>
        <v>5</v>
      </c>
      <c r="F54" s="171">
        <v>2234</v>
      </c>
      <c r="G54" s="171">
        <f t="shared" si="5"/>
        <v>2239</v>
      </c>
      <c r="H54" s="172">
        <f t="shared" si="6"/>
        <v>6.8074450767791029E-4</v>
      </c>
      <c r="I54" s="336"/>
      <c r="J54" s="168"/>
      <c r="K54" s="168"/>
      <c r="M54" s="359">
        <f t="shared" si="7"/>
        <v>0.11215749135901418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745">
        <v>4440</v>
      </c>
      <c r="D55" s="745">
        <v>0</v>
      </c>
      <c r="E55" s="171">
        <f t="shared" si="4"/>
        <v>4440</v>
      </c>
      <c r="F55" s="171">
        <v>0</v>
      </c>
      <c r="G55" s="171">
        <f t="shared" si="5"/>
        <v>4440</v>
      </c>
      <c r="H55" s="172">
        <f t="shared" si="6"/>
        <v>1.3499355132156863E-3</v>
      </c>
      <c r="I55" s="336"/>
      <c r="J55" s="168"/>
      <c r="K55" s="168"/>
      <c r="M55" s="359">
        <f t="shared" si="7"/>
        <v>0.22241146120322597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745">
        <v>1856</v>
      </c>
      <c r="D56" s="745">
        <v>0</v>
      </c>
      <c r="E56" s="171">
        <f t="shared" si="4"/>
        <v>1856</v>
      </c>
      <c r="F56" s="171">
        <v>105788</v>
      </c>
      <c r="G56" s="171">
        <f t="shared" si="5"/>
        <v>107644</v>
      </c>
      <c r="H56" s="172">
        <f t="shared" si="6"/>
        <v>3.2728031167700303E-2</v>
      </c>
      <c r="I56" s="336"/>
      <c r="J56" s="168"/>
      <c r="K56" s="168"/>
      <c r="M56" s="359">
        <f t="shared" si="7"/>
        <v>5.3921755247207335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745">
        <v>0</v>
      </c>
      <c r="D57" s="745">
        <v>0</v>
      </c>
      <c r="E57" s="171">
        <f t="shared" si="4"/>
        <v>0</v>
      </c>
      <c r="F57" s="171">
        <v>9617</v>
      </c>
      <c r="G57" s="171">
        <f t="shared" si="5"/>
        <v>9617</v>
      </c>
      <c r="H57" s="172">
        <f t="shared" si="6"/>
        <v>2.9239481600439763E-3</v>
      </c>
      <c r="I57" s="336"/>
      <c r="J57" s="168"/>
      <c r="K57" s="168"/>
      <c r="M57" s="359">
        <f t="shared" si="7"/>
        <v>0.48174122125932978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745">
        <v>0</v>
      </c>
      <c r="D58" s="745">
        <v>0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745">
        <v>0</v>
      </c>
      <c r="D59" s="745"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745">
        <v>442</v>
      </c>
      <c r="D60" s="745">
        <v>0</v>
      </c>
      <c r="E60" s="171">
        <f t="shared" si="4"/>
        <v>442</v>
      </c>
      <c r="F60" s="171">
        <v>940</v>
      </c>
      <c r="G60" s="171">
        <f t="shared" si="5"/>
        <v>1382</v>
      </c>
      <c r="H60" s="172">
        <f t="shared" si="6"/>
        <v>4.2018263046488251E-4</v>
      </c>
      <c r="I60" s="336"/>
      <c r="J60" s="168"/>
      <c r="K60" s="168"/>
      <c r="M60" s="359">
        <f t="shared" si="7"/>
        <v>6.9228071933076188E-2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745">
        <v>154784</v>
      </c>
      <c r="D61" s="745">
        <v>-10357</v>
      </c>
      <c r="E61" s="171">
        <f t="shared" ref="E61:F61" si="8">SUM(E25:E60)</f>
        <v>144427</v>
      </c>
      <c r="F61" s="171">
        <f t="shared" si="8"/>
        <v>627610</v>
      </c>
      <c r="G61" s="171">
        <f>SUM(G25:G60)</f>
        <v>772037</v>
      </c>
      <c r="H61" s="186">
        <f t="shared" si="6"/>
        <v>0.23472976662533757</v>
      </c>
      <c r="I61" s="338"/>
      <c r="J61" s="168"/>
      <c r="K61" s="168"/>
      <c r="M61" s="364">
        <f>G61/G$228</f>
        <v>38.673395782197062</v>
      </c>
      <c r="N61" s="359">
        <f>SUMMARY!J64</f>
        <v>53.728790309602623</v>
      </c>
      <c r="O61" s="354">
        <f>M61/N61-1</f>
        <v>-0.28021093422449161</v>
      </c>
      <c r="P61"/>
      <c r="Q61"/>
    </row>
    <row r="62" spans="1:17" s="167" customFormat="1">
      <c r="A62" s="163"/>
      <c r="C62" s="733"/>
      <c r="D62" s="733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733"/>
      <c r="D63" s="733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745">
        <v>112976</v>
      </c>
      <c r="D64" s="745">
        <v>0</v>
      </c>
      <c r="E64" s="171">
        <f t="shared" ref="E64:E78" si="9">C64+D64</f>
        <v>112976</v>
      </c>
      <c r="F64" s="677">
        <f>(401768-32680)</f>
        <v>369088</v>
      </c>
      <c r="G64" s="171">
        <f t="shared" ref="G64:G78" si="10">E64+F64</f>
        <v>482064</v>
      </c>
      <c r="H64" s="172">
        <f t="shared" ref="H64:H79" si="11">IF($G$208=0,0,G64/$G$208)</f>
        <v>0.1465665119916231</v>
      </c>
      <c r="I64" s="336"/>
      <c r="J64" s="190"/>
      <c r="K64" s="168"/>
      <c r="M64" s="359">
        <f t="shared" ref="M64:M79" si="12">G64/G$228</f>
        <v>24.147873566097282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745">
        <v>0</v>
      </c>
      <c r="D65" s="745">
        <v>0</v>
      </c>
      <c r="E65" s="171">
        <f t="shared" si="9"/>
        <v>0</v>
      </c>
      <c r="F65" s="171">
        <v>0</v>
      </c>
      <c r="G65" s="171">
        <f t="shared" si="10"/>
        <v>0</v>
      </c>
      <c r="H65" s="172">
        <f t="shared" si="11"/>
        <v>0</v>
      </c>
      <c r="I65" s="336"/>
      <c r="J65" s="190"/>
      <c r="K65" s="168"/>
      <c r="M65" s="359">
        <f t="shared" si="12"/>
        <v>0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745">
        <v>0</v>
      </c>
      <c r="D66" s="745"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745">
        <v>0</v>
      </c>
      <c r="D67" s="745">
        <v>0</v>
      </c>
      <c r="E67" s="171">
        <f t="shared" si="9"/>
        <v>0</v>
      </c>
      <c r="F67" s="171">
        <v>247</v>
      </c>
      <c r="G67" s="171">
        <f t="shared" si="10"/>
        <v>247</v>
      </c>
      <c r="H67" s="172">
        <f t="shared" si="11"/>
        <v>7.5097763910872631E-5</v>
      </c>
      <c r="I67" s="336"/>
      <c r="J67" s="193"/>
      <c r="K67" s="168"/>
      <c r="M67" s="359">
        <f t="shared" si="12"/>
        <v>1.2372889846215498E-2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745">
        <v>0</v>
      </c>
      <c r="D68" s="745">
        <v>0</v>
      </c>
      <c r="E68" s="171">
        <f t="shared" si="9"/>
        <v>0</v>
      </c>
      <c r="F68" s="171">
        <v>2749</v>
      </c>
      <c r="G68" s="171">
        <f t="shared" si="10"/>
        <v>2749</v>
      </c>
      <c r="H68" s="172">
        <f t="shared" si="11"/>
        <v>8.3580466797971201E-4</v>
      </c>
      <c r="I68" s="336"/>
      <c r="J68" s="193"/>
      <c r="K68" s="168"/>
      <c r="M68" s="359">
        <f t="shared" si="12"/>
        <v>0.13770475379451985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745">
        <v>0</v>
      </c>
      <c r="D69" s="745"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745">
        <v>0</v>
      </c>
      <c r="D70" s="745"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745">
        <v>0</v>
      </c>
      <c r="D71" s="745"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745">
        <v>1123</v>
      </c>
      <c r="D72" s="745">
        <v>0</v>
      </c>
      <c r="E72" s="171">
        <f t="shared" si="9"/>
        <v>1123</v>
      </c>
      <c r="F72" s="171">
        <v>2749</v>
      </c>
      <c r="G72" s="171">
        <f t="shared" si="10"/>
        <v>3872</v>
      </c>
      <c r="H72" s="172">
        <f t="shared" si="11"/>
        <v>1.1772410601736795E-3</v>
      </c>
      <c r="I72" s="336"/>
      <c r="J72" s="195"/>
      <c r="K72" s="168"/>
      <c r="M72" s="359">
        <f t="shared" si="12"/>
        <v>0.19395882382407453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745">
        <v>0</v>
      </c>
      <c r="D73" s="745">
        <v>0</v>
      </c>
      <c r="E73" s="171">
        <f t="shared" si="9"/>
        <v>0</v>
      </c>
      <c r="F73" s="171">
        <v>0</v>
      </c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745">
        <v>0</v>
      </c>
      <c r="D74" s="745">
        <v>0</v>
      </c>
      <c r="E74" s="171">
        <f t="shared" si="9"/>
        <v>0</v>
      </c>
      <c r="F74" s="171">
        <v>0</v>
      </c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745">
        <v>0</v>
      </c>
      <c r="D75" s="745"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745">
        <v>0</v>
      </c>
      <c r="D76" s="745">
        <v>0</v>
      </c>
      <c r="E76" s="171">
        <f t="shared" si="9"/>
        <v>0</v>
      </c>
      <c r="F76" s="171">
        <v>0</v>
      </c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745">
        <v>0</v>
      </c>
      <c r="D77" s="745"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745">
        <v>0</v>
      </c>
      <c r="D78" s="745"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745">
        <v>114099</v>
      </c>
      <c r="D79" s="745">
        <v>0</v>
      </c>
      <c r="E79" s="171">
        <f t="shared" ref="E79:F79" si="13">SUM(E64:E78)</f>
        <v>114099</v>
      </c>
      <c r="F79" s="171">
        <f t="shared" si="13"/>
        <v>374833</v>
      </c>
      <c r="G79" s="171">
        <f>SUM(G64:G78)</f>
        <v>488932</v>
      </c>
      <c r="H79" s="172">
        <f t="shared" si="11"/>
        <v>0.14865465548368736</v>
      </c>
      <c r="I79" s="336"/>
      <c r="J79" s="195"/>
      <c r="K79" s="168"/>
      <c r="M79" s="359">
        <f t="shared" si="12"/>
        <v>24.491910033562089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734"/>
      <c r="D80" s="734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733"/>
      <c r="D81" s="733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745">
        <v>13237</v>
      </c>
      <c r="D82" s="745">
        <v>0</v>
      </c>
      <c r="E82" s="171">
        <f t="shared" ref="E82:E92" si="14">C82+D82</f>
        <v>13237</v>
      </c>
      <c r="F82" s="171">
        <v>33370</v>
      </c>
      <c r="G82" s="171">
        <f t="shared" ref="G82:G92" si="15">E82+F82</f>
        <v>46607</v>
      </c>
      <c r="H82" s="172">
        <f t="shared" ref="H82:H93" si="16">IF($G$208=0,0,G82/$G$208)</f>
        <v>1.4170370374874659E-2</v>
      </c>
      <c r="I82" s="336"/>
      <c r="J82" s="183">
        <f>726+1104</f>
        <v>1830</v>
      </c>
      <c r="K82" s="183">
        <f>726+1137</f>
        <v>1863</v>
      </c>
      <c r="M82" s="359">
        <f t="shared" ref="M82:M92" si="17">G82/G$228</f>
        <v>2.3346691379051245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745">
        <v>7776</v>
      </c>
      <c r="D83" s="745">
        <v>0</v>
      </c>
      <c r="E83" s="171">
        <f t="shared" si="14"/>
        <v>7776</v>
      </c>
      <c r="F83" s="171">
        <v>4641</v>
      </c>
      <c r="G83" s="171">
        <f t="shared" si="15"/>
        <v>12417</v>
      </c>
      <c r="H83" s="172">
        <f t="shared" si="16"/>
        <v>3.7752588440538686E-3</v>
      </c>
      <c r="I83" s="336"/>
      <c r="J83" s="168"/>
      <c r="K83" s="168"/>
      <c r="M83" s="359">
        <f t="shared" si="17"/>
        <v>0.62200070129740015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745">
        <v>1802</v>
      </c>
      <c r="D84" s="745">
        <v>0</v>
      </c>
      <c r="E84" s="171">
        <f t="shared" si="14"/>
        <v>1802</v>
      </c>
      <c r="F84" s="171">
        <v>5494</v>
      </c>
      <c r="G84" s="171">
        <f t="shared" si="15"/>
        <v>7296</v>
      </c>
      <c r="H84" s="172">
        <f t="shared" si="16"/>
        <v>2.2182724109057763E-3</v>
      </c>
      <c r="I84" s="336"/>
      <c r="J84" s="168"/>
      <c r="K84" s="168"/>
      <c r="M84" s="359">
        <f t="shared" si="17"/>
        <v>0.36547613084205782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745">
        <v>4225</v>
      </c>
      <c r="D85" s="745">
        <v>0</v>
      </c>
      <c r="E85" s="171">
        <f t="shared" si="14"/>
        <v>4225</v>
      </c>
      <c r="F85" s="171">
        <v>717</v>
      </c>
      <c r="G85" s="171">
        <f t="shared" si="15"/>
        <v>4942</v>
      </c>
      <c r="H85" s="172">
        <f t="shared" si="16"/>
        <v>1.5025633572774597E-3</v>
      </c>
      <c r="I85" s="336"/>
      <c r="J85" s="168"/>
      <c r="K85" s="168"/>
      <c r="M85" s="359">
        <f t="shared" si="17"/>
        <v>0.2475579822671943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745">
        <v>4697</v>
      </c>
      <c r="D86" s="745">
        <v>0</v>
      </c>
      <c r="E86" s="171">
        <f t="shared" si="14"/>
        <v>4697</v>
      </c>
      <c r="F86" s="171">
        <v>0</v>
      </c>
      <c r="G86" s="171">
        <f>E86+F86</f>
        <v>4697</v>
      </c>
      <c r="H86" s="172">
        <f t="shared" si="16"/>
        <v>1.4280736724265942E-3</v>
      </c>
      <c r="I86" s="336"/>
      <c r="J86" s="168"/>
      <c r="K86" s="168"/>
      <c r="M86" s="359">
        <f t="shared" si="17"/>
        <v>0.23528527776386315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745">
        <v>8203</v>
      </c>
      <c r="D87" s="745">
        <v>0</v>
      </c>
      <c r="E87" s="171">
        <f t="shared" si="14"/>
        <v>8203</v>
      </c>
      <c r="F87" s="171">
        <v>9614</v>
      </c>
      <c r="G87" s="171">
        <f t="shared" si="15"/>
        <v>17817</v>
      </c>
      <c r="H87" s="172">
        <f t="shared" si="16"/>
        <v>5.4170723060729467E-3</v>
      </c>
      <c r="I87" s="336"/>
      <c r="J87" s="168"/>
      <c r="K87" s="168"/>
      <c r="M87" s="359">
        <f t="shared" si="17"/>
        <v>0.89250112708510743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745">
        <v>2040</v>
      </c>
      <c r="D88" s="745">
        <v>0</v>
      </c>
      <c r="E88" s="171">
        <f t="shared" si="14"/>
        <v>2040</v>
      </c>
      <c r="F88" s="171">
        <v>0</v>
      </c>
      <c r="G88" s="171">
        <f t="shared" si="15"/>
        <v>2040</v>
      </c>
      <c r="H88" s="172">
        <f t="shared" si="16"/>
        <v>6.2024064120720721E-4</v>
      </c>
      <c r="I88" s="336"/>
      <c r="J88" s="168"/>
      <c r="K88" s="168"/>
      <c r="M88" s="359">
        <f t="shared" si="17"/>
        <v>0.10218904974202274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745">
        <v>166</v>
      </c>
      <c r="D89" s="745">
        <v>0</v>
      </c>
      <c r="E89" s="171">
        <f t="shared" si="14"/>
        <v>166</v>
      </c>
      <c r="F89" s="677">
        <f>(1566+1061)</f>
        <v>2627</v>
      </c>
      <c r="G89" s="171">
        <f t="shared" si="15"/>
        <v>2793</v>
      </c>
      <c r="H89" s="172">
        <f t="shared" si="16"/>
        <v>8.4918240729986753E-4</v>
      </c>
      <c r="I89" s="336"/>
      <c r="J89" s="168"/>
      <c r="K89" s="168"/>
      <c r="M89" s="359">
        <f t="shared" si="17"/>
        <v>0.13990883133797524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745">
        <v>4109</v>
      </c>
      <c r="D90" s="745">
        <v>-3395</v>
      </c>
      <c r="E90" s="171">
        <f t="shared" si="14"/>
        <v>714</v>
      </c>
      <c r="F90" s="171">
        <v>0</v>
      </c>
      <c r="G90" s="171">
        <f t="shared" si="15"/>
        <v>714</v>
      </c>
      <c r="H90" s="172">
        <f t="shared" si="16"/>
        <v>2.1708422442252251E-4</v>
      </c>
      <c r="I90" s="336"/>
      <c r="J90" s="168"/>
      <c r="K90" s="168"/>
      <c r="M90" s="359">
        <f t="shared" si="17"/>
        <v>3.5766167409707957E-2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745">
        <v>14154</v>
      </c>
      <c r="D91" s="745">
        <v>0</v>
      </c>
      <c r="E91" s="171">
        <f t="shared" si="14"/>
        <v>14154</v>
      </c>
      <c r="F91" s="171">
        <v>34097</v>
      </c>
      <c r="G91" s="171">
        <f t="shared" si="15"/>
        <v>48251</v>
      </c>
      <c r="H91" s="172">
        <f t="shared" si="16"/>
        <v>1.4670211362200468E-2</v>
      </c>
      <c r="I91" s="336"/>
      <c r="J91" s="168"/>
      <c r="K91" s="168"/>
      <c r="M91" s="359">
        <f t="shared" si="17"/>
        <v>2.4170214897560487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745">
        <v>317</v>
      </c>
      <c r="D92" s="745">
        <v>0</v>
      </c>
      <c r="E92" s="171">
        <f t="shared" si="14"/>
        <v>317</v>
      </c>
      <c r="F92" s="677">
        <f>(5982-1061)</f>
        <v>4921</v>
      </c>
      <c r="G92" s="171">
        <f t="shared" si="15"/>
        <v>5238</v>
      </c>
      <c r="H92" s="172">
        <f t="shared" si="16"/>
        <v>1.5925590581585055E-3</v>
      </c>
      <c r="I92" s="336"/>
      <c r="J92" s="168"/>
      <c r="K92" s="168"/>
      <c r="M92" s="359">
        <f t="shared" si="17"/>
        <v>0.26238541301407603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745">
        <v>60726</v>
      </c>
      <c r="D93" s="745">
        <v>-3395</v>
      </c>
      <c r="E93" s="171">
        <f t="shared" ref="E93:F93" si="18">SUM(E82:E92)</f>
        <v>57331</v>
      </c>
      <c r="F93" s="171">
        <f t="shared" si="18"/>
        <v>95481</v>
      </c>
      <c r="G93" s="171">
        <f>SUM(G82:G92)</f>
        <v>152812</v>
      </c>
      <c r="H93" s="172">
        <f t="shared" si="16"/>
        <v>4.6460888658899878E-2</v>
      </c>
      <c r="I93" s="336"/>
      <c r="J93" s="168"/>
      <c r="K93" s="168"/>
      <c r="M93" s="364">
        <f>G93/G$228</f>
        <v>7.6547613084205777</v>
      </c>
      <c r="N93" s="359">
        <f>SUMMARY!J96</f>
        <v>11.458724454710746</v>
      </c>
      <c r="O93" s="354">
        <f>M93/N93-1</f>
        <v>-0.33197090665063833</v>
      </c>
      <c r="P93"/>
      <c r="Q93"/>
    </row>
    <row r="94" spans="1:17" s="167" customFormat="1">
      <c r="A94" s="163"/>
      <c r="C94" s="733"/>
      <c r="D94" s="733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733"/>
      <c r="D95" s="733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745">
        <v>51694</v>
      </c>
      <c r="D96" s="745">
        <v>0</v>
      </c>
      <c r="E96" s="171">
        <f t="shared" ref="E96:E101" si="19">C96+D96</f>
        <v>51694</v>
      </c>
      <c r="F96" s="171">
        <v>95741</v>
      </c>
      <c r="G96" s="171">
        <f t="shared" ref="G96:G101" si="20">E96+F96</f>
        <v>147435</v>
      </c>
      <c r="H96" s="172">
        <f t="shared" ref="H96:H102" si="21">IF($G$208=0,0,G96/$G$208)</f>
        <v>4.4826068106070878E-2</v>
      </c>
      <c r="I96" s="336"/>
      <c r="J96" s="183">
        <f>4334+7178</f>
        <v>11512</v>
      </c>
      <c r="K96" s="183">
        <f>4334+7282</f>
        <v>11616</v>
      </c>
      <c r="M96" s="364">
        <f t="shared" ref="M96:M101" si="22">G96/G$228</f>
        <v>7.3854130140760406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745">
        <v>14596</v>
      </c>
      <c r="D97" s="745">
        <v>0</v>
      </c>
      <c r="E97" s="171">
        <f t="shared" si="19"/>
        <v>14596</v>
      </c>
      <c r="F97" s="171">
        <v>13399</v>
      </c>
      <c r="G97" s="171">
        <f t="shared" si="20"/>
        <v>27995</v>
      </c>
      <c r="H97" s="172">
        <f t="shared" si="21"/>
        <v>8.5115866424489046E-3</v>
      </c>
      <c r="I97" s="336"/>
      <c r="J97" s="168"/>
      <c r="K97" s="168"/>
      <c r="M97" s="364">
        <f t="shared" si="22"/>
        <v>1.4023443370234934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745">
        <v>668</v>
      </c>
      <c r="D98" s="745">
        <v>0</v>
      </c>
      <c r="E98" s="171">
        <f t="shared" si="19"/>
        <v>668</v>
      </c>
      <c r="F98" s="171">
        <v>5203</v>
      </c>
      <c r="G98" s="171">
        <f t="shared" si="20"/>
        <v>5871</v>
      </c>
      <c r="H98" s="172">
        <f t="shared" si="21"/>
        <v>1.7850160806507419E-3</v>
      </c>
      <c r="I98" s="336"/>
      <c r="J98" s="168"/>
      <c r="K98" s="168"/>
      <c r="M98" s="364">
        <f t="shared" si="22"/>
        <v>0.29409407403696841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745">
        <v>35299</v>
      </c>
      <c r="D99" s="745">
        <v>0</v>
      </c>
      <c r="E99" s="171">
        <f t="shared" si="19"/>
        <v>35299</v>
      </c>
      <c r="F99" s="171">
        <v>81826</v>
      </c>
      <c r="G99" s="171">
        <f t="shared" si="20"/>
        <v>117125</v>
      </c>
      <c r="H99" s="172">
        <f t="shared" si="21"/>
        <v>3.5610629951663794E-2</v>
      </c>
      <c r="I99" s="336"/>
      <c r="J99" s="168"/>
      <c r="K99" s="168"/>
      <c r="M99" s="364">
        <f t="shared" si="22"/>
        <v>5.8671041426639281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745">
        <v>6623</v>
      </c>
      <c r="D100" s="745">
        <v>0</v>
      </c>
      <c r="E100" s="171">
        <f t="shared" si="19"/>
        <v>6623</v>
      </c>
      <c r="F100" s="171">
        <v>9640</v>
      </c>
      <c r="G100" s="171">
        <f t="shared" si="20"/>
        <v>16263</v>
      </c>
      <c r="H100" s="172">
        <f t="shared" si="21"/>
        <v>4.9445948764474563E-3</v>
      </c>
      <c r="I100" s="336"/>
      <c r="J100" s="168"/>
      <c r="K100" s="168"/>
      <c r="M100" s="364">
        <f t="shared" si="22"/>
        <v>0.81465711566397836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745">
        <v>15177</v>
      </c>
      <c r="D101" s="745">
        <v>0</v>
      </c>
      <c r="E101" s="171">
        <f t="shared" si="19"/>
        <v>15177</v>
      </c>
      <c r="F101" s="171">
        <v>0</v>
      </c>
      <c r="G101" s="171">
        <f t="shared" si="20"/>
        <v>15177</v>
      </c>
      <c r="H101" s="172">
        <f t="shared" si="21"/>
        <v>4.6144079468636197E-3</v>
      </c>
      <c r="I101" s="336"/>
      <c r="J101" s="168"/>
      <c r="K101" s="168"/>
      <c r="M101" s="364">
        <f t="shared" si="22"/>
        <v>0.76025647447778388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745">
        <v>124057</v>
      </c>
      <c r="D102" s="745">
        <v>0</v>
      </c>
      <c r="E102" s="171">
        <f t="shared" ref="E102:F102" si="23">SUM(E96:E101)</f>
        <v>124057</v>
      </c>
      <c r="F102" s="171">
        <f t="shared" si="23"/>
        <v>205809</v>
      </c>
      <c r="G102" s="171">
        <f>SUM(G96:G101)</f>
        <v>329866</v>
      </c>
      <c r="H102" s="172">
        <f t="shared" si="21"/>
        <v>0.1002923036041454</v>
      </c>
      <c r="I102" s="336"/>
      <c r="J102" s="168"/>
      <c r="K102" s="168"/>
      <c r="M102" s="364">
        <f>G102/G$228</f>
        <v>16.523869157942194</v>
      </c>
      <c r="N102" s="359">
        <f>SUMMARY!J105</f>
        <v>19.901077037785338</v>
      </c>
      <c r="O102" s="354">
        <f>M102/N102-1</f>
        <v>-0.16969975411034199</v>
      </c>
      <c r="P102"/>
      <c r="Q102"/>
    </row>
    <row r="103" spans="1:17" s="167" customFormat="1">
      <c r="A103" s="163"/>
      <c r="C103" s="733"/>
      <c r="D103" s="733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733"/>
      <c r="D104" s="733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745">
        <v>12119</v>
      </c>
      <c r="D105" s="745">
        <v>0</v>
      </c>
      <c r="E105" s="171">
        <f t="shared" ref="E105:E110" si="24">C105+D105</f>
        <v>12119</v>
      </c>
      <c r="F105" s="171">
        <v>17544</v>
      </c>
      <c r="G105" s="171">
        <f t="shared" ref="G105:G110" si="25">E105+F105</f>
        <v>29663</v>
      </c>
      <c r="H105" s="172">
        <f t="shared" ref="H105:H111" si="26">IF($G$208=0,0,G105/$G$208)</f>
        <v>9.0187245784947977E-3</v>
      </c>
      <c r="I105" s="336"/>
      <c r="J105" s="183">
        <f>150+1782</f>
        <v>1932</v>
      </c>
      <c r="K105" s="183">
        <f>150+1782</f>
        <v>1932</v>
      </c>
      <c r="M105" s="364">
        <f t="shared" ref="M105:M110" si="27">G105/G$228</f>
        <v>1.4858989129890297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745">
        <v>1872</v>
      </c>
      <c r="D106" s="745">
        <v>0</v>
      </c>
      <c r="E106" s="171">
        <f t="shared" si="24"/>
        <v>1872</v>
      </c>
      <c r="F106" s="171">
        <v>2535</v>
      </c>
      <c r="G106" s="171">
        <f t="shared" si="25"/>
        <v>4407</v>
      </c>
      <c r="H106" s="172">
        <f t="shared" si="26"/>
        <v>1.3399022087255696E-3</v>
      </c>
      <c r="I106" s="336"/>
      <c r="J106" s="168"/>
      <c r="K106" s="168"/>
      <c r="M106" s="364">
        <f t="shared" si="27"/>
        <v>0.22075840304563443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745">
        <v>1690</v>
      </c>
      <c r="D107" s="745">
        <v>0</v>
      </c>
      <c r="E107" s="171">
        <f t="shared" si="24"/>
        <v>1690</v>
      </c>
      <c r="F107" s="171">
        <v>1840</v>
      </c>
      <c r="G107" s="171">
        <f t="shared" si="25"/>
        <v>3530</v>
      </c>
      <c r="H107" s="172">
        <f t="shared" si="26"/>
        <v>1.0732595409124713E-3</v>
      </c>
      <c r="I107" s="336"/>
      <c r="J107" s="168"/>
      <c r="K107" s="168"/>
      <c r="M107" s="364">
        <f t="shared" si="27"/>
        <v>0.17682713019085308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745">
        <v>0</v>
      </c>
      <c r="D108" s="745"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745">
        <v>0</v>
      </c>
      <c r="D109" s="745">
        <v>0</v>
      </c>
      <c r="E109" s="171">
        <f t="shared" si="24"/>
        <v>0</v>
      </c>
      <c r="F109" s="171">
        <v>1347</v>
      </c>
      <c r="G109" s="171">
        <f t="shared" si="25"/>
        <v>1347</v>
      </c>
      <c r="H109" s="172">
        <f t="shared" si="26"/>
        <v>4.0954124691475885E-4</v>
      </c>
      <c r="I109" s="336"/>
      <c r="J109" s="168"/>
      <c r="K109" s="168"/>
      <c r="M109" s="364">
        <f t="shared" si="27"/>
        <v>6.7474828432600317E-2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745">
        <v>0</v>
      </c>
      <c r="D110" s="745">
        <v>0</v>
      </c>
      <c r="E110" s="171">
        <f t="shared" si="24"/>
        <v>0</v>
      </c>
      <c r="F110" s="677">
        <f>(3111-3111)</f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745">
        <v>15681</v>
      </c>
      <c r="D111" s="745">
        <v>0</v>
      </c>
      <c r="E111" s="171">
        <f t="shared" ref="E111:F111" si="28">SUM(E105:E110)</f>
        <v>15681</v>
      </c>
      <c r="F111" s="171">
        <f t="shared" si="28"/>
        <v>23266</v>
      </c>
      <c r="G111" s="171">
        <f>SUM(G105:G110)</f>
        <v>38947</v>
      </c>
      <c r="H111" s="172">
        <f t="shared" si="26"/>
        <v>1.1841427575047598E-2</v>
      </c>
      <c r="I111" s="336"/>
      <c r="J111" s="168"/>
      <c r="K111" s="168"/>
      <c r="M111" s="364">
        <f>G111/G$228</f>
        <v>1.9509592746581175</v>
      </c>
      <c r="N111" s="359">
        <f>SUMMARY!J114</f>
        <v>2.4242384372309496</v>
      </c>
      <c r="O111" s="354">
        <f>M111/N111-1</f>
        <v>-0.1952279756414671</v>
      </c>
      <c r="P111"/>
      <c r="Q111"/>
    </row>
    <row r="112" spans="1:17" s="167" customFormat="1">
      <c r="A112" s="163"/>
      <c r="C112" s="733"/>
      <c r="D112" s="733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733"/>
      <c r="D113" s="733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745">
        <v>6164</v>
      </c>
      <c r="D114" s="745">
        <v>0</v>
      </c>
      <c r="E114" s="171">
        <f t="shared" ref="E114:E118" si="29">C114+D114</f>
        <v>6164</v>
      </c>
      <c r="F114" s="171">
        <v>53508</v>
      </c>
      <c r="G114" s="171">
        <f>E114+F114</f>
        <v>59672</v>
      </c>
      <c r="H114" s="172">
        <f t="shared" ref="H114:H119" si="30">IF($G$208=0,0,G114/$G$208)</f>
        <v>1.8142646834370817E-2</v>
      </c>
      <c r="I114" s="336"/>
      <c r="J114" s="183">
        <f>3214+5417</f>
        <v>8631</v>
      </c>
      <c r="K114" s="183">
        <f>3214+5417</f>
        <v>8631</v>
      </c>
      <c r="M114" s="364">
        <f t="shared" ref="M114:M119" si="31">G114/G$228</f>
        <v>2.9891298902970496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745">
        <v>3136</v>
      </c>
      <c r="D115" s="745">
        <v>0</v>
      </c>
      <c r="E115" s="171">
        <f t="shared" si="29"/>
        <v>3136</v>
      </c>
      <c r="F115" s="171">
        <v>7785</v>
      </c>
      <c r="G115" s="171">
        <f>E115+F115</f>
        <v>10921</v>
      </c>
      <c r="H115" s="172">
        <f t="shared" si="30"/>
        <v>3.3204157071685834E-3</v>
      </c>
      <c r="I115" s="336"/>
      <c r="J115" s="168"/>
      <c r="K115" s="168"/>
      <c r="M115" s="364">
        <f t="shared" si="31"/>
        <v>0.54706206481991682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745">
        <v>0</v>
      </c>
      <c r="D116" s="745">
        <v>0</v>
      </c>
      <c r="E116" s="171">
        <f t="shared" si="29"/>
        <v>0</v>
      </c>
      <c r="F116" s="171">
        <v>13063</v>
      </c>
      <c r="G116" s="171">
        <f>E116+F116</f>
        <v>13063</v>
      </c>
      <c r="H116" s="172">
        <f t="shared" si="30"/>
        <v>3.9716683804361507E-3</v>
      </c>
      <c r="I116" s="336"/>
      <c r="J116" s="168"/>
      <c r="K116" s="168"/>
      <c r="M116" s="364">
        <f t="shared" si="31"/>
        <v>0.65436056704904078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745">
        <v>0</v>
      </c>
      <c r="D117" s="745">
        <v>0</v>
      </c>
      <c r="E117" s="171">
        <f t="shared" si="29"/>
        <v>0</v>
      </c>
      <c r="F117" s="171">
        <v>1869</v>
      </c>
      <c r="G117" s="171">
        <f>E117+F117</f>
        <v>1869</v>
      </c>
      <c r="H117" s="172">
        <f t="shared" si="30"/>
        <v>5.6824988157660311E-4</v>
      </c>
      <c r="I117" s="336"/>
      <c r="J117" s="168"/>
      <c r="K117" s="168"/>
      <c r="M117" s="364">
        <f t="shared" si="31"/>
        <v>9.3623202925412013E-2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745">
        <v>0</v>
      </c>
      <c r="D118" s="745"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745">
        <v>9300</v>
      </c>
      <c r="D119" s="745">
        <v>0</v>
      </c>
      <c r="E119" s="171">
        <f t="shared" ref="E119:F119" si="32">SUM(E114:E118)</f>
        <v>9300</v>
      </c>
      <c r="F119" s="171">
        <f t="shared" si="32"/>
        <v>76225</v>
      </c>
      <c r="G119" s="171">
        <f>SUM(G114:G118)</f>
        <v>85525</v>
      </c>
      <c r="H119" s="172">
        <f t="shared" si="30"/>
        <v>2.6002980803552154E-2</v>
      </c>
      <c r="I119" s="336"/>
      <c r="J119" s="168"/>
      <c r="K119" s="168"/>
      <c r="M119" s="364">
        <f t="shared" si="31"/>
        <v>4.2841757250914192</v>
      </c>
      <c r="N119" s="359">
        <f>SUMMARY!J122</f>
        <v>6.0247597205909562</v>
      </c>
      <c r="O119" s="354">
        <f>M119/N119-1</f>
        <v>-0.28890513086367642</v>
      </c>
      <c r="P119"/>
      <c r="Q119"/>
    </row>
    <row r="120" spans="1:17" s="167" customFormat="1">
      <c r="A120" s="163"/>
      <c r="B120" s="170"/>
      <c r="C120" s="734"/>
      <c r="D120" s="734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733"/>
      <c r="D121" s="733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733"/>
      <c r="D122" s="733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745">
        <v>0</v>
      </c>
      <c r="D123" s="745"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745">
        <v>21840</v>
      </c>
      <c r="D124" s="745">
        <v>0</v>
      </c>
      <c r="E124" s="171">
        <f t="shared" si="33"/>
        <v>21840</v>
      </c>
      <c r="F124" s="171">
        <v>55821</v>
      </c>
      <c r="G124" s="171">
        <f>E124+F124</f>
        <v>77661</v>
      </c>
      <c r="H124" s="172">
        <f>IF($G$208=0,0,G124/$G$208)</f>
        <v>2.3612013939604371E-2</v>
      </c>
      <c r="I124" s="336"/>
      <c r="J124" s="183">
        <f>1760+1360</f>
        <v>3120</v>
      </c>
      <c r="K124" s="183">
        <f>1760+1414</f>
        <v>3174</v>
      </c>
      <c r="M124" s="364">
        <f t="shared" si="34"/>
        <v>3.89024695687021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745">
        <v>0</v>
      </c>
      <c r="D125" s="745"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745">
        <v>0</v>
      </c>
      <c r="D126" s="745"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745">
        <v>28713</v>
      </c>
      <c r="D127" s="745">
        <v>0</v>
      </c>
      <c r="E127" s="171">
        <f t="shared" si="33"/>
        <v>28713</v>
      </c>
      <c r="F127" s="171">
        <v>7049</v>
      </c>
      <c r="G127" s="171">
        <f>E127+F127</f>
        <v>35762</v>
      </c>
      <c r="H127" s="172">
        <f>IF($G$208=0,0,G127/$G$208)</f>
        <v>1.0873061671986345E-2</v>
      </c>
      <c r="I127" s="336"/>
      <c r="J127" s="183">
        <v>532</v>
      </c>
      <c r="K127" s="183">
        <v>532</v>
      </c>
      <c r="M127" s="364">
        <f t="shared" si="34"/>
        <v>1.7914141161148125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751"/>
      <c r="D128" s="751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745">
        <v>0</v>
      </c>
      <c r="D129" s="745"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745">
        <v>5849</v>
      </c>
      <c r="D130" s="745">
        <v>0</v>
      </c>
      <c r="E130" s="171">
        <f t="shared" si="35"/>
        <v>5849</v>
      </c>
      <c r="F130" s="171">
        <v>8164</v>
      </c>
      <c r="G130" s="171">
        <f>E130+F130</f>
        <v>14013</v>
      </c>
      <c r="H130" s="172">
        <f>IF($G$208=0,0,G130/$G$208)</f>
        <v>4.2605059339395068E-3</v>
      </c>
      <c r="I130" s="336"/>
      <c r="J130" s="204"/>
      <c r="K130" s="204"/>
      <c r="M130" s="364">
        <f t="shared" si="34"/>
        <v>0.70194860491910038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745">
        <v>0</v>
      </c>
      <c r="D131" s="745"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745">
        <v>0</v>
      </c>
      <c r="D132" s="745"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745">
        <v>4856</v>
      </c>
      <c r="D133" s="745">
        <v>0</v>
      </c>
      <c r="E133" s="171">
        <f t="shared" si="35"/>
        <v>4856</v>
      </c>
      <c r="F133" s="171">
        <v>1031</v>
      </c>
      <c r="G133" s="171">
        <f>E133+F133</f>
        <v>5887</v>
      </c>
      <c r="H133" s="172">
        <f>IF($G$208=0,0,G133/$G$208)</f>
        <v>1.7898807131307983E-3</v>
      </c>
      <c r="I133" s="336"/>
      <c r="J133" s="168"/>
      <c r="K133" s="168"/>
      <c r="M133" s="364">
        <f t="shared" si="34"/>
        <v>0.29489555678004309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734"/>
      <c r="D134" s="734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745">
        <v>129275</v>
      </c>
      <c r="D135" s="745">
        <v>0</v>
      </c>
      <c r="E135" s="171">
        <f t="shared" ref="E135:E138" si="36">C135+D135</f>
        <v>129275</v>
      </c>
      <c r="F135" s="171">
        <v>170847</v>
      </c>
      <c r="G135" s="171">
        <f>E135+F135</f>
        <v>300122</v>
      </c>
      <c r="H135" s="172">
        <f>IF($G$208=0,0,G135/$G$208)</f>
        <v>9.1248951823720309E-2</v>
      </c>
      <c r="I135" s="336"/>
      <c r="J135" s="183">
        <f>4488+5998</f>
        <v>10486</v>
      </c>
      <c r="K135" s="183">
        <f>4488+6038</f>
        <v>10526</v>
      </c>
      <c r="M135" s="364">
        <f t="shared" si="34"/>
        <v>15.033912738566348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745">
        <v>8936</v>
      </c>
      <c r="D136" s="745">
        <v>0</v>
      </c>
      <c r="E136" s="171">
        <f t="shared" si="36"/>
        <v>8936</v>
      </c>
      <c r="F136" s="171">
        <v>129040</v>
      </c>
      <c r="G136" s="171">
        <f>E136+F136</f>
        <v>137976</v>
      </c>
      <c r="H136" s="172">
        <f>IF($G$208=0,0,G136/$G$208)</f>
        <v>4.1950158191767464E-2</v>
      </c>
      <c r="I136" s="336"/>
      <c r="J136" s="183">
        <f>558+4884</f>
        <v>5442</v>
      </c>
      <c r="K136" s="183">
        <f>558+4945</f>
        <v>5503</v>
      </c>
      <c r="M136" s="364">
        <f t="shared" si="34"/>
        <v>6.9115864349045735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745">
        <v>91691</v>
      </c>
      <c r="D137" s="745">
        <v>0</v>
      </c>
      <c r="E137" s="171">
        <f t="shared" si="36"/>
        <v>91691</v>
      </c>
      <c r="F137" s="171">
        <v>290337</v>
      </c>
      <c r="G137" s="171">
        <f>E137+F137</f>
        <v>382028</v>
      </c>
      <c r="H137" s="172">
        <f>IF($G$208=0,0,G137/$G$208)</f>
        <v>0.11615161356818968</v>
      </c>
      <c r="I137" s="336"/>
      <c r="J137" s="183">
        <f>13055+22544</f>
        <v>35599</v>
      </c>
      <c r="K137" s="183">
        <f>13055+22687</f>
        <v>35742</v>
      </c>
      <c r="M137" s="364">
        <f t="shared" si="34"/>
        <v>19.136803085708561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745">
        <v>0</v>
      </c>
      <c r="D138" s="745">
        <v>0</v>
      </c>
      <c r="E138" s="171">
        <f t="shared" si="36"/>
        <v>0</v>
      </c>
      <c r="F138" s="171">
        <v>26301</v>
      </c>
      <c r="G138" s="171">
        <f>E138+F138</f>
        <v>26301</v>
      </c>
      <c r="H138" s="172">
        <f>IF($G$208=0,0,G138/$G$208)</f>
        <v>7.9965436786229201E-3</v>
      </c>
      <c r="I138" s="336"/>
      <c r="J138" s="183">
        <v>1360</v>
      </c>
      <c r="K138" s="183">
        <v>1360</v>
      </c>
      <c r="M138" s="364">
        <f t="shared" si="34"/>
        <v>1.3174873516004608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734"/>
      <c r="D139" s="734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745">
        <v>27627</v>
      </c>
      <c r="D140" s="745">
        <v>0</v>
      </c>
      <c r="E140" s="171">
        <f t="shared" ref="E140:E143" si="37">C140+D140</f>
        <v>27627</v>
      </c>
      <c r="F140" s="171">
        <v>24649</v>
      </c>
      <c r="G140" s="171">
        <f>E140+F140</f>
        <v>52276</v>
      </c>
      <c r="H140" s="172">
        <f>IF($G$208=0,0,G140/$G$208)</f>
        <v>1.5893970470464688E-2</v>
      </c>
      <c r="I140" s="336"/>
      <c r="J140" s="168"/>
      <c r="K140" s="168"/>
      <c r="M140" s="364">
        <f t="shared" si="34"/>
        <v>2.618644492310775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745">
        <v>2560</v>
      </c>
      <c r="D141" s="745">
        <v>0</v>
      </c>
      <c r="E141" s="171">
        <f t="shared" si="37"/>
        <v>2560</v>
      </c>
      <c r="F141" s="171">
        <v>17997</v>
      </c>
      <c r="G141" s="171">
        <f>E141+F141</f>
        <v>20557</v>
      </c>
      <c r="H141" s="172">
        <f>IF($G$208=0,0,G141/$G$208)</f>
        <v>6.2501406182826269E-3</v>
      </c>
      <c r="I141" s="336"/>
      <c r="J141" s="168"/>
      <c r="K141" s="168"/>
      <c r="M141" s="364">
        <f t="shared" si="34"/>
        <v>1.0297550468366479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745">
        <v>15092</v>
      </c>
      <c r="D142" s="745">
        <v>0</v>
      </c>
      <c r="E142" s="171">
        <f t="shared" si="37"/>
        <v>15092</v>
      </c>
      <c r="F142" s="171">
        <v>41457</v>
      </c>
      <c r="G142" s="171">
        <f>E142+F142</f>
        <v>56549</v>
      </c>
      <c r="H142" s="172">
        <f>IF($G$208=0,0,G142/$G$208)</f>
        <v>1.7193131382169786E-2</v>
      </c>
      <c r="I142" s="336"/>
      <c r="J142" s="168"/>
      <c r="K142" s="168"/>
      <c r="M142" s="364">
        <f t="shared" si="34"/>
        <v>2.8326904773831587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745">
        <v>0</v>
      </c>
      <c r="D143" s="745">
        <v>0</v>
      </c>
      <c r="E143" s="171">
        <f t="shared" si="37"/>
        <v>0</v>
      </c>
      <c r="F143" s="171">
        <v>3668</v>
      </c>
      <c r="G143" s="171">
        <f>E143+F143</f>
        <v>3668</v>
      </c>
      <c r="H143" s="172">
        <f>IF($G$208=0,0,G143/$G$208)</f>
        <v>1.1152169960529589E-3</v>
      </c>
      <c r="I143" s="336"/>
      <c r="J143" s="168"/>
      <c r="K143" s="168"/>
      <c r="M143" s="364">
        <f t="shared" si="34"/>
        <v>0.18373991884987226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734"/>
      <c r="D144" s="734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745">
        <v>0</v>
      </c>
      <c r="D145" s="745">
        <v>0</v>
      </c>
      <c r="E145" s="171">
        <f t="shared" ref="E145:E153" si="38">C145+D145</f>
        <v>0</v>
      </c>
      <c r="F145" s="171">
        <v>6250</v>
      </c>
      <c r="G145" s="171">
        <f t="shared" ref="G145:G153" si="39">E145+F145</f>
        <v>6250</v>
      </c>
      <c r="H145" s="172">
        <f t="shared" ref="H145:H153" si="40">IF($G$208=0,0,G145/$G$208)</f>
        <v>1.9002470625220809E-3</v>
      </c>
      <c r="I145" s="336"/>
      <c r="J145" s="183">
        <v>210</v>
      </c>
      <c r="K145" s="183">
        <v>210</v>
      </c>
      <c r="M145" s="364">
        <f t="shared" si="34"/>
        <v>0.31307919651355004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745">
        <v>21324</v>
      </c>
      <c r="D146" s="745">
        <v>0</v>
      </c>
      <c r="E146" s="171">
        <f t="shared" si="38"/>
        <v>21324</v>
      </c>
      <c r="F146" s="171">
        <v>970</v>
      </c>
      <c r="G146" s="171">
        <f t="shared" si="39"/>
        <v>22294</v>
      </c>
      <c r="H146" s="172">
        <f t="shared" si="40"/>
        <v>6.7782572818987632E-3</v>
      </c>
      <c r="I146" s="336"/>
      <c r="J146" s="183">
        <f>2132+19.3</f>
        <v>2151.3000000000002</v>
      </c>
      <c r="K146" s="183">
        <f>2132+19.3</f>
        <v>2151.3000000000002</v>
      </c>
      <c r="M146" s="364">
        <f t="shared" si="34"/>
        <v>1.1167660171316935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745">
        <v>0</v>
      </c>
      <c r="D147" s="745">
        <v>0</v>
      </c>
      <c r="E147" s="171">
        <f t="shared" si="38"/>
        <v>0</v>
      </c>
      <c r="F147" s="171">
        <v>1827</v>
      </c>
      <c r="G147" s="171">
        <f t="shared" si="39"/>
        <v>1827</v>
      </c>
      <c r="H147" s="172">
        <f t="shared" si="40"/>
        <v>5.5548022131645465E-4</v>
      </c>
      <c r="I147" s="336"/>
      <c r="J147" s="183">
        <v>39</v>
      </c>
      <c r="K147" s="183">
        <v>39</v>
      </c>
      <c r="M147" s="364">
        <f t="shared" si="34"/>
        <v>9.1519310724840958E-2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745">
        <v>0</v>
      </c>
      <c r="D148" s="745">
        <v>0</v>
      </c>
      <c r="E148" s="171">
        <f t="shared" si="38"/>
        <v>0</v>
      </c>
      <c r="F148" s="171">
        <v>444</v>
      </c>
      <c r="G148" s="171">
        <f t="shared" si="39"/>
        <v>444</v>
      </c>
      <c r="H148" s="172">
        <f t="shared" si="40"/>
        <v>1.3499355132156861E-4</v>
      </c>
      <c r="I148" s="336"/>
      <c r="J148" s="183">
        <v>15.3</v>
      </c>
      <c r="K148" s="183">
        <v>15.3</v>
      </c>
      <c r="M148" s="364">
        <f t="shared" si="34"/>
        <v>2.2241146120322595E-2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745">
        <v>0</v>
      </c>
      <c r="D149" s="745">
        <v>0</v>
      </c>
      <c r="E149" s="171">
        <f t="shared" si="38"/>
        <v>0</v>
      </c>
      <c r="F149" s="171">
        <v>6339</v>
      </c>
      <c r="G149" s="171">
        <f t="shared" si="39"/>
        <v>6339</v>
      </c>
      <c r="H149" s="172">
        <f t="shared" si="40"/>
        <v>1.9273065806923954E-3</v>
      </c>
      <c r="I149" s="336"/>
      <c r="J149" s="183">
        <v>272</v>
      </c>
      <c r="K149" s="183">
        <v>272</v>
      </c>
      <c r="M149" s="364">
        <f t="shared" si="34"/>
        <v>0.317537444271903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745">
        <v>7789</v>
      </c>
      <c r="D150" s="745">
        <v>0</v>
      </c>
      <c r="E150" s="171">
        <f t="shared" si="38"/>
        <v>7789</v>
      </c>
      <c r="F150" s="171">
        <v>40654</v>
      </c>
      <c r="G150" s="171">
        <f t="shared" si="39"/>
        <v>48443</v>
      </c>
      <c r="H150" s="172">
        <f t="shared" si="40"/>
        <v>1.4728586951961145E-2</v>
      </c>
      <c r="I150" s="336"/>
      <c r="J150" s="168"/>
      <c r="K150" s="168"/>
      <c r="M150" s="364">
        <f t="shared" si="34"/>
        <v>2.4266392826729448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745">
        <v>10404</v>
      </c>
      <c r="D151" s="745">
        <v>0</v>
      </c>
      <c r="E151" s="171">
        <f t="shared" si="38"/>
        <v>10404</v>
      </c>
      <c r="F151" s="171">
        <v>11072</v>
      </c>
      <c r="G151" s="171">
        <f t="shared" si="39"/>
        <v>21476</v>
      </c>
      <c r="H151" s="172">
        <f t="shared" si="40"/>
        <v>6.5295529463558731E-3</v>
      </c>
      <c r="I151" s="336"/>
      <c r="J151" s="168"/>
      <c r="K151" s="168"/>
      <c r="M151" s="364">
        <f t="shared" si="34"/>
        <v>1.0757902118920002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745">
        <v>0</v>
      </c>
      <c r="D152" s="745"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745">
        <v>0</v>
      </c>
      <c r="D153" s="745"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735"/>
      <c r="D154" s="735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745">
        <v>0</v>
      </c>
      <c r="D155" s="745"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745">
        <v>0</v>
      </c>
      <c r="D156" s="745"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745">
        <v>0</v>
      </c>
      <c r="D157" s="745"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745">
        <v>0</v>
      </c>
      <c r="D158" s="745"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745">
        <v>0</v>
      </c>
      <c r="D159" s="745"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745">
        <v>445</v>
      </c>
      <c r="D160" s="745">
        <v>0</v>
      </c>
      <c r="E160" s="171">
        <f t="shared" si="41"/>
        <v>445</v>
      </c>
      <c r="F160" s="171">
        <v>908</v>
      </c>
      <c r="G160" s="171">
        <f t="shared" si="42"/>
        <v>1353</v>
      </c>
      <c r="H160" s="172">
        <f t="shared" si="43"/>
        <v>4.1136548409478007E-4</v>
      </c>
      <c r="I160" s="336"/>
      <c r="J160" s="168"/>
      <c r="K160" s="168"/>
      <c r="M160" s="364">
        <f t="shared" si="34"/>
        <v>6.7775384461253321E-2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745">
        <v>376401</v>
      </c>
      <c r="D161" s="745">
        <v>0</v>
      </c>
      <c r="E161" s="171">
        <f t="shared" ref="E161:F161" si="44">SUM(E123:E160)</f>
        <v>376401</v>
      </c>
      <c r="F161" s="171">
        <f t="shared" si="44"/>
        <v>844825</v>
      </c>
      <c r="G161" s="171">
        <f>SUM(G123:G160)</f>
        <v>1221226</v>
      </c>
      <c r="H161" s="172">
        <f t="shared" si="43"/>
        <v>0.37130097906809451</v>
      </c>
      <c r="I161" s="336"/>
      <c r="J161" s="168"/>
      <c r="K161" s="168"/>
      <c r="M161" s="364">
        <f>G161/G$228</f>
        <v>61.174472774633074</v>
      </c>
      <c r="N161" s="359">
        <f>SUMMARY!J164</f>
        <v>105.56901037202306</v>
      </c>
      <c r="O161" s="354">
        <f>M161/N161-1</f>
        <v>-0.42052622678705176</v>
      </c>
      <c r="P161"/>
      <c r="Q161"/>
    </row>
    <row r="162" spans="1:20" s="167" customFormat="1">
      <c r="A162" s="169"/>
      <c r="B162" s="170"/>
      <c r="C162" s="734"/>
      <c r="D162" s="734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736"/>
      <c r="D163" s="736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745">
        <v>0</v>
      </c>
      <c r="D164" s="745"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745">
        <v>0</v>
      </c>
      <c r="D165" s="745"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745">
        <v>0</v>
      </c>
      <c r="D166" s="745"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745">
        <v>0</v>
      </c>
      <c r="D167" s="745"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745">
        <v>0</v>
      </c>
      <c r="D168" s="745"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745">
        <v>0</v>
      </c>
      <c r="D169" s="745"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745">
        <v>0</v>
      </c>
      <c r="D170" s="745"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745">
        <v>0</v>
      </c>
      <c r="D171" s="745"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745">
        <v>0</v>
      </c>
      <c r="D172" s="745"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745">
        <v>0</v>
      </c>
      <c r="D173" s="745"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745">
        <v>0</v>
      </c>
      <c r="D174" s="745"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745">
        <v>0</v>
      </c>
      <c r="D175" s="745"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745">
        <v>0</v>
      </c>
      <c r="D176" s="745"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745">
        <v>0</v>
      </c>
      <c r="D177" s="745"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745">
        <v>0</v>
      </c>
      <c r="D178" s="745"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745">
        <v>0</v>
      </c>
      <c r="D179" s="745"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745">
        <v>0</v>
      </c>
      <c r="D180" s="745"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745">
        <v>1404</v>
      </c>
      <c r="D181" s="745">
        <v>0</v>
      </c>
      <c r="E181" s="171">
        <f t="shared" si="45"/>
        <v>1404</v>
      </c>
      <c r="F181" s="216">
        <v>0</v>
      </c>
      <c r="G181" s="171">
        <f t="shared" si="46"/>
        <v>1404</v>
      </c>
      <c r="H181" s="172">
        <f t="shared" si="47"/>
        <v>4.2687150012496027E-4</v>
      </c>
      <c r="I181" s="336"/>
      <c r="J181" s="223"/>
      <c r="K181" s="218"/>
      <c r="L181" s="220"/>
      <c r="M181" s="364">
        <f t="shared" si="48"/>
        <v>7.0330110704803883E-2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745">
        <v>1960</v>
      </c>
      <c r="D182" s="745">
        <v>0</v>
      </c>
      <c r="E182" s="171">
        <f t="shared" si="45"/>
        <v>1960</v>
      </c>
      <c r="F182" s="216">
        <v>0</v>
      </c>
      <c r="G182" s="171">
        <f t="shared" si="46"/>
        <v>1960</v>
      </c>
      <c r="H182" s="172">
        <f t="shared" si="47"/>
        <v>5.9591747880692451E-4</v>
      </c>
      <c r="I182" s="336"/>
      <c r="J182" s="223"/>
      <c r="K182" s="218"/>
      <c r="L182" s="220"/>
      <c r="M182" s="364">
        <f t="shared" si="48"/>
        <v>9.8181636026649297E-2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745">
        <v>0</v>
      </c>
      <c r="D183" s="745">
        <v>0</v>
      </c>
      <c r="E183" s="171">
        <f t="shared" si="45"/>
        <v>0</v>
      </c>
      <c r="F183" s="216">
        <v>29272</v>
      </c>
      <c r="G183" s="171">
        <f t="shared" si="46"/>
        <v>29272</v>
      </c>
      <c r="H183" s="172">
        <f t="shared" si="47"/>
        <v>8.8998451222634164E-3</v>
      </c>
      <c r="I183" s="336"/>
      <c r="J183" s="223"/>
      <c r="K183" s="218"/>
      <c r="M183" s="364">
        <f t="shared" si="48"/>
        <v>1.4663126784551419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745">
        <v>0</v>
      </c>
      <c r="D184" s="745">
        <v>0</v>
      </c>
      <c r="E184" s="171">
        <f t="shared" si="45"/>
        <v>0</v>
      </c>
      <c r="F184" s="216">
        <v>13772</v>
      </c>
      <c r="G184" s="171">
        <f t="shared" si="46"/>
        <v>13772</v>
      </c>
      <c r="H184" s="172">
        <f t="shared" si="47"/>
        <v>4.1872324072086556E-3</v>
      </c>
      <c r="I184" s="336"/>
      <c r="J184" s="223"/>
      <c r="K184" s="218"/>
      <c r="M184" s="364">
        <f t="shared" si="48"/>
        <v>0.68987627110153782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745">
        <v>0</v>
      </c>
      <c r="D185" s="745"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745">
        <v>0</v>
      </c>
      <c r="D186" s="745">
        <v>0</v>
      </c>
      <c r="E186" s="171">
        <f t="shared" si="45"/>
        <v>0</v>
      </c>
      <c r="F186" s="216">
        <v>21434</v>
      </c>
      <c r="G186" s="171">
        <f t="shared" si="46"/>
        <v>21434</v>
      </c>
      <c r="H186" s="172">
        <f t="shared" si="47"/>
        <v>6.5167832860957252E-3</v>
      </c>
      <c r="I186" s="336"/>
      <c r="J186" s="223"/>
      <c r="K186" s="218"/>
      <c r="M186" s="364">
        <f t="shared" si="48"/>
        <v>1.0736863196914292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745">
        <v>0</v>
      </c>
      <c r="D187" s="745">
        <v>0</v>
      </c>
      <c r="E187" s="171">
        <f t="shared" si="45"/>
        <v>0</v>
      </c>
      <c r="F187" s="216">
        <v>0</v>
      </c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745">
        <v>0</v>
      </c>
      <c r="D188" s="745"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745">
        <v>0</v>
      </c>
      <c r="D189" s="745"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745">
        <v>0</v>
      </c>
      <c r="D190" s="745"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745">
        <v>0</v>
      </c>
      <c r="D191" s="745"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745">
        <v>0</v>
      </c>
      <c r="D192" s="745"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745">
        <v>0</v>
      </c>
      <c r="D193" s="745"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745">
        <v>11601</v>
      </c>
      <c r="D194" s="745">
        <v>0</v>
      </c>
      <c r="E194" s="171">
        <f t="shared" si="45"/>
        <v>11601</v>
      </c>
      <c r="F194" s="216">
        <v>32770</v>
      </c>
      <c r="G194" s="171">
        <f t="shared" si="46"/>
        <v>44371</v>
      </c>
      <c r="H194" s="172">
        <f t="shared" si="47"/>
        <v>1.349053798578676E-2</v>
      </c>
      <c r="I194" s="336"/>
      <c r="J194" s="223"/>
      <c r="K194" s="218"/>
      <c r="M194" s="364">
        <f t="shared" si="48"/>
        <v>2.2226619245604367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745">
        <v>0</v>
      </c>
      <c r="D195" s="745">
        <v>0</v>
      </c>
      <c r="E195" s="171">
        <f t="shared" si="45"/>
        <v>0</v>
      </c>
      <c r="F195" s="216">
        <v>0</v>
      </c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745">
        <v>895</v>
      </c>
      <c r="D196" s="745">
        <v>0</v>
      </c>
      <c r="E196" s="171">
        <f t="shared" si="45"/>
        <v>895</v>
      </c>
      <c r="F196" s="216">
        <v>0</v>
      </c>
      <c r="G196" s="171">
        <f t="shared" si="46"/>
        <v>895</v>
      </c>
      <c r="H196" s="172">
        <f t="shared" si="47"/>
        <v>2.7211537935316197E-4</v>
      </c>
      <c r="I196" s="336"/>
      <c r="J196" s="223"/>
      <c r="K196" s="218"/>
      <c r="M196" s="364">
        <f t="shared" si="48"/>
        <v>4.4832940940740369E-2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745">
        <v>15860</v>
      </c>
      <c r="D197" s="745">
        <v>0</v>
      </c>
      <c r="E197" s="171">
        <f t="shared" ref="E197:F197" si="49">SUM(E164:E196)</f>
        <v>15860</v>
      </c>
      <c r="F197" s="171">
        <f t="shared" si="49"/>
        <v>97248</v>
      </c>
      <c r="G197" s="171">
        <f>SUM(G164:G196)</f>
        <v>113108</v>
      </c>
      <c r="H197" s="172">
        <f>IF($G$208=0,0,G197/$G$208)</f>
        <v>3.4389303159639603E-2</v>
      </c>
      <c r="I197" s="336"/>
      <c r="J197" s="168"/>
      <c r="K197" s="168"/>
      <c r="M197" s="364">
        <f>G197/G$228</f>
        <v>5.6658818814807397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733"/>
      <c r="D198" s="733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733"/>
      <c r="D199" s="733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745">
        <v>15232</v>
      </c>
      <c r="D200" s="745">
        <v>0</v>
      </c>
      <c r="E200" s="171">
        <f t="shared" ref="E200:E205" si="50">C200+D200</f>
        <v>15232</v>
      </c>
      <c r="F200" s="171">
        <v>51419</v>
      </c>
      <c r="G200" s="171">
        <f t="shared" ref="G200:G205" si="51">E200+F200</f>
        <v>66651</v>
      </c>
      <c r="H200" s="172">
        <f t="shared" ref="H200:H206" si="52">IF($G$208=0,0,G200/$G$208)</f>
        <v>2.0264538714265475E-2</v>
      </c>
      <c r="I200" s="336"/>
      <c r="J200" s="183">
        <f>1859+3713</f>
        <v>5572</v>
      </c>
      <c r="K200" s="183">
        <f>1859+3777</f>
        <v>5636</v>
      </c>
      <c r="M200" s="364">
        <f t="shared" ref="M200:M205" si="53">G200/G$228</f>
        <v>3.3387266442919401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745">
        <v>2136</v>
      </c>
      <c r="D201" s="745">
        <v>0</v>
      </c>
      <c r="E201" s="171">
        <f t="shared" si="50"/>
        <v>2136</v>
      </c>
      <c r="F201" s="171">
        <v>4485</v>
      </c>
      <c r="G201" s="171">
        <f t="shared" si="51"/>
        <v>6621</v>
      </c>
      <c r="H201" s="172">
        <f t="shared" si="52"/>
        <v>2.0130457281533915E-3</v>
      </c>
      <c r="I201" s="336"/>
      <c r="J201" s="168"/>
      <c r="K201" s="168"/>
      <c r="M201" s="364">
        <f t="shared" si="53"/>
        <v>0.33166357761859439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745">
        <v>1295</v>
      </c>
      <c r="D202" s="745">
        <v>0</v>
      </c>
      <c r="E202" s="171">
        <f t="shared" si="50"/>
        <v>1295</v>
      </c>
      <c r="F202" s="171">
        <v>7422</v>
      </c>
      <c r="G202" s="171">
        <f t="shared" si="51"/>
        <v>8717</v>
      </c>
      <c r="H202" s="172">
        <f t="shared" si="52"/>
        <v>2.6503125830407968E-3</v>
      </c>
      <c r="I202" s="336"/>
      <c r="M202" s="364">
        <f t="shared" si="53"/>
        <v>0.43665781696137856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745">
        <v>0</v>
      </c>
      <c r="D203" s="745"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745">
        <v>0</v>
      </c>
      <c r="D204" s="745"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745">
        <v>1503</v>
      </c>
      <c r="D205" s="745">
        <v>0</v>
      </c>
      <c r="E205" s="171">
        <f t="shared" si="50"/>
        <v>1503</v>
      </c>
      <c r="F205" s="171">
        <v>3101</v>
      </c>
      <c r="G205" s="171">
        <f t="shared" si="51"/>
        <v>4604</v>
      </c>
      <c r="H205" s="172">
        <f t="shared" si="52"/>
        <v>1.3997979961362656E-3</v>
      </c>
      <c r="I205" s="336"/>
      <c r="J205" s="168"/>
      <c r="K205" s="168"/>
      <c r="M205" s="364">
        <f t="shared" si="53"/>
        <v>0.23062665931974152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745">
        <v>20166</v>
      </c>
      <c r="D206" s="745">
        <v>0</v>
      </c>
      <c r="E206" s="171">
        <f t="shared" ref="E206:F206" si="54">SUM(E200:E205)</f>
        <v>20166</v>
      </c>
      <c r="F206" s="171">
        <f t="shared" si="54"/>
        <v>66427</v>
      </c>
      <c r="G206" s="171">
        <f>SUM(G200:G205)</f>
        <v>86593</v>
      </c>
      <c r="H206" s="172">
        <f t="shared" si="52"/>
        <v>2.6327695021595928E-2</v>
      </c>
      <c r="I206" s="336"/>
      <c r="J206" s="168"/>
      <c r="K206" s="168"/>
      <c r="M206" s="364">
        <f>G206/G$228</f>
        <v>4.3376746981916545</v>
      </c>
      <c r="N206" s="359">
        <f>SUMMARY!J209</f>
        <v>7.1515095990067339</v>
      </c>
      <c r="O206" s="354">
        <f>M206/N206-1</f>
        <v>-0.39346027043099963</v>
      </c>
      <c r="P206"/>
      <c r="Q206"/>
    </row>
    <row r="207" spans="1:19" s="167" customFormat="1">
      <c r="A207" s="163"/>
      <c r="C207" s="733"/>
      <c r="D207" s="733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745">
        <v>891074</v>
      </c>
      <c r="D208" s="745">
        <v>-13752</v>
      </c>
      <c r="E208" s="171">
        <f t="shared" ref="E208:F208" si="55">SUM(E25:E206)/2</f>
        <v>877322</v>
      </c>
      <c r="F208" s="171">
        <f t="shared" si="55"/>
        <v>2411724</v>
      </c>
      <c r="G208" s="171">
        <f>SUM(G25:G206)/2</f>
        <v>3289046</v>
      </c>
      <c r="H208" s="172">
        <f>IF($G$208=0,0,G208/$G$208)</f>
        <v>1</v>
      </c>
      <c r="I208" s="336"/>
      <c r="J208" s="183">
        <f>SUM(J25:J200)</f>
        <v>94625.890000000014</v>
      </c>
      <c r="K208" s="183">
        <f>SUM(K25:K200)</f>
        <v>95124.890000000014</v>
      </c>
      <c r="M208" s="364">
        <f>G208/G$228</f>
        <v>164.75710063617692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733"/>
      <c r="D209" s="733"/>
      <c r="E209" s="165"/>
      <c r="F209"/>
      <c r="G209"/>
      <c r="I209" s="332"/>
      <c r="J209" s="168"/>
      <c r="K209" s="168"/>
      <c r="O209" s="553">
        <f>SUM(O61:O206)</f>
        <v>-2.0800011987086671</v>
      </c>
      <c r="P209"/>
      <c r="Q209"/>
    </row>
    <row r="210" spans="1:17" s="167" customFormat="1">
      <c r="A210" s="163"/>
      <c r="B210" s="170"/>
      <c r="C210" s="733"/>
      <c r="D210" s="733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745">
        <v>891074</v>
      </c>
      <c r="D211" s="734"/>
      <c r="E211" s="165"/>
      <c r="F211" s="445" t="s">
        <v>524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745">
        <v>0</v>
      </c>
      <c r="D212" s="740"/>
      <c r="E212" s="165"/>
      <c r="F212" s="445" t="s">
        <v>533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737"/>
      <c r="E213" s="232"/>
      <c r="F213" s="460" t="s">
        <v>519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733"/>
      <c r="D214" s="733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745">
        <v>144631</v>
      </c>
      <c r="D215" s="745">
        <v>13752</v>
      </c>
      <c r="E215" s="171">
        <f t="shared" ref="E215:F215" si="56">E21-E208</f>
        <v>158383</v>
      </c>
      <c r="F215" s="171">
        <f t="shared" si="56"/>
        <v>454417</v>
      </c>
      <c r="G215" s="171">
        <f>G21-G208</f>
        <v>612800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734"/>
      <c r="D216" s="734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734"/>
      <c r="D217" s="734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733"/>
      <c r="D218" s="733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750">
        <v>3568</v>
      </c>
      <c r="D219" s="750"/>
      <c r="E219" s="235">
        <f t="shared" ref="E219:G227" si="57">C219+D219</f>
        <v>3568</v>
      </c>
      <c r="F219" s="234">
        <v>8938</v>
      </c>
      <c r="G219" s="235">
        <f t="shared" si="57"/>
        <v>12506</v>
      </c>
      <c r="H219" s="172">
        <f t="shared" ref="H219:H228" si="58">IF($G$228=0,0,G219/$G$228)</f>
        <v>0.62645894905575317</v>
      </c>
      <c r="I219" s="336"/>
      <c r="J219" s="168"/>
      <c r="K219" s="168"/>
    </row>
    <row r="220" spans="1:17">
      <c r="A220" s="163"/>
      <c r="B220" s="170" t="s">
        <v>217</v>
      </c>
      <c r="C220" s="750">
        <v>1875</v>
      </c>
      <c r="D220" s="750"/>
      <c r="E220" s="235">
        <f t="shared" ref="E220:E227" si="59">C220+D220</f>
        <v>1875</v>
      </c>
      <c r="F220" s="234">
        <v>3647</v>
      </c>
      <c r="G220" s="235">
        <f t="shared" si="57"/>
        <v>5522</v>
      </c>
      <c r="H220" s="172">
        <f t="shared" si="58"/>
        <v>0.27661173170365178</v>
      </c>
      <c r="I220" s="336"/>
      <c r="J220" s="168"/>
      <c r="K220" s="168"/>
    </row>
    <row r="221" spans="1:17">
      <c r="A221" s="163"/>
      <c r="B221" s="170" t="s">
        <v>72</v>
      </c>
      <c r="C221" s="750">
        <v>0</v>
      </c>
      <c r="D221" s="750"/>
      <c r="E221" s="235">
        <f t="shared" si="59"/>
        <v>0</v>
      </c>
      <c r="F221" s="234">
        <v>298</v>
      </c>
      <c r="G221" s="235">
        <f t="shared" si="57"/>
        <v>298</v>
      </c>
      <c r="H221" s="172">
        <f t="shared" si="58"/>
        <v>1.4927616089766067E-2</v>
      </c>
      <c r="I221" s="336"/>
      <c r="J221" s="168"/>
      <c r="K221" s="168"/>
    </row>
    <row r="222" spans="1:17">
      <c r="A222" s="163"/>
      <c r="B222" s="202" t="s">
        <v>334</v>
      </c>
      <c r="C222" s="750">
        <v>0</v>
      </c>
      <c r="D222" s="750"/>
      <c r="E222" s="235">
        <f>C222+D222</f>
        <v>0</v>
      </c>
      <c r="F222" s="234">
        <v>0</v>
      </c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750">
        <v>0</v>
      </c>
      <c r="D223" s="750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750">
        <v>19</v>
      </c>
      <c r="D224" s="750"/>
      <c r="E224" s="235">
        <f t="shared" si="59"/>
        <v>19</v>
      </c>
      <c r="F224" s="234">
        <v>137</v>
      </c>
      <c r="G224" s="235">
        <f t="shared" si="57"/>
        <v>156</v>
      </c>
      <c r="H224" s="172">
        <f t="shared" si="58"/>
        <v>7.8144567449782102E-3</v>
      </c>
      <c r="I224" s="336"/>
      <c r="J224" s="168"/>
      <c r="K224" s="168"/>
    </row>
    <row r="225" spans="1:11">
      <c r="A225" s="163"/>
      <c r="B225" s="170" t="s">
        <v>236</v>
      </c>
      <c r="C225" s="750">
        <v>519</v>
      </c>
      <c r="D225" s="750"/>
      <c r="E225" s="235">
        <f t="shared" si="59"/>
        <v>519</v>
      </c>
      <c r="F225" s="234">
        <v>661</v>
      </c>
      <c r="G225" s="235">
        <f t="shared" si="57"/>
        <v>1180</v>
      </c>
      <c r="H225" s="172">
        <f t="shared" si="58"/>
        <v>5.9109352301758254E-2</v>
      </c>
      <c r="I225" s="336"/>
      <c r="J225" s="168"/>
      <c r="K225" s="168"/>
    </row>
    <row r="226" spans="1:11">
      <c r="A226" s="163"/>
      <c r="B226" s="170" t="s">
        <v>235</v>
      </c>
      <c r="C226" s="750">
        <v>0</v>
      </c>
      <c r="D226" s="750"/>
      <c r="E226" s="235">
        <f>C226+D226</f>
        <v>0</v>
      </c>
      <c r="F226" s="234">
        <v>103</v>
      </c>
      <c r="G226" s="235">
        <f>E226+F226</f>
        <v>103</v>
      </c>
      <c r="H226" s="172">
        <f t="shared" si="58"/>
        <v>5.159545158543305E-3</v>
      </c>
      <c r="I226" s="336"/>
      <c r="J226" s="168"/>
      <c r="K226" s="168"/>
    </row>
    <row r="227" spans="1:11">
      <c r="A227" s="163"/>
      <c r="B227" s="170" t="s">
        <v>179</v>
      </c>
      <c r="C227" s="750">
        <v>0</v>
      </c>
      <c r="D227" s="750"/>
      <c r="E227" s="235">
        <f t="shared" si="59"/>
        <v>0</v>
      </c>
      <c r="F227" s="234">
        <v>198</v>
      </c>
      <c r="G227" s="235">
        <f t="shared" si="57"/>
        <v>198</v>
      </c>
      <c r="H227" s="172">
        <f t="shared" si="58"/>
        <v>9.9183489455492661E-3</v>
      </c>
      <c r="I227" s="336"/>
      <c r="J227" s="168"/>
      <c r="K227" s="168"/>
    </row>
    <row r="228" spans="1:11" ht="16" thickBot="1">
      <c r="A228" s="163"/>
      <c r="B228" s="236" t="s">
        <v>75</v>
      </c>
      <c r="C228" s="750">
        <v>5981</v>
      </c>
      <c r="D228" s="750">
        <v>0</v>
      </c>
      <c r="E228" s="237">
        <f>SUM(E219:E227)</f>
        <v>5981</v>
      </c>
      <c r="F228" s="237">
        <f>SUM(F219:F227)</f>
        <v>13982</v>
      </c>
      <c r="G228" s="237">
        <f>SUM(G219:G227)</f>
        <v>19963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743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737"/>
      <c r="E230" s="232"/>
      <c r="F230" s="506"/>
      <c r="G230" s="232"/>
      <c r="H230" s="167"/>
      <c r="J230" s="168"/>
      <c r="K230" s="168"/>
    </row>
    <row r="231" spans="1:11">
      <c r="A231" s="163"/>
      <c r="B231" s="202" t="s">
        <v>219</v>
      </c>
      <c r="C231" s="746">
        <v>61</v>
      </c>
      <c r="D231" s="747"/>
      <c r="E231" s="235">
        <f>C231+D231</f>
        <v>61</v>
      </c>
      <c r="F231" s="235"/>
      <c r="G231" s="235">
        <f>E231+F231</f>
        <v>61</v>
      </c>
      <c r="H231" s="167"/>
      <c r="J231" s="168"/>
      <c r="K231" s="168"/>
    </row>
    <row r="232" spans="1:11">
      <c r="A232" s="163"/>
      <c r="B232" s="202" t="s">
        <v>290</v>
      </c>
      <c r="C232" s="746">
        <v>61</v>
      </c>
      <c r="D232" s="747"/>
      <c r="E232" s="235">
        <f>C232+D232</f>
        <v>61</v>
      </c>
      <c r="F232" s="507"/>
      <c r="G232" s="235">
        <f>E232+F232</f>
        <v>61</v>
      </c>
      <c r="H232" s="167"/>
      <c r="J232" s="168"/>
      <c r="K232" s="168"/>
    </row>
    <row r="233" spans="1:11">
      <c r="A233" s="163"/>
      <c r="B233" s="202" t="s">
        <v>76</v>
      </c>
      <c r="C233" s="746">
        <v>123</v>
      </c>
      <c r="D233" s="748"/>
      <c r="E233" s="235">
        <f>C233+D233</f>
        <v>123</v>
      </c>
      <c r="F233" s="239">
        <v>243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738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746">
        <v>7503</v>
      </c>
      <c r="D235" s="748"/>
      <c r="E235" s="234">
        <f>E231*E233</f>
        <v>7503</v>
      </c>
      <c r="F235" s="239"/>
      <c r="G235" s="234">
        <f>G231*G233</f>
        <v>22326</v>
      </c>
      <c r="H235" s="167"/>
      <c r="J235" s="168"/>
      <c r="K235" s="168"/>
    </row>
    <row r="236" spans="1:11" ht="26.5">
      <c r="A236" s="163"/>
      <c r="B236" s="243" t="s">
        <v>336</v>
      </c>
      <c r="C236" s="749">
        <v>0.79714780754364922</v>
      </c>
      <c r="D236" s="738"/>
      <c r="E236" s="244">
        <f>E228/E235</f>
        <v>0.79714780754364922</v>
      </c>
      <c r="F236" s="245"/>
      <c r="G236" s="244">
        <f>G228/G235</f>
        <v>0.89415927618023827</v>
      </c>
      <c r="H236" s="167"/>
      <c r="J236" s="168"/>
      <c r="K236" s="168"/>
    </row>
    <row r="237" spans="1:11" ht="26.5">
      <c r="A237" s="163"/>
      <c r="B237" s="243" t="s">
        <v>337</v>
      </c>
      <c r="C237" s="749">
        <v>0.72544315607090493</v>
      </c>
      <c r="D237" s="738"/>
      <c r="E237" s="244">
        <f>(E219+E220)/E235</f>
        <v>0.72544315607090493</v>
      </c>
      <c r="F237" s="245"/>
      <c r="G237" s="244">
        <f>(G219+G220)/G235</f>
        <v>0.80748902624742458</v>
      </c>
      <c r="H237" s="167"/>
      <c r="J237" s="168"/>
      <c r="K237" s="168"/>
    </row>
    <row r="238" spans="1:11" ht="26.5">
      <c r="A238" s="163"/>
      <c r="B238" s="243" t="s">
        <v>338</v>
      </c>
      <c r="C238" s="749">
        <v>0.91004848687510442</v>
      </c>
      <c r="D238" s="738"/>
      <c r="E238" s="244">
        <f>(E237/E236)</f>
        <v>0.91004848687510442</v>
      </c>
      <c r="F238" s="245"/>
      <c r="G238" s="244">
        <f>(G237/G236)</f>
        <v>0.903070680759405</v>
      </c>
      <c r="H238" s="167"/>
      <c r="J238" s="168"/>
      <c r="K238" s="168"/>
    </row>
    <row r="239" spans="1:11">
      <c r="C239" s="731"/>
      <c r="D239" s="731"/>
    </row>
    <row r="241" spans="2:7">
      <c r="B241" s="148" t="s">
        <v>339</v>
      </c>
      <c r="F241" s="142" t="s">
        <v>340</v>
      </c>
      <c r="G241" s="480"/>
    </row>
    <row r="242" spans="2:7">
      <c r="F242" s="142" t="s">
        <v>341</v>
      </c>
      <c r="G242" s="480"/>
    </row>
    <row r="243" spans="2:7">
      <c r="F243" s="142" t="s">
        <v>342</v>
      </c>
      <c r="G243" s="558">
        <v>92.5</v>
      </c>
    </row>
    <row r="244" spans="2:7">
      <c r="F244" s="142" t="s">
        <v>343</v>
      </c>
      <c r="G244" s="558">
        <v>200.35164835164835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4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13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455</v>
      </c>
      <c r="D2" s="144"/>
      <c r="E2" s="436" t="s">
        <v>456</v>
      </c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'[38]Sch B'!E10</f>
        <v>806886.85</v>
      </c>
      <c r="D11" s="558">
        <f>'[38]Sch B'!G10</f>
        <v>0</v>
      </c>
      <c r="E11" s="171">
        <f>C11+D11</f>
        <v>806886.85</v>
      </c>
      <c r="F11" s="171"/>
      <c r="G11" s="171">
        <f t="shared" ref="G11:G20" si="0">E11+F11</f>
        <v>806886.85</v>
      </c>
      <c r="H11" s="172">
        <f t="shared" ref="H11:H21" si="1">IF($G$21=0,0,G11/$G$21)</f>
        <v>0.36150145663626621</v>
      </c>
      <c r="I11" s="336"/>
      <c r="J11" s="368" t="s">
        <v>344</v>
      </c>
      <c r="K11" s="369">
        <f>G21</f>
        <v>2232043.15</v>
      </c>
      <c r="M11" s="359">
        <f>IFERROR(G11/G219,0)</f>
        <v>228.12746677975684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'[38]Sch B'!E15</f>
        <v>0</v>
      </c>
      <c r="D12" s="558">
        <f>'[38]Sch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2291292.3000000007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'[38]Sch B'!E21</f>
        <v>591610.79</v>
      </c>
      <c r="D13" s="558">
        <f>'[38]Sch B'!G21</f>
        <v>0</v>
      </c>
      <c r="E13" s="171">
        <f t="shared" si="2"/>
        <v>591610.79</v>
      </c>
      <c r="F13" s="171"/>
      <c r="G13" s="171">
        <f t="shared" si="0"/>
        <v>591610.79</v>
      </c>
      <c r="H13" s="172">
        <f t="shared" si="1"/>
        <v>0.26505347354059894</v>
      </c>
      <c r="I13" s="336"/>
      <c r="J13" s="370" t="s">
        <v>346</v>
      </c>
      <c r="K13" s="371">
        <f>G228</f>
        <v>9143</v>
      </c>
      <c r="M13" s="359">
        <f t="shared" si="3"/>
        <v>475.95397425583269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'[38]Sch B'!E27</f>
        <v>217690.28999999998</v>
      </c>
      <c r="D14" s="558">
        <f>'[38]Sch B'!G27</f>
        <v>0</v>
      </c>
      <c r="E14" s="171">
        <f t="shared" si="2"/>
        <v>217690.28999999998</v>
      </c>
      <c r="F14" s="175"/>
      <c r="G14" s="175">
        <f>E14+F14</f>
        <v>217690.28999999998</v>
      </c>
      <c r="H14" s="176">
        <f t="shared" si="1"/>
        <v>9.7529606450484613E-2</v>
      </c>
      <c r="I14" s="337"/>
      <c r="J14" s="370" t="s">
        <v>347</v>
      </c>
      <c r="K14" s="371">
        <f>G231</f>
        <v>38</v>
      </c>
      <c r="M14" s="359">
        <f t="shared" si="3"/>
        <v>273.48026381909546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'[38]Sch B'!E32</f>
        <v>0</v>
      </c>
      <c r="D15" s="558">
        <f>'[38]Sch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13908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'[38]Sch B'!E37</f>
        <v>494278.38</v>
      </c>
      <c r="D16" s="558">
        <f>'[38]Sch B'!G37</f>
        <v>0</v>
      </c>
      <c r="E16" s="171">
        <f t="shared" si="2"/>
        <v>494278.38</v>
      </c>
      <c r="F16" s="171"/>
      <c r="G16" s="171">
        <f t="shared" si="0"/>
        <v>494278.38</v>
      </c>
      <c r="H16" s="172">
        <f t="shared" si="1"/>
        <v>0.22144660599415383</v>
      </c>
      <c r="I16" s="336"/>
      <c r="J16" s="372"/>
      <c r="K16" s="371"/>
      <c r="M16" s="359">
        <f t="shared" si="3"/>
        <v>172.04259658893145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'[38]Sch B'!E42</f>
        <v>112326.83</v>
      </c>
      <c r="D17" s="558">
        <f>'[38]Sch B'!G42</f>
        <v>0</v>
      </c>
      <c r="E17" s="171">
        <f t="shared" si="2"/>
        <v>112326.83</v>
      </c>
      <c r="F17" s="171"/>
      <c r="G17" s="171">
        <f>E17+F17</f>
        <v>112326.83</v>
      </c>
      <c r="H17" s="172">
        <f t="shared" si="1"/>
        <v>5.0324667782520247E-2</v>
      </c>
      <c r="I17" s="336"/>
      <c r="J17" s="370" t="s">
        <v>156</v>
      </c>
      <c r="K17" s="371">
        <f>J208</f>
        <v>67352.010000000009</v>
      </c>
      <c r="M17" s="359">
        <f t="shared" si="3"/>
        <v>161.85422190201729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'[38]Sch B'!E47</f>
        <v>0</v>
      </c>
      <c r="D18" s="558">
        <f>'[38]Sch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71131.159999999989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'[38]Sch B'!E52</f>
        <v>0</v>
      </c>
      <c r="D19" s="558">
        <f>'[38]Sch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'[38]Sch B'!E67</f>
        <v>10277.219999999999</v>
      </c>
      <c r="D20" s="558">
        <f>'[38]Sch B'!G67</f>
        <v>-1027.21</v>
      </c>
      <c r="E20" s="171">
        <f t="shared" si="2"/>
        <v>9250.0099999999984</v>
      </c>
      <c r="F20" s="171"/>
      <c r="G20" s="171">
        <f t="shared" si="0"/>
        <v>9250.0099999999984</v>
      </c>
      <c r="H20" s="172">
        <f t="shared" si="1"/>
        <v>4.1441895959762245E-3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2233070.3600000003</v>
      </c>
      <c r="D21" s="558">
        <f>SUM(D11:D20)</f>
        <v>-1027.21</v>
      </c>
      <c r="E21" s="171">
        <f>SUM(E11:E20)</f>
        <v>2232043.15</v>
      </c>
      <c r="F21" s="171">
        <f>SUM(F11:F20)</f>
        <v>0</v>
      </c>
      <c r="G21" s="171">
        <f>SUM(G11:G20)</f>
        <v>2232043.15</v>
      </c>
      <c r="H21" s="172">
        <f t="shared" si="1"/>
        <v>1</v>
      </c>
      <c r="I21" s="336"/>
      <c r="J21" s="168"/>
      <c r="K21" s="168"/>
      <c r="M21" s="359">
        <f>IFERROR(G21/G228,0)</f>
        <v>244.12590506398337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'[38]Sch C'!D10</f>
        <v>73249.84</v>
      </c>
      <c r="D25" s="558">
        <f>'[38]Sch C'!F10</f>
        <v>0</v>
      </c>
      <c r="E25" s="171">
        <f t="shared" ref="E25:E60" si="4">C25+D25</f>
        <v>73249.84</v>
      </c>
      <c r="F25" s="171"/>
      <c r="G25" s="182">
        <f>E25+F25</f>
        <v>73249.84</v>
      </c>
      <c r="H25" s="172">
        <f>IF($G$208=0,0,G25/$G$208)</f>
        <v>3.1968788966820157E-2</v>
      </c>
      <c r="I25" s="336"/>
      <c r="J25" s="183">
        <v>1929.03</v>
      </c>
      <c r="K25" s="183">
        <v>2105.0299999999997</v>
      </c>
      <c r="M25" s="359">
        <f>G25/G$228</f>
        <v>8.0115760691239188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'[38]Sch C'!D11</f>
        <v>0</v>
      </c>
      <c r="D26" s="558">
        <f>'[38]Sch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'[38]Sch C'!D12</f>
        <v>38458.800000000003</v>
      </c>
      <c r="D27" s="558">
        <f>'[38]Sch C'!F12</f>
        <v>0</v>
      </c>
      <c r="E27" s="171">
        <f t="shared" si="4"/>
        <v>38458.800000000003</v>
      </c>
      <c r="F27" s="171"/>
      <c r="G27" s="171">
        <f t="shared" si="5"/>
        <v>38458.800000000003</v>
      </c>
      <c r="H27" s="172">
        <f t="shared" si="6"/>
        <v>1.6784763777192457E-2</v>
      </c>
      <c r="I27" s="336"/>
      <c r="J27" s="185">
        <v>2057</v>
      </c>
      <c r="K27" s="185">
        <v>2189</v>
      </c>
      <c r="M27" s="359">
        <f t="shared" si="7"/>
        <v>4.2063655255386641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'[38]Sch C'!D13</f>
        <v>227523.37</v>
      </c>
      <c r="D28" s="558">
        <f>'[38]Sch C'!F13</f>
        <v>-201249.37</v>
      </c>
      <c r="E28" s="171">
        <f t="shared" si="4"/>
        <v>26274</v>
      </c>
      <c r="F28" s="171"/>
      <c r="G28" s="171">
        <f t="shared" si="5"/>
        <v>26274</v>
      </c>
      <c r="H28" s="172">
        <f t="shared" si="6"/>
        <v>1.1466891413199438E-2</v>
      </c>
      <c r="I28" s="336"/>
      <c r="J28" s="168"/>
      <c r="K28" s="168"/>
      <c r="M28" s="359">
        <f t="shared" si="7"/>
        <v>2.8736738488461118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'[38]Sch C'!D14</f>
        <v>0</v>
      </c>
      <c r="D29" s="558">
        <f>'[38]Sch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'[38]Sch C'!D15</f>
        <v>0</v>
      </c>
      <c r="D30" s="558">
        <f>'[38]Sch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'[38]Sch C'!D16</f>
        <v>0</v>
      </c>
      <c r="D31" s="558">
        <f>'[38]Sch C'!F16</f>
        <v>160675.64000000001</v>
      </c>
      <c r="E31" s="171">
        <f t="shared" si="4"/>
        <v>160675.64000000001</v>
      </c>
      <c r="F31" s="171"/>
      <c r="G31" s="171">
        <f t="shared" si="5"/>
        <v>160675.64000000001</v>
      </c>
      <c r="H31" s="172">
        <f t="shared" si="6"/>
        <v>7.0124462077579525E-2</v>
      </c>
      <c r="I31" s="336"/>
      <c r="J31" s="168"/>
      <c r="K31" s="168"/>
      <c r="M31" s="359">
        <f t="shared" si="7"/>
        <v>17.573623537132235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'[38]Sch C'!D17</f>
        <v>0</v>
      </c>
      <c r="D32" s="558">
        <f>'[38]Sch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'[38]Sch C'!D18</f>
        <v>15676.71</v>
      </c>
      <c r="D33" s="558">
        <f>'[38]Sch C'!F18</f>
        <v>0</v>
      </c>
      <c r="E33" s="171">
        <f t="shared" si="4"/>
        <v>15676.71</v>
      </c>
      <c r="F33" s="171"/>
      <c r="G33" s="171">
        <f t="shared" si="5"/>
        <v>15676.71</v>
      </c>
      <c r="H33" s="172">
        <f t="shared" si="6"/>
        <v>6.8418638686997702E-3</v>
      </c>
      <c r="I33" s="336"/>
      <c r="J33" s="168"/>
      <c r="K33" s="168"/>
      <c r="M33" s="359">
        <f t="shared" si="7"/>
        <v>1.7146133654161653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'[38]Sch C'!D19</f>
        <v>7486.56</v>
      </c>
      <c r="D34" s="558">
        <f>'[38]Sch C'!F19</f>
        <v>0</v>
      </c>
      <c r="E34" s="171">
        <f t="shared" si="4"/>
        <v>7486.56</v>
      </c>
      <c r="F34" s="171"/>
      <c r="G34" s="171">
        <f t="shared" si="5"/>
        <v>7486.56</v>
      </c>
      <c r="H34" s="172">
        <f t="shared" si="6"/>
        <v>3.2673963073153074E-3</v>
      </c>
      <c r="I34" s="336"/>
      <c r="J34" s="168"/>
      <c r="K34" s="168"/>
      <c r="M34" s="359">
        <f t="shared" si="7"/>
        <v>0.81882970578584713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'[38]Sch C'!D20</f>
        <v>3486.5099999999998</v>
      </c>
      <c r="D35" s="558">
        <f>'[38]Sch C'!F20</f>
        <v>-399.21</v>
      </c>
      <c r="E35" s="171">
        <f t="shared" si="4"/>
        <v>3087.2999999999997</v>
      </c>
      <c r="F35" s="171"/>
      <c r="G35" s="171">
        <f t="shared" si="5"/>
        <v>3087.2999999999997</v>
      </c>
      <c r="H35" s="172">
        <f t="shared" si="6"/>
        <v>1.3474055667188332E-3</v>
      </c>
      <c r="I35" s="336"/>
      <c r="J35" s="168"/>
      <c r="K35" s="168"/>
      <c r="M35" s="359">
        <f t="shared" si="7"/>
        <v>0.33766816143497758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'[38]Sch C'!D21</f>
        <v>16530.5</v>
      </c>
      <c r="D36" s="558">
        <f>'[38]Sch C'!F21</f>
        <v>0</v>
      </c>
      <c r="E36" s="171">
        <f t="shared" si="4"/>
        <v>16530.5</v>
      </c>
      <c r="F36" s="171"/>
      <c r="G36" s="171">
        <f t="shared" si="5"/>
        <v>16530.5</v>
      </c>
      <c r="H36" s="172">
        <f t="shared" si="6"/>
        <v>7.214487649611529E-3</v>
      </c>
      <c r="I36" s="336"/>
      <c r="J36" s="168"/>
      <c r="K36" s="168"/>
      <c r="M36" s="359">
        <f t="shared" si="7"/>
        <v>1.8079951875751941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'[38]Sch C'!D22</f>
        <v>0</v>
      </c>
      <c r="D37" s="558">
        <f>'[38]Sch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'[38]Sch C'!D23</f>
        <v>9262.17</v>
      </c>
      <c r="D38" s="558">
        <f>'[38]Sch C'!F23</f>
        <v>0</v>
      </c>
      <c r="E38" s="171">
        <f t="shared" si="4"/>
        <v>9262.17</v>
      </c>
      <c r="F38" s="171"/>
      <c r="G38" s="171">
        <f t="shared" si="5"/>
        <v>9262.17</v>
      </c>
      <c r="H38" s="172">
        <f t="shared" si="6"/>
        <v>4.0423345375882411E-3</v>
      </c>
      <c r="I38" s="336"/>
      <c r="J38" s="168"/>
      <c r="K38" s="168"/>
      <c r="M38" s="359">
        <f t="shared" si="7"/>
        <v>1.0130340150935142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'[38]Sch C'!D24</f>
        <v>0</v>
      </c>
      <c r="D39" s="558">
        <f>'[38]Sch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'[38]Sch C'!D25</f>
        <v>0</v>
      </c>
      <c r="D40" s="558">
        <f>'[38]Sch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'[38]Sch C'!D26</f>
        <v>130639.92</v>
      </c>
      <c r="D41" s="558">
        <f>'[38]Sch C'!F26</f>
        <v>0</v>
      </c>
      <c r="E41" s="171">
        <f t="shared" si="4"/>
        <v>130639.92</v>
      </c>
      <c r="F41" s="171"/>
      <c r="G41" s="171">
        <f t="shared" si="5"/>
        <v>130639.92</v>
      </c>
      <c r="H41" s="172">
        <f t="shared" si="6"/>
        <v>5.7015824650569445E-2</v>
      </c>
      <c r="I41" s="336"/>
      <c r="J41" s="168"/>
      <c r="K41" s="168"/>
      <c r="M41" s="359">
        <f t="shared" si="7"/>
        <v>14.288517991906376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'[38]Sch C'!D27</f>
        <v>0</v>
      </c>
      <c r="D42" s="558">
        <f>'[38]Sch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'[38]Sch C'!D28</f>
        <v>0</v>
      </c>
      <c r="D43" s="558">
        <f>'[38]Sch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'[38]Sch C'!D29</f>
        <v>67226.13</v>
      </c>
      <c r="D44" s="558">
        <f>'[38]Sch C'!F29</f>
        <v>-67226.13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'[38]Sch C'!D30</f>
        <v>0</v>
      </c>
      <c r="D45" s="558">
        <f>'[38]Sch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'[38]Sch C'!D31</f>
        <v>0</v>
      </c>
      <c r="D46" s="558">
        <f>'[38]Sch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'[38]Sch C'!D32</f>
        <v>15439.84</v>
      </c>
      <c r="D47" s="558">
        <f>'[38]Sch C'!F32</f>
        <v>0</v>
      </c>
      <c r="E47" s="171">
        <f t="shared" si="4"/>
        <v>15439.84</v>
      </c>
      <c r="F47" s="171"/>
      <c r="G47" s="171">
        <f t="shared" si="5"/>
        <v>15439.84</v>
      </c>
      <c r="H47" s="172">
        <f t="shared" si="6"/>
        <v>6.7384855262682961E-3</v>
      </c>
      <c r="I47" s="336"/>
      <c r="J47" s="168"/>
      <c r="K47" s="168"/>
      <c r="M47" s="359">
        <f t="shared" si="7"/>
        <v>1.6887061139669692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'[38]Sch C'!D33</f>
        <v>0</v>
      </c>
      <c r="D48" s="558">
        <f>'[38]Sch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'[38]Sch C'!D34</f>
        <v>0</v>
      </c>
      <c r="D49" s="558">
        <f>'[38]Sch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'[38]Sch C'!D35</f>
        <v>0</v>
      </c>
      <c r="D50" s="558">
        <f>'[38]Sch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'[38]Sch C'!D36</f>
        <v>0</v>
      </c>
      <c r="D51" s="558">
        <f>'[38]Sch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'[38]Sch C'!D37</f>
        <v>0</v>
      </c>
      <c r="D52" s="558">
        <f>'[38]Sch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'[38]Sch C'!D38</f>
        <v>0</v>
      </c>
      <c r="D53" s="558">
        <f>'[38]Sch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'[38]Sch C'!D39</f>
        <v>1648.09</v>
      </c>
      <c r="D54" s="558">
        <f>'[38]Sch C'!F39</f>
        <v>0</v>
      </c>
      <c r="E54" s="171">
        <f t="shared" si="4"/>
        <v>1648.09</v>
      </c>
      <c r="F54" s="171"/>
      <c r="G54" s="171">
        <f t="shared" si="5"/>
        <v>1648.09</v>
      </c>
      <c r="H54" s="172">
        <f t="shared" si="6"/>
        <v>7.1928404769657688E-4</v>
      </c>
      <c r="I54" s="336"/>
      <c r="J54" s="168"/>
      <c r="K54" s="168"/>
      <c r="M54" s="359">
        <f t="shared" si="7"/>
        <v>0.18025702723394946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'[38]Sch C'!D40</f>
        <v>8669.93</v>
      </c>
      <c r="D55" s="558">
        <f>'[38]Sch C'!F40</f>
        <v>-8670</v>
      </c>
      <c r="E55" s="171">
        <f t="shared" si="4"/>
        <v>-6.9999999999708962E-2</v>
      </c>
      <c r="F55" s="171"/>
      <c r="G55" s="171">
        <f t="shared" si="5"/>
        <v>-6.9999999999708962E-2</v>
      </c>
      <c r="H55" s="172">
        <f t="shared" si="6"/>
        <v>-3.0550445266066203E-8</v>
      </c>
      <c r="I55" s="336"/>
      <c r="J55" s="168"/>
      <c r="K55" s="168"/>
      <c r="M55" s="359">
        <f t="shared" si="7"/>
        <v>-7.6561303729310899E-6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'[38]Sch C'!D41</f>
        <v>0</v>
      </c>
      <c r="D56" s="558">
        <f>'[38]Sch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'[38]Sch C'!D42</f>
        <v>3252.5</v>
      </c>
      <c r="D57" s="558">
        <f>'[38]Sch C'!F42</f>
        <v>0</v>
      </c>
      <c r="E57" s="171">
        <f t="shared" si="4"/>
        <v>3252.5</v>
      </c>
      <c r="F57" s="171"/>
      <c r="G57" s="171">
        <f t="shared" si="5"/>
        <v>3252.5</v>
      </c>
      <c r="H57" s="172">
        <f t="shared" si="6"/>
        <v>1.4195046175470493E-3</v>
      </c>
      <c r="I57" s="336"/>
      <c r="J57" s="168"/>
      <c r="K57" s="168"/>
      <c r="M57" s="359">
        <f t="shared" si="7"/>
        <v>0.35573662911517007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'[38]Sch C'!D43</f>
        <v>7422.2</v>
      </c>
      <c r="D58" s="558">
        <f>'[38]Sch C'!F43</f>
        <v>0</v>
      </c>
      <c r="E58" s="171">
        <f t="shared" si="4"/>
        <v>7422.2</v>
      </c>
      <c r="F58" s="171"/>
      <c r="G58" s="171">
        <f t="shared" si="5"/>
        <v>7422.2</v>
      </c>
      <c r="H58" s="172">
        <f t="shared" si="6"/>
        <v>3.2393073550677047E-3</v>
      </c>
      <c r="I58" s="336"/>
      <c r="J58" s="168"/>
      <c r="K58" s="168"/>
      <c r="M58" s="359">
        <f t="shared" si="7"/>
        <v>0.81179044077436291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'[38]Sch C'!D44</f>
        <v>0</v>
      </c>
      <c r="D59" s="558">
        <f>'[38]Sch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'[38]Sch C'!D45</f>
        <v>36312.71</v>
      </c>
      <c r="D60" s="558">
        <f>'[38]Sch C'!F45</f>
        <v>0</v>
      </c>
      <c r="E60" s="171">
        <f t="shared" si="4"/>
        <v>36312.71</v>
      </c>
      <c r="F60" s="171"/>
      <c r="G60" s="171">
        <f t="shared" si="5"/>
        <v>36312.71</v>
      </c>
      <c r="H60" s="172">
        <f t="shared" si="6"/>
        <v>1.5848135133173531E-2</v>
      </c>
      <c r="I60" s="336"/>
      <c r="J60" s="168"/>
      <c r="K60" s="168"/>
      <c r="M60" s="359">
        <f t="shared" si="7"/>
        <v>3.9716405993656347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662285.77999999991</v>
      </c>
      <c r="D61" s="558">
        <f>SUM(D25:D60)</f>
        <v>-116869.06999999998</v>
      </c>
      <c r="E61" s="171">
        <f t="shared" ref="E61:F61" si="8">SUM(E25:E60)</f>
        <v>545416.71000000008</v>
      </c>
      <c r="F61" s="171">
        <f t="shared" si="8"/>
        <v>0</v>
      </c>
      <c r="G61" s="171">
        <f>SUM(G25:G60)</f>
        <v>545416.71000000008</v>
      </c>
      <c r="H61" s="186">
        <f t="shared" si="6"/>
        <v>0.23803890494460261</v>
      </c>
      <c r="I61" s="338"/>
      <c r="J61" s="168"/>
      <c r="K61" s="168"/>
      <c r="M61" s="364">
        <f>G61/G$228</f>
        <v>59.654020562178722</v>
      </c>
      <c r="N61" s="359">
        <f>SUMMARY!J64</f>
        <v>53.728790309602623</v>
      </c>
      <c r="O61" s="354">
        <f>M61/N61-1</f>
        <v>0.11028035841553496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'[38]Sch C'!D57</f>
        <v>90316.65</v>
      </c>
      <c r="D64" s="558">
        <f>'[38]Sch C'!F57</f>
        <v>-90317</v>
      </c>
      <c r="E64" s="171">
        <f t="shared" ref="E64:E78" si="9">C64+D64</f>
        <v>-0.35000000000582077</v>
      </c>
      <c r="F64" s="171"/>
      <c r="G64" s="171">
        <f t="shared" ref="G64:G78" si="10">E64+F64</f>
        <v>-0.35000000000582077</v>
      </c>
      <c r="H64" s="172">
        <f t="shared" ref="H64:H79" si="11">IF($G$208=0,0,G64/$G$208)</f>
        <v>-1.5275222633350648E-7</v>
      </c>
      <c r="I64" s="336"/>
      <c r="J64" s="190"/>
      <c r="K64" s="168"/>
      <c r="M64" s="359">
        <f t="shared" ref="M64:M79" si="12">G64/G$228</f>
        <v>-3.8280651865451245E-5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'[38]Sch C'!D58</f>
        <v>0</v>
      </c>
      <c r="D65" s="558">
        <f>'[38]Sch C'!F58</f>
        <v>99108</v>
      </c>
      <c r="E65" s="171">
        <f t="shared" si="9"/>
        <v>99108</v>
      </c>
      <c r="F65" s="171"/>
      <c r="G65" s="171">
        <f t="shared" si="10"/>
        <v>99108</v>
      </c>
      <c r="H65" s="172">
        <f t="shared" si="11"/>
        <v>4.3254193277741111E-2</v>
      </c>
      <c r="I65" s="336"/>
      <c r="J65" s="190"/>
      <c r="K65" s="168"/>
      <c r="M65" s="359">
        <f t="shared" si="12"/>
        <v>10.839768128622991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'[38]Sch C'!D59</f>
        <v>0</v>
      </c>
      <c r="D66" s="558">
        <f>'[38]Sch C'!F59</f>
        <v>33220</v>
      </c>
      <c r="E66" s="171">
        <f t="shared" si="9"/>
        <v>33220</v>
      </c>
      <c r="F66" s="171"/>
      <c r="G66" s="171">
        <f t="shared" si="10"/>
        <v>33220</v>
      </c>
      <c r="H66" s="172">
        <f t="shared" si="11"/>
        <v>1.4498368453470554E-2</v>
      </c>
      <c r="I66" s="336"/>
      <c r="J66" s="190"/>
      <c r="K66" s="168"/>
      <c r="M66" s="359">
        <f t="shared" si="12"/>
        <v>3.6333807284261184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'[38]Sch C'!D60</f>
        <v>0</v>
      </c>
      <c r="D67" s="558">
        <f>'[38]Sch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'[38]Sch C'!D61</f>
        <v>5800.09</v>
      </c>
      <c r="D68" s="558">
        <f>'[38]Sch C'!F61</f>
        <v>0</v>
      </c>
      <c r="E68" s="171">
        <f t="shared" si="9"/>
        <v>5800.09</v>
      </c>
      <c r="F68" s="171"/>
      <c r="G68" s="171">
        <f t="shared" si="10"/>
        <v>5800.09</v>
      </c>
      <c r="H68" s="172">
        <f t="shared" si="11"/>
        <v>2.5313618869142094E-3</v>
      </c>
      <c r="I68" s="336"/>
      <c r="J68" s="193"/>
      <c r="K68" s="168"/>
      <c r="M68" s="359">
        <f t="shared" si="12"/>
        <v>0.63437493164169312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'[38]Sch C'!D62</f>
        <v>0</v>
      </c>
      <c r="D69" s="558">
        <f>'[38]Sch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'[38]Sch C'!D63</f>
        <v>0</v>
      </c>
      <c r="D70" s="558">
        <f>'[38]Sch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'[38]Sch C'!D64</f>
        <v>0</v>
      </c>
      <c r="D71" s="558">
        <f>'[38]Sch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'[38]Sch C'!D65</f>
        <v>3898.42</v>
      </c>
      <c r="D72" s="558">
        <f>'[38]Sch C'!F65</f>
        <v>0</v>
      </c>
      <c r="E72" s="171">
        <f t="shared" si="9"/>
        <v>3898.42</v>
      </c>
      <c r="F72" s="171"/>
      <c r="G72" s="171">
        <f t="shared" si="10"/>
        <v>3898.42</v>
      </c>
      <c r="H72" s="172">
        <f t="shared" si="11"/>
        <v>1.7014066690661854E-3</v>
      </c>
      <c r="I72" s="336"/>
      <c r="J72" s="195"/>
      <c r="K72" s="168"/>
      <c r="M72" s="359">
        <f t="shared" si="12"/>
        <v>0.42638302526523025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'[38]Sch C'!D66</f>
        <v>0</v>
      </c>
      <c r="D73" s="558">
        <f>'[38]Sch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'[38]Sch C'!D67</f>
        <v>327.13</v>
      </c>
      <c r="D74" s="558">
        <f>'[38]Sch C'!F67</f>
        <v>0</v>
      </c>
      <c r="E74" s="171">
        <f t="shared" si="9"/>
        <v>327.13</v>
      </c>
      <c r="F74" s="171"/>
      <c r="G74" s="171">
        <f t="shared" si="10"/>
        <v>327.13</v>
      </c>
      <c r="H74" s="172">
        <f t="shared" si="11"/>
        <v>1.4277095942756842E-4</v>
      </c>
      <c r="I74" s="336"/>
      <c r="J74" s="195"/>
      <c r="K74" s="168"/>
      <c r="M74" s="359">
        <f t="shared" si="12"/>
        <v>3.5779284698676583E-2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'[38]Sch C'!D68</f>
        <v>0</v>
      </c>
      <c r="D75" s="558">
        <f>'[38]Sch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'[38]Sch C'!D69</f>
        <v>0</v>
      </c>
      <c r="D76" s="558">
        <f>'[38]Sch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'[38]Sch C'!D70</f>
        <v>0</v>
      </c>
      <c r="D77" s="558">
        <f>'[38]Sch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'[38]Sch C'!D71</f>
        <v>0</v>
      </c>
      <c r="D78" s="558">
        <f>'[38]Sch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100342.29</v>
      </c>
      <c r="D79" s="558">
        <f>SUM(D64:D78)</f>
        <v>42011</v>
      </c>
      <c r="E79" s="171">
        <f t="shared" ref="E79:F79" si="13">SUM(E64:E78)</f>
        <v>142353.29</v>
      </c>
      <c r="F79" s="171">
        <f t="shared" si="13"/>
        <v>0</v>
      </c>
      <c r="G79" s="171">
        <f>SUM(G64:G78)</f>
        <v>142353.29</v>
      </c>
      <c r="H79" s="172">
        <f t="shared" si="11"/>
        <v>6.2127948494393299E-2</v>
      </c>
      <c r="I79" s="336"/>
      <c r="J79" s="195"/>
      <c r="K79" s="168"/>
      <c r="M79" s="359">
        <f t="shared" si="12"/>
        <v>15.569647818002844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'[38]Sch C'!D75</f>
        <v>33169.949999999997</v>
      </c>
      <c r="D82" s="558">
        <f>'[38]Sch C'!F75</f>
        <v>0</v>
      </c>
      <c r="E82" s="171">
        <f t="shared" ref="E82:E92" si="14">C82+D82</f>
        <v>33169.949999999997</v>
      </c>
      <c r="F82" s="171"/>
      <c r="G82" s="171">
        <f t="shared" ref="G82:G92" si="15">E82+F82</f>
        <v>33169.949999999997</v>
      </c>
      <c r="H82" s="172">
        <f t="shared" ref="H82:H93" si="16">IF($G$208=0,0,G82/$G$208)</f>
        <v>1.4476524885105225E-2</v>
      </c>
      <c r="I82" s="336"/>
      <c r="J82" s="183">
        <v>1710.1499999999999</v>
      </c>
      <c r="K82" s="183">
        <v>1870.1499999999999</v>
      </c>
      <c r="M82" s="359">
        <f t="shared" ref="M82:M92" si="17">G82/G$228</f>
        <v>3.6279065952094496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'[38]Sch C'!D76</f>
        <v>0</v>
      </c>
      <c r="D83" s="558">
        <f>'[38]Sch C'!F76</f>
        <v>7801.61</v>
      </c>
      <c r="E83" s="171">
        <f t="shared" si="14"/>
        <v>7801.61</v>
      </c>
      <c r="F83" s="171"/>
      <c r="G83" s="171">
        <f t="shared" si="15"/>
        <v>7801.61</v>
      </c>
      <c r="H83" s="172">
        <f t="shared" si="16"/>
        <v>3.4048951327597956E-3</v>
      </c>
      <c r="I83" s="336"/>
      <c r="J83" s="168"/>
      <c r="K83" s="168"/>
      <c r="M83" s="359">
        <f t="shared" si="17"/>
        <v>0.85328776112873228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'[38]Sch C'!D77</f>
        <v>15434.86</v>
      </c>
      <c r="D84" s="558">
        <f>'[38]Sch C'!F77</f>
        <v>0</v>
      </c>
      <c r="E84" s="171">
        <f t="shared" si="14"/>
        <v>15434.86</v>
      </c>
      <c r="F84" s="171"/>
      <c r="G84" s="171">
        <f t="shared" si="15"/>
        <v>15434.86</v>
      </c>
      <c r="H84" s="172">
        <f t="shared" si="16"/>
        <v>6.7363120803050729E-3</v>
      </c>
      <c r="I84" s="336"/>
      <c r="J84" s="168"/>
      <c r="K84" s="168"/>
      <c r="M84" s="359">
        <f t="shared" si="17"/>
        <v>1.6881614349775786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'[38]Sch C'!D78</f>
        <v>0</v>
      </c>
      <c r="D85" s="558">
        <f>'[38]Sch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'[38]Sch C'!D79</f>
        <v>867.74</v>
      </c>
      <c r="D86" s="558">
        <f>'[38]Sch C'!F79</f>
        <v>0</v>
      </c>
      <c r="E86" s="171">
        <f t="shared" si="14"/>
        <v>867.74</v>
      </c>
      <c r="F86" s="171"/>
      <c r="G86" s="171">
        <f>E86+F86</f>
        <v>867.74</v>
      </c>
      <c r="H86" s="172">
        <f t="shared" si="16"/>
        <v>3.7871204821837863E-4</v>
      </c>
      <c r="I86" s="336"/>
      <c r="J86" s="168"/>
      <c r="K86" s="168"/>
      <c r="M86" s="359">
        <f t="shared" si="17"/>
        <v>9.4907579569069228E-2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'[38]Sch C'!D80</f>
        <v>24216.83</v>
      </c>
      <c r="D87" s="558">
        <f>'[38]Sch C'!F80</f>
        <v>0</v>
      </c>
      <c r="E87" s="171">
        <f t="shared" si="14"/>
        <v>24216.83</v>
      </c>
      <c r="F87" s="171"/>
      <c r="G87" s="171">
        <f t="shared" si="15"/>
        <v>24216.83</v>
      </c>
      <c r="H87" s="172">
        <f t="shared" si="16"/>
        <v>1.0569070563367229E-2</v>
      </c>
      <c r="I87" s="336"/>
      <c r="J87" s="168"/>
      <c r="K87" s="168"/>
      <c r="M87" s="359">
        <f t="shared" si="17"/>
        <v>2.6486743957125674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'[38]Sch C'!D81</f>
        <v>0</v>
      </c>
      <c r="D88" s="558">
        <f>'[38]Sch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'[38]Sch C'!D82</f>
        <v>0</v>
      </c>
      <c r="D89" s="558">
        <f>'[38]Sch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'[38]Sch C'!D83</f>
        <v>0</v>
      </c>
      <c r="D90" s="558">
        <f>'[38]Sch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'[38]Sch C'!D84</f>
        <v>64637.909999999996</v>
      </c>
      <c r="D91" s="558">
        <f>'[38]Sch C'!F84</f>
        <v>0</v>
      </c>
      <c r="E91" s="171">
        <f t="shared" si="14"/>
        <v>64637.909999999996</v>
      </c>
      <c r="F91" s="171"/>
      <c r="G91" s="171">
        <f t="shared" si="15"/>
        <v>64637.909999999996</v>
      </c>
      <c r="H91" s="172">
        <f t="shared" si="16"/>
        <v>2.8210241879658905E-2</v>
      </c>
      <c r="I91" s="336"/>
      <c r="J91" s="168"/>
      <c r="K91" s="168"/>
      <c r="M91" s="359">
        <f t="shared" si="17"/>
        <v>7.0696609427977686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'[38]Sch C'!D85</f>
        <v>0</v>
      </c>
      <c r="D92" s="558">
        <f>'[38]Sch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138327.29</v>
      </c>
      <c r="D93" s="558">
        <f>SUM(D82:D92)</f>
        <v>7801.61</v>
      </c>
      <c r="E93" s="171">
        <f t="shared" ref="E93:F93" si="18">SUM(E82:E92)</f>
        <v>146128.9</v>
      </c>
      <c r="F93" s="171">
        <f t="shared" si="18"/>
        <v>0</v>
      </c>
      <c r="G93" s="171">
        <f>SUM(G82:G92)</f>
        <v>146128.9</v>
      </c>
      <c r="H93" s="172">
        <f t="shared" si="16"/>
        <v>6.3775756589414603E-2</v>
      </c>
      <c r="I93" s="336"/>
      <c r="J93" s="168"/>
      <c r="K93" s="168"/>
      <c r="M93" s="364">
        <f>G93/G$228</f>
        <v>15.982598709395164</v>
      </c>
      <c r="N93" s="359">
        <f>SUMMARY!J96</f>
        <v>11.458724454710746</v>
      </c>
      <c r="O93" s="354">
        <f>M93/N93-1</f>
        <v>0.3947973679413006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'[38]Sch C'!D89</f>
        <v>91451.99</v>
      </c>
      <c r="D96" s="558">
        <f>'[38]Sch C'!F89</f>
        <v>0</v>
      </c>
      <c r="E96" s="171">
        <f t="shared" ref="E96:E101" si="19">C96+D96</f>
        <v>91451.99</v>
      </c>
      <c r="F96" s="171"/>
      <c r="G96" s="171">
        <f t="shared" ref="G96:G101" si="20">E96+F96</f>
        <v>91451.99</v>
      </c>
      <c r="H96" s="172">
        <f t="shared" ref="H96:H102" si="21">IF($G$208=0,0,G96/$G$208)</f>
        <v>3.9912843071134997E-2</v>
      </c>
      <c r="I96" s="336"/>
      <c r="J96" s="183">
        <v>9779.25</v>
      </c>
      <c r="K96" s="183">
        <v>10322.25</v>
      </c>
      <c r="M96" s="364">
        <f t="shared" ref="M96:M101" si="22">G96/G$228</f>
        <v>10.002405118670021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'[38]Sch C'!D90</f>
        <v>0</v>
      </c>
      <c r="D97" s="558">
        <f>'[38]Sch C'!F90</f>
        <v>21509.61</v>
      </c>
      <c r="E97" s="171">
        <f t="shared" si="19"/>
        <v>21509.61</v>
      </c>
      <c r="F97" s="171"/>
      <c r="G97" s="171">
        <f t="shared" si="20"/>
        <v>21509.61</v>
      </c>
      <c r="H97" s="172">
        <f t="shared" si="21"/>
        <v>9.3875451857451768E-3</v>
      </c>
      <c r="I97" s="336"/>
      <c r="J97" s="168"/>
      <c r="K97" s="168"/>
      <c r="M97" s="364">
        <f t="shared" si="22"/>
        <v>2.3525768347369573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'[38]Sch C'!D91</f>
        <v>0</v>
      </c>
      <c r="D98" s="558">
        <f>'[38]Sch C'!F91</f>
        <v>0</v>
      </c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I98" s="336"/>
      <c r="J98" s="168"/>
      <c r="K98" s="168"/>
      <c r="M98" s="364">
        <f t="shared" si="22"/>
        <v>0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'[38]Sch C'!D92</f>
        <v>56535.26</v>
      </c>
      <c r="D99" s="558">
        <f>'[38]Sch C'!F92</f>
        <v>-628</v>
      </c>
      <c r="E99" s="171">
        <f t="shared" si="19"/>
        <v>55907.26</v>
      </c>
      <c r="F99" s="171"/>
      <c r="G99" s="171">
        <f t="shared" si="20"/>
        <v>55907.26</v>
      </c>
      <c r="H99" s="172">
        <f t="shared" si="21"/>
        <v>2.4399881237326195E-2</v>
      </c>
      <c r="I99" s="336"/>
      <c r="J99" s="168"/>
      <c r="K99" s="168"/>
      <c r="M99" s="364">
        <f t="shared" si="22"/>
        <v>6.1147610193590731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'[38]Sch C'!D93</f>
        <v>8521.1299999999992</v>
      </c>
      <c r="D100" s="558">
        <f>'[38]Sch C'!F93</f>
        <v>0</v>
      </c>
      <c r="E100" s="171">
        <f t="shared" si="19"/>
        <v>8521.1299999999992</v>
      </c>
      <c r="F100" s="171"/>
      <c r="G100" s="171">
        <f t="shared" si="20"/>
        <v>8521.1299999999992</v>
      </c>
      <c r="H100" s="172">
        <f t="shared" si="21"/>
        <v>3.7189187953016716E-3</v>
      </c>
      <c r="I100" s="336"/>
      <c r="J100" s="168"/>
      <c r="K100" s="168"/>
      <c r="M100" s="364">
        <f t="shared" si="22"/>
        <v>0.9319840314995077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'[38]Sch C'!D94</f>
        <v>2062.69</v>
      </c>
      <c r="D101" s="558">
        <f>'[38]Sch C'!F94</f>
        <v>0</v>
      </c>
      <c r="E101" s="171">
        <f t="shared" si="19"/>
        <v>2062.69</v>
      </c>
      <c r="F101" s="171"/>
      <c r="G101" s="171">
        <f t="shared" si="20"/>
        <v>2062.69</v>
      </c>
      <c r="H101" s="172">
        <f t="shared" si="21"/>
        <v>9.0022997065891566E-4</v>
      </c>
      <c r="I101" s="336"/>
      <c r="J101" s="168"/>
      <c r="K101" s="168"/>
      <c r="M101" s="364">
        <f t="shared" si="22"/>
        <v>0.22560319370009843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158571.07</v>
      </c>
      <c r="D102" s="558">
        <f>SUM(D96:D101)</f>
        <v>20881.61</v>
      </c>
      <c r="E102" s="171">
        <f t="shared" ref="E102:F102" si="23">SUM(E96:E101)</f>
        <v>179452.68000000002</v>
      </c>
      <c r="F102" s="171">
        <f t="shared" si="23"/>
        <v>0</v>
      </c>
      <c r="G102" s="171">
        <f>SUM(G96:G101)</f>
        <v>179452.68000000002</v>
      </c>
      <c r="H102" s="172">
        <f t="shared" si="21"/>
        <v>7.8319418260166959E-2</v>
      </c>
      <c r="I102" s="336"/>
      <c r="J102" s="168"/>
      <c r="K102" s="168"/>
      <c r="M102" s="364">
        <f>G102/G$228</f>
        <v>19.627330197965659</v>
      </c>
      <c r="N102" s="359">
        <f>SUMMARY!J105</f>
        <v>19.901077037785338</v>
      </c>
      <c r="O102" s="354">
        <f>M102/N102-1</f>
        <v>-1.3755378128526785E-2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'[38]Sch C'!D98</f>
        <v>25554.92</v>
      </c>
      <c r="D105" s="558">
        <f>'[38]Sch C'!F98</f>
        <v>0</v>
      </c>
      <c r="E105" s="171">
        <f t="shared" ref="E105:E110" si="24">C105+D105</f>
        <v>25554.92</v>
      </c>
      <c r="F105" s="171"/>
      <c r="G105" s="171">
        <f t="shared" ref="G105:G110" si="25">E105+F105</f>
        <v>25554.92</v>
      </c>
      <c r="H105" s="172">
        <f t="shared" ref="H105:H111" si="26">IF($G$208=0,0,G105/$G$208)</f>
        <v>1.1153059782027805E-2</v>
      </c>
      <c r="I105" s="336"/>
      <c r="J105" s="183">
        <v>2388.5500000000002</v>
      </c>
      <c r="K105" s="183">
        <v>2629.55</v>
      </c>
      <c r="M105" s="364">
        <f t="shared" ref="M105:M110" si="27">G105/G$228</f>
        <v>2.7950257027233949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'[38]Sch C'!D99</f>
        <v>0</v>
      </c>
      <c r="D106" s="558">
        <f>'[38]Sch C'!F99</f>
        <v>6010.55</v>
      </c>
      <c r="E106" s="171">
        <f t="shared" si="24"/>
        <v>6010.55</v>
      </c>
      <c r="F106" s="171"/>
      <c r="G106" s="171">
        <f t="shared" si="25"/>
        <v>6010.55</v>
      </c>
      <c r="H106" s="172">
        <f t="shared" si="26"/>
        <v>2.6232139827816808E-3</v>
      </c>
      <c r="I106" s="336"/>
      <c r="J106" s="168"/>
      <c r="K106" s="168"/>
      <c r="M106" s="364">
        <f t="shared" si="27"/>
        <v>0.65739363447446131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'[38]Sch C'!D100</f>
        <v>2809.92</v>
      </c>
      <c r="D107" s="558">
        <f>'[38]Sch C'!F100</f>
        <v>0</v>
      </c>
      <c r="E107" s="171">
        <f t="shared" si="24"/>
        <v>2809.92</v>
      </c>
      <c r="F107" s="171"/>
      <c r="G107" s="171">
        <f t="shared" si="25"/>
        <v>2809.92</v>
      </c>
      <c r="H107" s="172">
        <f t="shared" si="26"/>
        <v>1.2263472451768808E-3</v>
      </c>
      <c r="I107" s="336"/>
      <c r="J107" s="168"/>
      <c r="K107" s="168"/>
      <c r="M107" s="364">
        <f t="shared" si="27"/>
        <v>0.3073301979656568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'[38]Sch C'!D101</f>
        <v>0</v>
      </c>
      <c r="D108" s="558">
        <f>'[38]Sch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'[38]Sch C'!D102</f>
        <v>810.63</v>
      </c>
      <c r="D109" s="558">
        <f>'[38]Sch C'!F102</f>
        <v>0</v>
      </c>
      <c r="E109" s="171">
        <f t="shared" si="24"/>
        <v>810.63</v>
      </c>
      <c r="F109" s="171"/>
      <c r="G109" s="171">
        <f t="shared" si="25"/>
        <v>810.63</v>
      </c>
      <c r="H109" s="172">
        <f t="shared" si="26"/>
        <v>3.5378724923048872E-4</v>
      </c>
      <c r="I109" s="336"/>
      <c r="J109" s="168"/>
      <c r="K109" s="168"/>
      <c r="M109" s="364">
        <f t="shared" si="27"/>
        <v>8.8661270917641907E-2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'[38]Sch C'!D103</f>
        <v>0</v>
      </c>
      <c r="D110" s="558">
        <f>'[38]Sch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29175.469999999998</v>
      </c>
      <c r="D111" s="558">
        <f>SUM(D105:D110)</f>
        <v>6010.55</v>
      </c>
      <c r="E111" s="171">
        <f t="shared" ref="E111:F111" si="28">SUM(E105:E110)</f>
        <v>35186.019999999997</v>
      </c>
      <c r="F111" s="171">
        <f t="shared" si="28"/>
        <v>0</v>
      </c>
      <c r="G111" s="171">
        <f>SUM(G105:G110)</f>
        <v>35186.019999999997</v>
      </c>
      <c r="H111" s="172">
        <f t="shared" si="26"/>
        <v>1.5356408259216855E-2</v>
      </c>
      <c r="I111" s="336"/>
      <c r="J111" s="168"/>
      <c r="K111" s="168"/>
      <c r="M111" s="364">
        <f>G111/G$228</f>
        <v>3.8484108060811546</v>
      </c>
      <c r="N111" s="359">
        <f>SUMMARY!J114</f>
        <v>2.4242384372309496</v>
      </c>
      <c r="O111" s="354">
        <f>M111/N111-1</f>
        <v>0.58747206833208399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'[38]Sch C'!D115</f>
        <v>23436.36</v>
      </c>
      <c r="D114" s="558">
        <f>'[38]Sch C'!F115</f>
        <v>0</v>
      </c>
      <c r="E114" s="171">
        <f t="shared" ref="E114:E118" si="29">C114+D114</f>
        <v>23436.36</v>
      </c>
      <c r="F114" s="171"/>
      <c r="G114" s="171">
        <f>E114+F114</f>
        <v>23436.36</v>
      </c>
      <c r="H114" s="172">
        <f t="shared" ref="H114:H119" si="30">IF($G$208=0,0,G114/$G$208)</f>
        <v>1.0228446191697145E-2</v>
      </c>
      <c r="I114" s="336"/>
      <c r="J114" s="183">
        <v>2778.45</v>
      </c>
      <c r="K114" s="183">
        <v>2918.45</v>
      </c>
      <c r="M114" s="364">
        <f t="shared" ref="M114:M119" si="31">G114/G$228</f>
        <v>2.5633118232527616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'[38]Sch C'!D116</f>
        <v>0</v>
      </c>
      <c r="D115" s="558">
        <f>'[38]Sch C'!F116</f>
        <v>5512.26</v>
      </c>
      <c r="E115" s="171">
        <f t="shared" si="29"/>
        <v>5512.26</v>
      </c>
      <c r="F115" s="171"/>
      <c r="G115" s="171">
        <f>E115+F115</f>
        <v>5512.26</v>
      </c>
      <c r="H115" s="172">
        <f t="shared" si="30"/>
        <v>2.4057428203289465E-3</v>
      </c>
      <c r="I115" s="336"/>
      <c r="J115" s="168"/>
      <c r="K115" s="168"/>
      <c r="M115" s="364">
        <f t="shared" si="31"/>
        <v>0.60289401728098002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'[38]Sch C'!D117</f>
        <v>8996.99</v>
      </c>
      <c r="D116" s="558">
        <f>'[38]Sch C'!F117</f>
        <v>0</v>
      </c>
      <c r="E116" s="171">
        <f t="shared" si="29"/>
        <v>8996.99</v>
      </c>
      <c r="F116" s="171"/>
      <c r="G116" s="171">
        <f>E116+F116</f>
        <v>8996.99</v>
      </c>
      <c r="H116" s="172">
        <f t="shared" si="30"/>
        <v>3.926600722221253E-3</v>
      </c>
      <c r="I116" s="336"/>
      <c r="J116" s="168"/>
      <c r="K116" s="168"/>
      <c r="M116" s="364">
        <f t="shared" si="31"/>
        <v>0.98403040577490974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'[38]Sch C'!D118</f>
        <v>0</v>
      </c>
      <c r="D117" s="558">
        <f>'[38]Sch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'[38]Sch C'!D119</f>
        <v>0</v>
      </c>
      <c r="D118" s="558">
        <f>'[38]Sch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32433.35</v>
      </c>
      <c r="D119" s="558">
        <f>SUM(D114:D118)</f>
        <v>5512.26</v>
      </c>
      <c r="E119" s="171">
        <f t="shared" ref="E119:F119" si="32">SUM(E114:E118)</f>
        <v>37945.61</v>
      </c>
      <c r="F119" s="171">
        <f t="shared" si="32"/>
        <v>0</v>
      </c>
      <c r="G119" s="171">
        <f>SUM(G114:G118)</f>
        <v>37945.61</v>
      </c>
      <c r="H119" s="172">
        <f t="shared" si="30"/>
        <v>1.6560789734247346E-2</v>
      </c>
      <c r="I119" s="336"/>
      <c r="J119" s="168"/>
      <c r="K119" s="168"/>
      <c r="M119" s="364">
        <f t="shared" si="31"/>
        <v>4.1502362463086513</v>
      </c>
      <c r="N119" s="359">
        <f>SUMMARY!J122</f>
        <v>6.0247597205909562</v>
      </c>
      <c r="O119" s="354">
        <f>M119/N119-1</f>
        <v>-0.31113663635011102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'[38]Sch C'!D124</f>
        <v>8400</v>
      </c>
      <c r="D123" s="558">
        <f>'[38]Sch C'!F124</f>
        <v>0</v>
      </c>
      <c r="E123" s="171">
        <f t="shared" ref="E123:E127" si="33">C123+D123</f>
        <v>8400</v>
      </c>
      <c r="F123" s="171"/>
      <c r="G123" s="171">
        <f>E123+F123</f>
        <v>8400</v>
      </c>
      <c r="H123" s="172">
        <f>IF($G$208=0,0,G123/$G$208)</f>
        <v>3.6660534319431864E-3</v>
      </c>
      <c r="I123" s="336"/>
      <c r="J123" s="183">
        <v>0</v>
      </c>
      <c r="K123" s="183">
        <v>0</v>
      </c>
      <c r="M123" s="364">
        <f t="shared" ref="M123:M160" si="34">G123/G$228</f>
        <v>0.9187356447555507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'[38]Sch C'!D125</f>
        <v>110933.16</v>
      </c>
      <c r="D124" s="558">
        <f>'[38]Sch C'!F125</f>
        <v>0</v>
      </c>
      <c r="E124" s="171">
        <f t="shared" si="33"/>
        <v>110933.16</v>
      </c>
      <c r="F124" s="171"/>
      <c r="G124" s="171">
        <f>E124+F124</f>
        <v>110933.16</v>
      </c>
      <c r="H124" s="172">
        <f>IF($G$208=0,0,G124/$G$208)</f>
        <v>4.8415106182655078E-2</v>
      </c>
      <c r="I124" s="336"/>
      <c r="J124" s="183">
        <v>3543.6800000000003</v>
      </c>
      <c r="K124" s="183">
        <v>3789.13</v>
      </c>
      <c r="M124" s="364">
        <f t="shared" si="34"/>
        <v>12.133124794925079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'[38]Sch C'!D126</f>
        <v>0</v>
      </c>
      <c r="D125" s="558">
        <f>'[38]Sch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'[38]Sch C'!D127</f>
        <v>0</v>
      </c>
      <c r="D126" s="558">
        <f>'[38]Sch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'[38]Sch C'!D128</f>
        <v>1599.25</v>
      </c>
      <c r="D127" s="558">
        <f>'[38]Sch C'!F128</f>
        <v>0</v>
      </c>
      <c r="E127" s="171">
        <f t="shared" si="33"/>
        <v>1599.25</v>
      </c>
      <c r="F127" s="171"/>
      <c r="G127" s="171">
        <f>E127+F127</f>
        <v>1599.25</v>
      </c>
      <c r="H127" s="172">
        <f>IF($G$208=0,0,G127/$G$208)</f>
        <v>6.9796856559942156E-4</v>
      </c>
      <c r="I127" s="336"/>
      <c r="J127" s="183">
        <v>6</v>
      </c>
      <c r="K127" s="183">
        <v>6</v>
      </c>
      <c r="M127" s="364">
        <f t="shared" si="34"/>
        <v>0.1749152356994422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'[38]Sch C'!D130</f>
        <v>0</v>
      </c>
      <c r="D129" s="558">
        <f>'[38]Sch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'[38]Sch C'!D131</f>
        <v>0</v>
      </c>
      <c r="D130" s="558">
        <f>'[38]Sch C'!F131</f>
        <v>26091.599999999999</v>
      </c>
      <c r="E130" s="171">
        <f t="shared" si="35"/>
        <v>26091.599999999999</v>
      </c>
      <c r="F130" s="171"/>
      <c r="G130" s="171">
        <f>E130+F130</f>
        <v>26091.599999999999</v>
      </c>
      <c r="H130" s="172">
        <f>IF($G$208=0,0,G130/$G$208)</f>
        <v>1.1387285681534385E-2</v>
      </c>
      <c r="I130" s="336"/>
      <c r="J130" s="204"/>
      <c r="K130" s="204"/>
      <c r="M130" s="364">
        <f t="shared" si="34"/>
        <v>2.8537241605599912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'[38]Sch C'!D132</f>
        <v>0</v>
      </c>
      <c r="D131" s="558">
        <f>'[38]Sch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'[38]Sch C'!D133</f>
        <v>0</v>
      </c>
      <c r="D132" s="558">
        <f>'[38]Sch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'[38]Sch C'!D134</f>
        <v>0</v>
      </c>
      <c r="D133" s="558">
        <f>'[38]Sch C'!F134</f>
        <v>376.15</v>
      </c>
      <c r="E133" s="171">
        <f t="shared" si="35"/>
        <v>376.15</v>
      </c>
      <c r="F133" s="171"/>
      <c r="G133" s="171">
        <f>E133+F133</f>
        <v>376.15</v>
      </c>
      <c r="H133" s="172">
        <f>IF($G$208=0,0,G133/$G$208)</f>
        <v>1.6416499981255115E-4</v>
      </c>
      <c r="I133" s="336"/>
      <c r="J133" s="168"/>
      <c r="K133" s="168"/>
      <c r="M133" s="364">
        <f t="shared" si="34"/>
        <v>4.1140763425571471E-2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'[38]Sch C'!D136</f>
        <v>115452.12</v>
      </c>
      <c r="D135" s="558">
        <f>'[38]Sch C'!F136</f>
        <v>0</v>
      </c>
      <c r="E135" s="171">
        <f t="shared" ref="E135:E138" si="36">C135+D135</f>
        <v>115452.12</v>
      </c>
      <c r="F135" s="171"/>
      <c r="G135" s="171">
        <f>E135+F135</f>
        <v>115452.12</v>
      </c>
      <c r="H135" s="172">
        <f>IF($G$208=0,0,G135/$G$208)</f>
        <v>5.0387338184656738E-2</v>
      </c>
      <c r="I135" s="336"/>
      <c r="J135" s="183">
        <v>5175.9999999999991</v>
      </c>
      <c r="K135" s="183">
        <v>5341.5</v>
      </c>
      <c r="M135" s="364">
        <f t="shared" si="34"/>
        <v>12.627378322213715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'[38]Sch C'!D137</f>
        <v>114645.16</v>
      </c>
      <c r="D136" s="558">
        <f>'[38]Sch C'!F137</f>
        <v>0</v>
      </c>
      <c r="E136" s="171">
        <f t="shared" si="36"/>
        <v>114645.16</v>
      </c>
      <c r="F136" s="171"/>
      <c r="G136" s="171">
        <f>E136+F136</f>
        <v>114645.16</v>
      </c>
      <c r="H136" s="172">
        <f>IF($G$208=0,0,G136/$G$208)</f>
        <v>5.0035152651628063E-2</v>
      </c>
      <c r="I136" s="336"/>
      <c r="J136" s="183">
        <v>6187.4</v>
      </c>
      <c r="K136" s="183">
        <v>6461.48</v>
      </c>
      <c r="M136" s="364">
        <f t="shared" si="34"/>
        <v>12.539118451274199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'[38]Sch C'!D138</f>
        <v>293096.99</v>
      </c>
      <c r="D137" s="558">
        <f>'[38]Sch C'!F138</f>
        <v>0</v>
      </c>
      <c r="E137" s="171">
        <f t="shared" si="36"/>
        <v>293096.99</v>
      </c>
      <c r="F137" s="171"/>
      <c r="G137" s="171">
        <f>E137+F137</f>
        <v>293096.99</v>
      </c>
      <c r="H137" s="172">
        <f>IF($G$208=0,0,G137/$G$208)</f>
        <v>0.12791776500972832</v>
      </c>
      <c r="I137" s="336"/>
      <c r="J137" s="183">
        <v>28257.050000000003</v>
      </c>
      <c r="K137" s="183">
        <v>29593.17</v>
      </c>
      <c r="M137" s="364">
        <f t="shared" si="34"/>
        <v>32.056982390900139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'[38]Sch C'!D139</f>
        <v>0</v>
      </c>
      <c r="D138" s="558">
        <f>'[38]Sch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'[38]Sch C'!D141</f>
        <v>0</v>
      </c>
      <c r="D140" s="558">
        <f>'[38]Sch C'!F141</f>
        <v>27154.47</v>
      </c>
      <c r="E140" s="171">
        <f t="shared" ref="E140:E143" si="37">C140+D140</f>
        <v>27154.47</v>
      </c>
      <c r="F140" s="171"/>
      <c r="G140" s="171">
        <f>E140+F140</f>
        <v>27154.47</v>
      </c>
      <c r="H140" s="172">
        <f>IF($G$208=0,0,G140/$G$208)</f>
        <v>1.185115927810694E-2</v>
      </c>
      <c r="I140" s="336"/>
      <c r="J140" s="168"/>
      <c r="K140" s="168"/>
      <c r="M140" s="364">
        <f t="shared" si="34"/>
        <v>2.96997375041015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'[38]Sch C'!D142</f>
        <v>0</v>
      </c>
      <c r="D141" s="558">
        <f>'[38]Sch C'!F142</f>
        <v>26964.67</v>
      </c>
      <c r="E141" s="171">
        <f t="shared" si="37"/>
        <v>26964.67</v>
      </c>
      <c r="F141" s="171"/>
      <c r="G141" s="171">
        <f>E141+F141</f>
        <v>26964.67</v>
      </c>
      <c r="H141" s="172">
        <f>IF($G$208=0,0,G141/$G$208)</f>
        <v>1.1768323927942319E-2</v>
      </c>
      <c r="I141" s="336"/>
      <c r="J141" s="168"/>
      <c r="K141" s="168"/>
      <c r="M141" s="364">
        <f t="shared" si="34"/>
        <v>2.9492146997703159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'[38]Sch C'!D143</f>
        <v>0</v>
      </c>
      <c r="D142" s="558">
        <f>'[38]Sch C'!F143</f>
        <v>68936.740000000005</v>
      </c>
      <c r="E142" s="171">
        <f t="shared" si="37"/>
        <v>68936.740000000005</v>
      </c>
      <c r="F142" s="171"/>
      <c r="G142" s="171">
        <f>E142+F142</f>
        <v>68936.740000000005</v>
      </c>
      <c r="H142" s="172">
        <f>IF($G$208=0,0,G142/$G$208)</f>
        <v>3.0086401459997043E-2</v>
      </c>
      <c r="I142" s="336"/>
      <c r="J142" s="168"/>
      <c r="K142" s="168"/>
      <c r="M142" s="364">
        <f t="shared" si="34"/>
        <v>7.5398381275292579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'[38]Sch C'!D144</f>
        <v>0</v>
      </c>
      <c r="D143" s="558">
        <f>'[38]Sch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'[38]Sch C'!D146</f>
        <v>0</v>
      </c>
      <c r="D145" s="558">
        <f>'[38]Sch C'!F146</f>
        <v>0</v>
      </c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336"/>
      <c r="J145" s="183">
        <v>0</v>
      </c>
      <c r="K145" s="183">
        <v>0</v>
      </c>
      <c r="M145" s="364">
        <f t="shared" si="34"/>
        <v>0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'[38]Sch C'!D147</f>
        <v>0</v>
      </c>
      <c r="D146" s="558">
        <f>'[38]Sch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'[38]Sch C'!D148</f>
        <v>0</v>
      </c>
      <c r="D147" s="558">
        <f>'[38]Sch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'[38]Sch C'!D149</f>
        <v>0</v>
      </c>
      <c r="D148" s="558">
        <f>'[38]Sch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'[38]Sch C'!D150</f>
        <v>4485.74</v>
      </c>
      <c r="D149" s="558">
        <f>'[38]Sch C'!F150</f>
        <v>0</v>
      </c>
      <c r="E149" s="171">
        <f t="shared" si="38"/>
        <v>4485.74</v>
      </c>
      <c r="F149" s="171"/>
      <c r="G149" s="171">
        <f t="shared" si="39"/>
        <v>4485.74</v>
      </c>
      <c r="H149" s="172">
        <f t="shared" si="40"/>
        <v>1.9577336335481941E-3</v>
      </c>
      <c r="I149" s="336"/>
      <c r="J149" s="183">
        <v>0</v>
      </c>
      <c r="K149" s="183">
        <v>0</v>
      </c>
      <c r="M149" s="364">
        <f t="shared" si="34"/>
        <v>0.49062014656020997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'[38]Sch C'!D151</f>
        <v>55606.66</v>
      </c>
      <c r="D150" s="558">
        <f>'[38]Sch C'!F151</f>
        <v>0</v>
      </c>
      <c r="E150" s="171">
        <f t="shared" si="38"/>
        <v>55606.66</v>
      </c>
      <c r="F150" s="171"/>
      <c r="G150" s="171">
        <f t="shared" si="39"/>
        <v>55606.66</v>
      </c>
      <c r="H150" s="172">
        <f t="shared" si="40"/>
        <v>2.4268688896654515E-2</v>
      </c>
      <c r="I150" s="336"/>
      <c r="J150" s="168"/>
      <c r="K150" s="168"/>
      <c r="M150" s="364">
        <f t="shared" si="34"/>
        <v>6.0818834080717492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'[38]Sch C'!D152</f>
        <v>0</v>
      </c>
      <c r="D151" s="558">
        <f>'[38]Sch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6"/>
      <c r="J151" s="168"/>
      <c r="K151" s="168"/>
      <c r="M151" s="364">
        <f t="shared" si="34"/>
        <v>0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'[38]Sch C'!D153</f>
        <v>0</v>
      </c>
      <c r="D152" s="558">
        <f>'[38]Sch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'[38]Sch C'!D154</f>
        <v>0</v>
      </c>
      <c r="D153" s="558">
        <f>'[38]Sch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'[38]Sch C'!D156</f>
        <v>0</v>
      </c>
      <c r="D155" s="558">
        <f>'[38]Sch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'[38]Sch C'!D157</f>
        <v>0</v>
      </c>
      <c r="D156" s="558">
        <f>'[38]Sch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'[38]Sch C'!D158</f>
        <v>0</v>
      </c>
      <c r="D157" s="558">
        <f>'[38]Sch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'[38]Sch C'!D159</f>
        <v>0</v>
      </c>
      <c r="D158" s="558">
        <f>'[38]Sch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'[38]Sch C'!D160</f>
        <v>0</v>
      </c>
      <c r="D159" s="558">
        <f>'[38]Sch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'[38]Sch C'!D161</f>
        <v>2776.1800000000003</v>
      </c>
      <c r="D160" s="558">
        <f>'[38]Sch C'!F161</f>
        <v>0</v>
      </c>
      <c r="E160" s="171">
        <f t="shared" si="41"/>
        <v>2776.1800000000003</v>
      </c>
      <c r="F160" s="171"/>
      <c r="G160" s="171">
        <f t="shared" si="42"/>
        <v>2776.1800000000003</v>
      </c>
      <c r="H160" s="172">
        <f t="shared" si="43"/>
        <v>1.2116219305585757E-3</v>
      </c>
      <c r="I160" s="336"/>
      <c r="J160" s="168"/>
      <c r="K160" s="168"/>
      <c r="M160" s="364">
        <f t="shared" si="34"/>
        <v>0.30363994312588871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706995.26</v>
      </c>
      <c r="D161" s="558">
        <f>SUM(D123:D160)</f>
        <v>149523.63</v>
      </c>
      <c r="E161" s="171">
        <f t="shared" ref="E161:F161" si="44">SUM(E123:E160)</f>
        <v>856518.89000000013</v>
      </c>
      <c r="F161" s="171">
        <f t="shared" si="44"/>
        <v>0</v>
      </c>
      <c r="G161" s="171">
        <f>SUM(G123:G160)</f>
        <v>856518.89000000013</v>
      </c>
      <c r="H161" s="172">
        <f t="shared" si="43"/>
        <v>0.37381476383436535</v>
      </c>
      <c r="I161" s="336"/>
      <c r="J161" s="168"/>
      <c r="K161" s="168"/>
      <c r="M161" s="364">
        <f>G161/G$228</f>
        <v>93.680289839221274</v>
      </c>
      <c r="N161" s="359">
        <f>SUMMARY!J164</f>
        <v>105.56901037202306</v>
      </c>
      <c r="O161" s="354">
        <f>M161/N161-1</f>
        <v>-0.11261562925432544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'[38]Sch C'!D175</f>
        <v>0</v>
      </c>
      <c r="D164" s="558">
        <f>'[38]Sch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'[38]Sch C'!D176</f>
        <v>0</v>
      </c>
      <c r="D165" s="558">
        <f>'[38]Sch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'[38]Sch C'!D177</f>
        <v>0</v>
      </c>
      <c r="D166" s="558">
        <f>'[38]Sch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'[38]Sch C'!D178</f>
        <v>0</v>
      </c>
      <c r="D167" s="558">
        <f>'[38]Sch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'[38]Sch C'!D179</f>
        <v>0</v>
      </c>
      <c r="D168" s="558">
        <f>'[38]Sch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'[38]Sch C'!D180</f>
        <v>0</v>
      </c>
      <c r="D169" s="558">
        <f>'[38]Sch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'[38]Sch C'!D181</f>
        <v>0</v>
      </c>
      <c r="D170" s="558">
        <f>'[38]Sch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'[38]Sch C'!D182</f>
        <v>0</v>
      </c>
      <c r="D171" s="558">
        <f>'[38]Sch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'[38]Sch C'!D183</f>
        <v>0</v>
      </c>
      <c r="D172" s="558">
        <f>'[38]Sch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'[38]Sch C'!D184</f>
        <v>0</v>
      </c>
      <c r="D173" s="558">
        <f>'[38]Sch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'[38]Sch C'!D185</f>
        <v>0</v>
      </c>
      <c r="D174" s="558">
        <f>'[38]Sch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'[38]Sch C'!D186</f>
        <v>0</v>
      </c>
      <c r="D175" s="558">
        <f>'[38]Sch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'[38]Sch C'!D187</f>
        <v>0</v>
      </c>
      <c r="D176" s="558">
        <f>'[38]Sch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'[38]Sch C'!D188</f>
        <v>1497.03</v>
      </c>
      <c r="D177" s="558">
        <f>'[38]Sch C'!F188</f>
        <v>0</v>
      </c>
      <c r="E177" s="171">
        <f t="shared" si="45"/>
        <v>1497.03</v>
      </c>
      <c r="F177" s="216"/>
      <c r="G177" s="171">
        <f t="shared" si="46"/>
        <v>1497.03</v>
      </c>
      <c r="H177" s="172">
        <f t="shared" si="47"/>
        <v>6.5335618681213196E-4</v>
      </c>
      <c r="I177" s="336"/>
      <c r="J177" s="223"/>
      <c r="K177" s="218"/>
      <c r="L177" s="220"/>
      <c r="M177" s="364">
        <f t="shared" si="48"/>
        <v>0.16373509788909549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'[38]Sch C'!D189</f>
        <v>0</v>
      </c>
      <c r="D178" s="558">
        <f>'[38]Sch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'[38]Sch C'!D190</f>
        <v>0</v>
      </c>
      <c r="D179" s="558">
        <f>'[38]Sch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'[38]Sch C'!D191</f>
        <v>0</v>
      </c>
      <c r="D180" s="558">
        <f>'[38]Sch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'[38]Sch C'!D192</f>
        <v>0</v>
      </c>
      <c r="D181" s="558">
        <f>'[38]Sch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'[38]Sch C'!D193</f>
        <v>0</v>
      </c>
      <c r="D182" s="558">
        <f>'[38]Sch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'[38]Sch C'!D194</f>
        <v>119583.62</v>
      </c>
      <c r="D183" s="558">
        <f>'[38]Sch C'!F194</f>
        <v>0</v>
      </c>
      <c r="E183" s="171">
        <f t="shared" si="45"/>
        <v>119583.62</v>
      </c>
      <c r="F183" s="216"/>
      <c r="G183" s="171">
        <f t="shared" si="46"/>
        <v>119583.62</v>
      </c>
      <c r="H183" s="172">
        <f t="shared" si="47"/>
        <v>5.2190469107760699E-2</v>
      </c>
      <c r="I183" s="336"/>
      <c r="J183" s="223"/>
      <c r="K183" s="218"/>
      <c r="M183" s="364">
        <f t="shared" si="48"/>
        <v>13.079254074155092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'[38]Sch C'!D195</f>
        <v>9536.36</v>
      </c>
      <c r="D184" s="558">
        <f>'[38]Sch C'!F195</f>
        <v>0</v>
      </c>
      <c r="E184" s="171">
        <f t="shared" si="45"/>
        <v>9536.36</v>
      </c>
      <c r="F184" s="216"/>
      <c r="G184" s="171">
        <f t="shared" si="46"/>
        <v>9536.36</v>
      </c>
      <c r="H184" s="172">
        <f t="shared" si="47"/>
        <v>4.1620006316959203E-3</v>
      </c>
      <c r="I184" s="336"/>
      <c r="J184" s="223"/>
      <c r="K184" s="218"/>
      <c r="M184" s="364">
        <f t="shared" si="48"/>
        <v>1.0430230777644101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'[38]Sch C'!D196</f>
        <v>0</v>
      </c>
      <c r="D185" s="558">
        <f>'[38]Sch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'[38]Sch C'!D197</f>
        <v>74987.320000000007</v>
      </c>
      <c r="D186" s="558">
        <f>'[38]Sch C'!F197</f>
        <v>0</v>
      </c>
      <c r="E186" s="171">
        <f t="shared" si="45"/>
        <v>74987.320000000007</v>
      </c>
      <c r="F186" s="216"/>
      <c r="G186" s="171">
        <f t="shared" si="46"/>
        <v>74987.320000000007</v>
      </c>
      <c r="H186" s="172">
        <f t="shared" si="47"/>
        <v>3.2727085933121666E-2</v>
      </c>
      <c r="I186" s="336"/>
      <c r="J186" s="223"/>
      <c r="K186" s="218"/>
      <c r="M186" s="364">
        <f t="shared" si="48"/>
        <v>8.2016099748441444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'[38]Sch C'!D198</f>
        <v>6350.84</v>
      </c>
      <c r="D187" s="558">
        <f>'[38]Sch C'!F198</f>
        <v>0</v>
      </c>
      <c r="E187" s="171">
        <f t="shared" si="45"/>
        <v>6350.84</v>
      </c>
      <c r="F187" s="216"/>
      <c r="G187" s="171">
        <f t="shared" si="46"/>
        <v>6350.84</v>
      </c>
      <c r="H187" s="172">
        <f t="shared" si="47"/>
        <v>2.7717284259192935E-3</v>
      </c>
      <c r="I187" s="336"/>
      <c r="J187" s="223"/>
      <c r="K187" s="218"/>
      <c r="M187" s="364">
        <f t="shared" si="48"/>
        <v>0.69461227168325501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'[38]Sch C'!D199</f>
        <v>0</v>
      </c>
      <c r="D188" s="558">
        <f>'[38]Sch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'[38]Sch C'!D200</f>
        <v>0</v>
      </c>
      <c r="D189" s="558">
        <f>'[38]Sch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'[38]Sch C'!D201</f>
        <v>0</v>
      </c>
      <c r="D190" s="558">
        <f>'[38]Sch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'[38]Sch C'!D202</f>
        <v>0</v>
      </c>
      <c r="D191" s="558">
        <f>'[38]Sch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'[38]Sch C'!D203</f>
        <v>0</v>
      </c>
      <c r="D192" s="558">
        <f>'[38]Sch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'[38]Sch C'!D204</f>
        <v>0</v>
      </c>
      <c r="D193" s="558">
        <f>'[38]Sch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'[38]Sch C'!D205</f>
        <v>74845.41</v>
      </c>
      <c r="D194" s="558">
        <f>'[38]Sch C'!F205</f>
        <v>0</v>
      </c>
      <c r="E194" s="171">
        <f t="shared" si="45"/>
        <v>74845.41</v>
      </c>
      <c r="F194" s="216"/>
      <c r="G194" s="171">
        <f t="shared" si="46"/>
        <v>74845.41</v>
      </c>
      <c r="H194" s="172">
        <f t="shared" si="47"/>
        <v>3.2665151451868442E-2</v>
      </c>
      <c r="I194" s="336"/>
      <c r="J194" s="223"/>
      <c r="K194" s="218"/>
      <c r="M194" s="364">
        <f t="shared" si="48"/>
        <v>8.1860888111123273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'[38]Sch C'!D206</f>
        <v>852</v>
      </c>
      <c r="D195" s="558">
        <f>'[38]Sch C'!F206</f>
        <v>0</v>
      </c>
      <c r="E195" s="171">
        <f t="shared" si="45"/>
        <v>852</v>
      </c>
      <c r="F195" s="216"/>
      <c r="G195" s="171">
        <f t="shared" si="46"/>
        <v>852</v>
      </c>
      <c r="H195" s="172">
        <f t="shared" si="47"/>
        <v>3.7184256238280894E-4</v>
      </c>
      <c r="I195" s="336"/>
      <c r="J195" s="223"/>
      <c r="K195" s="218"/>
      <c r="M195" s="364">
        <f t="shared" si="48"/>
        <v>9.3186043968063001E-2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'[38]Sch C'!D207</f>
        <v>0</v>
      </c>
      <c r="D196" s="558">
        <f>'[38]Sch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287652.58</v>
      </c>
      <c r="D197" s="558">
        <f>SUM(D164:D196)</f>
        <v>0</v>
      </c>
      <c r="E197" s="171">
        <f t="shared" ref="E197:F197" si="49">SUM(E164:E196)</f>
        <v>287652.58</v>
      </c>
      <c r="F197" s="171">
        <f t="shared" si="49"/>
        <v>0</v>
      </c>
      <c r="G197" s="171">
        <f>SUM(G164:G196)</f>
        <v>287652.58</v>
      </c>
      <c r="H197" s="172">
        <f>IF($G$208=0,0,G197/$G$208)</f>
        <v>0.12554163429956097</v>
      </c>
      <c r="I197" s="336"/>
      <c r="J197" s="168"/>
      <c r="K197" s="168"/>
      <c r="M197" s="364">
        <f>G197/G$228</f>
        <v>31.461509351416385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'[38]Sch C'!D211</f>
        <v>46308.15</v>
      </c>
      <c r="D200" s="558">
        <f>'[38]Sch C'!F211</f>
        <v>0</v>
      </c>
      <c r="E200" s="171">
        <f t="shared" ref="E200:E205" si="50">C200+D200</f>
        <v>46308.15</v>
      </c>
      <c r="F200" s="171"/>
      <c r="G200" s="171">
        <f t="shared" ref="G200:G205" si="51">E200+F200</f>
        <v>46308.15</v>
      </c>
      <c r="H200" s="172">
        <f t="shared" ref="H200:H206" si="52">IF($G$208=0,0,G200/$G$208)</f>
        <v>2.0210494313623796E-2</v>
      </c>
      <c r="I200" s="336"/>
      <c r="J200" s="183">
        <v>3539.45</v>
      </c>
      <c r="K200" s="183">
        <v>3905.45</v>
      </c>
      <c r="M200" s="364">
        <f t="shared" ref="M200:M205" si="53">G200/G$228</f>
        <v>5.0648747675817569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'[38]Sch C'!D212</f>
        <v>0</v>
      </c>
      <c r="D201" s="558">
        <f>'[38]Sch C'!F212</f>
        <v>10891.73</v>
      </c>
      <c r="E201" s="171">
        <f t="shared" si="50"/>
        <v>10891.73</v>
      </c>
      <c r="F201" s="171"/>
      <c r="G201" s="171">
        <f t="shared" si="51"/>
        <v>10891.73</v>
      </c>
      <c r="H201" s="172">
        <f t="shared" si="52"/>
        <v>4.7535314459879238E-3</v>
      </c>
      <c r="I201" s="336"/>
      <c r="J201" s="168"/>
      <c r="K201" s="168"/>
      <c r="M201" s="364">
        <f t="shared" si="53"/>
        <v>1.1912643552444493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'[38]Sch C'!D213</f>
        <v>2882.88</v>
      </c>
      <c r="D202" s="558">
        <f>'[38]Sch C'!F213</f>
        <v>0</v>
      </c>
      <c r="E202" s="171">
        <f t="shared" si="50"/>
        <v>2882.88</v>
      </c>
      <c r="F202" s="171"/>
      <c r="G202" s="171">
        <f t="shared" si="51"/>
        <v>2882.88</v>
      </c>
      <c r="H202" s="172">
        <f t="shared" si="52"/>
        <v>1.2581895378429016E-3</v>
      </c>
      <c r="I202" s="336"/>
      <c r="J202" s="168"/>
      <c r="K202" s="168"/>
      <c r="M202" s="364">
        <f t="shared" si="53"/>
        <v>0.31531007328010502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'[38]Sch C'!D214</f>
        <v>0</v>
      </c>
      <c r="D203" s="558">
        <f>'[38]Sch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'[38]Sch C'!D215</f>
        <v>0</v>
      </c>
      <c r="D204" s="558">
        <f>'[38]Sch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'[38]Sch C'!D216</f>
        <v>554.86</v>
      </c>
      <c r="D205" s="558">
        <f>'[38]Sch C'!F216</f>
        <v>0</v>
      </c>
      <c r="E205" s="171">
        <f t="shared" si="50"/>
        <v>554.86</v>
      </c>
      <c r="F205" s="171"/>
      <c r="G205" s="171">
        <f t="shared" si="51"/>
        <v>554.86</v>
      </c>
      <c r="H205" s="172">
        <f t="shared" si="52"/>
        <v>2.4216028657714244E-4</v>
      </c>
      <c r="I205" s="336"/>
      <c r="J205" s="168"/>
      <c r="K205" s="168"/>
      <c r="M205" s="364">
        <f t="shared" si="53"/>
        <v>6.0686864267745819E-2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49745.89</v>
      </c>
      <c r="D206" s="558">
        <f>SUM(D200:D205)</f>
        <v>10891.73</v>
      </c>
      <c r="E206" s="171">
        <f t="shared" ref="E206:F206" si="54">SUM(E200:E205)</f>
        <v>60637.62</v>
      </c>
      <c r="F206" s="171">
        <f t="shared" si="54"/>
        <v>0</v>
      </c>
      <c r="G206" s="171">
        <f>SUM(G200:G205)</f>
        <v>60637.62</v>
      </c>
      <c r="H206" s="172">
        <f t="shared" si="52"/>
        <v>2.6464375584031762E-2</v>
      </c>
      <c r="I206" s="336"/>
      <c r="J206" s="168"/>
      <c r="K206" s="168"/>
      <c r="M206" s="364">
        <f>G206/G$228</f>
        <v>6.6321360603740569</v>
      </c>
      <c r="N206" s="359">
        <f>SUMMARY!J209</f>
        <v>7.1515095990067339</v>
      </c>
      <c r="O206" s="354">
        <f>M206/N206-1</f>
        <v>-7.2624322381502848E-2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2165528.98</v>
      </c>
      <c r="D208" s="558">
        <f>SUM(D25:D206)/2</f>
        <v>125763.32000000002</v>
      </c>
      <c r="E208" s="171">
        <f t="shared" ref="E208:F208" si="55">SUM(E25:E206)/2</f>
        <v>2291292.3000000007</v>
      </c>
      <c r="F208" s="171">
        <f t="shared" si="55"/>
        <v>0</v>
      </c>
      <c r="G208" s="171">
        <f>SUM(G25:G206)/2</f>
        <v>2291292.3000000007</v>
      </c>
      <c r="H208" s="172">
        <f>IF($G$208=0,0,G208/$G$208)</f>
        <v>1</v>
      </c>
      <c r="I208" s="336"/>
      <c r="J208" s="183">
        <f>SUM(J25:J200)</f>
        <v>67352.010000000009</v>
      </c>
      <c r="K208" s="183">
        <f>SUM(K25:K200)</f>
        <v>71131.159999999989</v>
      </c>
      <c r="M208" s="364">
        <f>G208/G$228</f>
        <v>250.60617959094398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0.58241782857445334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'[38]Sch C'!D221</f>
        <v>2165529.29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-0.31000000005587935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67541.380000000354</v>
      </c>
      <c r="D215" s="558">
        <f>D21-D208</f>
        <v>-126790.53000000003</v>
      </c>
      <c r="E215" s="171">
        <f t="shared" ref="E215:F215" si="56">E21-E208</f>
        <v>-59249.150000000838</v>
      </c>
      <c r="F215" s="171">
        <f t="shared" si="56"/>
        <v>0</v>
      </c>
      <c r="G215" s="171">
        <f>G21-G208</f>
        <v>-59249.150000000838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'[38]Sch D'!C9</f>
        <v>3537</v>
      </c>
      <c r="D219" s="592"/>
      <c r="E219" s="235">
        <f t="shared" ref="E219:G227" si="57">C219+D219</f>
        <v>3537</v>
      </c>
      <c r="F219" s="234"/>
      <c r="G219" s="235">
        <f t="shared" si="57"/>
        <v>3537</v>
      </c>
      <c r="H219" s="172">
        <f t="shared" ref="H219:H228" si="58">IF($G$228=0,0,G219/$G$228)</f>
        <v>0.38685333041671222</v>
      </c>
      <c r="I219" s="336"/>
      <c r="J219" s="168"/>
      <c r="K219" s="168"/>
    </row>
    <row r="220" spans="1:17">
      <c r="A220" s="163"/>
      <c r="B220" s="170" t="s">
        <v>217</v>
      </c>
      <c r="C220" s="592">
        <f>'[38]Sch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'[38]Sch D'!E9</f>
        <v>1243</v>
      </c>
      <c r="D221" s="592"/>
      <c r="E221" s="235">
        <f t="shared" si="59"/>
        <v>1243</v>
      </c>
      <c r="F221" s="234"/>
      <c r="G221" s="235">
        <f t="shared" si="57"/>
        <v>1243</v>
      </c>
      <c r="H221" s="172">
        <f t="shared" si="58"/>
        <v>0.13595100076561303</v>
      </c>
      <c r="I221" s="336"/>
      <c r="J221" s="168"/>
      <c r="K221" s="168"/>
    </row>
    <row r="222" spans="1:17">
      <c r="A222" s="163"/>
      <c r="B222" s="202" t="s">
        <v>334</v>
      </c>
      <c r="C222" s="592">
        <f>'[38]Sch D'!F9</f>
        <v>796</v>
      </c>
      <c r="D222" s="592"/>
      <c r="E222" s="235">
        <f>C222+D222</f>
        <v>796</v>
      </c>
      <c r="F222" s="234"/>
      <c r="G222" s="235">
        <f>E222+F222</f>
        <v>796</v>
      </c>
      <c r="H222" s="172">
        <f t="shared" si="58"/>
        <v>8.7061139669692658E-2</v>
      </c>
      <c r="I222" s="336"/>
      <c r="J222" s="168"/>
      <c r="K222" s="168"/>
    </row>
    <row r="223" spans="1:17">
      <c r="A223" s="163"/>
      <c r="B223" s="170" t="s">
        <v>73</v>
      </c>
      <c r="C223" s="592">
        <f>'[38]Sch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'[38]Sch D'!H9</f>
        <v>2873</v>
      </c>
      <c r="D224" s="592"/>
      <c r="E224" s="235">
        <f t="shared" si="59"/>
        <v>2873</v>
      </c>
      <c r="F224" s="234"/>
      <c r="G224" s="235">
        <f t="shared" si="57"/>
        <v>2873</v>
      </c>
      <c r="H224" s="172">
        <f t="shared" si="58"/>
        <v>0.31422946516460681</v>
      </c>
      <c r="I224" s="336"/>
      <c r="J224" s="168"/>
      <c r="K224" s="168"/>
    </row>
    <row r="225" spans="1:11">
      <c r="A225" s="163"/>
      <c r="B225" s="170" t="s">
        <v>236</v>
      </c>
      <c r="C225" s="592">
        <f>'[38]Sch D'!I9</f>
        <v>694</v>
      </c>
      <c r="D225" s="592"/>
      <c r="E225" s="235">
        <f t="shared" si="59"/>
        <v>694</v>
      </c>
      <c r="F225" s="234"/>
      <c r="G225" s="235">
        <f t="shared" si="57"/>
        <v>694</v>
      </c>
      <c r="H225" s="172">
        <f t="shared" si="58"/>
        <v>7.5905063983375265E-2</v>
      </c>
      <c r="I225" s="336"/>
      <c r="J225" s="168"/>
      <c r="K225" s="168"/>
    </row>
    <row r="226" spans="1:11">
      <c r="A226" s="163"/>
      <c r="B226" s="170" t="s">
        <v>235</v>
      </c>
      <c r="C226" s="592">
        <f>'[38]Sch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'[38]Sch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9143</v>
      </c>
      <c r="D228" s="592">
        <f>SUM(D219:D227)</f>
        <v>0</v>
      </c>
      <c r="E228" s="237">
        <f>SUM(E219:E227)</f>
        <v>9143</v>
      </c>
      <c r="F228" s="237">
        <f>SUM(F219:F227)</f>
        <v>0</v>
      </c>
      <c r="G228" s="237">
        <f>SUM(G219:G227)</f>
        <v>9143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'[38]Sch D'!N22</f>
        <v>38</v>
      </c>
      <c r="D231" s="559"/>
      <c r="E231" s="235">
        <f>C231+D231</f>
        <v>38</v>
      </c>
      <c r="F231" s="235"/>
      <c r="G231" s="235">
        <f>E231+F231</f>
        <v>38</v>
      </c>
      <c r="H231" s="167"/>
      <c r="J231" s="168"/>
      <c r="K231" s="168"/>
    </row>
    <row r="232" spans="1:11">
      <c r="A232" s="163"/>
      <c r="B232" s="202" t="s">
        <v>290</v>
      </c>
      <c r="C232" s="593">
        <f>'[38]Sch D'!N24</f>
        <v>38</v>
      </c>
      <c r="D232" s="559"/>
      <c r="E232" s="235">
        <f>C232+D232</f>
        <v>38</v>
      </c>
      <c r="F232" s="235"/>
      <c r="G232" s="235">
        <f>E232+F232</f>
        <v>38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'[38]Sch D'!N28</f>
        <v>13908</v>
      </c>
      <c r="D235" s="483"/>
      <c r="E235" s="234">
        <f>E231*E233</f>
        <v>13908</v>
      </c>
      <c r="F235" s="239"/>
      <c r="G235" s="234">
        <f>G231*G233</f>
        <v>13908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'[38]Sch D'!N30</f>
        <v>0.65739142939315498</v>
      </c>
      <c r="D236" s="239"/>
      <c r="E236" s="244">
        <f>E228/E235</f>
        <v>0.65739142939315498</v>
      </c>
      <c r="F236" s="245"/>
      <c r="G236" s="244">
        <f>G228/G235</f>
        <v>0.65739142939315498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'[38]Sch D'!N32</f>
        <v>0.25431406384814498</v>
      </c>
      <c r="D237" s="239"/>
      <c r="E237" s="244">
        <f>(E219+E220)/E235</f>
        <v>0.25431406384814498</v>
      </c>
      <c r="F237" s="245"/>
      <c r="G237" s="244">
        <f>(G219+G220)/G235</f>
        <v>0.25431406384814498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'[38]Sch D'!N34</f>
        <v>0.38685333041671233</v>
      </c>
      <c r="D238" s="239"/>
      <c r="E238" s="244">
        <f>(E237/E236)</f>
        <v>0.38685333041671233</v>
      </c>
      <c r="F238" s="245"/>
      <c r="G238" s="244">
        <f>(G237/G236)</f>
        <v>0.38685333041671233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'[38]Sch B'!C85</f>
        <v>168.45925925925926</v>
      </c>
    </row>
    <row r="242" spans="2:7">
      <c r="F242" s="142" t="s">
        <v>341</v>
      </c>
      <c r="G242" s="558">
        <f>'[38]Sch B'!E85</f>
        <v>168.524765729585</v>
      </c>
    </row>
    <row r="243" spans="2:7">
      <c r="F243" s="142" t="s">
        <v>342</v>
      </c>
      <c r="G243" s="558">
        <f>'[38]Sch B'!G85</f>
        <v>173.61315789473684</v>
      </c>
    </row>
    <row r="244" spans="2:7">
      <c r="F244" s="142" t="s">
        <v>343</v>
      </c>
      <c r="G244" s="558">
        <f>'[38]Sch B'!I85</f>
        <v>175.69565217391303</v>
      </c>
    </row>
    <row r="245" spans="2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415</v>
      </c>
      <c r="D2" s="246"/>
      <c r="E2" s="488" t="s">
        <v>397</v>
      </c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'[4]Sch B'!E10</f>
        <v>3061861</v>
      </c>
      <c r="D11" s="558">
        <f>'[4]Sch B'!G10</f>
        <v>0</v>
      </c>
      <c r="E11" s="171">
        <f>C11+D11</f>
        <v>3061861</v>
      </c>
      <c r="F11" s="171"/>
      <c r="G11" s="171">
        <f t="shared" ref="G11:G20" si="0">E11+F11</f>
        <v>3061861</v>
      </c>
      <c r="H11" s="172">
        <f t="shared" ref="H11:H21" si="1">IF($G$21=0,0,G11/$G$21)</f>
        <v>0.36469581832607023</v>
      </c>
      <c r="I11" s="336"/>
      <c r="J11" s="368" t="s">
        <v>344</v>
      </c>
      <c r="K11" s="369">
        <f>G21</f>
        <v>8395657</v>
      </c>
      <c r="M11" s="359">
        <f>IFERROR(G11/G219,0)</f>
        <v>174.02870296692055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'[4]Sch B'!E15</f>
        <v>0</v>
      </c>
      <c r="D12" s="558">
        <f>'[4]Sch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9291038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'[4]Sch B'!E21</f>
        <v>1640995</v>
      </c>
      <c r="D13" s="558">
        <f>'[4]Sch B'!G21</f>
        <v>0</v>
      </c>
      <c r="E13" s="171">
        <f t="shared" si="2"/>
        <v>1640995</v>
      </c>
      <c r="F13" s="171"/>
      <c r="G13" s="171">
        <f t="shared" si="0"/>
        <v>1640995</v>
      </c>
      <c r="H13" s="172">
        <f t="shared" si="1"/>
        <v>0.19545760385399261</v>
      </c>
      <c r="I13" s="336"/>
      <c r="J13" s="370" t="s">
        <v>346</v>
      </c>
      <c r="K13" s="371">
        <f>G228</f>
        <v>33628</v>
      </c>
      <c r="M13" s="359">
        <f t="shared" si="3"/>
        <v>574.98072880168183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'[4]Sch B'!E27</f>
        <v>1860379</v>
      </c>
      <c r="D14" s="558">
        <f>'[4]Sch B'!G27</f>
        <v>0</v>
      </c>
      <c r="E14" s="171">
        <f t="shared" si="2"/>
        <v>1860379</v>
      </c>
      <c r="F14" s="175"/>
      <c r="G14" s="175">
        <f>E14+F14</f>
        <v>1860379</v>
      </c>
      <c r="H14" s="176">
        <f t="shared" si="1"/>
        <v>0.22158825688090877</v>
      </c>
      <c r="I14" s="337"/>
      <c r="J14" s="370" t="s">
        <v>347</v>
      </c>
      <c r="K14" s="371">
        <f>G231</f>
        <v>120</v>
      </c>
      <c r="M14" s="359">
        <f t="shared" si="3"/>
        <v>402.15715520968439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'[4]Sch B'!E32</f>
        <v>0</v>
      </c>
      <c r="D15" s="558">
        <f>'[4]Sch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43920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'[4]Sch B'!E37</f>
        <v>476497</v>
      </c>
      <c r="D16" s="558">
        <f>'[4]Sch B'!G37</f>
        <v>0</v>
      </c>
      <c r="E16" s="171">
        <f t="shared" si="2"/>
        <v>476497</v>
      </c>
      <c r="F16" s="171"/>
      <c r="G16" s="171">
        <f t="shared" si="0"/>
        <v>476497</v>
      </c>
      <c r="H16" s="172">
        <f t="shared" si="1"/>
        <v>5.675517711121357E-2</v>
      </c>
      <c r="I16" s="336"/>
      <c r="J16" s="372"/>
      <c r="K16" s="371"/>
      <c r="M16" s="359">
        <f t="shared" si="3"/>
        <v>207.80505887483645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'[4]Sch B'!E42</f>
        <v>898235</v>
      </c>
      <c r="D17" s="558">
        <f>'[4]Sch B'!G42</f>
        <v>0</v>
      </c>
      <c r="E17" s="171">
        <f t="shared" si="2"/>
        <v>898235</v>
      </c>
      <c r="F17" s="171"/>
      <c r="G17" s="171">
        <f>E17+F17</f>
        <v>898235</v>
      </c>
      <c r="H17" s="172">
        <f t="shared" si="1"/>
        <v>0.10698805346621473</v>
      </c>
      <c r="I17" s="336"/>
      <c r="J17" s="370" t="s">
        <v>156</v>
      </c>
      <c r="K17" s="371">
        <f>J208</f>
        <v>169841</v>
      </c>
      <c r="M17" s="359">
        <f t="shared" si="3"/>
        <v>174.71989885236334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'[4]Sch B'!E47</f>
        <v>0</v>
      </c>
      <c r="D18" s="558">
        <f>'[4]Sch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183798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'[4]Sch B'!E52</f>
        <v>386342</v>
      </c>
      <c r="D19" s="558">
        <f>'[4]Sch B'!G52</f>
        <v>0</v>
      </c>
      <c r="E19" s="171">
        <f t="shared" si="2"/>
        <v>386342</v>
      </c>
      <c r="F19" s="171"/>
      <c r="G19" s="171">
        <f t="shared" si="0"/>
        <v>386342</v>
      </c>
      <c r="H19" s="172">
        <f t="shared" si="1"/>
        <v>4.6016887064347672E-2</v>
      </c>
      <c r="I19" s="336"/>
      <c r="J19" s="168"/>
      <c r="K19" s="168"/>
      <c r="M19" s="359">
        <f t="shared" si="3"/>
        <v>344.9482142857143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'[4]Sch B'!E67</f>
        <v>96859</v>
      </c>
      <c r="D20" s="558">
        <f>'[4]Sch B'!G67</f>
        <v>-25511</v>
      </c>
      <c r="E20" s="171">
        <f t="shared" si="2"/>
        <v>71348</v>
      </c>
      <c r="F20" s="171"/>
      <c r="G20" s="171">
        <f t="shared" si="0"/>
        <v>71348</v>
      </c>
      <c r="H20" s="172">
        <f t="shared" si="1"/>
        <v>8.4982032972523765E-3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8421168</v>
      </c>
      <c r="D21" s="558">
        <f>SUM(D11:D20)</f>
        <v>-25511</v>
      </c>
      <c r="E21" s="171">
        <f>SUM(E11:E20)</f>
        <v>8395657</v>
      </c>
      <c r="F21" s="171">
        <f>SUM(F11:F20)</f>
        <v>0</v>
      </c>
      <c r="G21" s="171">
        <f>SUM(G11:G20)</f>
        <v>8395657</v>
      </c>
      <c r="H21" s="172">
        <f t="shared" si="1"/>
        <v>1</v>
      </c>
      <c r="I21" s="336"/>
      <c r="J21" s="168"/>
      <c r="K21" s="168"/>
      <c r="M21" s="359">
        <f>IFERROR(G21/G228,0)</f>
        <v>249.66269180444868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'[4]Sch C'!D10</f>
        <v>0</v>
      </c>
      <c r="D25" s="558">
        <f>'[4]Sch C'!F10</f>
        <v>131130</v>
      </c>
      <c r="E25" s="171">
        <f t="shared" ref="E25:E60" si="4">C25+D25</f>
        <v>131130</v>
      </c>
      <c r="F25" s="171"/>
      <c r="G25" s="182">
        <f>E25+F25</f>
        <v>131130</v>
      </c>
      <c r="H25" s="172">
        <f>IF($G$208=0,0,G25/$G$208)</f>
        <v>1.4113600654738469E-2</v>
      </c>
      <c r="I25" s="336"/>
      <c r="J25" s="183">
        <v>2080</v>
      </c>
      <c r="K25" s="183">
        <v>2258</v>
      </c>
      <c r="M25" s="359">
        <f>G25/G$228</f>
        <v>3.8994290472225526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'[4]Sch C'!D11</f>
        <v>0</v>
      </c>
      <c r="D26" s="558">
        <f>'[4]Sch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'[4]Sch C'!D12</f>
        <v>382140</v>
      </c>
      <c r="D27" s="558">
        <f>'[4]Sch C'!F12</f>
        <v>-131130</v>
      </c>
      <c r="E27" s="171">
        <f t="shared" si="4"/>
        <v>251010</v>
      </c>
      <c r="F27" s="171"/>
      <c r="G27" s="171">
        <f t="shared" si="5"/>
        <v>251010</v>
      </c>
      <c r="H27" s="172">
        <f t="shared" si="6"/>
        <v>2.7016357052893337E-2</v>
      </c>
      <c r="I27" s="336"/>
      <c r="J27" s="185">
        <v>13582</v>
      </c>
      <c r="K27" s="185">
        <v>14580</v>
      </c>
      <c r="M27" s="359">
        <f t="shared" si="7"/>
        <v>7.46431545140954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'[4]Sch C'!D13</f>
        <v>52809</v>
      </c>
      <c r="D28" s="558">
        <f>'[4]Sch C'!F13</f>
        <v>-9</v>
      </c>
      <c r="E28" s="171">
        <f t="shared" si="4"/>
        <v>52800</v>
      </c>
      <c r="F28" s="171"/>
      <c r="G28" s="171">
        <f t="shared" si="5"/>
        <v>52800</v>
      </c>
      <c r="H28" s="172">
        <f t="shared" si="6"/>
        <v>5.6828957108990405E-3</v>
      </c>
      <c r="I28" s="336"/>
      <c r="J28" s="168"/>
      <c r="K28" s="168"/>
      <c r="M28" s="359">
        <f t="shared" si="7"/>
        <v>1.5701201379802545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'[4]Sch C'!D14</f>
        <v>0</v>
      </c>
      <c r="D29" s="558">
        <f>'[4]Sch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'[4]Sch C'!D15</f>
        <v>0</v>
      </c>
      <c r="D30" s="558">
        <f>'[4]Sch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'[4]Sch C'!D16</f>
        <v>420318</v>
      </c>
      <c r="D31" s="558">
        <f>'[4]Sch C'!F16</f>
        <v>9193</v>
      </c>
      <c r="E31" s="171">
        <f t="shared" si="4"/>
        <v>429511</v>
      </c>
      <c r="F31" s="171"/>
      <c r="G31" s="171">
        <f t="shared" si="5"/>
        <v>429511</v>
      </c>
      <c r="H31" s="172">
        <f t="shared" si="6"/>
        <v>4.6228526887953744E-2</v>
      </c>
      <c r="I31" s="336"/>
      <c r="J31" s="168"/>
      <c r="K31" s="168"/>
      <c r="M31" s="359">
        <f t="shared" si="7"/>
        <v>12.772421791364339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'[4]Sch C'!D17</f>
        <v>407</v>
      </c>
      <c r="D32" s="558">
        <f>'[4]Sch C'!F17</f>
        <v>-407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'[4]Sch C'!D18</f>
        <v>17673</v>
      </c>
      <c r="D33" s="558">
        <f>'[4]Sch C'!F18</f>
        <v>0</v>
      </c>
      <c r="E33" s="171">
        <f t="shared" si="4"/>
        <v>17673</v>
      </c>
      <c r="F33" s="171"/>
      <c r="G33" s="171">
        <f t="shared" si="5"/>
        <v>17673</v>
      </c>
      <c r="H33" s="172">
        <f t="shared" si="6"/>
        <v>1.9021556041424004E-3</v>
      </c>
      <c r="I33" s="336"/>
      <c r="J33" s="168"/>
      <c r="K33" s="168"/>
      <c r="M33" s="359">
        <f t="shared" si="7"/>
        <v>0.52554418936600455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'[4]Sch C'!D19</f>
        <v>13885</v>
      </c>
      <c r="D34" s="558">
        <f>'[4]Sch C'!F19</f>
        <v>0</v>
      </c>
      <c r="E34" s="171">
        <f t="shared" si="4"/>
        <v>13885</v>
      </c>
      <c r="F34" s="171"/>
      <c r="G34" s="171">
        <f t="shared" si="5"/>
        <v>13885</v>
      </c>
      <c r="H34" s="172">
        <f t="shared" si="6"/>
        <v>1.4944508891256284E-3</v>
      </c>
      <c r="I34" s="336"/>
      <c r="J34" s="168"/>
      <c r="K34" s="168"/>
      <c r="M34" s="359">
        <f t="shared" si="7"/>
        <v>0.4128999643154514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'[4]Sch C'!D20</f>
        <v>24596</v>
      </c>
      <c r="D35" s="558">
        <f>'[4]Sch C'!F20</f>
        <v>0</v>
      </c>
      <c r="E35" s="171">
        <f t="shared" si="4"/>
        <v>24596</v>
      </c>
      <c r="F35" s="171"/>
      <c r="G35" s="171">
        <f t="shared" si="5"/>
        <v>24596</v>
      </c>
      <c r="H35" s="172">
        <f t="shared" si="6"/>
        <v>2.6472822519938029E-3</v>
      </c>
      <c r="I35" s="336"/>
      <c r="J35" s="168"/>
      <c r="K35" s="168"/>
      <c r="M35" s="359">
        <f t="shared" si="7"/>
        <v>0.73141429760913523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'[4]Sch C'!D21</f>
        <v>16548</v>
      </c>
      <c r="D36" s="558">
        <f>'[4]Sch C'!F21</f>
        <v>0</v>
      </c>
      <c r="E36" s="171">
        <f t="shared" si="4"/>
        <v>16548</v>
      </c>
      <c r="F36" s="171"/>
      <c r="G36" s="171">
        <f t="shared" si="5"/>
        <v>16548</v>
      </c>
      <c r="H36" s="172">
        <f t="shared" si="6"/>
        <v>1.7810711784840402E-3</v>
      </c>
      <c r="I36" s="336"/>
      <c r="J36" s="168"/>
      <c r="K36" s="168"/>
      <c r="M36" s="359">
        <f t="shared" si="7"/>
        <v>0.49208992506244797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'[4]Sch C'!D22</f>
        <v>0</v>
      </c>
      <c r="D37" s="558">
        <f>'[4]Sch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'[4]Sch C'!D23</f>
        <v>5016</v>
      </c>
      <c r="D38" s="558">
        <f>'[4]Sch C'!F23</f>
        <v>0</v>
      </c>
      <c r="E38" s="171">
        <f t="shared" si="4"/>
        <v>5016</v>
      </c>
      <c r="F38" s="171"/>
      <c r="G38" s="171">
        <f t="shared" si="5"/>
        <v>5016</v>
      </c>
      <c r="H38" s="172">
        <f t="shared" si="6"/>
        <v>5.398750925354089E-4</v>
      </c>
      <c r="I38" s="336"/>
      <c r="J38" s="168"/>
      <c r="K38" s="168"/>
      <c r="M38" s="359">
        <f t="shared" si="7"/>
        <v>0.14916141310812417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'[4]Sch C'!D24</f>
        <v>0</v>
      </c>
      <c r="D39" s="558">
        <f>'[4]Sch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'[4]Sch C'!D25</f>
        <v>2493</v>
      </c>
      <c r="D40" s="558">
        <f>'[4]Sch C'!F25</f>
        <v>0</v>
      </c>
      <c r="E40" s="171">
        <f t="shared" si="4"/>
        <v>2493</v>
      </c>
      <c r="F40" s="171"/>
      <c r="G40" s="171">
        <f t="shared" si="5"/>
        <v>2493</v>
      </c>
      <c r="H40" s="172">
        <f t="shared" si="6"/>
        <v>2.6832308725892627E-4</v>
      </c>
      <c r="I40" s="336"/>
      <c r="J40" s="168"/>
      <c r="K40" s="168"/>
      <c r="M40" s="359">
        <f t="shared" si="7"/>
        <v>7.4134649696681335E-2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'[4]Sch C'!D26</f>
        <v>479001</v>
      </c>
      <c r="D41" s="558">
        <f>'[4]Sch C'!F26</f>
        <v>0</v>
      </c>
      <c r="E41" s="171">
        <f t="shared" si="4"/>
        <v>479001</v>
      </c>
      <c r="F41" s="171"/>
      <c r="G41" s="171">
        <f t="shared" si="5"/>
        <v>479001</v>
      </c>
      <c r="H41" s="172">
        <f t="shared" si="6"/>
        <v>5.1555165310915745E-2</v>
      </c>
      <c r="I41" s="336"/>
      <c r="J41" s="168"/>
      <c r="K41" s="168"/>
      <c r="M41" s="359">
        <f t="shared" si="7"/>
        <v>14.244112049482574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'[4]Sch C'!D27</f>
        <v>46736</v>
      </c>
      <c r="D42" s="558">
        <f>'[4]Sch C'!F27</f>
        <v>-263</v>
      </c>
      <c r="E42" s="171">
        <f t="shared" si="4"/>
        <v>46473</v>
      </c>
      <c r="F42" s="171"/>
      <c r="G42" s="171">
        <f t="shared" si="5"/>
        <v>46473</v>
      </c>
      <c r="H42" s="172">
        <f t="shared" si="6"/>
        <v>5.0019169009964228E-3</v>
      </c>
      <c r="I42" s="336"/>
      <c r="J42" s="168"/>
      <c r="K42" s="168"/>
      <c r="M42" s="359">
        <f t="shared" si="7"/>
        <v>1.3819733555370524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'[4]Sch C'!D28</f>
        <v>0</v>
      </c>
      <c r="D43" s="558">
        <f>'[4]Sch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'[4]Sch C'!D29</f>
        <v>396102</v>
      </c>
      <c r="D44" s="558">
        <f>'[4]Sch C'!F29</f>
        <v>-396102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'[4]Sch C'!D30</f>
        <v>0</v>
      </c>
      <c r="D45" s="558">
        <f>'[4]Sch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'[4]Sch C'!D31</f>
        <v>0</v>
      </c>
      <c r="D46" s="558">
        <f>'[4]Sch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'[4]Sch C'!D32</f>
        <v>86217</v>
      </c>
      <c r="D47" s="558">
        <f>'[4]Sch C'!F32</f>
        <v>0</v>
      </c>
      <c r="E47" s="171">
        <f t="shared" si="4"/>
        <v>86217</v>
      </c>
      <c r="F47" s="171"/>
      <c r="G47" s="171">
        <f t="shared" si="5"/>
        <v>86217</v>
      </c>
      <c r="H47" s="172">
        <f t="shared" si="6"/>
        <v>9.2795874906549738E-3</v>
      </c>
      <c r="I47" s="336"/>
      <c r="J47" s="168"/>
      <c r="K47" s="168"/>
      <c r="M47" s="359">
        <f t="shared" si="7"/>
        <v>2.5638456048530984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'[4]Sch C'!D33</f>
        <v>0</v>
      </c>
      <c r="D48" s="558">
        <f>'[4]Sch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'[4]Sch C'!D34</f>
        <v>1115</v>
      </c>
      <c r="D49" s="558">
        <f>'[4]Sch C'!F34</f>
        <v>0</v>
      </c>
      <c r="E49" s="171">
        <f t="shared" si="4"/>
        <v>1115</v>
      </c>
      <c r="F49" s="171"/>
      <c r="G49" s="171">
        <f t="shared" si="5"/>
        <v>1115</v>
      </c>
      <c r="H49" s="172">
        <f t="shared" si="6"/>
        <v>1.2000811965250815E-4</v>
      </c>
      <c r="I49" s="336"/>
      <c r="J49" s="168"/>
      <c r="K49" s="168"/>
      <c r="M49" s="359">
        <f t="shared" si="7"/>
        <v>3.3156893065302721E-2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'[4]Sch C'!D35</f>
        <v>414</v>
      </c>
      <c r="D50" s="558">
        <f>'[4]Sch C'!F35</f>
        <v>-414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'[4]Sch C'!D36</f>
        <v>0</v>
      </c>
      <c r="D51" s="558">
        <f>'[4]Sch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'[4]Sch C'!D37</f>
        <v>0</v>
      </c>
      <c r="D52" s="558">
        <f>'[4]Sch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'[4]Sch C'!D38</f>
        <v>13</v>
      </c>
      <c r="D53" s="558">
        <f>'[4]Sch C'!F38</f>
        <v>-13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'[4]Sch C'!D39</f>
        <v>5183</v>
      </c>
      <c r="D54" s="558">
        <f>'[4]Sch C'!F39</f>
        <v>0</v>
      </c>
      <c r="E54" s="171">
        <f t="shared" si="4"/>
        <v>5183</v>
      </c>
      <c r="F54" s="171"/>
      <c r="G54" s="171">
        <f t="shared" si="5"/>
        <v>5183</v>
      </c>
      <c r="H54" s="172">
        <f t="shared" si="6"/>
        <v>5.5784940283313883E-4</v>
      </c>
      <c r="I54" s="336"/>
      <c r="J54" s="168"/>
      <c r="K54" s="168"/>
      <c r="M54" s="359">
        <f t="shared" si="7"/>
        <v>0.15412751278696324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'[4]Sch C'!D40</f>
        <v>4962</v>
      </c>
      <c r="D55" s="558">
        <f>'[4]Sch C'!F40</f>
        <v>-4962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'[4]Sch C'!D41</f>
        <v>196184</v>
      </c>
      <c r="D56" s="558">
        <f>'[4]Sch C'!F41</f>
        <v>-2647</v>
      </c>
      <c r="E56" s="171">
        <f t="shared" si="4"/>
        <v>193537</v>
      </c>
      <c r="F56" s="171"/>
      <c r="G56" s="171">
        <f t="shared" si="5"/>
        <v>193537</v>
      </c>
      <c r="H56" s="172">
        <f t="shared" si="6"/>
        <v>2.0830503545459615E-2</v>
      </c>
      <c r="I56" s="336"/>
      <c r="J56" s="168"/>
      <c r="K56" s="168"/>
      <c r="M56" s="359">
        <f t="shared" si="7"/>
        <v>5.7552337337932675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'[4]Sch C'!D42</f>
        <v>552</v>
      </c>
      <c r="D57" s="558">
        <f>'[4]Sch C'!F42</f>
        <v>0</v>
      </c>
      <c r="E57" s="171">
        <f t="shared" si="4"/>
        <v>552</v>
      </c>
      <c r="F57" s="171"/>
      <c r="G57" s="171">
        <f t="shared" si="5"/>
        <v>552</v>
      </c>
      <c r="H57" s="172">
        <f t="shared" si="6"/>
        <v>5.9412091523035427E-5</v>
      </c>
      <c r="I57" s="336"/>
      <c r="J57" s="168"/>
      <c r="K57" s="168"/>
      <c r="M57" s="359">
        <f t="shared" si="7"/>
        <v>1.6414892351611751E-2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'[4]Sch C'!D43</f>
        <v>18423</v>
      </c>
      <c r="D58" s="558">
        <f>'[4]Sch C'!F43</f>
        <v>-18423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'[4]Sch C'!D44</f>
        <v>0</v>
      </c>
      <c r="D59" s="558">
        <f>'[4]Sch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'[4]Sch C'!D45</f>
        <v>6659</v>
      </c>
      <c r="D60" s="558">
        <f>'[4]Sch C'!F45</f>
        <v>-11232</v>
      </c>
      <c r="E60" s="171">
        <f t="shared" si="4"/>
        <v>-4573</v>
      </c>
      <c r="F60" s="171"/>
      <c r="G60" s="171">
        <f t="shared" si="5"/>
        <v>-4573</v>
      </c>
      <c r="H60" s="172">
        <f t="shared" si="6"/>
        <v>-4.9219473647616125E-4</v>
      </c>
      <c r="I60" s="336"/>
      <c r="J60" s="168"/>
      <c r="K60" s="168"/>
      <c r="M60" s="359">
        <f t="shared" si="7"/>
        <v>-0.13598786725347925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2177446</v>
      </c>
      <c r="D61" s="558">
        <f>SUM(D25:D60)</f>
        <v>-425279</v>
      </c>
      <c r="E61" s="171">
        <f t="shared" ref="E61:F61" si="8">SUM(E25:E60)</f>
        <v>1752167</v>
      </c>
      <c r="F61" s="171">
        <f t="shared" si="8"/>
        <v>0</v>
      </c>
      <c r="G61" s="171">
        <f>SUM(G25:G60)</f>
        <v>1752167</v>
      </c>
      <c r="H61" s="186">
        <f t="shared" si="6"/>
        <v>0.18858678653558408</v>
      </c>
      <c r="I61" s="338"/>
      <c r="J61" s="168"/>
      <c r="K61" s="168"/>
      <c r="M61" s="364">
        <f>G61/G$228</f>
        <v>52.104407041750925</v>
      </c>
      <c r="N61" s="359">
        <f>SUMMARY!J64</f>
        <v>53.728790309602623</v>
      </c>
      <c r="O61" s="354">
        <f>M61/N61-1</f>
        <v>-3.0233013966841193E-2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'[4]Sch C'!D57</f>
        <v>857104</v>
      </c>
      <c r="D64" s="558">
        <f>'[4]Sch C'!F57</f>
        <v>0</v>
      </c>
      <c r="E64" s="171">
        <f t="shared" ref="E64:E78" si="9">C64+D64</f>
        <v>857104</v>
      </c>
      <c r="F64" s="171"/>
      <c r="G64" s="171">
        <f t="shared" ref="G64:G78" si="10">E64+F64</f>
        <v>857104</v>
      </c>
      <c r="H64" s="172">
        <f t="shared" ref="H64:H79" si="11">IF($G$208=0,0,G64/$G$208)</f>
        <v>9.2250618283985064E-2</v>
      </c>
      <c r="I64" s="336"/>
      <c r="J64" s="190"/>
      <c r="K64" s="168"/>
      <c r="M64" s="359">
        <f t="shared" ref="M64:M79" si="12">G64/G$228</f>
        <v>25.487807779231591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'[4]Sch C'!D58</f>
        <v>29247</v>
      </c>
      <c r="D65" s="558">
        <f>'[4]Sch C'!F58</f>
        <v>0</v>
      </c>
      <c r="E65" s="171">
        <f t="shared" si="9"/>
        <v>29247</v>
      </c>
      <c r="F65" s="171"/>
      <c r="G65" s="171">
        <f t="shared" si="10"/>
        <v>29247</v>
      </c>
      <c r="H65" s="172">
        <f t="shared" si="11"/>
        <v>3.1478721753156105E-3</v>
      </c>
      <c r="I65" s="336"/>
      <c r="J65" s="190"/>
      <c r="K65" s="168"/>
      <c r="M65" s="359">
        <f t="shared" si="12"/>
        <v>0.86972166052099442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'[4]Sch C'!D59</f>
        <v>0</v>
      </c>
      <c r="D66" s="558">
        <f>'[4]Sch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'[4]Sch C'!D60</f>
        <v>26884</v>
      </c>
      <c r="D67" s="558">
        <f>'[4]Sch C'!F60</f>
        <v>0</v>
      </c>
      <c r="E67" s="171">
        <f t="shared" si="9"/>
        <v>26884</v>
      </c>
      <c r="F67" s="171"/>
      <c r="G67" s="171">
        <f t="shared" si="10"/>
        <v>26884</v>
      </c>
      <c r="H67" s="172">
        <f t="shared" si="11"/>
        <v>2.8935410661327615E-3</v>
      </c>
      <c r="I67" s="336"/>
      <c r="J67" s="193"/>
      <c r="K67" s="168"/>
      <c r="M67" s="359">
        <f t="shared" si="12"/>
        <v>0.79945283692161295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'[4]Sch C'!D61</f>
        <v>5982</v>
      </c>
      <c r="D68" s="558">
        <f>'[4]Sch C'!F61</f>
        <v>0</v>
      </c>
      <c r="E68" s="171">
        <f t="shared" si="9"/>
        <v>5982</v>
      </c>
      <c r="F68" s="171"/>
      <c r="G68" s="171">
        <f t="shared" si="10"/>
        <v>5982</v>
      </c>
      <c r="H68" s="172">
        <f t="shared" si="11"/>
        <v>6.4384625270072081E-4</v>
      </c>
      <c r="I68" s="336"/>
      <c r="J68" s="193"/>
      <c r="K68" s="168"/>
      <c r="M68" s="359">
        <f t="shared" si="12"/>
        <v>0.17788747472344474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'[4]Sch C'!D62</f>
        <v>702</v>
      </c>
      <c r="D69" s="558">
        <f>'[4]Sch C'!F62</f>
        <v>0</v>
      </c>
      <c r="E69" s="171">
        <f t="shared" si="9"/>
        <v>702</v>
      </c>
      <c r="F69" s="171"/>
      <c r="G69" s="171">
        <f t="shared" si="10"/>
        <v>702</v>
      </c>
      <c r="H69" s="172">
        <f t="shared" si="11"/>
        <v>7.5556681610816786E-5</v>
      </c>
      <c r="I69" s="336"/>
      <c r="J69" s="195"/>
      <c r="K69" s="168"/>
      <c r="M69" s="359">
        <f t="shared" si="12"/>
        <v>2.0875460925419292E-2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'[4]Sch C'!D63</f>
        <v>0</v>
      </c>
      <c r="D70" s="558">
        <f>'[4]Sch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'[4]Sch C'!D64</f>
        <v>0</v>
      </c>
      <c r="D71" s="558">
        <f>'[4]Sch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'[4]Sch C'!D65</f>
        <v>482</v>
      </c>
      <c r="D72" s="558">
        <f>'[4]Sch C'!F65</f>
        <v>0</v>
      </c>
      <c r="E72" s="171">
        <f t="shared" si="9"/>
        <v>482</v>
      </c>
      <c r="F72" s="171"/>
      <c r="G72" s="171">
        <f t="shared" si="10"/>
        <v>482</v>
      </c>
      <c r="H72" s="172">
        <f t="shared" si="11"/>
        <v>5.1877949482070785E-5</v>
      </c>
      <c r="I72" s="336"/>
      <c r="J72" s="195"/>
      <c r="K72" s="168"/>
      <c r="M72" s="359">
        <f t="shared" si="12"/>
        <v>1.4333293683834899E-2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'[4]Sch C'!D66</f>
        <v>94886</v>
      </c>
      <c r="D73" s="558">
        <f>'[4]Sch C'!F66</f>
        <v>192</v>
      </c>
      <c r="E73" s="171">
        <f t="shared" si="9"/>
        <v>95078</v>
      </c>
      <c r="F73" s="171"/>
      <c r="G73" s="171">
        <f t="shared" si="10"/>
        <v>95078</v>
      </c>
      <c r="H73" s="172">
        <f t="shared" si="11"/>
        <v>1.0233302242440512E-2</v>
      </c>
      <c r="I73" s="336"/>
      <c r="J73" s="195"/>
      <c r="K73" s="168"/>
      <c r="M73" s="359">
        <f t="shared" si="12"/>
        <v>2.8273462590698228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'[4]Sch C'!D67</f>
        <v>50745</v>
      </c>
      <c r="D74" s="558">
        <f>'[4]Sch C'!F67</f>
        <v>0</v>
      </c>
      <c r="E74" s="171">
        <f t="shared" si="9"/>
        <v>50745</v>
      </c>
      <c r="F74" s="171"/>
      <c r="G74" s="171">
        <f t="shared" si="10"/>
        <v>50745</v>
      </c>
      <c r="H74" s="172">
        <f t="shared" si="11"/>
        <v>5.4617148266964356E-3</v>
      </c>
      <c r="I74" s="336"/>
      <c r="J74" s="195"/>
      <c r="K74" s="168"/>
      <c r="M74" s="359">
        <f t="shared" si="12"/>
        <v>1.5090103485190913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'[4]Sch C'!D68</f>
        <v>0</v>
      </c>
      <c r="D75" s="558">
        <f>'[4]Sch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'[4]Sch C'!D69</f>
        <v>4186</v>
      </c>
      <c r="D76" s="558">
        <f>'[4]Sch C'!F69</f>
        <v>0</v>
      </c>
      <c r="E76" s="171">
        <f t="shared" si="9"/>
        <v>4186</v>
      </c>
      <c r="F76" s="171"/>
      <c r="G76" s="171">
        <f t="shared" si="10"/>
        <v>4186</v>
      </c>
      <c r="H76" s="172">
        <f t="shared" si="11"/>
        <v>4.5054169404968529E-4</v>
      </c>
      <c r="I76" s="336"/>
      <c r="J76" s="195"/>
      <c r="K76" s="168"/>
      <c r="M76" s="359">
        <f t="shared" si="12"/>
        <v>0.12447960033305579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'[4]Sch C'!D70</f>
        <v>0</v>
      </c>
      <c r="D77" s="558">
        <f>'[4]Sch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'[4]Sch C'!D71</f>
        <v>0</v>
      </c>
      <c r="D78" s="558">
        <f>'[4]Sch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1070218</v>
      </c>
      <c r="D79" s="558">
        <f>SUM(D64:D78)</f>
        <v>192</v>
      </c>
      <c r="E79" s="171">
        <f t="shared" ref="E79:F79" si="13">SUM(E64:E78)</f>
        <v>1070410</v>
      </c>
      <c r="F79" s="171">
        <f t="shared" si="13"/>
        <v>0</v>
      </c>
      <c r="G79" s="171">
        <f>SUM(G64:G78)</f>
        <v>1070410</v>
      </c>
      <c r="H79" s="172">
        <f t="shared" si="11"/>
        <v>0.11520887117241367</v>
      </c>
      <c r="I79" s="336"/>
      <c r="J79" s="195"/>
      <c r="K79" s="168"/>
      <c r="M79" s="359">
        <f t="shared" si="12"/>
        <v>31.83091471392887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'[4]Sch C'!D75</f>
        <v>61393</v>
      </c>
      <c r="D82" s="558">
        <f>'[4]Sch C'!F75</f>
        <v>0</v>
      </c>
      <c r="E82" s="171">
        <f t="shared" ref="E82:E92" si="14">C82+D82</f>
        <v>61393</v>
      </c>
      <c r="F82" s="171"/>
      <c r="G82" s="171">
        <f t="shared" ref="G82:G92" si="15">E82+F82</f>
        <v>61393</v>
      </c>
      <c r="H82" s="172">
        <f t="shared" ref="H82:H93" si="16">IF($G$208=0,0,G82/$G$208)</f>
        <v>6.6077654617277427E-3</v>
      </c>
      <c r="I82" s="336"/>
      <c r="J82" s="183">
        <v>3754</v>
      </c>
      <c r="K82" s="183">
        <v>4187</v>
      </c>
      <c r="M82" s="359">
        <f t="shared" ref="M82:M92" si="17">G82/G$228</f>
        <v>1.8256512430117759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'[4]Sch C'!D76</f>
        <v>27979</v>
      </c>
      <c r="D83" s="558">
        <f>'[4]Sch C'!F76</f>
        <v>0</v>
      </c>
      <c r="E83" s="171">
        <f t="shared" si="14"/>
        <v>27979</v>
      </c>
      <c r="F83" s="171"/>
      <c r="G83" s="171">
        <f t="shared" si="15"/>
        <v>27979</v>
      </c>
      <c r="H83" s="172">
        <f t="shared" si="16"/>
        <v>3.0113965737735655E-3</v>
      </c>
      <c r="I83" s="336"/>
      <c r="J83" s="168"/>
      <c r="K83" s="168"/>
      <c r="M83" s="359">
        <f t="shared" si="17"/>
        <v>0.83201498751040803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'[4]Sch C'!D77</f>
        <v>11244</v>
      </c>
      <c r="D84" s="558">
        <f>'[4]Sch C'!F77</f>
        <v>0</v>
      </c>
      <c r="E84" s="171">
        <f t="shared" si="14"/>
        <v>11244</v>
      </c>
      <c r="F84" s="171"/>
      <c r="G84" s="171">
        <f t="shared" si="15"/>
        <v>11244</v>
      </c>
      <c r="H84" s="172">
        <f t="shared" si="16"/>
        <v>1.2101984729800911E-3</v>
      </c>
      <c r="I84" s="336"/>
      <c r="J84" s="168"/>
      <c r="K84" s="168"/>
      <c r="M84" s="359">
        <f t="shared" si="17"/>
        <v>0.33436422029261331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'[4]Sch C'!D78</f>
        <v>0</v>
      </c>
      <c r="D85" s="558">
        <f>'[4]Sch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'[4]Sch C'!D79</f>
        <v>1260</v>
      </c>
      <c r="D86" s="558">
        <f>'[4]Sch C'!F79</f>
        <v>0</v>
      </c>
      <c r="E86" s="171">
        <f t="shared" si="14"/>
        <v>1260</v>
      </c>
      <c r="F86" s="171"/>
      <c r="G86" s="171">
        <f>E86+F86</f>
        <v>1260</v>
      </c>
      <c r="H86" s="172">
        <f t="shared" si="16"/>
        <v>1.3561455673736348E-4</v>
      </c>
      <c r="I86" s="336"/>
      <c r="J86" s="168"/>
      <c r="K86" s="168"/>
      <c r="M86" s="359">
        <f t="shared" si="17"/>
        <v>3.7468776019983351E-2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'[4]Sch C'!D80</f>
        <v>21968</v>
      </c>
      <c r="D87" s="558">
        <f>'[4]Sch C'!F80</f>
        <v>0</v>
      </c>
      <c r="E87" s="171">
        <f t="shared" si="14"/>
        <v>21968</v>
      </c>
      <c r="F87" s="171"/>
      <c r="G87" s="171">
        <f t="shared" si="15"/>
        <v>21968</v>
      </c>
      <c r="H87" s="172">
        <f t="shared" si="16"/>
        <v>2.3644290336558736E-3</v>
      </c>
      <c r="I87" s="336"/>
      <c r="J87" s="168"/>
      <c r="K87" s="168"/>
      <c r="M87" s="359">
        <f t="shared" si="17"/>
        <v>0.65326513619602711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'[4]Sch C'!D81</f>
        <v>29224</v>
      </c>
      <c r="D88" s="558">
        <f>'[4]Sch C'!F81</f>
        <v>0</v>
      </c>
      <c r="E88" s="171">
        <f t="shared" si="14"/>
        <v>29224</v>
      </c>
      <c r="F88" s="171"/>
      <c r="G88" s="171">
        <f t="shared" si="15"/>
        <v>29224</v>
      </c>
      <c r="H88" s="172">
        <f t="shared" si="16"/>
        <v>3.1453966715021507E-3</v>
      </c>
      <c r="I88" s="336"/>
      <c r="J88" s="168"/>
      <c r="K88" s="168"/>
      <c r="M88" s="359">
        <f t="shared" si="17"/>
        <v>0.86903770667301061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'[4]Sch C'!D82</f>
        <v>21487</v>
      </c>
      <c r="D89" s="558">
        <f>'[4]Sch C'!F82</f>
        <v>0</v>
      </c>
      <c r="E89" s="171">
        <f t="shared" si="14"/>
        <v>21487</v>
      </c>
      <c r="F89" s="171"/>
      <c r="G89" s="171">
        <f t="shared" si="15"/>
        <v>21487</v>
      </c>
      <c r="H89" s="172">
        <f t="shared" si="16"/>
        <v>2.3126587147743881E-3</v>
      </c>
      <c r="I89" s="336"/>
      <c r="J89" s="168"/>
      <c r="K89" s="168"/>
      <c r="M89" s="359">
        <f t="shared" si="17"/>
        <v>0.63896157963601763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'[4]Sch C'!D83</f>
        <v>956</v>
      </c>
      <c r="D90" s="558">
        <f>'[4]Sch C'!F83</f>
        <v>0</v>
      </c>
      <c r="E90" s="171">
        <f t="shared" si="14"/>
        <v>956</v>
      </c>
      <c r="F90" s="171"/>
      <c r="G90" s="171">
        <f t="shared" si="15"/>
        <v>956</v>
      </c>
      <c r="H90" s="172">
        <f t="shared" si="16"/>
        <v>1.028948541594599E-4</v>
      </c>
      <c r="I90" s="336"/>
      <c r="J90" s="168"/>
      <c r="K90" s="168"/>
      <c r="M90" s="359">
        <f t="shared" si="17"/>
        <v>2.8428690377066732E-2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'[4]Sch C'!D84</f>
        <v>151296</v>
      </c>
      <c r="D91" s="558">
        <f>'[4]Sch C'!F84</f>
        <v>0</v>
      </c>
      <c r="E91" s="171">
        <f t="shared" si="14"/>
        <v>151296</v>
      </c>
      <c r="F91" s="171"/>
      <c r="G91" s="171">
        <f t="shared" si="15"/>
        <v>151296</v>
      </c>
      <c r="H91" s="172">
        <f t="shared" si="16"/>
        <v>1.6284079346139797E-2</v>
      </c>
      <c r="I91" s="336"/>
      <c r="J91" s="168"/>
      <c r="K91" s="168"/>
      <c r="M91" s="359">
        <f t="shared" si="17"/>
        <v>4.4991078862852385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'[4]Sch C'!D85</f>
        <v>0</v>
      </c>
      <c r="D92" s="558">
        <f>'[4]Sch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326807</v>
      </c>
      <c r="D93" s="558">
        <f>SUM(D82:D92)</f>
        <v>0</v>
      </c>
      <c r="E93" s="171">
        <f t="shared" ref="E93:F93" si="18">SUM(E82:E92)</f>
        <v>326807</v>
      </c>
      <c r="F93" s="171">
        <f t="shared" si="18"/>
        <v>0</v>
      </c>
      <c r="G93" s="171">
        <f>SUM(G82:G92)</f>
        <v>326807</v>
      </c>
      <c r="H93" s="172">
        <f t="shared" si="16"/>
        <v>3.5174433685450431E-2</v>
      </c>
      <c r="I93" s="336"/>
      <c r="J93" s="168"/>
      <c r="K93" s="168"/>
      <c r="M93" s="364">
        <f>G93/G$228</f>
        <v>9.7183002260021407</v>
      </c>
      <c r="N93" s="359">
        <f>SUMMARY!J96</f>
        <v>11.458724454710746</v>
      </c>
      <c r="O93" s="354">
        <f>M93/N93-1</f>
        <v>-0.15188638452625558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'[4]Sch C'!D89</f>
        <v>138432</v>
      </c>
      <c r="D96" s="558">
        <f>'[4]Sch C'!F89</f>
        <v>0</v>
      </c>
      <c r="E96" s="171">
        <f t="shared" ref="E96:E101" si="19">C96+D96</f>
        <v>138432</v>
      </c>
      <c r="F96" s="171"/>
      <c r="G96" s="171">
        <f t="shared" ref="G96:G101" si="20">E96+F96</f>
        <v>138432</v>
      </c>
      <c r="H96" s="172">
        <f t="shared" ref="H96:H102" si="21">IF($G$208=0,0,G96/$G$208)</f>
        <v>1.4899519300211666E-2</v>
      </c>
      <c r="I96" s="336"/>
      <c r="J96" s="183">
        <v>11340</v>
      </c>
      <c r="K96" s="183">
        <v>12856</v>
      </c>
      <c r="M96" s="364">
        <f t="shared" ref="M96:M101" si="22">G96/G$228</f>
        <v>4.1165695253955041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'[4]Sch C'!D90</f>
        <v>35733</v>
      </c>
      <c r="D97" s="558">
        <f>'[4]Sch C'!F90</f>
        <v>0</v>
      </c>
      <c r="E97" s="171">
        <f t="shared" si="19"/>
        <v>35733</v>
      </c>
      <c r="F97" s="171"/>
      <c r="G97" s="171">
        <f t="shared" si="20"/>
        <v>35733</v>
      </c>
      <c r="H97" s="172">
        <f t="shared" si="21"/>
        <v>3.8459642507112767E-3</v>
      </c>
      <c r="I97" s="336"/>
      <c r="J97" s="168"/>
      <c r="K97" s="168"/>
      <c r="M97" s="364">
        <f t="shared" si="22"/>
        <v>1.0625966456524325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'[4]Sch C'!D91</f>
        <v>354576</v>
      </c>
      <c r="D98" s="558">
        <f>'[4]Sch C'!F91</f>
        <v>0</v>
      </c>
      <c r="E98" s="171">
        <f t="shared" si="19"/>
        <v>354576</v>
      </c>
      <c r="F98" s="171"/>
      <c r="G98" s="171">
        <f t="shared" si="20"/>
        <v>354576</v>
      </c>
      <c r="H98" s="172">
        <f t="shared" si="21"/>
        <v>3.8163227833101103E-2</v>
      </c>
      <c r="I98" s="336"/>
      <c r="J98" s="168"/>
      <c r="K98" s="168"/>
      <c r="M98" s="364">
        <f t="shared" si="22"/>
        <v>10.544070417509218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'[4]Sch C'!D92</f>
        <v>99213</v>
      </c>
      <c r="D99" s="558">
        <f>'[4]Sch C'!F92</f>
        <v>-13816</v>
      </c>
      <c r="E99" s="171">
        <f t="shared" si="19"/>
        <v>85397</v>
      </c>
      <c r="F99" s="171"/>
      <c r="G99" s="171">
        <f t="shared" si="20"/>
        <v>85397</v>
      </c>
      <c r="H99" s="172">
        <f t="shared" si="21"/>
        <v>9.1913303981751016E-3</v>
      </c>
      <c r="I99" s="336"/>
      <c r="J99" s="168"/>
      <c r="K99" s="168"/>
      <c r="M99" s="364">
        <f t="shared" si="22"/>
        <v>2.5394611633162842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'[4]Sch C'!D93</f>
        <v>13946</v>
      </c>
      <c r="D100" s="558">
        <f>'[4]Sch C'!F93</f>
        <v>0</v>
      </c>
      <c r="E100" s="171">
        <f t="shared" si="19"/>
        <v>13946</v>
      </c>
      <c r="F100" s="171"/>
      <c r="G100" s="171">
        <f t="shared" si="20"/>
        <v>13946</v>
      </c>
      <c r="H100" s="172">
        <f t="shared" si="21"/>
        <v>1.5010163557613262E-3</v>
      </c>
      <c r="I100" s="336"/>
      <c r="J100" s="168"/>
      <c r="K100" s="168"/>
      <c r="M100" s="364">
        <f t="shared" si="22"/>
        <v>0.41471392886879982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'[4]Sch C'!D94</f>
        <v>0</v>
      </c>
      <c r="D101" s="558">
        <f>'[4]Sch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641900</v>
      </c>
      <c r="D102" s="558">
        <f>SUM(D96:D101)</f>
        <v>-13816</v>
      </c>
      <c r="E102" s="171">
        <f t="shared" ref="E102:F102" si="23">SUM(E96:E101)</f>
        <v>628084</v>
      </c>
      <c r="F102" s="171">
        <f t="shared" si="23"/>
        <v>0</v>
      </c>
      <c r="G102" s="171">
        <f>SUM(G96:G101)</f>
        <v>628084</v>
      </c>
      <c r="H102" s="172">
        <f t="shared" si="21"/>
        <v>6.7601058137960468E-2</v>
      </c>
      <c r="I102" s="336"/>
      <c r="J102" s="168"/>
      <c r="K102" s="168"/>
      <c r="M102" s="364">
        <f>G102/G$228</f>
        <v>18.677411680742239</v>
      </c>
      <c r="N102" s="359">
        <f>SUMMARY!J105</f>
        <v>19.901077037785338</v>
      </c>
      <c r="O102" s="354">
        <f>M102/N102-1</f>
        <v>-6.1487393607882468E-2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'[4]Sch C'!D98</f>
        <v>0</v>
      </c>
      <c r="D105" s="558">
        <f>'[4]Sch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'[4]Sch C'!D99</f>
        <v>0</v>
      </c>
      <c r="D106" s="558">
        <f>'[4]Sch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'[4]Sch C'!D100</f>
        <v>2318</v>
      </c>
      <c r="D107" s="558">
        <f>'[4]Sch C'!F100</f>
        <v>0</v>
      </c>
      <c r="E107" s="171">
        <f t="shared" si="24"/>
        <v>2318</v>
      </c>
      <c r="F107" s="171"/>
      <c r="G107" s="171">
        <f t="shared" si="25"/>
        <v>2318</v>
      </c>
      <c r="H107" s="172">
        <f t="shared" si="26"/>
        <v>2.4948773215651467E-4</v>
      </c>
      <c r="I107" s="336"/>
      <c r="J107" s="168"/>
      <c r="K107" s="168"/>
      <c r="M107" s="364">
        <f t="shared" si="27"/>
        <v>6.8930653027239205E-2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'[4]Sch C'!D101</f>
        <v>94417</v>
      </c>
      <c r="D108" s="558">
        <f>'[4]Sch C'!F101</f>
        <v>0</v>
      </c>
      <c r="E108" s="171">
        <f t="shared" si="24"/>
        <v>94417</v>
      </c>
      <c r="F108" s="171"/>
      <c r="G108" s="171">
        <f t="shared" si="25"/>
        <v>94417</v>
      </c>
      <c r="H108" s="172">
        <f t="shared" si="26"/>
        <v>1.0162158415453688E-2</v>
      </c>
      <c r="I108" s="336"/>
      <c r="J108" s="168"/>
      <c r="K108" s="168"/>
      <c r="M108" s="364">
        <f t="shared" si="27"/>
        <v>2.8076900202212443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'[4]Sch C'!D102</f>
        <v>8411</v>
      </c>
      <c r="D109" s="558">
        <f>'[4]Sch C'!F102</f>
        <v>0</v>
      </c>
      <c r="E109" s="171">
        <f t="shared" si="24"/>
        <v>8411</v>
      </c>
      <c r="F109" s="171"/>
      <c r="G109" s="171">
        <f t="shared" si="25"/>
        <v>8411</v>
      </c>
      <c r="H109" s="172">
        <f t="shared" si="26"/>
        <v>9.0528098152219377E-4</v>
      </c>
      <c r="I109" s="336"/>
      <c r="J109" s="168"/>
      <c r="K109" s="168"/>
      <c r="M109" s="364">
        <f t="shared" si="27"/>
        <v>0.25011894849530153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'[4]Sch C'!D103</f>
        <v>0</v>
      </c>
      <c r="D110" s="558">
        <f>'[4]Sch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105146</v>
      </c>
      <c r="D111" s="558">
        <f>SUM(D105:D110)</f>
        <v>0</v>
      </c>
      <c r="E111" s="171">
        <f t="shared" ref="E111:F111" si="28">SUM(E105:E110)</f>
        <v>105146</v>
      </c>
      <c r="F111" s="171">
        <f t="shared" si="28"/>
        <v>0</v>
      </c>
      <c r="G111" s="171">
        <f>SUM(G105:G110)</f>
        <v>105146</v>
      </c>
      <c r="H111" s="172">
        <f t="shared" si="26"/>
        <v>1.1316927129132397E-2</v>
      </c>
      <c r="I111" s="336"/>
      <c r="J111" s="168"/>
      <c r="K111" s="168"/>
      <c r="M111" s="364">
        <f>G111/G$228</f>
        <v>3.1267396217437851</v>
      </c>
      <c r="N111" s="359">
        <f>SUMMARY!J114</f>
        <v>2.4242384372309496</v>
      </c>
      <c r="O111" s="354">
        <f>M111/N111-1</f>
        <v>0.28978221519961411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'[4]Sch C'!D115</f>
        <v>0</v>
      </c>
      <c r="D114" s="558">
        <f>'[4]Sch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'[4]Sch C'!D116</f>
        <v>0</v>
      </c>
      <c r="D115" s="558">
        <f>'[4]Sch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'[4]Sch C'!D117</f>
        <v>17662</v>
      </c>
      <c r="D116" s="558">
        <f>'[4]Sch C'!F117</f>
        <v>0</v>
      </c>
      <c r="E116" s="171">
        <f t="shared" si="29"/>
        <v>17662</v>
      </c>
      <c r="F116" s="171"/>
      <c r="G116" s="171">
        <f>E116+F116</f>
        <v>17662</v>
      </c>
      <c r="H116" s="172">
        <f t="shared" si="30"/>
        <v>1.9009716675359631E-3</v>
      </c>
      <c r="I116" s="336"/>
      <c r="J116" s="168"/>
      <c r="K116" s="168"/>
      <c r="M116" s="364">
        <f t="shared" si="31"/>
        <v>0.52521708100392528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'[4]Sch C'!D118</f>
        <v>141625</v>
      </c>
      <c r="D117" s="558">
        <f>'[4]Sch C'!F118</f>
        <v>0</v>
      </c>
      <c r="E117" s="171">
        <f t="shared" si="29"/>
        <v>141625</v>
      </c>
      <c r="F117" s="171"/>
      <c r="G117" s="171">
        <f>E117+F117</f>
        <v>141625</v>
      </c>
      <c r="H117" s="172">
        <f t="shared" si="30"/>
        <v>1.5243183807880239E-2</v>
      </c>
      <c r="I117" s="336"/>
      <c r="J117" s="168"/>
      <c r="K117" s="168"/>
      <c r="M117" s="364">
        <f t="shared" si="31"/>
        <v>4.211520161769954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'[4]Sch C'!D119</f>
        <v>0</v>
      </c>
      <c r="D118" s="558">
        <f>'[4]Sch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159287</v>
      </c>
      <c r="D119" s="558">
        <f>SUM(D114:D118)</f>
        <v>0</v>
      </c>
      <c r="E119" s="171">
        <f t="shared" ref="E119:F119" si="32">SUM(E114:E118)</f>
        <v>159287</v>
      </c>
      <c r="F119" s="171">
        <f t="shared" si="32"/>
        <v>0</v>
      </c>
      <c r="G119" s="171">
        <f>SUM(G114:G118)</f>
        <v>159287</v>
      </c>
      <c r="H119" s="172">
        <f t="shared" si="30"/>
        <v>1.7144155475416201E-2</v>
      </c>
      <c r="I119" s="336"/>
      <c r="J119" s="168"/>
      <c r="K119" s="168"/>
      <c r="M119" s="364">
        <f t="shared" si="31"/>
        <v>4.736737242773879</v>
      </c>
      <c r="N119" s="359">
        <f>SUMMARY!J122</f>
        <v>6.0247597205909562</v>
      </c>
      <c r="O119" s="354">
        <f>M119/N119-1</f>
        <v>-0.21378819032649121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'[4]Sch C'!D124</f>
        <v>0</v>
      </c>
      <c r="D123" s="558">
        <f>'[4]Sch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'[4]Sch C'!D125</f>
        <v>243644</v>
      </c>
      <c r="D124" s="558">
        <f>'[4]Sch C'!F125</f>
        <v>0</v>
      </c>
      <c r="E124" s="171">
        <f t="shared" si="33"/>
        <v>243644</v>
      </c>
      <c r="F124" s="171"/>
      <c r="G124" s="171">
        <f>E124+F124</f>
        <v>243644</v>
      </c>
      <c r="H124" s="172">
        <f>IF($G$208=0,0,G124/$G$208)</f>
        <v>2.6223550048982688E-2</v>
      </c>
      <c r="I124" s="336"/>
      <c r="J124" s="183">
        <v>7962</v>
      </c>
      <c r="K124" s="183">
        <v>8448</v>
      </c>
      <c r="M124" s="364">
        <f t="shared" si="34"/>
        <v>7.245271797311764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'[4]Sch C'!D126</f>
        <v>0</v>
      </c>
      <c r="D125" s="558">
        <f>'[4]Sch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'[4]Sch C'!D127</f>
        <v>0</v>
      </c>
      <c r="D126" s="558">
        <f>'[4]Sch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'[4]Sch C'!D128</f>
        <v>87727</v>
      </c>
      <c r="D127" s="558">
        <f>'[4]Sch C'!F128</f>
        <v>0</v>
      </c>
      <c r="E127" s="171">
        <f t="shared" si="33"/>
        <v>87727</v>
      </c>
      <c r="F127" s="171"/>
      <c r="G127" s="171">
        <f>E127+F127</f>
        <v>87727</v>
      </c>
      <c r="H127" s="172">
        <f>IF($G$208=0,0,G127/$G$208)</f>
        <v>9.4421096975386386E-3</v>
      </c>
      <c r="I127" s="336"/>
      <c r="J127" s="183">
        <v>5356</v>
      </c>
      <c r="K127" s="183">
        <v>6157</v>
      </c>
      <c r="M127" s="364">
        <f t="shared" si="34"/>
        <v>2.608748661829428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'[4]Sch C'!D130</f>
        <v>0</v>
      </c>
      <c r="D129" s="558">
        <f>'[4]Sch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'[4]Sch C'!D131</f>
        <v>34063</v>
      </c>
      <c r="D130" s="558">
        <f>'[4]Sch C'!F131</f>
        <v>0</v>
      </c>
      <c r="E130" s="171">
        <f t="shared" si="35"/>
        <v>34063</v>
      </c>
      <c r="F130" s="171"/>
      <c r="G130" s="171">
        <f>E130+F130</f>
        <v>34063</v>
      </c>
      <c r="H130" s="172">
        <f>IF($G$208=0,0,G130/$G$208)</f>
        <v>3.6662211477339777E-3</v>
      </c>
      <c r="I130" s="336"/>
      <c r="J130" s="204"/>
      <c r="K130" s="204"/>
      <c r="M130" s="364">
        <f t="shared" si="34"/>
        <v>1.012935648864042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'[4]Sch C'!D132</f>
        <v>0</v>
      </c>
      <c r="D131" s="558">
        <f>'[4]Sch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'[4]Sch C'!D133</f>
        <v>0</v>
      </c>
      <c r="D132" s="558">
        <f>'[4]Sch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'[4]Sch C'!D134</f>
        <v>26382</v>
      </c>
      <c r="D133" s="558">
        <f>'[4]Sch C'!F134</f>
        <v>0</v>
      </c>
      <c r="E133" s="171">
        <f t="shared" si="35"/>
        <v>26382</v>
      </c>
      <c r="F133" s="171"/>
      <c r="G133" s="171">
        <f>E133+F133</f>
        <v>26382</v>
      </c>
      <c r="H133" s="172">
        <f>IF($G$208=0,0,G133/$G$208)</f>
        <v>2.8395105046389864E-3</v>
      </c>
      <c r="I133" s="336"/>
      <c r="J133" s="168"/>
      <c r="K133" s="168"/>
      <c r="M133" s="364">
        <f t="shared" si="34"/>
        <v>0.7845248007612704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'[4]Sch C'!D136</f>
        <v>1035158</v>
      </c>
      <c r="D135" s="558">
        <f>'[4]Sch C'!F136</f>
        <v>0</v>
      </c>
      <c r="E135" s="171">
        <f t="shared" ref="E135:E138" si="36">C135+D135</f>
        <v>1035158</v>
      </c>
      <c r="F135" s="171"/>
      <c r="G135" s="171">
        <f>E135+F135</f>
        <v>1035158</v>
      </c>
      <c r="H135" s="172">
        <f>IF($G$208=0,0,G135/$G$208)</f>
        <v>0.11141467724058389</v>
      </c>
      <c r="I135" s="336"/>
      <c r="J135" s="183">
        <v>35176</v>
      </c>
      <c r="K135" s="183">
        <v>37959</v>
      </c>
      <c r="M135" s="364">
        <f t="shared" si="34"/>
        <v>30.782621624836445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'[4]Sch C'!D137</f>
        <v>227035</v>
      </c>
      <c r="D136" s="558">
        <f>'[4]Sch C'!F137</f>
        <v>0</v>
      </c>
      <c r="E136" s="171">
        <f t="shared" si="36"/>
        <v>227035</v>
      </c>
      <c r="F136" s="171"/>
      <c r="G136" s="171">
        <f>E136+F136</f>
        <v>227035</v>
      </c>
      <c r="H136" s="172">
        <f>IF($G$208=0,0,G136/$G$208)</f>
        <v>2.4435913403862947E-2</v>
      </c>
      <c r="I136" s="336"/>
      <c r="J136" s="183">
        <v>8936</v>
      </c>
      <c r="K136" s="183">
        <v>9720</v>
      </c>
      <c r="M136" s="364">
        <f t="shared" si="34"/>
        <v>6.7513679076959674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'[4]Sch C'!D138</f>
        <v>831014</v>
      </c>
      <c r="D137" s="558">
        <f>'[4]Sch C'!F138</f>
        <v>26903</v>
      </c>
      <c r="E137" s="171">
        <f t="shared" si="36"/>
        <v>857917</v>
      </c>
      <c r="F137" s="171"/>
      <c r="G137" s="171">
        <f>E137+F137</f>
        <v>857917</v>
      </c>
      <c r="H137" s="172">
        <f>IF($G$208=0,0,G137/$G$208)</f>
        <v>9.2338121962260836E-2</v>
      </c>
      <c r="I137" s="336"/>
      <c r="J137" s="183">
        <v>68689</v>
      </c>
      <c r="K137" s="183">
        <v>73681</v>
      </c>
      <c r="M137" s="364">
        <f t="shared" si="34"/>
        <v>25.511984060901629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'[4]Sch C'!D139</f>
        <v>26903</v>
      </c>
      <c r="D138" s="558">
        <f>'[4]Sch C'!F139</f>
        <v>-26903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'[4]Sch C'!D141</f>
        <v>467082</v>
      </c>
      <c r="D140" s="558">
        <f>'[4]Sch C'!F141</f>
        <v>-238940</v>
      </c>
      <c r="E140" s="171">
        <f t="shared" ref="E140:E143" si="37">C140+D140</f>
        <v>228142</v>
      </c>
      <c r="F140" s="171"/>
      <c r="G140" s="171">
        <f>E140+F140</f>
        <v>228142</v>
      </c>
      <c r="H140" s="172">
        <f>IF($G$208=0,0,G140/$G$208)</f>
        <v>2.4555060478710776E-2</v>
      </c>
      <c r="I140" s="336"/>
      <c r="J140" s="168"/>
      <c r="K140" s="168"/>
      <c r="M140" s="364">
        <f t="shared" si="34"/>
        <v>6.784286903770667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'[4]Sch C'!D142</f>
        <v>0</v>
      </c>
      <c r="D141" s="558">
        <f>'[4]Sch C'!F142</f>
        <v>50037</v>
      </c>
      <c r="E141" s="171">
        <f t="shared" si="37"/>
        <v>50037</v>
      </c>
      <c r="F141" s="171"/>
      <c r="G141" s="171">
        <f>E141+F141</f>
        <v>50037</v>
      </c>
      <c r="H141" s="172">
        <f>IF($G$208=0,0,G141/$G$208)</f>
        <v>5.3855123614821076E-3</v>
      </c>
      <c r="I141" s="336"/>
      <c r="J141" s="168"/>
      <c r="K141" s="168"/>
      <c r="M141" s="364">
        <f t="shared" si="34"/>
        <v>1.4879564648507195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'[4]Sch C'!D143</f>
        <v>0</v>
      </c>
      <c r="D142" s="558">
        <f>'[4]Sch C'!F143</f>
        <v>188903</v>
      </c>
      <c r="E142" s="171">
        <f t="shared" si="37"/>
        <v>188903</v>
      </c>
      <c r="F142" s="171"/>
      <c r="G142" s="171">
        <f>E142+F142</f>
        <v>188903</v>
      </c>
      <c r="H142" s="172">
        <f>IF($G$208=0,0,G142/$G$208)</f>
        <v>2.0331743342347754E-2</v>
      </c>
      <c r="I142" s="336"/>
      <c r="J142" s="168"/>
      <c r="K142" s="168"/>
      <c r="M142" s="364">
        <f t="shared" si="34"/>
        <v>5.61743190198644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'[4]Sch C'!D144</f>
        <v>0</v>
      </c>
      <c r="D143" s="558">
        <f>'[4]Sch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'[4]Sch C'!D146</f>
        <v>50257</v>
      </c>
      <c r="D145" s="558">
        <f>'[4]Sch C'!F146</f>
        <v>0</v>
      </c>
      <c r="E145" s="171">
        <f t="shared" ref="E145:E153" si="38">C145+D145</f>
        <v>50257</v>
      </c>
      <c r="F145" s="171"/>
      <c r="G145" s="171">
        <f t="shared" ref="G145:G153" si="39">E145+F145</f>
        <v>50257</v>
      </c>
      <c r="H145" s="172">
        <f t="shared" ref="H145:H153" si="40">IF($G$208=0,0,G145/$G$208)</f>
        <v>5.4091910936108541E-3</v>
      </c>
      <c r="I145" s="336"/>
      <c r="J145" s="183">
        <v>192</v>
      </c>
      <c r="K145" s="183">
        <v>192</v>
      </c>
      <c r="M145" s="364">
        <f t="shared" si="34"/>
        <v>1.4944986320923039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'[4]Sch C'!D147</f>
        <v>60783</v>
      </c>
      <c r="D146" s="558">
        <f>'[4]Sch C'!F147</f>
        <v>0</v>
      </c>
      <c r="E146" s="171">
        <f t="shared" si="38"/>
        <v>60783</v>
      </c>
      <c r="F146" s="171"/>
      <c r="G146" s="171">
        <f t="shared" si="39"/>
        <v>60783</v>
      </c>
      <c r="H146" s="172">
        <f t="shared" si="40"/>
        <v>6.5421107953707652E-3</v>
      </c>
      <c r="I146" s="336"/>
      <c r="J146" s="183">
        <v>1233</v>
      </c>
      <c r="K146" s="183">
        <v>1233</v>
      </c>
      <c r="M146" s="364">
        <f t="shared" si="34"/>
        <v>1.8075115974782918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'[4]Sch C'!D148</f>
        <v>17452</v>
      </c>
      <c r="D147" s="558">
        <f>'[4]Sch C'!F148</f>
        <v>0</v>
      </c>
      <c r="E147" s="171">
        <f t="shared" si="38"/>
        <v>17452</v>
      </c>
      <c r="F147" s="171"/>
      <c r="G147" s="171">
        <f t="shared" si="39"/>
        <v>17452</v>
      </c>
      <c r="H147" s="172">
        <f t="shared" si="40"/>
        <v>1.8783692414130692E-3</v>
      </c>
      <c r="I147" s="336"/>
      <c r="J147" s="183">
        <v>515</v>
      </c>
      <c r="K147" s="183">
        <v>515</v>
      </c>
      <c r="M147" s="364">
        <f t="shared" si="34"/>
        <v>0.51897228500059478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'[4]Sch C'!D149</f>
        <v>68459</v>
      </c>
      <c r="D148" s="558">
        <f>'[4]Sch C'!F149</f>
        <v>0</v>
      </c>
      <c r="E148" s="171">
        <f t="shared" si="38"/>
        <v>68459</v>
      </c>
      <c r="F148" s="171"/>
      <c r="G148" s="171">
        <f t="shared" si="39"/>
        <v>68459</v>
      </c>
      <c r="H148" s="172">
        <f t="shared" si="40"/>
        <v>7.3682832854628302E-3</v>
      </c>
      <c r="I148" s="336"/>
      <c r="J148" s="183">
        <v>2534</v>
      </c>
      <c r="K148" s="183">
        <v>2534</v>
      </c>
      <c r="M148" s="364">
        <f t="shared" si="34"/>
        <v>2.0357737599619363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'[4]Sch C'!D150</f>
        <v>2537</v>
      </c>
      <c r="D149" s="558">
        <f>'[4]Sch C'!F150</f>
        <v>0</v>
      </c>
      <c r="E149" s="171">
        <f t="shared" si="38"/>
        <v>2537</v>
      </c>
      <c r="F149" s="171"/>
      <c r="G149" s="171">
        <f t="shared" si="39"/>
        <v>2537</v>
      </c>
      <c r="H149" s="172">
        <f t="shared" si="40"/>
        <v>2.7305883368467551E-4</v>
      </c>
      <c r="I149" s="336"/>
      <c r="J149" s="183">
        <v>0</v>
      </c>
      <c r="K149" s="183">
        <v>0</v>
      </c>
      <c r="M149" s="364">
        <f t="shared" si="34"/>
        <v>7.5443083144998216E-2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'[4]Sch C'!D151</f>
        <v>269987</v>
      </c>
      <c r="D150" s="558">
        <f>'[4]Sch C'!F151</f>
        <v>-2963</v>
      </c>
      <c r="E150" s="171">
        <f t="shared" si="38"/>
        <v>267024</v>
      </c>
      <c r="F150" s="171"/>
      <c r="G150" s="171">
        <f t="shared" si="39"/>
        <v>267024</v>
      </c>
      <c r="H150" s="172">
        <f t="shared" si="40"/>
        <v>2.8739953490664875E-2</v>
      </c>
      <c r="I150" s="336"/>
      <c r="J150" s="168"/>
      <c r="K150" s="168"/>
      <c r="M150" s="364">
        <f t="shared" si="34"/>
        <v>7.9405257523492327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'[4]Sch C'!D152</f>
        <v>3944</v>
      </c>
      <c r="D151" s="558">
        <f>'[4]Sch C'!F152</f>
        <v>-17</v>
      </c>
      <c r="E151" s="171">
        <f t="shared" si="38"/>
        <v>3927</v>
      </c>
      <c r="F151" s="171"/>
      <c r="G151" s="171">
        <f t="shared" si="39"/>
        <v>3927</v>
      </c>
      <c r="H151" s="172">
        <f t="shared" si="40"/>
        <v>4.2266536849811616E-4</v>
      </c>
      <c r="I151" s="336"/>
      <c r="J151" s="168"/>
      <c r="K151" s="168"/>
      <c r="M151" s="364">
        <f t="shared" si="34"/>
        <v>0.11677768526228144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'[4]Sch C'!D153</f>
        <v>0</v>
      </c>
      <c r="D152" s="558">
        <f>'[4]Sch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'[4]Sch C'!D154</f>
        <v>248</v>
      </c>
      <c r="D153" s="558">
        <f>'[4]Sch C'!F154</f>
        <v>0</v>
      </c>
      <c r="E153" s="171">
        <f t="shared" si="38"/>
        <v>248</v>
      </c>
      <c r="F153" s="171"/>
      <c r="G153" s="171">
        <f t="shared" si="39"/>
        <v>248</v>
      </c>
      <c r="H153" s="172">
        <f t="shared" si="40"/>
        <v>2.6692388945131857E-5</v>
      </c>
      <c r="I153" s="336"/>
      <c r="J153" s="168"/>
      <c r="K153" s="168"/>
      <c r="M153" s="364">
        <f t="shared" si="34"/>
        <v>7.3748067086951349E-3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'[4]Sch C'!D156</f>
        <v>0</v>
      </c>
      <c r="D155" s="558">
        <f>'[4]Sch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'[4]Sch C'!D157</f>
        <v>0</v>
      </c>
      <c r="D156" s="558">
        <f>'[4]Sch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'[4]Sch C'!D158</f>
        <v>1890</v>
      </c>
      <c r="D157" s="558">
        <f>'[4]Sch C'!F158</f>
        <v>0</v>
      </c>
      <c r="E157" s="171">
        <f t="shared" si="41"/>
        <v>1890</v>
      </c>
      <c r="F157" s="171"/>
      <c r="G157" s="171">
        <f t="shared" si="42"/>
        <v>1890</v>
      </c>
      <c r="H157" s="172">
        <f t="shared" si="43"/>
        <v>2.034218351060452E-4</v>
      </c>
      <c r="I157" s="336"/>
      <c r="J157" s="168"/>
      <c r="K157" s="168"/>
      <c r="M157" s="364">
        <f t="shared" si="34"/>
        <v>5.6203164029975022E-2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'[4]Sch C'!D159</f>
        <v>0</v>
      </c>
      <c r="D158" s="558">
        <f>'[4]Sch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'[4]Sch C'!D160</f>
        <v>0</v>
      </c>
      <c r="D159" s="558">
        <f>'[4]Sch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'[4]Sch C'!D161</f>
        <v>22562</v>
      </c>
      <c r="D160" s="558">
        <f>'[4]Sch C'!F161</f>
        <v>-199</v>
      </c>
      <c r="E160" s="171">
        <f t="shared" si="41"/>
        <v>22363</v>
      </c>
      <c r="F160" s="171"/>
      <c r="G160" s="171">
        <f t="shared" si="42"/>
        <v>22363</v>
      </c>
      <c r="H160" s="172">
        <f t="shared" si="43"/>
        <v>2.4069431208870312E-3</v>
      </c>
      <c r="I160" s="336"/>
      <c r="J160" s="168"/>
      <c r="K160" s="168"/>
      <c r="M160" s="364">
        <f t="shared" si="34"/>
        <v>0.66501130010705367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3477127</v>
      </c>
      <c r="D161" s="558">
        <f>SUM(D123:D160)</f>
        <v>-3179</v>
      </c>
      <c r="E161" s="171">
        <f t="shared" ref="E161:F161" si="44">SUM(E123:E160)</f>
        <v>3473948</v>
      </c>
      <c r="F161" s="171">
        <f t="shared" si="44"/>
        <v>0</v>
      </c>
      <c r="G161" s="171">
        <f>SUM(G123:G160)</f>
        <v>3473948</v>
      </c>
      <c r="H161" s="172">
        <f t="shared" si="43"/>
        <v>0.37390310964178597</v>
      </c>
      <c r="I161" s="336"/>
      <c r="J161" s="168"/>
      <c r="K161" s="168"/>
      <c r="M161" s="364">
        <f>G161/G$228</f>
        <v>103.30522183894374</v>
      </c>
      <c r="N161" s="359">
        <f>SUMMARY!J164</f>
        <v>105.56901037202306</v>
      </c>
      <c r="O161" s="354">
        <f>M161/N161-1</f>
        <v>-2.1443684326506229E-2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'[4]Sch C'!D175</f>
        <v>0</v>
      </c>
      <c r="D164" s="558">
        <f>'[4]Sch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'[4]Sch C'!D176</f>
        <v>0</v>
      </c>
      <c r="D165" s="558">
        <f>'[4]Sch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'[4]Sch C'!D177</f>
        <v>0</v>
      </c>
      <c r="D166" s="558">
        <f>'[4]Sch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'[4]Sch C'!D178</f>
        <v>0</v>
      </c>
      <c r="D167" s="558">
        <f>'[4]Sch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'[4]Sch C'!D179</f>
        <v>0</v>
      </c>
      <c r="D168" s="558">
        <f>'[4]Sch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'[4]Sch C'!D180</f>
        <v>0</v>
      </c>
      <c r="D169" s="558">
        <f>'[4]Sch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'[4]Sch C'!D181</f>
        <v>0</v>
      </c>
      <c r="D170" s="558">
        <f>'[4]Sch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'[4]Sch C'!D182</f>
        <v>0</v>
      </c>
      <c r="D171" s="558">
        <f>'[4]Sch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'[4]Sch C'!D183</f>
        <v>0</v>
      </c>
      <c r="D172" s="558">
        <f>'[4]Sch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'[4]Sch C'!D184</f>
        <v>0</v>
      </c>
      <c r="D173" s="558">
        <f>'[4]Sch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'[4]Sch C'!D185</f>
        <v>0</v>
      </c>
      <c r="D174" s="558">
        <f>'[4]Sch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'[4]Sch C'!D186</f>
        <v>0</v>
      </c>
      <c r="D175" s="558">
        <f>'[4]Sch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'[4]Sch C'!D187</f>
        <v>0</v>
      </c>
      <c r="D176" s="558">
        <f>'[4]Sch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'[4]Sch C'!D188</f>
        <v>0</v>
      </c>
      <c r="D177" s="558">
        <f>'[4]Sch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'[4]Sch C'!D189</f>
        <v>0</v>
      </c>
      <c r="D178" s="558">
        <f>'[4]Sch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'[4]Sch C'!D190</f>
        <v>0</v>
      </c>
      <c r="D179" s="558">
        <f>'[4]Sch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'[4]Sch C'!D191</f>
        <v>0</v>
      </c>
      <c r="D180" s="558">
        <f>'[4]Sch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'[4]Sch C'!D192</f>
        <v>1629</v>
      </c>
      <c r="D181" s="558">
        <f>'[4]Sch C'!F192</f>
        <v>0</v>
      </c>
      <c r="E181" s="171">
        <f t="shared" si="45"/>
        <v>1629</v>
      </c>
      <c r="F181" s="216"/>
      <c r="G181" s="171">
        <f t="shared" si="46"/>
        <v>1629</v>
      </c>
      <c r="H181" s="172">
        <f t="shared" si="47"/>
        <v>1.7533024835330563E-4</v>
      </c>
      <c r="I181" s="336"/>
      <c r="J181" s="223"/>
      <c r="K181" s="218"/>
      <c r="L181" s="220"/>
      <c r="M181" s="364">
        <f t="shared" si="48"/>
        <v>4.8441774711549902E-2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'[4]Sch C'!D193</f>
        <v>1466</v>
      </c>
      <c r="D182" s="558">
        <f>'[4]Sch C'!F193</f>
        <v>0</v>
      </c>
      <c r="E182" s="171">
        <f t="shared" si="45"/>
        <v>1466</v>
      </c>
      <c r="F182" s="216"/>
      <c r="G182" s="171">
        <f t="shared" si="46"/>
        <v>1466</v>
      </c>
      <c r="H182" s="172">
        <f t="shared" si="47"/>
        <v>1.5778646045791654E-4</v>
      </c>
      <c r="I182" s="336"/>
      <c r="J182" s="223"/>
      <c r="K182" s="218"/>
      <c r="L182" s="220"/>
      <c r="M182" s="364">
        <f t="shared" si="48"/>
        <v>4.3594623528012369E-2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'[4]Sch C'!D194</f>
        <v>454588</v>
      </c>
      <c r="D183" s="558">
        <f>'[4]Sch C'!F194</f>
        <v>-6137</v>
      </c>
      <c r="E183" s="171">
        <f t="shared" si="45"/>
        <v>448451</v>
      </c>
      <c r="F183" s="216"/>
      <c r="G183" s="171">
        <f t="shared" si="46"/>
        <v>448451</v>
      </c>
      <c r="H183" s="172">
        <f t="shared" si="47"/>
        <v>4.8267050463037607E-2</v>
      </c>
      <c r="I183" s="336"/>
      <c r="J183" s="223"/>
      <c r="K183" s="218"/>
      <c r="M183" s="364">
        <f t="shared" si="48"/>
        <v>13.335642916617104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'[4]Sch C'!D195</f>
        <v>176379</v>
      </c>
      <c r="D184" s="558">
        <f>'[4]Sch C'!F195</f>
        <v>-2381</v>
      </c>
      <c r="E184" s="171">
        <f t="shared" si="45"/>
        <v>173998</v>
      </c>
      <c r="F184" s="216"/>
      <c r="G184" s="171">
        <f t="shared" si="46"/>
        <v>173998</v>
      </c>
      <c r="H184" s="172">
        <f t="shared" si="47"/>
        <v>1.8727509240625214E-2</v>
      </c>
      <c r="I184" s="336"/>
      <c r="J184" s="223"/>
      <c r="K184" s="218"/>
      <c r="M184" s="364">
        <f t="shared" si="48"/>
        <v>5.1742000713690972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'[4]Sch C'!D196</f>
        <v>0</v>
      </c>
      <c r="D185" s="558">
        <f>'[4]Sch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'[4]Sch C'!D197</f>
        <v>440608</v>
      </c>
      <c r="D186" s="558">
        <f>'[4]Sch C'!F197</f>
        <v>-5948</v>
      </c>
      <c r="E186" s="171">
        <f t="shared" si="45"/>
        <v>434660</v>
      </c>
      <c r="F186" s="216"/>
      <c r="G186" s="171">
        <f t="shared" si="46"/>
        <v>434660</v>
      </c>
      <c r="H186" s="172">
        <f t="shared" si="47"/>
        <v>4.6782716850366987E-2</v>
      </c>
      <c r="I186" s="336"/>
      <c r="J186" s="223"/>
      <c r="K186" s="218"/>
      <c r="M186" s="364">
        <f t="shared" si="48"/>
        <v>12.92553824194124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'[4]Sch C'!D198</f>
        <v>96163</v>
      </c>
      <c r="D187" s="558">
        <f>'[4]Sch C'!F198</f>
        <v>0</v>
      </c>
      <c r="E187" s="171">
        <f t="shared" si="45"/>
        <v>96163</v>
      </c>
      <c r="F187" s="216"/>
      <c r="G187" s="171">
        <f t="shared" si="46"/>
        <v>96163</v>
      </c>
      <c r="H187" s="172">
        <f t="shared" si="47"/>
        <v>1.0350081444075463E-2</v>
      </c>
      <c r="I187" s="336"/>
      <c r="J187" s="223"/>
      <c r="K187" s="218"/>
      <c r="M187" s="364">
        <f t="shared" si="48"/>
        <v>2.8596110384203639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'[4]Sch C'!D199</f>
        <v>0</v>
      </c>
      <c r="D188" s="558">
        <f>'[4]Sch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'[4]Sch C'!D200</f>
        <v>0</v>
      </c>
      <c r="D189" s="558">
        <f>'[4]Sch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'[4]Sch C'!D201</f>
        <v>0</v>
      </c>
      <c r="D190" s="558">
        <f>'[4]Sch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'[4]Sch C'!D202</f>
        <v>0</v>
      </c>
      <c r="D191" s="558">
        <f>'[4]Sch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'[4]Sch C'!D203</f>
        <v>0</v>
      </c>
      <c r="D192" s="558">
        <f>'[4]Sch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'[4]Sch C'!D204</f>
        <v>0</v>
      </c>
      <c r="D193" s="558">
        <f>'[4]Sch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'[4]Sch C'!D205</f>
        <v>422058</v>
      </c>
      <c r="D194" s="558">
        <f>'[4]Sch C'!F205</f>
        <v>-6483</v>
      </c>
      <c r="E194" s="171">
        <f t="shared" si="45"/>
        <v>415575</v>
      </c>
      <c r="F194" s="216"/>
      <c r="G194" s="171">
        <f t="shared" si="46"/>
        <v>415575</v>
      </c>
      <c r="H194" s="172">
        <f t="shared" si="47"/>
        <v>4.4728586838198275E-2</v>
      </c>
      <c r="I194" s="336"/>
      <c r="J194" s="223"/>
      <c r="K194" s="218"/>
      <c r="M194" s="364">
        <f t="shared" si="48"/>
        <v>12.358005233733794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'[4]Sch C'!D206</f>
        <v>5961</v>
      </c>
      <c r="D195" s="558">
        <f>'[4]Sch C'!F206</f>
        <v>0</v>
      </c>
      <c r="E195" s="171">
        <f t="shared" si="45"/>
        <v>5961</v>
      </c>
      <c r="F195" s="216"/>
      <c r="G195" s="171">
        <f t="shared" si="46"/>
        <v>5961</v>
      </c>
      <c r="H195" s="172">
        <f t="shared" si="47"/>
        <v>6.4158601008843148E-4</v>
      </c>
      <c r="I195" s="336"/>
      <c r="J195" s="223"/>
      <c r="K195" s="218"/>
      <c r="M195" s="364">
        <f t="shared" si="48"/>
        <v>0.17726299512311169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'[4]Sch C'!D207</f>
        <v>0</v>
      </c>
      <c r="D196" s="558">
        <f>'[4]Sch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1598852</v>
      </c>
      <c r="D197" s="558">
        <f>SUM(D164:D196)</f>
        <v>-20949</v>
      </c>
      <c r="E197" s="171">
        <f t="shared" ref="E197:F197" si="49">SUM(E164:E196)</f>
        <v>1577903</v>
      </c>
      <c r="F197" s="171">
        <f t="shared" si="49"/>
        <v>0</v>
      </c>
      <c r="G197" s="171">
        <f>SUM(G164:G196)</f>
        <v>1577903</v>
      </c>
      <c r="H197" s="172">
        <f>IF($G$208=0,0,G197/$G$208)</f>
        <v>0.16983064755520319</v>
      </c>
      <c r="I197" s="336"/>
      <c r="J197" s="168"/>
      <c r="K197" s="168"/>
      <c r="M197" s="364">
        <f>G197/G$228</f>
        <v>46.922296895444269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'[4]Sch C'!D211</f>
        <v>151989</v>
      </c>
      <c r="D200" s="558">
        <f>'[4]Sch C'!F211</f>
        <v>0</v>
      </c>
      <c r="E200" s="171">
        <f t="shared" ref="E200:E205" si="50">C200+D200</f>
        <v>151989</v>
      </c>
      <c r="F200" s="171"/>
      <c r="G200" s="171">
        <f t="shared" ref="G200:G205" si="51">E200+F200</f>
        <v>151989</v>
      </c>
      <c r="H200" s="172">
        <f t="shared" ref="H200:H206" si="52">IF($G$208=0,0,G200/$G$208)</f>
        <v>1.6358667352345348E-2</v>
      </c>
      <c r="I200" s="336"/>
      <c r="J200" s="183">
        <v>8492</v>
      </c>
      <c r="K200" s="183">
        <v>9478</v>
      </c>
      <c r="M200" s="364">
        <f t="shared" ref="M200:M205" si="53">G200/G$228</f>
        <v>4.5197157130962298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'[4]Sch C'!D212</f>
        <v>30922</v>
      </c>
      <c r="D201" s="558">
        <f>'[4]Sch C'!F212</f>
        <v>0</v>
      </c>
      <c r="E201" s="171">
        <f t="shared" si="50"/>
        <v>30922</v>
      </c>
      <c r="F201" s="171"/>
      <c r="G201" s="171">
        <f t="shared" si="51"/>
        <v>30922</v>
      </c>
      <c r="H201" s="172">
        <f t="shared" si="52"/>
        <v>3.3281534312958358E-3</v>
      </c>
      <c r="I201" s="336"/>
      <c r="J201" s="168"/>
      <c r="K201" s="168"/>
      <c r="M201" s="364">
        <f t="shared" si="53"/>
        <v>0.91953134292851191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'[4]Sch C'!D213</f>
        <v>12607</v>
      </c>
      <c r="D202" s="558">
        <f>'[4]Sch C'!F213</f>
        <v>0</v>
      </c>
      <c r="E202" s="171">
        <f t="shared" si="50"/>
        <v>12607</v>
      </c>
      <c r="F202" s="171"/>
      <c r="G202" s="171">
        <f t="shared" si="51"/>
        <v>12607</v>
      </c>
      <c r="H202" s="172">
        <f t="shared" si="52"/>
        <v>1.3568989815777313E-3</v>
      </c>
      <c r="I202" s="336"/>
      <c r="J202" s="168"/>
      <c r="K202" s="168"/>
      <c r="M202" s="364">
        <f t="shared" si="53"/>
        <v>0.37489592006661115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'[4]Sch C'!D214</f>
        <v>0</v>
      </c>
      <c r="D203" s="558">
        <f>'[4]Sch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'[4]Sch C'!D215</f>
        <v>0</v>
      </c>
      <c r="D204" s="558">
        <f>'[4]Sch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'[4]Sch C'!D216</f>
        <v>1768</v>
      </c>
      <c r="D205" s="558">
        <f>'[4]Sch C'!F216</f>
        <v>0</v>
      </c>
      <c r="E205" s="171">
        <f t="shared" si="50"/>
        <v>1768</v>
      </c>
      <c r="F205" s="171"/>
      <c r="G205" s="171">
        <f t="shared" si="51"/>
        <v>1768</v>
      </c>
      <c r="H205" s="172">
        <f t="shared" si="52"/>
        <v>1.9029090183464968E-4</v>
      </c>
      <c r="I205" s="336"/>
      <c r="J205" s="168"/>
      <c r="K205" s="168"/>
      <c r="M205" s="364">
        <f t="shared" si="53"/>
        <v>5.2575234923278223E-2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197286</v>
      </c>
      <c r="D206" s="558">
        <f>SUM(D200:D205)</f>
        <v>0</v>
      </c>
      <c r="E206" s="171">
        <f t="shared" ref="E206:F206" si="54">SUM(E200:E205)</f>
        <v>197286</v>
      </c>
      <c r="F206" s="171">
        <f t="shared" si="54"/>
        <v>0</v>
      </c>
      <c r="G206" s="171">
        <f>SUM(G200:G205)</f>
        <v>197286</v>
      </c>
      <c r="H206" s="172">
        <f t="shared" si="52"/>
        <v>2.1234010667053563E-2</v>
      </c>
      <c r="I206" s="336"/>
      <c r="J206" s="168"/>
      <c r="K206" s="168"/>
      <c r="M206" s="364">
        <f>G206/G$228</f>
        <v>5.8667182110146303</v>
      </c>
      <c r="N206" s="359">
        <f>SUMMARY!J209</f>
        <v>7.1515095990067339</v>
      </c>
      <c r="O206" s="354">
        <f>M206/N206-1</f>
        <v>-0.1796531725512257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9754069</v>
      </c>
      <c r="D208" s="558">
        <f>SUM(D25:D206)/2</f>
        <v>-463031</v>
      </c>
      <c r="E208" s="171">
        <f t="shared" ref="E208:F208" si="55">SUM(E25:E206)/2</f>
        <v>9291038</v>
      </c>
      <c r="F208" s="171">
        <f t="shared" si="55"/>
        <v>0</v>
      </c>
      <c r="G208" s="171">
        <f>SUM(G25:G206)/2</f>
        <v>9291038</v>
      </c>
      <c r="H208" s="172">
        <f>IF($G$208=0,0,G208/$G$208)</f>
        <v>1</v>
      </c>
      <c r="I208" s="336"/>
      <c r="J208" s="183">
        <f>SUM(J25:J200)</f>
        <v>169841</v>
      </c>
      <c r="K208" s="183">
        <f>SUM(K25:K200)</f>
        <v>183798</v>
      </c>
      <c r="M208" s="364">
        <f>G208/G$228</f>
        <v>276.28874747234448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-0.36870962410558827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'[4]Sch C'!D221</f>
        <v>9754069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-1332901</v>
      </c>
      <c r="D215" s="558">
        <f>D21-D208</f>
        <v>437520</v>
      </c>
      <c r="E215" s="171">
        <f t="shared" ref="E215:F215" si="56">E21-E208</f>
        <v>-895381</v>
      </c>
      <c r="F215" s="171">
        <f t="shared" si="56"/>
        <v>0</v>
      </c>
      <c r="G215" s="171">
        <f>G21-G208</f>
        <v>-895381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'[4]Sch D'!C9</f>
        <v>17594</v>
      </c>
      <c r="D219" s="592"/>
      <c r="E219" s="235">
        <f t="shared" ref="E219:G227" si="57">C219+D219</f>
        <v>17594</v>
      </c>
      <c r="F219" s="234"/>
      <c r="G219" s="235">
        <f t="shared" si="57"/>
        <v>17594</v>
      </c>
      <c r="H219" s="172">
        <f t="shared" ref="H219:H228" si="58">IF($G$228=0,0,G219/$G$228)</f>
        <v>0.52319495658379922</v>
      </c>
      <c r="I219" s="336"/>
      <c r="J219" s="168"/>
      <c r="K219" s="168"/>
    </row>
    <row r="220" spans="1:17">
      <c r="A220" s="163"/>
      <c r="B220" s="170" t="s">
        <v>217</v>
      </c>
      <c r="C220" s="592">
        <f>'[4]Sch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'[4]Sch D'!E9</f>
        <v>2854</v>
      </c>
      <c r="D221" s="592"/>
      <c r="E221" s="235">
        <f t="shared" si="59"/>
        <v>2854</v>
      </c>
      <c r="F221" s="234"/>
      <c r="G221" s="235">
        <f t="shared" si="57"/>
        <v>2854</v>
      </c>
      <c r="H221" s="172">
        <f t="shared" si="58"/>
        <v>8.4869751397644813E-2</v>
      </c>
      <c r="I221" s="336"/>
      <c r="J221" s="168"/>
      <c r="K221" s="168"/>
    </row>
    <row r="222" spans="1:17">
      <c r="A222" s="163"/>
      <c r="B222" s="202" t="s">
        <v>334</v>
      </c>
      <c r="C222" s="592">
        <f>'[4]Sch D'!F9</f>
        <v>4626</v>
      </c>
      <c r="D222" s="592"/>
      <c r="E222" s="235">
        <f>C222+D222</f>
        <v>4626</v>
      </c>
      <c r="F222" s="234"/>
      <c r="G222" s="235">
        <f>E222+F222</f>
        <v>4626</v>
      </c>
      <c r="H222" s="172">
        <f t="shared" si="58"/>
        <v>0.13756393481622459</v>
      </c>
      <c r="I222" s="336"/>
      <c r="J222" s="168"/>
      <c r="K222" s="168"/>
    </row>
    <row r="223" spans="1:17">
      <c r="A223" s="163"/>
      <c r="B223" s="170" t="s">
        <v>73</v>
      </c>
      <c r="C223" s="592">
        <f>'[4]Sch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'[4]Sch D'!H9</f>
        <v>2293</v>
      </c>
      <c r="D224" s="592"/>
      <c r="E224" s="235">
        <f t="shared" si="59"/>
        <v>2293</v>
      </c>
      <c r="F224" s="234"/>
      <c r="G224" s="235">
        <f t="shared" si="57"/>
        <v>2293</v>
      </c>
      <c r="H224" s="172">
        <f t="shared" si="58"/>
        <v>6.8187224931604618E-2</v>
      </c>
      <c r="I224" s="336"/>
      <c r="J224" s="168"/>
      <c r="K224" s="168"/>
    </row>
    <row r="225" spans="1:11">
      <c r="A225" s="163"/>
      <c r="B225" s="170" t="s">
        <v>236</v>
      </c>
      <c r="C225" s="592">
        <f>'[4]Sch D'!I9</f>
        <v>5141</v>
      </c>
      <c r="D225" s="592"/>
      <c r="E225" s="235">
        <f t="shared" si="59"/>
        <v>5141</v>
      </c>
      <c r="F225" s="234"/>
      <c r="G225" s="235">
        <f t="shared" si="57"/>
        <v>5141</v>
      </c>
      <c r="H225" s="172">
        <f t="shared" si="58"/>
        <v>0.15287855358629712</v>
      </c>
      <c r="I225" s="336"/>
      <c r="J225" s="168"/>
      <c r="K225" s="168"/>
    </row>
    <row r="226" spans="1:11">
      <c r="A226" s="163"/>
      <c r="B226" s="170" t="s">
        <v>235</v>
      </c>
      <c r="C226" s="592">
        <f>'[4]Sch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'[4]Sch D'!K9</f>
        <v>1120</v>
      </c>
      <c r="D227" s="592"/>
      <c r="E227" s="235">
        <f t="shared" si="59"/>
        <v>1120</v>
      </c>
      <c r="F227" s="234"/>
      <c r="G227" s="235">
        <f t="shared" si="57"/>
        <v>1120</v>
      </c>
      <c r="H227" s="172">
        <f t="shared" si="58"/>
        <v>3.330557868442964E-2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33628</v>
      </c>
      <c r="D228" s="592">
        <f>SUM(D219:D227)</f>
        <v>0</v>
      </c>
      <c r="E228" s="237">
        <f>SUM(E219:E227)</f>
        <v>33628</v>
      </c>
      <c r="F228" s="237">
        <f>SUM(F219:F227)</f>
        <v>0</v>
      </c>
      <c r="G228" s="237">
        <f>SUM(G219:G227)</f>
        <v>33628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'[4]Sch D'!N24</f>
        <v>120</v>
      </c>
      <c r="D232" s="559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'[4]Sch D'!N28</f>
        <v>43920</v>
      </c>
      <c r="D235" s="483"/>
      <c r="E235" s="234">
        <f>E231*E233</f>
        <v>43920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'[4]Sch D'!N30</f>
        <v>0.7656648451730419</v>
      </c>
      <c r="D236" s="239"/>
      <c r="E236" s="244">
        <f>E228/E235</f>
        <v>0.7656648451730419</v>
      </c>
      <c r="F236" s="245"/>
      <c r="G236" s="244">
        <f>G228/G235</f>
        <v>0.7656648451730419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'[4]Sch D'!N32</f>
        <v>0.40059198542805102</v>
      </c>
      <c r="D237" s="239"/>
      <c r="E237" s="244">
        <f>(E219+E220)/E235</f>
        <v>0.40059198542805102</v>
      </c>
      <c r="F237" s="245"/>
      <c r="G237" s="244">
        <f>(G219+G220)/G235</f>
        <v>0.40059198542805102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'[4]Sch D'!N34</f>
        <v>0.52319495658379922</v>
      </c>
      <c r="D238" s="239"/>
      <c r="E238" s="244">
        <f>(E237/E236)</f>
        <v>0.52319495658379922</v>
      </c>
      <c r="F238" s="245"/>
      <c r="G238" s="244">
        <f>(G237/G236)</f>
        <v>0.52319495658379922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'[4]Sch B'!C85</f>
        <v>207.80505887483648</v>
      </c>
    </row>
    <row r="242" spans="2:7">
      <c r="F242" s="142" t="s">
        <v>341</v>
      </c>
      <c r="G242" s="558">
        <f>'[4]Sch B'!E85</f>
        <v>207.80505887483645</v>
      </c>
    </row>
    <row r="243" spans="2:7">
      <c r="F243" s="142" t="s">
        <v>342</v>
      </c>
      <c r="G243" s="558">
        <f>'[4]Sch B'!G85</f>
        <v>207.80505887483645</v>
      </c>
    </row>
    <row r="244" spans="2:7">
      <c r="F244" s="142" t="s">
        <v>343</v>
      </c>
      <c r="G244" s="558">
        <f>'[4]Sch B'!I85</f>
        <v>207.80505887483648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9" sqref="F9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28CAB"/>
  </sheetPr>
  <dimension ref="A1:AC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25" width="8.6640625" style="140"/>
    <col min="26" max="27" width="8.6640625" style="550"/>
    <col min="28" max="16384" width="8.6640625" style="140"/>
  </cols>
  <sheetData>
    <row r="1" spans="1:27" ht="36.75" customHeight="1">
      <c r="A1" s="138" t="str">
        <f>'ALPINE VALLEY'!A1</f>
        <v>schedules revised 7/2016</v>
      </c>
      <c r="B1" s="139" t="s">
        <v>304</v>
      </c>
      <c r="C1" s="509"/>
      <c r="D1" s="472"/>
      <c r="E1" s="472"/>
      <c r="F1" s="561"/>
      <c r="G1" s="472"/>
      <c r="H1" s="472"/>
      <c r="I1" s="473"/>
    </row>
    <row r="2" spans="1:27" ht="23">
      <c r="B2" s="143" t="s">
        <v>189</v>
      </c>
      <c r="C2" s="246" t="s">
        <v>588</v>
      </c>
      <c r="D2" s="246"/>
      <c r="E2" s="144"/>
    </row>
    <row r="3" spans="1:27">
      <c r="A3" s="145"/>
      <c r="B3" s="140" t="s">
        <v>79</v>
      </c>
      <c r="C3" s="146">
        <v>42186</v>
      </c>
      <c r="D3" s="377"/>
      <c r="E3" s="147"/>
      <c r="F3" s="510"/>
    </row>
    <row r="4" spans="1:27">
      <c r="A4" s="145"/>
      <c r="B4" s="148" t="s">
        <v>80</v>
      </c>
      <c r="C4" s="146">
        <v>42551</v>
      </c>
      <c r="D4"/>
      <c r="E4" s="149"/>
      <c r="F4" s="548"/>
    </row>
    <row r="5" spans="1:27">
      <c r="A5" s="145"/>
      <c r="B5" s="148"/>
      <c r="C5" s="151"/>
      <c r="D5"/>
      <c r="F5" s="549"/>
    </row>
    <row r="6" spans="1:2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2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2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27">
      <c r="A9" s="145"/>
      <c r="C9" s="151"/>
      <c r="D9" s="144"/>
      <c r="F9" s="144"/>
      <c r="G9" s="144"/>
    </row>
    <row r="10" spans="1:27" s="167" customFormat="1" ht="16" thickBot="1">
      <c r="A10" s="163" t="s">
        <v>245</v>
      </c>
      <c r="B10" s="164" t="s">
        <v>246</v>
      </c>
      <c r="C10" s="580"/>
      <c r="D10" s="165"/>
      <c r="E10" s="165"/>
      <c r="F10"/>
      <c r="G10" s="165"/>
      <c r="H10" s="166"/>
      <c r="I10" s="335"/>
      <c r="J10" s="168"/>
      <c r="K10" s="168"/>
      <c r="P10"/>
      <c r="Q10"/>
      <c r="Z10" s="513"/>
      <c r="AA10" s="513"/>
    </row>
    <row r="11" spans="1:27" s="167" customFormat="1">
      <c r="A11" s="169" t="s">
        <v>13</v>
      </c>
      <c r="B11" s="170" t="s">
        <v>213</v>
      </c>
      <c r="C11" s="558">
        <f>'[39]Sch B'!E10</f>
        <v>2491387.5699999998</v>
      </c>
      <c r="D11" s="558">
        <f>'[39]Sch B'!G10</f>
        <v>0</v>
      </c>
      <c r="E11" s="171">
        <f>C11+D11</f>
        <v>2491387.5699999998</v>
      </c>
      <c r="F11" s="480"/>
      <c r="G11" s="171">
        <f t="shared" ref="G11:G20" si="0">E11+F11</f>
        <v>2491387.5699999998</v>
      </c>
      <c r="H11" s="172">
        <f t="shared" ref="H11:H21" si="1">IF($G$21=0,0,G11/$G$21)</f>
        <v>0.72933198199665727</v>
      </c>
      <c r="I11" s="336"/>
      <c r="J11" s="368" t="s">
        <v>344</v>
      </c>
      <c r="K11" s="369">
        <f>G21</f>
        <v>3415985.63</v>
      </c>
      <c r="M11" s="359">
        <f>IFERROR(G11/G219,0)</f>
        <v>255.76301919720765</v>
      </c>
      <c r="N11" s="359">
        <f>SUMMARY!J14</f>
        <v>222.18858354654498</v>
      </c>
      <c r="P11"/>
      <c r="Q11"/>
      <c r="Z11" s="513"/>
      <c r="AA11" s="513"/>
    </row>
    <row r="12" spans="1:27" s="167" customFormat="1">
      <c r="A12" s="169" t="s">
        <v>15</v>
      </c>
      <c r="B12" s="170" t="s">
        <v>212</v>
      </c>
      <c r="C12" s="558">
        <f>'[39]Sch B'!E15</f>
        <v>0</v>
      </c>
      <c r="D12" s="558">
        <f>'[39]Sch B'!G15</f>
        <v>0</v>
      </c>
      <c r="E12" s="171">
        <f t="shared" ref="E12:E20" si="2">C12+D12</f>
        <v>0</v>
      </c>
      <c r="F12" s="480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2391864.0800000005</v>
      </c>
      <c r="M12" s="359">
        <f t="shared" ref="M12:M19" si="3">IFERROR(G12/G220,0)</f>
        <v>0</v>
      </c>
      <c r="N12" s="359">
        <f>SUMMARY!J15</f>
        <v>207.2175599435825</v>
      </c>
      <c r="P12"/>
      <c r="Q12"/>
      <c r="Z12" s="513"/>
      <c r="AA12" s="513"/>
    </row>
    <row r="13" spans="1:27" s="167" customFormat="1">
      <c r="A13" s="169" t="s">
        <v>16</v>
      </c>
      <c r="B13" s="170" t="s">
        <v>170</v>
      </c>
      <c r="C13" s="558">
        <f>'[39]Sch B'!E21</f>
        <v>507012.57</v>
      </c>
      <c r="D13" s="558">
        <f>'[39]Sch B'!G21</f>
        <v>0</v>
      </c>
      <c r="E13" s="171">
        <f t="shared" si="2"/>
        <v>507012.57</v>
      </c>
      <c r="F13" s="480"/>
      <c r="G13" s="171">
        <f t="shared" si="0"/>
        <v>507012.57</v>
      </c>
      <c r="H13" s="172">
        <f t="shared" si="1"/>
        <v>0.14842350785884309</v>
      </c>
      <c r="I13" s="336"/>
      <c r="J13" s="370" t="s">
        <v>346</v>
      </c>
      <c r="K13" s="371">
        <f>G228</f>
        <v>13222</v>
      </c>
      <c r="M13" s="359">
        <f t="shared" si="3"/>
        <v>401.75322503961968</v>
      </c>
      <c r="N13" s="359">
        <f>SUMMARY!J16</f>
        <v>537.49113199368492</v>
      </c>
      <c r="P13"/>
      <c r="Q13"/>
      <c r="Z13" s="513"/>
      <c r="AA13" s="513"/>
    </row>
    <row r="14" spans="1:27" s="167" customFormat="1">
      <c r="A14" s="173" t="s">
        <v>18</v>
      </c>
      <c r="B14" s="174" t="s">
        <v>306</v>
      </c>
      <c r="C14" s="558">
        <f>'[39]Sch B'!E27</f>
        <v>0</v>
      </c>
      <c r="D14" s="558">
        <f>'[39]Sch B'!G27</f>
        <v>0</v>
      </c>
      <c r="E14" s="171">
        <f t="shared" si="2"/>
        <v>0</v>
      </c>
      <c r="F14" s="480"/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46</v>
      </c>
      <c r="M14" s="359">
        <f t="shared" si="3"/>
        <v>0</v>
      </c>
      <c r="N14" s="359">
        <f>SUMMARY!J17</f>
        <v>403.86361337438132</v>
      </c>
      <c r="P14"/>
      <c r="Q14"/>
      <c r="Z14" s="513"/>
      <c r="AA14" s="513"/>
    </row>
    <row r="15" spans="1:27" s="167" customFormat="1">
      <c r="A15" s="169" t="s">
        <v>19</v>
      </c>
      <c r="B15" s="170" t="s">
        <v>171</v>
      </c>
      <c r="C15" s="558">
        <f>'[39]Sch B'!E32</f>
        <v>0</v>
      </c>
      <c r="D15" s="558">
        <f>'[39]Sch B'!G32</f>
        <v>0</v>
      </c>
      <c r="E15" s="171">
        <f t="shared" si="2"/>
        <v>0</v>
      </c>
      <c r="F15" s="480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16836</v>
      </c>
      <c r="M15" s="359">
        <f t="shared" si="3"/>
        <v>0</v>
      </c>
      <c r="N15" s="359">
        <f>SUMMARY!J18</f>
        <v>332.02055718372145</v>
      </c>
      <c r="P15"/>
      <c r="Q15"/>
      <c r="Z15" s="513"/>
      <c r="AA15" s="513"/>
    </row>
    <row r="16" spans="1:27" s="167" customFormat="1">
      <c r="A16" s="169" t="s">
        <v>21</v>
      </c>
      <c r="B16" s="170" t="s">
        <v>172</v>
      </c>
      <c r="C16" s="558">
        <f>'[39]Sch B'!E37</f>
        <v>335593.70000000007</v>
      </c>
      <c r="D16" s="558">
        <f>'[39]Sch B'!G37</f>
        <v>0</v>
      </c>
      <c r="E16" s="171">
        <f t="shared" si="2"/>
        <v>335593.70000000007</v>
      </c>
      <c r="F16" s="480"/>
      <c r="G16" s="171">
        <f t="shared" si="0"/>
        <v>335593.70000000007</v>
      </c>
      <c r="H16" s="172">
        <f t="shared" si="1"/>
        <v>9.8242128729329609E-2</v>
      </c>
      <c r="I16" s="336"/>
      <c r="J16" s="372"/>
      <c r="K16" s="371"/>
      <c r="M16" s="359">
        <f t="shared" si="3"/>
        <v>177.84509803921571</v>
      </c>
      <c r="N16" s="359">
        <f>SUMMARY!J19</f>
        <v>209.32685676266178</v>
      </c>
      <c r="P16"/>
      <c r="Q16"/>
      <c r="Z16" s="513"/>
      <c r="AA16" s="513"/>
    </row>
    <row r="17" spans="1:29" s="167" customFormat="1">
      <c r="A17" s="169" t="s">
        <v>215</v>
      </c>
      <c r="B17" s="170" t="s">
        <v>228</v>
      </c>
      <c r="C17" s="558">
        <f>'[39]Sch B'!E42</f>
        <v>55391.89</v>
      </c>
      <c r="D17" s="558">
        <f>'[39]Sch B'!G42</f>
        <v>0</v>
      </c>
      <c r="E17" s="171">
        <f t="shared" si="2"/>
        <v>55391.89</v>
      </c>
      <c r="F17" s="480"/>
      <c r="G17" s="171">
        <f>E17+F17</f>
        <v>55391.89</v>
      </c>
      <c r="H17" s="172">
        <f t="shared" si="1"/>
        <v>1.6215492686367069E-2</v>
      </c>
      <c r="I17" s="336"/>
      <c r="J17" s="370" t="s">
        <v>156</v>
      </c>
      <c r="K17" s="371">
        <f>J208</f>
        <v>76686.64</v>
      </c>
      <c r="M17" s="359">
        <f t="shared" si="3"/>
        <v>166.84304216867469</v>
      </c>
      <c r="N17" s="359">
        <f>SUMMARY!J20</f>
        <v>177.55325692366318</v>
      </c>
      <c r="P17"/>
      <c r="Q17"/>
      <c r="Z17" s="513"/>
      <c r="AA17" s="513"/>
    </row>
    <row r="18" spans="1:29" s="167" customFormat="1" ht="16" thickBot="1">
      <c r="A18" s="169" t="s">
        <v>216</v>
      </c>
      <c r="B18" s="170" t="s">
        <v>229</v>
      </c>
      <c r="C18" s="558">
        <f>'[39]Sch B'!E47</f>
        <v>0</v>
      </c>
      <c r="D18" s="558">
        <f>'[39]Sch B'!G47</f>
        <v>0</v>
      </c>
      <c r="E18" s="171">
        <f t="shared" si="2"/>
        <v>0</v>
      </c>
      <c r="F18" s="480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82864.509999999995</v>
      </c>
      <c r="M18" s="359">
        <f t="shared" si="3"/>
        <v>0</v>
      </c>
      <c r="N18" s="359">
        <f>SUMMARY!J21</f>
        <v>189.23177326776752</v>
      </c>
      <c r="P18"/>
      <c r="Q18"/>
      <c r="Z18" s="513"/>
      <c r="AA18" s="513"/>
    </row>
    <row r="19" spans="1:29" s="167" customFormat="1">
      <c r="A19" s="169" t="s">
        <v>227</v>
      </c>
      <c r="B19" s="177" t="s">
        <v>173</v>
      </c>
      <c r="C19" s="558">
        <f>'[39]Sch B'!E52</f>
        <v>0</v>
      </c>
      <c r="D19" s="558">
        <f>'[39]Sch B'!G52</f>
        <v>0</v>
      </c>
      <c r="E19" s="171">
        <f t="shared" si="2"/>
        <v>0</v>
      </c>
      <c r="F19" s="480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  <c r="Z19" s="513"/>
      <c r="AA19" s="513"/>
    </row>
    <row r="20" spans="1:29" s="167" customFormat="1">
      <c r="A20" s="169" t="s">
        <v>183</v>
      </c>
      <c r="B20" s="23" t="s">
        <v>180</v>
      </c>
      <c r="C20" s="558">
        <f>'[39]Sch B'!E67</f>
        <v>473864.22000000003</v>
      </c>
      <c r="D20" s="558">
        <f>'[39]Sch B'!G67</f>
        <v>-447264.32</v>
      </c>
      <c r="E20" s="171">
        <f t="shared" si="2"/>
        <v>26599.900000000023</v>
      </c>
      <c r="F20" s="480"/>
      <c r="G20" s="171">
        <f t="shared" si="0"/>
        <v>26599.900000000023</v>
      </c>
      <c r="H20" s="172">
        <f t="shared" si="1"/>
        <v>7.7868887288030028E-3</v>
      </c>
      <c r="I20" s="336"/>
      <c r="J20" s="168"/>
      <c r="K20" s="168"/>
      <c r="M20" s="362" t="s">
        <v>200</v>
      </c>
      <c r="N20" s="362" t="s">
        <v>200</v>
      </c>
      <c r="P20"/>
      <c r="Q20"/>
      <c r="Z20" s="513"/>
      <c r="AA20" s="513"/>
    </row>
    <row r="21" spans="1:29" s="167" customFormat="1">
      <c r="A21" s="169"/>
      <c r="B21" s="178" t="s">
        <v>77</v>
      </c>
      <c r="C21" s="558">
        <f>SUM(C11:C20)</f>
        <v>3863249.95</v>
      </c>
      <c r="D21" s="558">
        <f>SUM(D11:D20)</f>
        <v>-447264.32</v>
      </c>
      <c r="E21" s="171">
        <f>SUM(E11:E20)</f>
        <v>3415985.63</v>
      </c>
      <c r="F21" s="171">
        <f>SUM(F11:F20)</f>
        <v>0</v>
      </c>
      <c r="G21" s="171">
        <f>SUM(G11:G20)</f>
        <v>3415985.63</v>
      </c>
      <c r="H21" s="172">
        <f t="shared" si="1"/>
        <v>1</v>
      </c>
      <c r="I21" s="336"/>
      <c r="J21" s="168"/>
      <c r="K21" s="168"/>
      <c r="M21" s="359">
        <f>IFERROR(G21/G228,0)</f>
        <v>258.3561964906973</v>
      </c>
      <c r="N21" s="359">
        <f>SUMMARY!J24</f>
        <v>278.37842406091033</v>
      </c>
      <c r="P21"/>
      <c r="Q21"/>
      <c r="Z21" s="513"/>
      <c r="AA21" s="513"/>
    </row>
    <row r="22" spans="1:29" ht="12" customHeight="1">
      <c r="A22" s="145"/>
      <c r="B22" s="179"/>
      <c r="C22" s="151"/>
      <c r="D22" s="144"/>
      <c r="F22" s="144"/>
      <c r="G22" s="144"/>
      <c r="J22"/>
      <c r="K22"/>
      <c r="M22" s="363"/>
      <c r="N22" s="363"/>
    </row>
    <row r="23" spans="1:29" ht="26.5">
      <c r="A23" s="180" t="s">
        <v>231</v>
      </c>
      <c r="B23" s="179" t="s">
        <v>222</v>
      </c>
      <c r="C23" s="151"/>
      <c r="D23" s="144"/>
      <c r="F23" s="144"/>
      <c r="G23" s="144"/>
      <c r="J23"/>
      <c r="K23"/>
      <c r="M23" s="363"/>
      <c r="N23" s="363"/>
      <c r="AB23" s="140" t="s">
        <v>398</v>
      </c>
    </row>
    <row r="24" spans="1:29">
      <c r="A24" s="181" t="s">
        <v>161</v>
      </c>
      <c r="B24" s="148" t="s">
        <v>12</v>
      </c>
      <c r="F24"/>
      <c r="J24"/>
      <c r="K24"/>
      <c r="M24" s="363"/>
      <c r="N24" s="363"/>
      <c r="AB24" s="140" t="s">
        <v>432</v>
      </c>
      <c r="AC24" s="140" t="s">
        <v>433</v>
      </c>
    </row>
    <row r="25" spans="1:29" s="167" customFormat="1">
      <c r="A25" s="169" t="s">
        <v>83</v>
      </c>
      <c r="B25" s="170" t="s">
        <v>14</v>
      </c>
      <c r="C25" s="558">
        <f>'[39]Sch C'!D10</f>
        <v>85864.68</v>
      </c>
      <c r="D25" s="558">
        <f>'[39]Sch C'!F10</f>
        <v>-24288</v>
      </c>
      <c r="E25" s="171">
        <f t="shared" ref="E25:E60" si="4">C25+D25</f>
        <v>61576.679999999993</v>
      </c>
      <c r="F25" s="480"/>
      <c r="G25" s="182">
        <f>E25+F25</f>
        <v>61576.679999999993</v>
      </c>
      <c r="H25" s="172">
        <f>IF($G$208=0,0,G25/$G$208)</f>
        <v>2.5744222054624434E-2</v>
      </c>
      <c r="I25" s="336"/>
      <c r="J25" s="183">
        <v>1900.08</v>
      </c>
      <c r="K25" s="183">
        <v>2080.08</v>
      </c>
      <c r="M25" s="359">
        <f>G25/G$228</f>
        <v>4.6571381031613974</v>
      </c>
      <c r="N25" s="359">
        <f>SUMMARY!J28</f>
        <v>5.2871017912533844</v>
      </c>
      <c r="P25"/>
      <c r="Q25"/>
      <c r="Z25" s="551">
        <v>425.35</v>
      </c>
      <c r="AA25" s="551">
        <v>433.35</v>
      </c>
      <c r="AB25" s="482">
        <v>1647</v>
      </c>
      <c r="AC25" s="482">
        <v>1647</v>
      </c>
    </row>
    <row r="26" spans="1:29" s="167" customFormat="1">
      <c r="A26" s="169" t="s">
        <v>84</v>
      </c>
      <c r="B26" s="170" t="s">
        <v>176</v>
      </c>
      <c r="C26" s="558">
        <f>'[39]Sch C'!D11</f>
        <v>0</v>
      </c>
      <c r="D26" s="558">
        <f>'[39]Sch C'!F11</f>
        <v>0</v>
      </c>
      <c r="E26" s="171">
        <f t="shared" si="4"/>
        <v>0</v>
      </c>
      <c r="F26" s="480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  <c r="Z26" s="551">
        <v>0</v>
      </c>
      <c r="AA26" s="551">
        <v>0</v>
      </c>
      <c r="AB26" s="482">
        <v>1647</v>
      </c>
      <c r="AC26" s="482">
        <v>1647</v>
      </c>
    </row>
    <row r="27" spans="1:29" s="167" customFormat="1">
      <c r="A27" s="169" t="s">
        <v>85</v>
      </c>
      <c r="B27" s="170" t="s">
        <v>17</v>
      </c>
      <c r="C27" s="558">
        <f>'[39]Sch C'!D12</f>
        <v>31337</v>
      </c>
      <c r="D27" s="558">
        <f>'[39]Sch C'!F12</f>
        <v>-8864</v>
      </c>
      <c r="E27" s="171">
        <f t="shared" si="4"/>
        <v>22473</v>
      </c>
      <c r="F27" s="480"/>
      <c r="G27" s="171">
        <f t="shared" si="5"/>
        <v>22473</v>
      </c>
      <c r="H27" s="172">
        <f t="shared" si="6"/>
        <v>9.3956007734352504E-3</v>
      </c>
      <c r="I27" s="336"/>
      <c r="J27" s="183">
        <v>1970</v>
      </c>
      <c r="K27" s="183">
        <v>2224.42</v>
      </c>
      <c r="M27" s="359">
        <f t="shared" si="7"/>
        <v>1.699667221297837</v>
      </c>
      <c r="N27" s="359">
        <f>SUMMARY!J30</f>
        <v>6.7296464607712929</v>
      </c>
      <c r="P27"/>
      <c r="Q27"/>
      <c r="Z27" s="551">
        <v>538.7299999999999</v>
      </c>
      <c r="AA27" s="551">
        <v>554.73</v>
      </c>
      <c r="AB27" s="482">
        <v>1647</v>
      </c>
      <c r="AC27" s="482">
        <v>1647</v>
      </c>
    </row>
    <row r="28" spans="1:29" s="167" customFormat="1">
      <c r="A28" s="169" t="s">
        <v>86</v>
      </c>
      <c r="B28" s="170" t="s">
        <v>45</v>
      </c>
      <c r="C28" s="558">
        <f>'[39]Sch C'!D13</f>
        <v>333039.71999999997</v>
      </c>
      <c r="D28" s="558">
        <f>'[39]Sch C'!F13</f>
        <v>-307747.19</v>
      </c>
      <c r="E28" s="171">
        <f t="shared" si="4"/>
        <v>25292.52999999997</v>
      </c>
      <c r="F28" s="480"/>
      <c r="G28" s="171">
        <f t="shared" si="5"/>
        <v>25292.52999999997</v>
      </c>
      <c r="H28" s="172">
        <f t="shared" si="6"/>
        <v>1.0574401033690829E-2</v>
      </c>
      <c r="I28" s="336"/>
      <c r="J28" s="168"/>
      <c r="K28" s="168"/>
      <c r="M28" s="359">
        <f t="shared" si="7"/>
        <v>1.9129125699591567</v>
      </c>
      <c r="N28" s="359">
        <f>SUMMARY!J31</f>
        <v>2.2098304126852</v>
      </c>
      <c r="P28"/>
      <c r="Q28"/>
      <c r="Z28" s="546"/>
      <c r="AA28" s="546"/>
      <c r="AB28" s="513"/>
      <c r="AC28" s="513"/>
    </row>
    <row r="29" spans="1:29" s="167" customFormat="1">
      <c r="A29" s="169" t="s">
        <v>175</v>
      </c>
      <c r="B29" s="170" t="s">
        <v>20</v>
      </c>
      <c r="C29" s="558">
        <f>'[39]Sch C'!D14</f>
        <v>0</v>
      </c>
      <c r="D29" s="558">
        <f>'[39]Sch C'!F14</f>
        <v>0</v>
      </c>
      <c r="E29" s="171">
        <f t="shared" si="4"/>
        <v>0</v>
      </c>
      <c r="F29" s="480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  <c r="Z29" s="546"/>
      <c r="AA29" s="546"/>
      <c r="AB29" s="513"/>
      <c r="AC29" s="513"/>
    </row>
    <row r="30" spans="1:29" s="167" customFormat="1">
      <c r="A30" s="169" t="s">
        <v>88</v>
      </c>
      <c r="B30" s="170" t="s">
        <v>22</v>
      </c>
      <c r="C30" s="558">
        <f>'[39]Sch C'!D15</f>
        <v>455687.2</v>
      </c>
      <c r="D30" s="558">
        <f>'[39]Sch C'!F15</f>
        <v>-259518</v>
      </c>
      <c r="E30" s="171">
        <f t="shared" si="4"/>
        <v>196169.2</v>
      </c>
      <c r="F30" s="480"/>
      <c r="G30" s="171">
        <f t="shared" si="5"/>
        <v>196169.2</v>
      </c>
      <c r="H30" s="172">
        <f t="shared" si="6"/>
        <v>8.2015195445386671E-2</v>
      </c>
      <c r="I30" s="336"/>
      <c r="J30" s="168"/>
      <c r="K30" s="168"/>
      <c r="M30" s="359">
        <f t="shared" si="7"/>
        <v>14.83657540462865</v>
      </c>
      <c r="N30" s="359">
        <f>SUMMARY!J33</f>
        <v>2.3289615556872723</v>
      </c>
      <c r="P30"/>
      <c r="Q30"/>
      <c r="Z30" s="546"/>
      <c r="AA30" s="546"/>
      <c r="AB30" s="513"/>
      <c r="AC30" s="513"/>
    </row>
    <row r="31" spans="1:29" s="167" customFormat="1">
      <c r="A31" s="169" t="s">
        <v>89</v>
      </c>
      <c r="B31" s="170" t="s">
        <v>148</v>
      </c>
      <c r="C31" s="558">
        <f>'[39]Sch C'!D16</f>
        <v>0</v>
      </c>
      <c r="D31" s="558">
        <f>'[39]Sch C'!F16</f>
        <v>0</v>
      </c>
      <c r="E31" s="171">
        <f t="shared" si="4"/>
        <v>0</v>
      </c>
      <c r="F31" s="480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  <c r="Z31" s="546"/>
      <c r="AA31" s="546"/>
      <c r="AB31" s="513"/>
      <c r="AC31" s="513"/>
    </row>
    <row r="32" spans="1:29" s="167" customFormat="1">
      <c r="A32" s="169" t="s">
        <v>90</v>
      </c>
      <c r="B32" s="170" t="s">
        <v>23</v>
      </c>
      <c r="C32" s="558">
        <f>'[39]Sch C'!D17</f>
        <v>0</v>
      </c>
      <c r="D32" s="558">
        <f>'[39]Sch C'!F17</f>
        <v>0</v>
      </c>
      <c r="E32" s="171">
        <f t="shared" si="4"/>
        <v>0</v>
      </c>
      <c r="F32" s="480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  <c r="Z32" s="546"/>
      <c r="AA32" s="546"/>
      <c r="AB32" s="513"/>
      <c r="AC32" s="513"/>
    </row>
    <row r="33" spans="1:29" s="167" customFormat="1">
      <c r="A33" s="169" t="s">
        <v>91</v>
      </c>
      <c r="B33" s="170" t="s">
        <v>24</v>
      </c>
      <c r="C33" s="558">
        <f>'[39]Sch C'!D18</f>
        <v>19963.68</v>
      </c>
      <c r="D33" s="558">
        <f>'[39]Sch C'!F18</f>
        <v>-2307</v>
      </c>
      <c r="E33" s="171">
        <f t="shared" si="4"/>
        <v>17656.68</v>
      </c>
      <c r="F33" s="480"/>
      <c r="G33" s="171">
        <f t="shared" si="5"/>
        <v>17656.68</v>
      </c>
      <c r="H33" s="172">
        <f t="shared" si="6"/>
        <v>7.3819746479908662E-3</v>
      </c>
      <c r="I33" s="336"/>
      <c r="J33" s="168"/>
      <c r="K33" s="168"/>
      <c r="M33" s="359">
        <f t="shared" si="7"/>
        <v>1.3354016033882923</v>
      </c>
      <c r="N33" s="359">
        <f>SUMMARY!J36</f>
        <v>0.84523554145971291</v>
      </c>
      <c r="P33"/>
      <c r="Q33"/>
      <c r="Z33" s="546"/>
      <c r="AA33" s="546"/>
      <c r="AB33" s="513"/>
      <c r="AC33" s="513"/>
    </row>
    <row r="34" spans="1:29" s="167" customFormat="1">
      <c r="A34" s="169" t="s">
        <v>92</v>
      </c>
      <c r="B34" s="170" t="s">
        <v>25</v>
      </c>
      <c r="C34" s="558">
        <f>'[39]Sch C'!D19</f>
        <v>5363.63</v>
      </c>
      <c r="D34" s="558">
        <f>'[39]Sch C'!F19</f>
        <v>-620</v>
      </c>
      <c r="E34" s="171">
        <f t="shared" si="4"/>
        <v>4743.63</v>
      </c>
      <c r="F34" s="480"/>
      <c r="G34" s="171">
        <f t="shared" si="5"/>
        <v>4743.63</v>
      </c>
      <c r="H34" s="172">
        <f t="shared" si="6"/>
        <v>1.9832356025849089E-3</v>
      </c>
      <c r="I34" s="336"/>
      <c r="J34" s="168"/>
      <c r="K34" s="168"/>
      <c r="M34" s="359">
        <f t="shared" si="7"/>
        <v>0.35876796248676451</v>
      </c>
      <c r="N34" s="359">
        <f>SUMMARY!J37</f>
        <v>0.66565591578793926</v>
      </c>
      <c r="P34"/>
      <c r="Q34"/>
      <c r="Z34" s="546"/>
      <c r="AA34" s="546"/>
      <c r="AB34" s="513"/>
      <c r="AC34" s="513"/>
    </row>
    <row r="35" spans="1:29" s="167" customFormat="1">
      <c r="A35" s="169" t="s">
        <v>93</v>
      </c>
      <c r="B35" s="170" t="s">
        <v>26</v>
      </c>
      <c r="C35" s="558">
        <f>'[39]Sch C'!D20</f>
        <v>6787.37</v>
      </c>
      <c r="D35" s="558">
        <f>'[39]Sch C'!F20</f>
        <v>-784</v>
      </c>
      <c r="E35" s="171">
        <f t="shared" si="4"/>
        <v>6003.37</v>
      </c>
      <c r="F35" s="480"/>
      <c r="G35" s="171">
        <f t="shared" si="5"/>
        <v>6003.37</v>
      </c>
      <c r="H35" s="172">
        <f t="shared" si="6"/>
        <v>2.5099126870118801E-3</v>
      </c>
      <c r="I35" s="336"/>
      <c r="J35" s="168"/>
      <c r="K35" s="168"/>
      <c r="M35" s="359">
        <f t="shared" si="7"/>
        <v>0.45404401754651336</v>
      </c>
      <c r="N35" s="359">
        <f>SUMMARY!J38</f>
        <v>0.8424592434119561</v>
      </c>
      <c r="P35"/>
      <c r="Q35"/>
      <c r="Z35" s="546"/>
      <c r="AA35" s="546"/>
      <c r="AB35" s="513"/>
      <c r="AC35" s="513"/>
    </row>
    <row r="36" spans="1:29" s="167" customFormat="1">
      <c r="A36" s="169" t="s">
        <v>94</v>
      </c>
      <c r="B36" s="170" t="s">
        <v>27</v>
      </c>
      <c r="C36" s="558">
        <f>'[39]Sch C'!D21</f>
        <v>18228.599999999999</v>
      </c>
      <c r="D36" s="558">
        <f>'[39]Sch C'!F21</f>
        <v>-2106</v>
      </c>
      <c r="E36" s="171">
        <f t="shared" si="4"/>
        <v>16122.599999999999</v>
      </c>
      <c r="F36" s="480"/>
      <c r="G36" s="171">
        <f t="shared" si="5"/>
        <v>16122.599999999999</v>
      </c>
      <c r="H36" s="172">
        <f t="shared" si="6"/>
        <v>6.7406004107056095E-3</v>
      </c>
      <c r="I36" s="336"/>
      <c r="J36" s="168"/>
      <c r="K36" s="168"/>
      <c r="M36" s="359">
        <f t="shared" si="7"/>
        <v>1.2193767962486763</v>
      </c>
      <c r="N36" s="359">
        <f>SUMMARY!J39</f>
        <v>1.3169235823352747</v>
      </c>
      <c r="P36"/>
      <c r="Q36"/>
      <c r="Z36" s="546"/>
      <c r="AA36" s="546"/>
      <c r="AB36" s="513"/>
      <c r="AC36" s="513"/>
    </row>
    <row r="37" spans="1:29" s="167" customFormat="1">
      <c r="A37" s="163">
        <v>130</v>
      </c>
      <c r="B37" s="170" t="s">
        <v>28</v>
      </c>
      <c r="C37" s="558">
        <f>'[39]Sch C'!D22</f>
        <v>0</v>
      </c>
      <c r="D37" s="558">
        <f>'[39]Sch C'!F22</f>
        <v>0</v>
      </c>
      <c r="E37" s="171">
        <f t="shared" si="4"/>
        <v>0</v>
      </c>
      <c r="F37" s="480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  <c r="Z37" s="546"/>
      <c r="AA37" s="546"/>
      <c r="AB37" s="513"/>
      <c r="AC37" s="513"/>
    </row>
    <row r="38" spans="1:29" s="167" customFormat="1">
      <c r="A38" s="163">
        <v>140</v>
      </c>
      <c r="B38" s="170" t="s">
        <v>149</v>
      </c>
      <c r="C38" s="558">
        <f>'[39]Sch C'!D23</f>
        <v>4348.0999999999995</v>
      </c>
      <c r="D38" s="558">
        <f>'[39]Sch C'!F23</f>
        <v>-502</v>
      </c>
      <c r="E38" s="171">
        <f t="shared" si="4"/>
        <v>3846.0999999999995</v>
      </c>
      <c r="F38" s="480"/>
      <c r="G38" s="171">
        <f t="shared" si="5"/>
        <v>3846.0999999999995</v>
      </c>
      <c r="H38" s="172">
        <f t="shared" si="6"/>
        <v>1.6079927083482097E-3</v>
      </c>
      <c r="I38" s="336"/>
      <c r="J38" s="168"/>
      <c r="K38" s="168"/>
      <c r="M38" s="359">
        <f t="shared" si="7"/>
        <v>0.29088640145212519</v>
      </c>
      <c r="N38" s="359">
        <f>SUMMARY!J41</f>
        <v>0.78350447706162407</v>
      </c>
      <c r="P38"/>
      <c r="Q38"/>
      <c r="Z38" s="546"/>
      <c r="AA38" s="546"/>
      <c r="AB38" s="513"/>
      <c r="AC38" s="513"/>
    </row>
    <row r="39" spans="1:29" s="167" customFormat="1">
      <c r="A39" s="163">
        <v>150</v>
      </c>
      <c r="B39" s="170" t="s">
        <v>29</v>
      </c>
      <c r="C39" s="558">
        <f>'[39]Sch C'!D24</f>
        <v>0</v>
      </c>
      <c r="D39" s="558">
        <f>'[39]Sch C'!F24</f>
        <v>0</v>
      </c>
      <c r="E39" s="171">
        <f t="shared" si="4"/>
        <v>0</v>
      </c>
      <c r="F39" s="480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  <c r="Z39" s="546"/>
      <c r="AA39" s="546"/>
      <c r="AB39" s="513"/>
      <c r="AC39" s="513"/>
    </row>
    <row r="40" spans="1:29" s="167" customFormat="1">
      <c r="A40" s="163">
        <v>160</v>
      </c>
      <c r="B40" s="170" t="s">
        <v>30</v>
      </c>
      <c r="C40" s="558">
        <f>'[39]Sch C'!D25</f>
        <v>0</v>
      </c>
      <c r="D40" s="558">
        <f>'[39]Sch C'!F25</f>
        <v>0</v>
      </c>
      <c r="E40" s="171">
        <f t="shared" si="4"/>
        <v>0</v>
      </c>
      <c r="F40" s="480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  <c r="Z40" s="546"/>
      <c r="AA40" s="546"/>
      <c r="AB40" s="513"/>
      <c r="AC40" s="513"/>
    </row>
    <row r="41" spans="1:29" s="167" customFormat="1">
      <c r="A41" s="163">
        <v>170</v>
      </c>
      <c r="B41" s="170" t="s">
        <v>31</v>
      </c>
      <c r="C41" s="558">
        <f>'[39]Sch C'!D26</f>
        <v>210492.36</v>
      </c>
      <c r="D41" s="558">
        <f>'[39]Sch C'!F26</f>
        <v>0</v>
      </c>
      <c r="E41" s="171">
        <f t="shared" si="4"/>
        <v>210492.36</v>
      </c>
      <c r="F41" s="480"/>
      <c r="G41" s="171">
        <f t="shared" si="5"/>
        <v>210492.36</v>
      </c>
      <c r="H41" s="172">
        <f t="shared" si="6"/>
        <v>8.8003478859885687E-2</v>
      </c>
      <c r="I41" s="336"/>
      <c r="J41" s="168"/>
      <c r="K41" s="168"/>
      <c r="M41" s="359">
        <f t="shared" si="7"/>
        <v>15.919857812736348</v>
      </c>
      <c r="N41" s="359">
        <f>SUMMARY!J44</f>
        <v>13.276275078297671</v>
      </c>
      <c r="P41"/>
      <c r="Q41"/>
      <c r="Z41" s="546"/>
      <c r="AA41" s="546"/>
      <c r="AB41" s="513"/>
      <c r="AC41" s="513"/>
    </row>
    <row r="42" spans="1:29" s="167" customFormat="1">
      <c r="A42" s="163">
        <v>180</v>
      </c>
      <c r="B42" s="170" t="s">
        <v>32</v>
      </c>
      <c r="C42" s="558">
        <f>'[39]Sch C'!D27</f>
        <v>0</v>
      </c>
      <c r="D42" s="558">
        <f>'[39]Sch C'!F27</f>
        <v>0</v>
      </c>
      <c r="E42" s="171">
        <f t="shared" si="4"/>
        <v>0</v>
      </c>
      <c r="F42" s="563"/>
      <c r="G42" s="171">
        <f t="shared" si="5"/>
        <v>0</v>
      </c>
      <c r="H42" s="172">
        <f t="shared" si="6"/>
        <v>0</v>
      </c>
      <c r="I42" s="555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  <c r="Z42" s="546"/>
      <c r="AA42" s="546"/>
      <c r="AB42" s="513"/>
      <c r="AC42" s="513"/>
    </row>
    <row r="43" spans="1:29" s="167" customFormat="1">
      <c r="A43" s="163">
        <v>190</v>
      </c>
      <c r="B43" s="170" t="s">
        <v>33</v>
      </c>
      <c r="C43" s="558">
        <f>'[39]Sch C'!D28</f>
        <v>0</v>
      </c>
      <c r="D43" s="558">
        <f>'[39]Sch C'!F28</f>
        <v>0</v>
      </c>
      <c r="E43" s="171">
        <f t="shared" si="4"/>
        <v>0</v>
      </c>
      <c r="F43" s="480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  <c r="Z43" s="546"/>
      <c r="AA43" s="546"/>
      <c r="AB43" s="513"/>
      <c r="AC43" s="513"/>
    </row>
    <row r="44" spans="1:29" s="167" customFormat="1">
      <c r="A44" s="163">
        <v>200</v>
      </c>
      <c r="B44" s="170" t="s">
        <v>34</v>
      </c>
      <c r="C44" s="558">
        <f>'[39]Sch C'!D29</f>
        <v>152040.94</v>
      </c>
      <c r="D44" s="558">
        <f>'[39]Sch C'!F29</f>
        <v>-152040.94</v>
      </c>
      <c r="E44" s="171">
        <f t="shared" si="4"/>
        <v>0</v>
      </c>
      <c r="F44" s="480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  <c r="Z44" s="546"/>
      <c r="AA44" s="546"/>
      <c r="AB44" s="513"/>
      <c r="AC44" s="513"/>
    </row>
    <row r="45" spans="1:29" s="167" customFormat="1">
      <c r="A45" s="163">
        <v>210</v>
      </c>
      <c r="B45" s="170" t="s">
        <v>35</v>
      </c>
      <c r="C45" s="558">
        <f>'[39]Sch C'!D30</f>
        <v>0</v>
      </c>
      <c r="D45" s="558">
        <f>'[39]Sch C'!F30</f>
        <v>0</v>
      </c>
      <c r="E45" s="171">
        <f t="shared" si="4"/>
        <v>0</v>
      </c>
      <c r="F45" s="480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  <c r="Z45" s="546"/>
      <c r="AA45" s="546"/>
      <c r="AB45" s="513"/>
      <c r="AC45" s="513"/>
    </row>
    <row r="46" spans="1:29" s="167" customFormat="1">
      <c r="A46" s="163">
        <v>220</v>
      </c>
      <c r="B46" s="170" t="s">
        <v>190</v>
      </c>
      <c r="C46" s="558">
        <f>'[39]Sch C'!D31</f>
        <v>0</v>
      </c>
      <c r="D46" s="558">
        <f>'[39]Sch C'!F31</f>
        <v>0</v>
      </c>
      <c r="E46" s="171">
        <f t="shared" si="4"/>
        <v>0</v>
      </c>
      <c r="F46" s="480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  <c r="Z46" s="546"/>
      <c r="AA46" s="546"/>
      <c r="AB46" s="513"/>
      <c r="AC46" s="513"/>
    </row>
    <row r="47" spans="1:29" s="167" customFormat="1">
      <c r="A47" s="163">
        <v>230</v>
      </c>
      <c r="B47" s="170" t="s">
        <v>191</v>
      </c>
      <c r="C47" s="558">
        <f>'[39]Sch C'!D32</f>
        <v>40613.72</v>
      </c>
      <c r="D47" s="558">
        <f>'[39]Sch C'!F32</f>
        <v>-4693</v>
      </c>
      <c r="E47" s="171">
        <f t="shared" si="4"/>
        <v>35920.720000000001</v>
      </c>
      <c r="F47" s="480"/>
      <c r="G47" s="171">
        <f t="shared" si="5"/>
        <v>35920.720000000001</v>
      </c>
      <c r="H47" s="172">
        <f t="shared" si="6"/>
        <v>1.501787676831536E-2</v>
      </c>
      <c r="I47" s="336"/>
      <c r="J47" s="168"/>
      <c r="K47" s="168"/>
      <c r="M47" s="359">
        <f t="shared" si="7"/>
        <v>2.7167387687188023</v>
      </c>
      <c r="N47" s="359">
        <f>SUMMARY!J50</f>
        <v>2.4834328319281553</v>
      </c>
      <c r="P47"/>
      <c r="Q47"/>
      <c r="Z47" s="546"/>
      <c r="AA47" s="546"/>
      <c r="AB47" s="513"/>
      <c r="AC47" s="513"/>
    </row>
    <row r="48" spans="1:29" s="167" customFormat="1">
      <c r="A48" s="163">
        <v>240</v>
      </c>
      <c r="B48" s="170" t="s">
        <v>201</v>
      </c>
      <c r="C48" s="558">
        <f>'[39]Sch C'!D33</f>
        <v>0</v>
      </c>
      <c r="D48" s="558">
        <f>'[39]Sch C'!F33</f>
        <v>0</v>
      </c>
      <c r="E48" s="171">
        <f t="shared" si="4"/>
        <v>0</v>
      </c>
      <c r="F48" s="480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  <c r="Z48" s="546"/>
      <c r="AA48" s="546"/>
      <c r="AB48" s="513"/>
      <c r="AC48" s="513"/>
    </row>
    <row r="49" spans="1:29" s="167" customFormat="1">
      <c r="A49" s="163">
        <v>250</v>
      </c>
      <c r="B49" s="170" t="s">
        <v>202</v>
      </c>
      <c r="C49" s="558">
        <f>'[39]Sch C'!D34</f>
        <v>0</v>
      </c>
      <c r="D49" s="558">
        <f>'[39]Sch C'!F34</f>
        <v>0</v>
      </c>
      <c r="E49" s="171">
        <f t="shared" si="4"/>
        <v>0</v>
      </c>
      <c r="F49" s="480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  <c r="Z49" s="546"/>
      <c r="AA49" s="546"/>
      <c r="AB49" s="513"/>
      <c r="AC49" s="513"/>
    </row>
    <row r="50" spans="1:29" s="167" customFormat="1">
      <c r="A50" s="163">
        <v>270</v>
      </c>
      <c r="B50" s="170" t="s">
        <v>203</v>
      </c>
      <c r="C50" s="558">
        <f>'[39]Sch C'!D35</f>
        <v>0</v>
      </c>
      <c r="D50" s="558">
        <f>'[39]Sch C'!F35</f>
        <v>0</v>
      </c>
      <c r="E50" s="171">
        <f t="shared" si="4"/>
        <v>0</v>
      </c>
      <c r="F50" s="480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  <c r="Z50" s="546"/>
      <c r="AA50" s="546"/>
      <c r="AB50" s="513"/>
      <c r="AC50" s="513"/>
    </row>
    <row r="51" spans="1:29" s="167" customFormat="1">
      <c r="A51" s="163">
        <v>280</v>
      </c>
      <c r="B51" s="170" t="s">
        <v>204</v>
      </c>
      <c r="C51" s="558">
        <f>'[39]Sch C'!D36</f>
        <v>0</v>
      </c>
      <c r="D51" s="558">
        <f>'[39]Sch C'!F36</f>
        <v>0</v>
      </c>
      <c r="E51" s="171">
        <f t="shared" si="4"/>
        <v>0</v>
      </c>
      <c r="F51" s="480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  <c r="Z51" s="551">
        <v>161.69999999999999</v>
      </c>
      <c r="AA51" s="551">
        <v>161.69999999999999</v>
      </c>
      <c r="AB51" s="482">
        <v>0</v>
      </c>
      <c r="AC51" s="482">
        <v>0</v>
      </c>
    </row>
    <row r="52" spans="1:29" s="167" customFormat="1">
      <c r="A52" s="163">
        <v>290</v>
      </c>
      <c r="B52" s="170" t="s">
        <v>205</v>
      </c>
      <c r="C52" s="558">
        <f>'[39]Sch C'!D37</f>
        <v>0</v>
      </c>
      <c r="D52" s="558">
        <f>'[39]Sch C'!F37</f>
        <v>0</v>
      </c>
      <c r="E52" s="171">
        <f t="shared" si="4"/>
        <v>0</v>
      </c>
      <c r="F52" s="480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  <c r="Z52" s="546"/>
      <c r="AA52" s="546"/>
      <c r="AB52" s="513"/>
      <c r="AC52" s="513"/>
    </row>
    <row r="53" spans="1:29" s="167" customFormat="1">
      <c r="A53" s="163">
        <v>300</v>
      </c>
      <c r="B53" s="170" t="s">
        <v>206</v>
      </c>
      <c r="C53" s="558">
        <f>'[39]Sch C'!D38</f>
        <v>0</v>
      </c>
      <c r="D53" s="558">
        <f>'[39]Sch C'!F38</f>
        <v>0</v>
      </c>
      <c r="E53" s="171">
        <f t="shared" si="4"/>
        <v>0</v>
      </c>
      <c r="F53" s="480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  <c r="Z53" s="546"/>
      <c r="AA53" s="546"/>
      <c r="AB53" s="513"/>
      <c r="AC53" s="513"/>
    </row>
    <row r="54" spans="1:29" s="167" customFormat="1">
      <c r="A54" s="163">
        <v>310</v>
      </c>
      <c r="B54" s="170" t="s">
        <v>207</v>
      </c>
      <c r="C54" s="558">
        <f>'[39]Sch C'!D39</f>
        <v>6949.5099999999993</v>
      </c>
      <c r="D54" s="558">
        <f>'[39]Sch C'!F39</f>
        <v>-803</v>
      </c>
      <c r="E54" s="171">
        <f t="shared" si="4"/>
        <v>6146.5099999999993</v>
      </c>
      <c r="F54" s="480"/>
      <c r="G54" s="171">
        <f t="shared" si="5"/>
        <v>6146.5099999999993</v>
      </c>
      <c r="H54" s="172">
        <f t="shared" si="6"/>
        <v>2.5697572246663773E-3</v>
      </c>
      <c r="I54" s="336"/>
      <c r="J54" s="168"/>
      <c r="K54" s="168"/>
      <c r="M54" s="359">
        <f t="shared" si="7"/>
        <v>0.46486991378006348</v>
      </c>
      <c r="N54" s="359">
        <f>SUMMARY!J57</f>
        <v>0.27779592873572578</v>
      </c>
      <c r="P54"/>
      <c r="Q54"/>
      <c r="Z54" s="546"/>
      <c r="AA54" s="546"/>
      <c r="AB54" s="513"/>
      <c r="AC54" s="513"/>
    </row>
    <row r="55" spans="1:29" s="167" customFormat="1">
      <c r="A55" s="163">
        <v>320</v>
      </c>
      <c r="B55" s="170" t="s">
        <v>208</v>
      </c>
      <c r="C55" s="558">
        <f>'[39]Sch C'!D40</f>
        <v>17560.91</v>
      </c>
      <c r="D55" s="558">
        <f>'[39]Sch C'!F40</f>
        <v>-17561</v>
      </c>
      <c r="E55" s="171">
        <f t="shared" si="4"/>
        <v>-9.0000000000145519E-2</v>
      </c>
      <c r="F55" s="480"/>
      <c r="G55" s="171">
        <f t="shared" si="5"/>
        <v>-9.0000000000145519E-2</v>
      </c>
      <c r="H55" s="172">
        <f t="shared" si="6"/>
        <v>-3.7627556161195203E-8</v>
      </c>
      <c r="I55" s="336"/>
      <c r="J55" s="168"/>
      <c r="K55" s="168"/>
      <c r="M55" s="359">
        <f t="shared" si="7"/>
        <v>-6.8068370897099923E-6</v>
      </c>
      <c r="N55" s="359">
        <f>SUMMARY!J58</f>
        <v>0.16653887337107628</v>
      </c>
      <c r="P55"/>
      <c r="Q55"/>
      <c r="Z55" s="546"/>
      <c r="AA55" s="546"/>
      <c r="AB55" s="513"/>
      <c r="AC55" s="513"/>
    </row>
    <row r="56" spans="1:29" s="167" customFormat="1">
      <c r="A56" s="163">
        <v>330</v>
      </c>
      <c r="B56" s="170" t="s">
        <v>48</v>
      </c>
      <c r="C56" s="558">
        <f>'[39]Sch C'!D41</f>
        <v>0</v>
      </c>
      <c r="D56" s="558">
        <f>'[39]Sch C'!F41</f>
        <v>0</v>
      </c>
      <c r="E56" s="171">
        <f t="shared" si="4"/>
        <v>0</v>
      </c>
      <c r="F56" s="480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  <c r="Z56" s="546"/>
      <c r="AA56" s="546"/>
      <c r="AB56" s="513"/>
      <c r="AC56" s="513"/>
    </row>
    <row r="57" spans="1:29" s="167" customFormat="1">
      <c r="A57" s="163">
        <v>340</v>
      </c>
      <c r="B57" s="170" t="s">
        <v>209</v>
      </c>
      <c r="C57" s="558">
        <f>'[39]Sch C'!D42</f>
        <v>4971.7</v>
      </c>
      <c r="D57" s="558">
        <f>'[39]Sch C'!F42</f>
        <v>-575</v>
      </c>
      <c r="E57" s="171">
        <f t="shared" si="4"/>
        <v>4396.7</v>
      </c>
      <c r="F57" s="480"/>
      <c r="G57" s="171">
        <f t="shared" si="5"/>
        <v>4396.7</v>
      </c>
      <c r="H57" s="172">
        <f t="shared" si="6"/>
        <v>1.8381897352628828E-3</v>
      </c>
      <c r="I57" s="336"/>
      <c r="J57" s="168"/>
      <c r="K57" s="168"/>
      <c r="M57" s="359">
        <f t="shared" si="7"/>
        <v>0.33252911813643926</v>
      </c>
      <c r="N57" s="359">
        <f>SUMMARY!J60</f>
        <v>0.23079784303595582</v>
      </c>
      <c r="P57"/>
      <c r="Q57"/>
      <c r="Z57" s="546"/>
      <c r="AA57" s="546"/>
      <c r="AB57" s="513"/>
      <c r="AC57" s="513"/>
    </row>
    <row r="58" spans="1:29" s="167" customFormat="1">
      <c r="A58" s="163">
        <v>350</v>
      </c>
      <c r="B58" s="170" t="s">
        <v>210</v>
      </c>
      <c r="C58" s="558">
        <f>'[39]Sch C'!D43</f>
        <v>14540.03</v>
      </c>
      <c r="D58" s="558">
        <f>'[39]Sch C'!F43</f>
        <v>-1680</v>
      </c>
      <c r="E58" s="171">
        <f t="shared" si="4"/>
        <v>12860.03</v>
      </c>
      <c r="F58" s="480"/>
      <c r="G58" s="171">
        <f t="shared" si="5"/>
        <v>12860.03</v>
      </c>
      <c r="H58" s="172">
        <f t="shared" si="6"/>
        <v>5.3765722339874757E-3</v>
      </c>
      <c r="I58" s="336"/>
      <c r="J58" s="168"/>
      <c r="K58" s="168"/>
      <c r="M58" s="359">
        <f t="shared" si="7"/>
        <v>0.97262365754046287</v>
      </c>
      <c r="N58" s="359">
        <f>SUMMARY!J61</f>
        <v>0.17688029085358925</v>
      </c>
      <c r="P58"/>
      <c r="Q58"/>
      <c r="Z58" s="546"/>
      <c r="AA58" s="546"/>
      <c r="AB58" s="513"/>
      <c r="AC58" s="513"/>
    </row>
    <row r="59" spans="1:29" s="167" customFormat="1">
      <c r="A59" s="163">
        <v>360</v>
      </c>
      <c r="B59" s="170" t="s">
        <v>211</v>
      </c>
      <c r="C59" s="558">
        <f>'[39]Sch C'!D44</f>
        <v>0</v>
      </c>
      <c r="D59" s="558">
        <f>'[39]Sch C'!F44</f>
        <v>0</v>
      </c>
      <c r="E59" s="171">
        <f t="shared" si="4"/>
        <v>0</v>
      </c>
      <c r="F59" s="480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  <c r="Z59" s="546"/>
      <c r="AA59" s="546"/>
      <c r="AB59" s="513"/>
      <c r="AC59" s="513"/>
    </row>
    <row r="60" spans="1:29" s="167" customFormat="1">
      <c r="A60" s="163">
        <v>490</v>
      </c>
      <c r="B60" s="170" t="s">
        <v>36</v>
      </c>
      <c r="C60" s="558">
        <f>'[39]Sch C'!D45</f>
        <v>124056.21</v>
      </c>
      <c r="D60" s="558">
        <f>'[39]Sch C'!F45</f>
        <v>-97086</v>
      </c>
      <c r="E60" s="171">
        <f t="shared" si="4"/>
        <v>26970.210000000006</v>
      </c>
      <c r="F60" s="480"/>
      <c r="G60" s="171">
        <f t="shared" si="5"/>
        <v>26970.210000000006</v>
      </c>
      <c r="H60" s="172">
        <f t="shared" si="6"/>
        <v>1.1275812127250977E-2</v>
      </c>
      <c r="I60" s="336"/>
      <c r="J60" s="168"/>
      <c r="K60" s="168"/>
      <c r="M60" s="359">
        <f t="shared" si="7"/>
        <v>2.0397980638330062</v>
      </c>
      <c r="N60" s="359">
        <f>SUMMARY!J63</f>
        <v>0.69532317482298633</v>
      </c>
      <c r="P60"/>
      <c r="Q60"/>
      <c r="Z60" s="546"/>
      <c r="AA60" s="546"/>
      <c r="AB60" s="513"/>
      <c r="AC60" s="513"/>
    </row>
    <row r="61" spans="1:29" s="167" customFormat="1">
      <c r="A61" s="163"/>
      <c r="B61" s="170" t="s">
        <v>177</v>
      </c>
      <c r="C61" s="558">
        <f>SUM(C25:C60)</f>
        <v>1531845.3599999996</v>
      </c>
      <c r="D61" s="558">
        <f>SUM(D25:D60)</f>
        <v>-881175.12999999989</v>
      </c>
      <c r="E61" s="171">
        <f t="shared" ref="E61:F61" si="8">SUM(E25:E60)</f>
        <v>650670.22999999986</v>
      </c>
      <c r="F61" s="171">
        <f t="shared" si="8"/>
        <v>0</v>
      </c>
      <c r="G61" s="171">
        <f>SUM(G25:G60)</f>
        <v>650670.22999999986</v>
      </c>
      <c r="H61" s="186">
        <f t="shared" si="6"/>
        <v>0.27203478468559122</v>
      </c>
      <c r="I61" s="338"/>
      <c r="J61" s="168"/>
      <c r="K61" s="168"/>
      <c r="M61" s="364">
        <f>G61/G$228</f>
        <v>49.211180608077434</v>
      </c>
      <c r="N61" s="359">
        <f>SUMMARY!J64</f>
        <v>53.728790309602623</v>
      </c>
      <c r="O61" s="354">
        <f>M61/N61-1</f>
        <v>-8.4081731144387661E-2</v>
      </c>
      <c r="P61"/>
      <c r="Q61"/>
      <c r="Z61" s="546"/>
      <c r="AA61" s="546"/>
      <c r="AB61" s="513"/>
      <c r="AC61" s="513"/>
    </row>
    <row r="62" spans="1:29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  <c r="Z62" s="546"/>
      <c r="AA62" s="546"/>
      <c r="AB62" s="513"/>
      <c r="AC62" s="513"/>
    </row>
    <row r="63" spans="1:29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  <c r="Z63" s="546"/>
      <c r="AA63" s="546"/>
      <c r="AB63" s="513"/>
      <c r="AC63" s="513"/>
    </row>
    <row r="64" spans="1:29" s="167" customFormat="1">
      <c r="A64" s="188">
        <v>230</v>
      </c>
      <c r="B64" s="189" t="s">
        <v>253</v>
      </c>
      <c r="C64" s="558">
        <f>'[39]Sch C'!D57</f>
        <v>341618.16</v>
      </c>
      <c r="D64" s="558">
        <f>'[39]Sch C'!F57</f>
        <v>-341618</v>
      </c>
      <c r="E64" s="171">
        <f t="shared" ref="E64:E78" si="9">C64+D64</f>
        <v>0.15999999997438863</v>
      </c>
      <c r="F64" s="563"/>
      <c r="G64" s="171">
        <f t="shared" ref="G64:G78" si="10">E64+F64</f>
        <v>0.15999999997438863</v>
      </c>
      <c r="H64" s="172">
        <f t="shared" ref="H64:H79" si="11">IF($G$208=0,0,G64/$G$208)</f>
        <v>6.6893433164642279E-8</v>
      </c>
      <c r="I64" s="555"/>
      <c r="J64" s="190"/>
      <c r="K64" s="168"/>
      <c r="M64" s="359">
        <f t="shared" ref="M64:M79" si="12">G64/G$228</f>
        <v>1.2101043713083393E-5</v>
      </c>
      <c r="N64" s="359">
        <f>SUMMARY!J67</f>
        <v>5.7390436698400178</v>
      </c>
      <c r="P64"/>
      <c r="Q64"/>
      <c r="Z64" s="546"/>
      <c r="AA64" s="546"/>
      <c r="AB64" s="514"/>
      <c r="AC64" s="513"/>
    </row>
    <row r="65" spans="1:29" s="167" customFormat="1">
      <c r="A65" s="191">
        <v>240</v>
      </c>
      <c r="B65" s="189" t="s">
        <v>254</v>
      </c>
      <c r="C65" s="558">
        <f>'[39]Sch C'!D58</f>
        <v>0</v>
      </c>
      <c r="D65" s="558">
        <f>'[39]Sch C'!F58</f>
        <v>88554.16</v>
      </c>
      <c r="E65" s="171">
        <f t="shared" si="9"/>
        <v>88554.16</v>
      </c>
      <c r="F65" s="563"/>
      <c r="G65" s="171">
        <f t="shared" si="10"/>
        <v>88554.16</v>
      </c>
      <c r="H65" s="172">
        <f t="shared" si="11"/>
        <v>3.7023073652245317E-2</v>
      </c>
      <c r="I65" s="336"/>
      <c r="J65" s="190"/>
      <c r="K65" s="168"/>
      <c r="M65" s="359">
        <f t="shared" si="12"/>
        <v>6.6974860081682044</v>
      </c>
      <c r="N65" s="359">
        <f>SUMMARY!J68</f>
        <v>5.746156082994454</v>
      </c>
      <c r="P65"/>
      <c r="Q65"/>
      <c r="Z65" s="546"/>
      <c r="AA65" s="546"/>
      <c r="AB65" s="514"/>
      <c r="AC65" s="513"/>
    </row>
    <row r="66" spans="1:29" s="167" customFormat="1">
      <c r="A66" s="142">
        <v>250</v>
      </c>
      <c r="B66" s="189" t="s">
        <v>307</v>
      </c>
      <c r="C66" s="558">
        <f>'[39]Sch C'!D59</f>
        <v>0</v>
      </c>
      <c r="D66" s="558">
        <f>'[39]Sch C'!F59</f>
        <v>0</v>
      </c>
      <c r="E66" s="171">
        <f t="shared" si="9"/>
        <v>0</v>
      </c>
      <c r="F66" s="480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  <c r="Z66" s="546"/>
      <c r="AA66" s="546"/>
      <c r="AB66" s="514"/>
      <c r="AC66" s="513"/>
    </row>
    <row r="67" spans="1:29" s="167" customFormat="1">
      <c r="A67" s="142">
        <v>260</v>
      </c>
      <c r="B67" s="192" t="s">
        <v>308</v>
      </c>
      <c r="C67" s="558">
        <f>'[39]Sch C'!D60</f>
        <v>0</v>
      </c>
      <c r="D67" s="558">
        <f>'[39]Sch C'!F60</f>
        <v>0</v>
      </c>
      <c r="E67" s="171">
        <f t="shared" si="9"/>
        <v>0</v>
      </c>
      <c r="F67" s="563"/>
      <c r="G67" s="171">
        <f t="shared" si="10"/>
        <v>0</v>
      </c>
      <c r="H67" s="172">
        <f t="shared" si="11"/>
        <v>0</v>
      </c>
      <c r="I67" s="555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  <c r="Z67" s="546"/>
      <c r="AA67" s="546"/>
      <c r="AB67" s="515"/>
      <c r="AC67" s="513"/>
    </row>
    <row r="68" spans="1:29" s="167" customFormat="1">
      <c r="A68" s="142">
        <v>270</v>
      </c>
      <c r="B68" s="192" t="s">
        <v>309</v>
      </c>
      <c r="C68" s="558">
        <f>'[39]Sch C'!D61</f>
        <v>3120.4</v>
      </c>
      <c r="D68" s="558">
        <f>'[39]Sch C'!F61</f>
        <v>-918</v>
      </c>
      <c r="E68" s="171">
        <f t="shared" si="9"/>
        <v>2202.4</v>
      </c>
      <c r="F68" s="563"/>
      <c r="G68" s="171">
        <f t="shared" si="10"/>
        <v>2202.4</v>
      </c>
      <c r="H68" s="172">
        <f t="shared" si="11"/>
        <v>9.2078810765869258E-4</v>
      </c>
      <c r="I68" s="336"/>
      <c r="J68" s="193"/>
      <c r="K68" s="168"/>
      <c r="M68" s="359">
        <f t="shared" si="12"/>
        <v>0.1665708667372561</v>
      </c>
      <c r="N68" s="359">
        <f>SUMMARY!J71</f>
        <v>0.53904014885667173</v>
      </c>
      <c r="P68"/>
      <c r="Q68"/>
      <c r="Z68" s="546"/>
      <c r="AA68" s="546"/>
      <c r="AB68" s="515"/>
      <c r="AC68" s="513"/>
    </row>
    <row r="69" spans="1:29" s="167" customFormat="1">
      <c r="A69" s="142">
        <v>280</v>
      </c>
      <c r="B69" s="194" t="s">
        <v>258</v>
      </c>
      <c r="C69" s="558">
        <f>'[39]Sch C'!D62</f>
        <v>0</v>
      </c>
      <c r="D69" s="558">
        <f>'[39]Sch C'!F62</f>
        <v>0</v>
      </c>
      <c r="E69" s="171">
        <f t="shared" si="9"/>
        <v>0</v>
      </c>
      <c r="F69" s="480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  <c r="Z69" s="546"/>
      <c r="AA69" s="546"/>
      <c r="AB69" s="516"/>
      <c r="AC69" s="513"/>
    </row>
    <row r="70" spans="1:29" s="167" customFormat="1">
      <c r="A70" s="142">
        <v>290</v>
      </c>
      <c r="B70" s="194" t="s">
        <v>259</v>
      </c>
      <c r="C70" s="558">
        <f>'[39]Sch C'!D63</f>
        <v>0</v>
      </c>
      <c r="D70" s="558">
        <f>'[39]Sch C'!F63</f>
        <v>0</v>
      </c>
      <c r="E70" s="171">
        <f t="shared" si="9"/>
        <v>0</v>
      </c>
      <c r="F70" s="480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  <c r="Z70" s="546"/>
      <c r="AA70" s="546"/>
      <c r="AB70" s="516"/>
      <c r="AC70" s="513"/>
    </row>
    <row r="71" spans="1:29" s="167" customFormat="1">
      <c r="A71" s="142">
        <v>300</v>
      </c>
      <c r="B71" s="194" t="s">
        <v>260</v>
      </c>
      <c r="C71" s="558">
        <f>'[39]Sch C'!D64</f>
        <v>0</v>
      </c>
      <c r="D71" s="558">
        <f>'[39]Sch C'!F64</f>
        <v>0</v>
      </c>
      <c r="E71" s="171">
        <f t="shared" si="9"/>
        <v>0</v>
      </c>
      <c r="F71" s="480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  <c r="Z71" s="546"/>
      <c r="AA71" s="546"/>
      <c r="AB71" s="516"/>
      <c r="AC71" s="513"/>
    </row>
    <row r="72" spans="1:29" s="167" customFormat="1">
      <c r="A72" s="142">
        <v>310</v>
      </c>
      <c r="B72" s="194" t="s">
        <v>310</v>
      </c>
      <c r="C72" s="558">
        <f>'[39]Sch C'!D65</f>
        <v>0</v>
      </c>
      <c r="D72" s="558">
        <f>'[39]Sch C'!F65</f>
        <v>0</v>
      </c>
      <c r="E72" s="171">
        <f t="shared" si="9"/>
        <v>0</v>
      </c>
      <c r="F72" s="480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  <c r="Z72" s="546"/>
      <c r="AA72" s="546"/>
      <c r="AB72" s="516"/>
      <c r="AC72" s="513"/>
    </row>
    <row r="73" spans="1:29" s="167" customFormat="1">
      <c r="A73" s="142">
        <v>320</v>
      </c>
      <c r="B73" s="194" t="s">
        <v>262</v>
      </c>
      <c r="C73" s="558">
        <f>'[39]Sch C'!D66</f>
        <v>0</v>
      </c>
      <c r="D73" s="558">
        <f>'[39]Sch C'!F66</f>
        <v>0</v>
      </c>
      <c r="E73" s="171">
        <f t="shared" si="9"/>
        <v>0</v>
      </c>
      <c r="F73" s="480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  <c r="Z73" s="546"/>
      <c r="AA73" s="546"/>
      <c r="AB73" s="516"/>
      <c r="AC73" s="513"/>
    </row>
    <row r="74" spans="1:29" s="167" customFormat="1">
      <c r="A74" s="142">
        <v>330</v>
      </c>
      <c r="B74" s="194" t="s">
        <v>263</v>
      </c>
      <c r="C74" s="558">
        <f>'[39]Sch C'!D67</f>
        <v>1814.8</v>
      </c>
      <c r="D74" s="558">
        <f>'[39]Sch C'!F67</f>
        <v>-534</v>
      </c>
      <c r="E74" s="171">
        <f t="shared" si="9"/>
        <v>1280.8</v>
      </c>
      <c r="F74" s="563"/>
      <c r="G74" s="171">
        <f t="shared" si="10"/>
        <v>1280.8</v>
      </c>
      <c r="H74" s="172">
        <f t="shared" si="11"/>
        <v>5.3548193256867656E-4</v>
      </c>
      <c r="I74" s="336"/>
      <c r="J74" s="195"/>
      <c r="K74" s="168"/>
      <c r="M74" s="359">
        <f t="shared" si="12"/>
        <v>9.6868854938738466E-2</v>
      </c>
      <c r="N74" s="359">
        <f>SUMMARY!J77</f>
        <v>3.2132948973832529</v>
      </c>
      <c r="P74"/>
      <c r="Q74"/>
      <c r="Z74" s="546"/>
      <c r="AA74" s="546"/>
      <c r="AB74" s="516"/>
      <c r="AC74" s="513"/>
    </row>
    <row r="75" spans="1:29" s="167" customFormat="1">
      <c r="A75" s="142">
        <v>340</v>
      </c>
      <c r="B75" s="194" t="s">
        <v>264</v>
      </c>
      <c r="C75" s="558">
        <f>'[39]Sch C'!D68</f>
        <v>0</v>
      </c>
      <c r="D75" s="558">
        <f>'[39]Sch C'!F68</f>
        <v>0</v>
      </c>
      <c r="E75" s="171">
        <f t="shared" si="9"/>
        <v>0</v>
      </c>
      <c r="F75" s="480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  <c r="Z75" s="546"/>
      <c r="AA75" s="546"/>
      <c r="AB75" s="516"/>
      <c r="AC75" s="513"/>
    </row>
    <row r="76" spans="1:29" s="167" customFormat="1">
      <c r="A76" s="167">
        <v>350</v>
      </c>
      <c r="B76" s="194" t="s">
        <v>311</v>
      </c>
      <c r="C76" s="558">
        <f>'[39]Sch C'!D69</f>
        <v>0</v>
      </c>
      <c r="D76" s="558">
        <f>'[39]Sch C'!F69</f>
        <v>0</v>
      </c>
      <c r="E76" s="171">
        <f t="shared" si="9"/>
        <v>0</v>
      </c>
      <c r="F76" s="480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  <c r="Z76" s="546"/>
      <c r="AA76" s="546"/>
      <c r="AB76" s="516"/>
      <c r="AC76" s="513"/>
    </row>
    <row r="77" spans="1:29" s="167" customFormat="1">
      <c r="A77" s="142">
        <v>360</v>
      </c>
      <c r="B77" s="194" t="s">
        <v>192</v>
      </c>
      <c r="C77" s="558">
        <f>'[39]Sch C'!D70</f>
        <v>0</v>
      </c>
      <c r="D77" s="558">
        <f>'[39]Sch C'!F70</f>
        <v>0</v>
      </c>
      <c r="E77" s="171">
        <f t="shared" si="9"/>
        <v>0</v>
      </c>
      <c r="F77" s="480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  <c r="Z77" s="546"/>
      <c r="AA77" s="546"/>
      <c r="AB77" s="516"/>
      <c r="AC77" s="513"/>
    </row>
    <row r="78" spans="1:29" s="167" customFormat="1">
      <c r="A78" s="142">
        <v>490</v>
      </c>
      <c r="B78" s="194" t="s">
        <v>312</v>
      </c>
      <c r="C78" s="558">
        <f>'[39]Sch C'!D71</f>
        <v>0</v>
      </c>
      <c r="D78" s="558">
        <f>'[39]Sch C'!F71</f>
        <v>0</v>
      </c>
      <c r="E78" s="171">
        <f t="shared" si="9"/>
        <v>0</v>
      </c>
      <c r="F78" s="563"/>
      <c r="G78" s="171">
        <f t="shared" si="10"/>
        <v>0</v>
      </c>
      <c r="H78" s="172">
        <f t="shared" si="11"/>
        <v>0</v>
      </c>
      <c r="I78" s="555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  <c r="Z78" s="546"/>
      <c r="AA78" s="546"/>
      <c r="AB78" s="516"/>
      <c r="AC78" s="513"/>
    </row>
    <row r="79" spans="1:29" s="167" customFormat="1">
      <c r="A79" s="163"/>
      <c r="B79" s="170" t="s">
        <v>150</v>
      </c>
      <c r="C79" s="558">
        <f>SUM(C64:C78)</f>
        <v>346553.36</v>
      </c>
      <c r="D79" s="558">
        <f>SUM(D64:D78)</f>
        <v>-254515.84</v>
      </c>
      <c r="E79" s="171">
        <f t="shared" ref="E79:F79" si="13">SUM(E64:E78)</f>
        <v>92037.519999999975</v>
      </c>
      <c r="F79" s="171">
        <f t="shared" si="13"/>
        <v>0</v>
      </c>
      <c r="G79" s="171">
        <f>SUM(G64:G78)</f>
        <v>92037.519999999975</v>
      </c>
      <c r="H79" s="172">
        <f t="shared" si="11"/>
        <v>3.847941058590585E-2</v>
      </c>
      <c r="I79" s="336"/>
      <c r="J79" s="195"/>
      <c r="K79" s="168"/>
      <c r="M79" s="359">
        <f t="shared" si="12"/>
        <v>6.9609378308879126</v>
      </c>
      <c r="N79" s="359">
        <f>SUMMARY!J82</f>
        <v>22.656344165426013</v>
      </c>
      <c r="P79"/>
      <c r="Q79"/>
      <c r="Z79" s="546"/>
      <c r="AA79" s="546"/>
      <c r="AB79" s="516"/>
      <c r="AC79" s="513"/>
    </row>
    <row r="80" spans="1:29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  <c r="Z80" s="546"/>
      <c r="AA80" s="546"/>
      <c r="AB80" s="513"/>
      <c r="AC80" s="513"/>
    </row>
    <row r="81" spans="1:29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  <c r="Z81" s="546"/>
      <c r="AA81" s="546"/>
      <c r="AB81" s="513"/>
      <c r="AC81" s="513"/>
    </row>
    <row r="82" spans="1:29" s="167" customFormat="1">
      <c r="A82" s="169" t="s">
        <v>85</v>
      </c>
      <c r="B82" s="148" t="s">
        <v>44</v>
      </c>
      <c r="C82" s="558">
        <f>'[39]Sch C'!D75</f>
        <v>39917.46</v>
      </c>
      <c r="D82" s="558">
        <f>'[39]Sch C'!F75</f>
        <v>-11745</v>
      </c>
      <c r="E82" s="171">
        <f t="shared" ref="E82:E92" si="14">C82+D82</f>
        <v>28172.46</v>
      </c>
      <c r="F82" s="480"/>
      <c r="G82" s="171">
        <f t="shared" ref="G82:G92" si="15">E82+F82</f>
        <v>28172.46</v>
      </c>
      <c r="H82" s="172">
        <f t="shared" ref="H82:H93" si="16">IF($G$208=0,0,G82/$G$208)</f>
        <v>1.1778453564970127E-2</v>
      </c>
      <c r="I82" s="336"/>
      <c r="J82" s="183">
        <v>1916.7</v>
      </c>
      <c r="K82" s="183">
        <v>2162.3200000000002</v>
      </c>
      <c r="M82" s="359">
        <f t="shared" ref="M82:M92" si="17">G82/G$228</f>
        <v>2.1307260626229012</v>
      </c>
      <c r="N82" s="359">
        <f>SUMMARY!J85</f>
        <v>2.536968118505103</v>
      </c>
      <c r="P82"/>
      <c r="Q82"/>
      <c r="Z82" s="551">
        <v>365.84</v>
      </c>
      <c r="AA82" s="551">
        <v>374</v>
      </c>
      <c r="AB82" s="482">
        <v>1844</v>
      </c>
      <c r="AC82" s="482">
        <v>1844</v>
      </c>
    </row>
    <row r="83" spans="1:29" s="167" customFormat="1">
      <c r="A83" s="169" t="s">
        <v>86</v>
      </c>
      <c r="B83" s="199" t="s">
        <v>45</v>
      </c>
      <c r="C83" s="558">
        <f>'[39]Sch C'!D76</f>
        <v>0</v>
      </c>
      <c r="D83" s="558">
        <f>'[39]Sch C'!F76</f>
        <v>8444.44</v>
      </c>
      <c r="E83" s="171">
        <f t="shared" si="14"/>
        <v>8444.44</v>
      </c>
      <c r="F83" s="480"/>
      <c r="G83" s="171">
        <f t="shared" si="15"/>
        <v>8444.44</v>
      </c>
      <c r="H83" s="172">
        <f t="shared" si="16"/>
        <v>3.5304848927703277E-3</v>
      </c>
      <c r="I83" s="336"/>
      <c r="J83" s="168"/>
      <c r="K83" s="168"/>
      <c r="M83" s="359">
        <f t="shared" si="17"/>
        <v>0.63866585993041902</v>
      </c>
      <c r="N83" s="359">
        <f>SUMMARY!J86</f>
        <v>0.51085058065727817</v>
      </c>
      <c r="P83"/>
      <c r="Q83"/>
      <c r="Z83" s="546"/>
      <c r="AA83" s="546"/>
      <c r="AB83" s="513"/>
      <c r="AC83" s="513"/>
    </row>
    <row r="84" spans="1:29" s="167" customFormat="1">
      <c r="A84" s="169" t="s">
        <v>93</v>
      </c>
      <c r="B84" s="199" t="s">
        <v>47</v>
      </c>
      <c r="C84" s="558">
        <f>'[39]Sch C'!D77</f>
        <v>8522</v>
      </c>
      <c r="D84" s="558">
        <f>'[39]Sch C'!F77</f>
        <v>-2508</v>
      </c>
      <c r="E84" s="171">
        <f t="shared" si="14"/>
        <v>6014</v>
      </c>
      <c r="F84" s="480"/>
      <c r="G84" s="171">
        <f t="shared" si="15"/>
        <v>6014</v>
      </c>
      <c r="H84" s="172">
        <f t="shared" si="16"/>
        <v>2.5143569194784675E-3</v>
      </c>
      <c r="I84" s="336"/>
      <c r="J84" s="168"/>
      <c r="K84" s="168"/>
      <c r="M84" s="359">
        <f t="shared" si="17"/>
        <v>0.45484798063833004</v>
      </c>
      <c r="N84" s="359">
        <f>SUMMARY!J87</f>
        <v>0.62330034041531523</v>
      </c>
      <c r="P84"/>
      <c r="Q84"/>
      <c r="Z84" s="546"/>
      <c r="AA84" s="546"/>
      <c r="AB84" s="513"/>
      <c r="AC84" s="513"/>
    </row>
    <row r="85" spans="1:29" s="167" customFormat="1">
      <c r="A85" s="169">
        <v>230</v>
      </c>
      <c r="B85" s="199" t="s">
        <v>46</v>
      </c>
      <c r="C85" s="558">
        <f>'[39]Sch C'!D78</f>
        <v>0</v>
      </c>
      <c r="D85" s="558">
        <f>'[39]Sch C'!F78</f>
        <v>0</v>
      </c>
      <c r="E85" s="171">
        <f t="shared" si="14"/>
        <v>0</v>
      </c>
      <c r="F85" s="563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  <c r="Z85" s="546"/>
      <c r="AA85" s="546"/>
      <c r="AB85" s="513"/>
      <c r="AC85" s="513"/>
    </row>
    <row r="86" spans="1:29" s="167" customFormat="1">
      <c r="A86" s="169">
        <v>240</v>
      </c>
      <c r="B86" s="200" t="s">
        <v>267</v>
      </c>
      <c r="C86" s="558">
        <f>'[39]Sch C'!D79</f>
        <v>5707.98</v>
      </c>
      <c r="D86" s="558">
        <f>'[39]Sch C'!F79</f>
        <v>0</v>
      </c>
      <c r="E86" s="171">
        <f t="shared" si="14"/>
        <v>5707.98</v>
      </c>
      <c r="F86" s="480"/>
      <c r="G86" s="171">
        <f>E86+F86</f>
        <v>5707.98</v>
      </c>
      <c r="H86" s="172">
        <f t="shared" si="16"/>
        <v>2.3864148668514633E-3</v>
      </c>
      <c r="I86" s="336"/>
      <c r="J86" s="168"/>
      <c r="K86" s="168"/>
      <c r="M86" s="359">
        <f t="shared" si="17"/>
        <v>0.43170322190288907</v>
      </c>
      <c r="N86" s="359">
        <f>SUMMARY!J89</f>
        <v>0.42480855389944888</v>
      </c>
      <c r="P86"/>
      <c r="Q86"/>
      <c r="Z86" s="546"/>
      <c r="AA86" s="546"/>
      <c r="AB86" s="513"/>
      <c r="AC86" s="513"/>
    </row>
    <row r="87" spans="1:29" s="167" customFormat="1">
      <c r="A87" s="169">
        <v>310</v>
      </c>
      <c r="B87" s="199" t="s">
        <v>54</v>
      </c>
      <c r="C87" s="558">
        <f>'[39]Sch C'!D80</f>
        <v>35809.230000000003</v>
      </c>
      <c r="D87" s="558">
        <f>'[39]Sch C'!F80</f>
        <v>-10536</v>
      </c>
      <c r="E87" s="171">
        <f t="shared" si="14"/>
        <v>25273.230000000003</v>
      </c>
      <c r="F87" s="480"/>
      <c r="G87" s="171">
        <f t="shared" si="15"/>
        <v>25273.230000000003</v>
      </c>
      <c r="H87" s="172">
        <f t="shared" si="16"/>
        <v>1.0566332013314066E-2</v>
      </c>
      <c r="I87" s="336"/>
      <c r="J87" s="168"/>
      <c r="K87" s="168"/>
      <c r="M87" s="359">
        <f t="shared" si="17"/>
        <v>1.911452881561035</v>
      </c>
      <c r="N87" s="359">
        <f>SUMMARY!J90</f>
        <v>1.0101009938069276</v>
      </c>
      <c r="P87"/>
      <c r="Q87"/>
      <c r="Z87" s="546"/>
      <c r="AA87" s="546"/>
      <c r="AB87" s="513"/>
      <c r="AC87" s="513"/>
    </row>
    <row r="88" spans="1:29" s="167" customFormat="1">
      <c r="A88" s="169">
        <v>320</v>
      </c>
      <c r="B88" s="201" t="s">
        <v>313</v>
      </c>
      <c r="C88" s="558">
        <f>'[39]Sch C'!D81</f>
        <v>0</v>
      </c>
      <c r="D88" s="558">
        <f>'[39]Sch C'!F81</f>
        <v>0</v>
      </c>
      <c r="E88" s="171">
        <f t="shared" si="14"/>
        <v>0</v>
      </c>
      <c r="F88" s="480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  <c r="Z88" s="546"/>
      <c r="AA88" s="546"/>
      <c r="AB88" s="513"/>
      <c r="AC88" s="513"/>
    </row>
    <row r="89" spans="1:29" s="167" customFormat="1">
      <c r="A89" s="169">
        <v>330</v>
      </c>
      <c r="B89" s="201" t="s">
        <v>314</v>
      </c>
      <c r="C89" s="558">
        <f>'[39]Sch C'!D82</f>
        <v>70.5</v>
      </c>
      <c r="D89" s="558">
        <f>'[39]Sch C'!F82</f>
        <v>0</v>
      </c>
      <c r="E89" s="171">
        <f t="shared" si="14"/>
        <v>70.5</v>
      </c>
      <c r="F89" s="480"/>
      <c r="G89" s="171">
        <f t="shared" si="15"/>
        <v>70.5</v>
      </c>
      <c r="H89" s="172">
        <f t="shared" si="16"/>
        <v>2.9474918992888586E-5</v>
      </c>
      <c r="I89" s="336"/>
      <c r="J89" s="168"/>
      <c r="K89" s="168"/>
      <c r="M89" s="359">
        <f t="shared" si="17"/>
        <v>5.3320223869308724E-3</v>
      </c>
      <c r="N89" s="359">
        <f>SUMMARY!J92</f>
        <v>0.42366280341015539</v>
      </c>
      <c r="P89"/>
      <c r="Q89"/>
      <c r="Z89" s="546"/>
      <c r="AA89" s="546"/>
      <c r="AB89" s="513"/>
      <c r="AC89" s="513"/>
    </row>
    <row r="90" spans="1:29" s="167" customFormat="1">
      <c r="A90" s="163">
        <v>340</v>
      </c>
      <c r="B90" s="201" t="s">
        <v>300</v>
      </c>
      <c r="C90" s="558">
        <f>'[39]Sch C'!D83</f>
        <v>0</v>
      </c>
      <c r="D90" s="558">
        <f>'[39]Sch C'!F83</f>
        <v>0</v>
      </c>
      <c r="E90" s="171">
        <f t="shared" si="14"/>
        <v>0</v>
      </c>
      <c r="F90" s="480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  <c r="Z90" s="546"/>
      <c r="AA90" s="546"/>
      <c r="AB90" s="513"/>
      <c r="AC90" s="513"/>
    </row>
    <row r="91" spans="1:29" s="167" customFormat="1">
      <c r="A91" s="163">
        <v>350</v>
      </c>
      <c r="B91" s="199" t="s">
        <v>49</v>
      </c>
      <c r="C91" s="558">
        <f>'[39]Sch C'!D84</f>
        <v>51951.319999999992</v>
      </c>
      <c r="D91" s="558">
        <f>'[39]Sch C'!F84</f>
        <v>-15286</v>
      </c>
      <c r="E91" s="171">
        <f t="shared" si="14"/>
        <v>36665.319999999992</v>
      </c>
      <c r="F91" s="480"/>
      <c r="G91" s="171">
        <f t="shared" si="15"/>
        <v>36665.319999999992</v>
      </c>
      <c r="H91" s="172">
        <f t="shared" si="16"/>
        <v>1.5329182082955141E-2</v>
      </c>
      <c r="I91" s="336"/>
      <c r="J91" s="168"/>
      <c r="K91" s="168"/>
      <c r="M91" s="359">
        <f t="shared" si="17"/>
        <v>2.7730540009075777</v>
      </c>
      <c r="N91" s="359">
        <f>SUMMARY!J94</f>
        <v>4.7538617738038829</v>
      </c>
      <c r="P91"/>
      <c r="Q91"/>
      <c r="Z91" s="546"/>
      <c r="AA91" s="546"/>
      <c r="AB91" s="513"/>
      <c r="AC91" s="513"/>
    </row>
    <row r="92" spans="1:29" s="167" customFormat="1">
      <c r="A92" s="163">
        <v>490</v>
      </c>
      <c r="B92" s="148" t="s">
        <v>312</v>
      </c>
      <c r="C92" s="558">
        <f>'[39]Sch C'!D85</f>
        <v>0</v>
      </c>
      <c r="D92" s="558">
        <f>'[39]Sch C'!F85</f>
        <v>0</v>
      </c>
      <c r="E92" s="171">
        <f t="shared" si="14"/>
        <v>0</v>
      </c>
      <c r="F92" s="480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  <c r="Z92" s="546"/>
      <c r="AA92" s="546"/>
      <c r="AB92" s="513"/>
      <c r="AC92" s="513"/>
    </row>
    <row r="93" spans="1:29" s="167" customFormat="1">
      <c r="A93" s="163"/>
      <c r="B93" s="170" t="s">
        <v>50</v>
      </c>
      <c r="C93" s="558">
        <f>SUM(C82:C92)</f>
        <v>141978.49</v>
      </c>
      <c r="D93" s="558">
        <f>SUM(D82:D92)</f>
        <v>-31630.559999999998</v>
      </c>
      <c r="E93" s="171">
        <f t="shared" ref="E93:F93" si="18">SUM(E82:E92)</f>
        <v>110347.93000000001</v>
      </c>
      <c r="F93" s="171">
        <f t="shared" si="18"/>
        <v>0</v>
      </c>
      <c r="G93" s="171">
        <f>SUM(G82:G92)</f>
        <v>110347.93000000001</v>
      </c>
      <c r="H93" s="172">
        <f t="shared" si="16"/>
        <v>4.6134699259332487E-2</v>
      </c>
      <c r="I93" s="336"/>
      <c r="J93" s="168"/>
      <c r="K93" s="168"/>
      <c r="M93" s="364">
        <f>G93/G$228</f>
        <v>8.3457820299500831</v>
      </c>
      <c r="N93" s="359">
        <f>SUMMARY!J96</f>
        <v>11.458724454710746</v>
      </c>
      <c r="O93" s="354">
        <f>M93/N93-1</f>
        <v>-0.27166570215246899</v>
      </c>
      <c r="P93"/>
      <c r="Q93"/>
      <c r="Z93" s="546"/>
      <c r="AA93" s="546"/>
      <c r="AB93" s="513"/>
      <c r="AC93" s="513"/>
    </row>
    <row r="94" spans="1:29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  <c r="Z94" s="546"/>
      <c r="AA94" s="546"/>
      <c r="AB94" s="513"/>
      <c r="AC94" s="513"/>
    </row>
    <row r="95" spans="1:29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  <c r="Z95" s="546"/>
      <c r="AA95" s="546"/>
      <c r="AB95" s="513"/>
      <c r="AC95" s="513"/>
    </row>
    <row r="96" spans="1:29" s="167" customFormat="1">
      <c r="A96" s="169" t="s">
        <v>85</v>
      </c>
      <c r="B96" s="170" t="s">
        <v>44</v>
      </c>
      <c r="C96" s="558">
        <f>'[39]Sch C'!D89</f>
        <v>146766.97</v>
      </c>
      <c r="D96" s="558">
        <f>'[39]Sch C'!F89</f>
        <v>-41095</v>
      </c>
      <c r="E96" s="171">
        <f t="shared" ref="E96:E101" si="19">C96+D96</f>
        <v>105671.97</v>
      </c>
      <c r="F96" s="480"/>
      <c r="G96" s="171">
        <f t="shared" ref="G96:G101" si="20">E96+F96</f>
        <v>105671.97</v>
      </c>
      <c r="H96" s="172">
        <f t="shared" ref="H96:H102" si="21">IF($G$208=0,0,G96/$G$208)</f>
        <v>4.4179755398141174E-2</v>
      </c>
      <c r="I96" s="336"/>
      <c r="J96" s="183">
        <v>14046.75</v>
      </c>
      <c r="K96" s="183">
        <v>14909.59</v>
      </c>
      <c r="M96" s="364">
        <f t="shared" ref="M96:M101" si="22">G96/G$228</f>
        <v>7.9921320526395405</v>
      </c>
      <c r="N96" s="359">
        <f>SUMMARY!J99</f>
        <v>8.3100610477681069</v>
      </c>
      <c r="P96"/>
      <c r="Q96"/>
      <c r="Z96" s="551">
        <v>2478.17</v>
      </c>
      <c r="AA96" s="551">
        <v>2518.17</v>
      </c>
      <c r="AB96" s="482">
        <v>12954</v>
      </c>
      <c r="AC96" s="482">
        <v>12954</v>
      </c>
    </row>
    <row r="97" spans="1:29" s="167" customFormat="1">
      <c r="A97" s="169" t="s">
        <v>86</v>
      </c>
      <c r="B97" s="170" t="s">
        <v>45</v>
      </c>
      <c r="C97" s="558">
        <f>'[39]Sch C'!D90</f>
        <v>0</v>
      </c>
      <c r="D97" s="558">
        <f>'[39]Sch C'!F90</f>
        <v>31673.4</v>
      </c>
      <c r="E97" s="171">
        <f t="shared" si="19"/>
        <v>31673.4</v>
      </c>
      <c r="F97" s="480"/>
      <c r="G97" s="171">
        <f t="shared" si="20"/>
        <v>31673.4</v>
      </c>
      <c r="H97" s="172">
        <f t="shared" si="21"/>
        <v>1.3242140414600813E-2</v>
      </c>
      <c r="I97" s="336"/>
      <c r="J97" s="168"/>
      <c r="K97" s="168"/>
      <c r="M97" s="364">
        <f t="shared" si="22"/>
        <v>2.3955074875207987</v>
      </c>
      <c r="N97" s="359">
        <f>SUMMARY!J100</f>
        <v>1.5162882954735211</v>
      </c>
      <c r="P97"/>
      <c r="Q97"/>
      <c r="Z97" s="546"/>
      <c r="AA97" s="546"/>
      <c r="AB97" s="513"/>
      <c r="AC97" s="513"/>
    </row>
    <row r="98" spans="1:29" s="167" customFormat="1">
      <c r="A98" s="169">
        <v>310</v>
      </c>
      <c r="B98" s="170" t="s">
        <v>54</v>
      </c>
      <c r="C98" s="558">
        <f>'[39]Sch C'!D91</f>
        <v>0</v>
      </c>
      <c r="D98" s="558">
        <f>'[39]Sch C'!F91</f>
        <v>0</v>
      </c>
      <c r="E98" s="171">
        <f t="shared" si="19"/>
        <v>0</v>
      </c>
      <c r="F98" s="480"/>
      <c r="G98" s="171">
        <f t="shared" si="20"/>
        <v>0</v>
      </c>
      <c r="H98" s="172">
        <f t="shared" si="21"/>
        <v>0</v>
      </c>
      <c r="I98" s="336"/>
      <c r="J98" s="168"/>
      <c r="K98" s="168"/>
      <c r="M98" s="364">
        <f t="shared" si="22"/>
        <v>0</v>
      </c>
      <c r="N98" s="359">
        <f>SUMMARY!J101</f>
        <v>2.5247120350104719</v>
      </c>
      <c r="P98"/>
      <c r="Q98"/>
      <c r="Z98" s="546"/>
      <c r="AA98" s="546"/>
      <c r="AB98" s="513"/>
      <c r="AC98" s="513"/>
    </row>
    <row r="99" spans="1:29" s="167" customFormat="1">
      <c r="A99" s="169">
        <v>380</v>
      </c>
      <c r="B99" s="170" t="s">
        <v>52</v>
      </c>
      <c r="C99" s="558">
        <f>'[39]Sch C'!D92</f>
        <v>104457.03</v>
      </c>
      <c r="D99" s="558">
        <f>'[39]Sch C'!F92</f>
        <v>-29878</v>
      </c>
      <c r="E99" s="171">
        <f t="shared" si="19"/>
        <v>74579.03</v>
      </c>
      <c r="F99" s="480"/>
      <c r="G99" s="171">
        <f t="shared" si="20"/>
        <v>74579.03</v>
      </c>
      <c r="H99" s="172">
        <f t="shared" si="21"/>
        <v>3.1180295997421385E-2</v>
      </c>
      <c r="I99" s="336"/>
      <c r="J99" s="168"/>
      <c r="K99" s="168"/>
      <c r="M99" s="364">
        <f t="shared" si="22"/>
        <v>5.6405256390863707</v>
      </c>
      <c r="N99" s="359">
        <f>SUMMARY!J102</f>
        <v>6.7604047844643738</v>
      </c>
      <c r="P99"/>
      <c r="Q99"/>
      <c r="Z99" s="546"/>
      <c r="AA99" s="546"/>
      <c r="AB99" s="513"/>
      <c r="AC99" s="513"/>
    </row>
    <row r="100" spans="1:29" s="167" customFormat="1">
      <c r="A100" s="169">
        <v>390</v>
      </c>
      <c r="B100" s="170" t="s">
        <v>53</v>
      </c>
      <c r="C100" s="558">
        <f>'[39]Sch C'!D93</f>
        <v>10585.849999999999</v>
      </c>
      <c r="D100" s="558">
        <f>'[39]Sch C'!F93</f>
        <v>-2964</v>
      </c>
      <c r="E100" s="171">
        <f t="shared" si="19"/>
        <v>7621.8499999999985</v>
      </c>
      <c r="F100" s="480"/>
      <c r="G100" s="171">
        <f t="shared" si="20"/>
        <v>7621.8499999999985</v>
      </c>
      <c r="H100" s="172">
        <f t="shared" si="21"/>
        <v>3.1865732102971324E-3</v>
      </c>
      <c r="I100" s="336"/>
      <c r="J100" s="168"/>
      <c r="K100" s="168"/>
      <c r="M100" s="364">
        <f t="shared" si="22"/>
        <v>0.57645212524580236</v>
      </c>
      <c r="N100" s="359">
        <f>SUMMARY!J103</f>
        <v>0.72385493548615287</v>
      </c>
      <c r="P100"/>
      <c r="Q100"/>
      <c r="Z100" s="546"/>
      <c r="AA100" s="546"/>
      <c r="AB100" s="513"/>
      <c r="AC100" s="513"/>
    </row>
    <row r="101" spans="1:29" s="167" customFormat="1">
      <c r="A101" s="169">
        <v>490</v>
      </c>
      <c r="B101" s="202" t="s">
        <v>312</v>
      </c>
      <c r="C101" s="558">
        <f>'[39]Sch C'!D94</f>
        <v>0</v>
      </c>
      <c r="D101" s="558">
        <f>'[39]Sch C'!F94</f>
        <v>0</v>
      </c>
      <c r="E101" s="171">
        <f t="shared" si="19"/>
        <v>0</v>
      </c>
      <c r="F101" s="480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  <c r="Z101" s="546"/>
      <c r="AA101" s="546"/>
      <c r="AB101" s="513"/>
      <c r="AC101" s="513"/>
    </row>
    <row r="102" spans="1:29" s="167" customFormat="1">
      <c r="A102" s="169"/>
      <c r="B102" s="170" t="s">
        <v>55</v>
      </c>
      <c r="C102" s="558">
        <f>SUM(C96:C101)</f>
        <v>261809.85</v>
      </c>
      <c r="D102" s="558">
        <f>SUM(D96:D101)</f>
        <v>-42263.6</v>
      </c>
      <c r="E102" s="171">
        <f t="shared" ref="E102:F102" si="23">SUM(E96:E101)</f>
        <v>219546.25</v>
      </c>
      <c r="F102" s="171">
        <f t="shared" si="23"/>
        <v>0</v>
      </c>
      <c r="G102" s="171">
        <f>SUM(G96:G101)</f>
        <v>219546.25</v>
      </c>
      <c r="H102" s="172">
        <f t="shared" si="21"/>
        <v>9.1788765020460503E-2</v>
      </c>
      <c r="I102" s="336"/>
      <c r="J102" s="168"/>
      <c r="K102" s="168"/>
      <c r="M102" s="364">
        <f>G102/G$228</f>
        <v>16.604617304492514</v>
      </c>
      <c r="N102" s="359">
        <f>SUMMARY!J105</f>
        <v>19.901077037785338</v>
      </c>
      <c r="O102" s="354">
        <f>M102/N102-1</f>
        <v>-0.16564227790455632</v>
      </c>
      <c r="P102"/>
      <c r="Q102"/>
      <c r="Z102" s="546"/>
      <c r="AA102" s="546"/>
      <c r="AB102" s="513"/>
      <c r="AC102" s="513"/>
    </row>
    <row r="103" spans="1:29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  <c r="Z103" s="546"/>
      <c r="AA103" s="546"/>
      <c r="AB103" s="513"/>
      <c r="AC103" s="513"/>
    </row>
    <row r="104" spans="1:29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  <c r="Z104" s="546"/>
      <c r="AA104" s="546"/>
      <c r="AB104" s="513"/>
      <c r="AC104" s="513"/>
    </row>
    <row r="105" spans="1:29" s="167" customFormat="1">
      <c r="A105" s="169" t="s">
        <v>85</v>
      </c>
      <c r="B105" s="170" t="s">
        <v>44</v>
      </c>
      <c r="C105" s="558">
        <f>'[39]Sch C'!D98</f>
        <v>26837.35</v>
      </c>
      <c r="D105" s="558">
        <f>'[39]Sch C'!F98</f>
        <v>0</v>
      </c>
      <c r="E105" s="171">
        <f t="shared" ref="E105:E110" si="24">C105+D105</f>
        <v>26837.35</v>
      </c>
      <c r="F105" s="480"/>
      <c r="G105" s="171">
        <f t="shared" ref="G105:G110" si="25">E105+F105</f>
        <v>26837.35</v>
      </c>
      <c r="H105" s="172">
        <f t="shared" ref="H105:H111" si="26">IF($G$208=0,0,G105/$G$208)</f>
        <v>1.1220265492677992E-2</v>
      </c>
      <c r="I105" s="336"/>
      <c r="J105" s="183">
        <v>2997.8</v>
      </c>
      <c r="K105" s="183">
        <v>3193.8</v>
      </c>
      <c r="M105" s="364">
        <f t="shared" ref="M105:M110" si="27">G105/G$228</f>
        <v>2.0297496596581452</v>
      </c>
      <c r="N105" s="359">
        <f>SUMMARY!J108</f>
        <v>1.037156498380404</v>
      </c>
      <c r="P105"/>
      <c r="Q105"/>
      <c r="Z105" s="551"/>
      <c r="AA105" s="551">
        <v>465</v>
      </c>
      <c r="AB105" s="482">
        <v>2993</v>
      </c>
      <c r="AC105" s="482">
        <v>2993</v>
      </c>
    </row>
    <row r="106" spans="1:29" s="167" customFormat="1">
      <c r="A106" s="169" t="s">
        <v>86</v>
      </c>
      <c r="B106" s="170" t="s">
        <v>45</v>
      </c>
      <c r="C106" s="558">
        <f>'[39]Sch C'!D99</f>
        <v>0</v>
      </c>
      <c r="D106" s="558">
        <f>'[39]Sch C'!F99</f>
        <v>8043.95</v>
      </c>
      <c r="E106" s="171">
        <f t="shared" si="24"/>
        <v>8043.95</v>
      </c>
      <c r="F106" s="480"/>
      <c r="G106" s="171">
        <f t="shared" si="25"/>
        <v>8043.95</v>
      </c>
      <c r="H106" s="172">
        <f t="shared" si="26"/>
        <v>3.363046448692853E-3</v>
      </c>
      <c r="I106" s="336"/>
      <c r="J106" s="168"/>
      <c r="K106" s="168"/>
      <c r="M106" s="364">
        <f t="shared" si="27"/>
        <v>0.60837619119649067</v>
      </c>
      <c r="N106" s="359">
        <f>SUMMARY!J109</f>
        <v>0.20576729906268329</v>
      </c>
      <c r="P106"/>
      <c r="Q106"/>
      <c r="Z106"/>
      <c r="AA106"/>
      <c r="AB106" s="513"/>
      <c r="AC106" s="513"/>
    </row>
    <row r="107" spans="1:29" s="167" customFormat="1">
      <c r="A107" s="169">
        <v>110</v>
      </c>
      <c r="B107" s="170" t="s">
        <v>47</v>
      </c>
      <c r="C107" s="558">
        <f>'[39]Sch C'!D100</f>
        <v>3085.1</v>
      </c>
      <c r="D107" s="558">
        <f>'[39]Sch C'!F100</f>
        <v>0</v>
      </c>
      <c r="E107" s="171">
        <f t="shared" si="24"/>
        <v>3085.1</v>
      </c>
      <c r="F107" s="480"/>
      <c r="G107" s="171">
        <f t="shared" si="25"/>
        <v>3085.1</v>
      </c>
      <c r="H107" s="172">
        <f t="shared" si="26"/>
        <v>1.2898308168079514E-3</v>
      </c>
      <c r="I107" s="336"/>
      <c r="J107" s="168"/>
      <c r="K107" s="168"/>
      <c r="M107" s="364">
        <f t="shared" si="27"/>
        <v>0.23333081228255936</v>
      </c>
      <c r="N107" s="359">
        <f>SUMMARY!J110</f>
        <v>0.1677349841046627</v>
      </c>
      <c r="P107"/>
      <c r="Q107"/>
      <c r="Z107"/>
      <c r="AA107"/>
      <c r="AB107" s="513"/>
      <c r="AC107" s="513"/>
    </row>
    <row r="108" spans="1:29" s="167" customFormat="1">
      <c r="A108" s="169">
        <v>310</v>
      </c>
      <c r="B108" s="170" t="s">
        <v>54</v>
      </c>
      <c r="C108" s="558">
        <f>'[39]Sch C'!D101</f>
        <v>0</v>
      </c>
      <c r="D108" s="558">
        <f>'[39]Sch C'!F101</f>
        <v>0</v>
      </c>
      <c r="E108" s="171">
        <f t="shared" si="24"/>
        <v>0</v>
      </c>
      <c r="F108" s="480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  <c r="Z108"/>
      <c r="AA108"/>
      <c r="AB108" s="513"/>
      <c r="AC108" s="513"/>
    </row>
    <row r="109" spans="1:29" s="167" customFormat="1">
      <c r="A109" s="169">
        <v>410</v>
      </c>
      <c r="B109" s="170" t="s">
        <v>57</v>
      </c>
      <c r="C109" s="558">
        <f>'[39]Sch C'!D102</f>
        <v>1523.78</v>
      </c>
      <c r="D109" s="558">
        <f>'[39]Sch C'!F102</f>
        <v>0</v>
      </c>
      <c r="E109" s="171">
        <f t="shared" si="24"/>
        <v>1523.78</v>
      </c>
      <c r="F109" s="480"/>
      <c r="G109" s="171">
        <f t="shared" si="25"/>
        <v>1523.78</v>
      </c>
      <c r="H109" s="172">
        <f t="shared" si="26"/>
        <v>6.3706797252459249E-4</v>
      </c>
      <c r="I109" s="336"/>
      <c r="J109" s="168"/>
      <c r="K109" s="168"/>
      <c r="M109" s="364">
        <f t="shared" si="27"/>
        <v>0.11524580245046136</v>
      </c>
      <c r="N109" s="359">
        <f>SUMMARY!J112</f>
        <v>0.24781104699146178</v>
      </c>
      <c r="P109"/>
      <c r="Q109"/>
      <c r="Z109"/>
      <c r="AA109"/>
      <c r="AB109" s="513"/>
      <c r="AC109" s="513"/>
    </row>
    <row r="110" spans="1:29" s="167" customFormat="1">
      <c r="A110" s="169">
        <v>490</v>
      </c>
      <c r="B110" s="202" t="s">
        <v>312</v>
      </c>
      <c r="C110" s="558">
        <f>'[39]Sch C'!D103</f>
        <v>0</v>
      </c>
      <c r="D110" s="558">
        <f>'[39]Sch C'!F103</f>
        <v>0</v>
      </c>
      <c r="E110" s="171">
        <f t="shared" si="24"/>
        <v>0</v>
      </c>
      <c r="F110" s="480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  <c r="Z110"/>
      <c r="AA110"/>
      <c r="AB110" s="513"/>
      <c r="AC110" s="513"/>
    </row>
    <row r="111" spans="1:29" s="167" customFormat="1">
      <c r="A111" s="163"/>
      <c r="B111" s="170" t="s">
        <v>58</v>
      </c>
      <c r="C111" s="558">
        <f>SUM(C105:C110)</f>
        <v>31446.229999999996</v>
      </c>
      <c r="D111" s="558">
        <f>SUM(D105:D110)</f>
        <v>8043.95</v>
      </c>
      <c r="E111" s="171">
        <f t="shared" ref="E111:F111" si="28">SUM(E105:E110)</f>
        <v>39490.179999999993</v>
      </c>
      <c r="F111" s="171">
        <f t="shared" si="28"/>
        <v>0</v>
      </c>
      <c r="G111" s="171">
        <f>SUM(G105:G110)</f>
        <v>39490.179999999993</v>
      </c>
      <c r="H111" s="172">
        <f t="shared" si="26"/>
        <v>1.6510210730703388E-2</v>
      </c>
      <c r="I111" s="336"/>
      <c r="J111" s="168"/>
      <c r="K111" s="168"/>
      <c r="M111" s="364">
        <f>G111/G$228</f>
        <v>2.9867024655876566</v>
      </c>
      <c r="N111" s="359">
        <f>SUMMARY!J114</f>
        <v>2.4242384372309496</v>
      </c>
      <c r="O111" s="354">
        <f>M111/N111-1</f>
        <v>0.23201679328175873</v>
      </c>
      <c r="P111"/>
      <c r="Q111"/>
      <c r="Z111"/>
      <c r="AA111"/>
      <c r="AB111" s="513"/>
      <c r="AC111" s="513"/>
    </row>
    <row r="112" spans="1:29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  <c r="Z112"/>
      <c r="AA112"/>
      <c r="AB112" s="513"/>
      <c r="AC112" s="513"/>
    </row>
    <row r="113" spans="1:29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  <c r="Z113"/>
      <c r="AA113"/>
      <c r="AB113" s="513"/>
      <c r="AC113" s="513"/>
    </row>
    <row r="114" spans="1:29" s="167" customFormat="1">
      <c r="A114" s="169" t="s">
        <v>85</v>
      </c>
      <c r="B114" s="170" t="s">
        <v>44</v>
      </c>
      <c r="C114" s="558">
        <f>'[39]Sch C'!D115</f>
        <v>22753.74</v>
      </c>
      <c r="D114" s="558">
        <f>'[39]Sch C'!F115</f>
        <v>0</v>
      </c>
      <c r="E114" s="171">
        <f t="shared" ref="E114:E118" si="29">C114+D114</f>
        <v>22753.74</v>
      </c>
      <c r="F114" s="480"/>
      <c r="G114" s="171">
        <f>E114+F114</f>
        <v>22753.74</v>
      </c>
      <c r="H114" s="172">
        <f t="shared" ref="H114:H119" si="30">IF($G$208=0,0,G114/$G$208)</f>
        <v>9.5129736636205501E-3</v>
      </c>
      <c r="I114" s="336"/>
      <c r="J114" s="183">
        <v>2632.05</v>
      </c>
      <c r="K114" s="183">
        <v>2890.69</v>
      </c>
      <c r="M114" s="364">
        <f t="shared" ref="M114:M119" si="31">G114/G$228</f>
        <v>1.7209000151263047</v>
      </c>
      <c r="N114" s="359">
        <f>SUMMARY!J117</f>
        <v>3.2429359621060407</v>
      </c>
      <c r="P114"/>
      <c r="Q114"/>
      <c r="Z114" s="551">
        <v>620</v>
      </c>
      <c r="AA114" s="551">
        <v>628</v>
      </c>
      <c r="AB114" s="482">
        <v>2516</v>
      </c>
      <c r="AC114" s="482">
        <v>2516</v>
      </c>
    </row>
    <row r="115" spans="1:29" s="167" customFormat="1">
      <c r="A115" s="169" t="s">
        <v>86</v>
      </c>
      <c r="B115" s="170" t="s">
        <v>151</v>
      </c>
      <c r="C115" s="558">
        <f>'[39]Sch C'!D116</f>
        <v>0</v>
      </c>
      <c r="D115" s="558">
        <f>'[39]Sch C'!F116</f>
        <v>6819.97</v>
      </c>
      <c r="E115" s="171">
        <f t="shared" si="29"/>
        <v>6819.97</v>
      </c>
      <c r="F115" s="480"/>
      <c r="G115" s="171">
        <f>E115+F115</f>
        <v>6819.97</v>
      </c>
      <c r="H115" s="172">
        <f t="shared" si="30"/>
        <v>2.8513200465805728E-3</v>
      </c>
      <c r="I115" s="336"/>
      <c r="J115" s="168"/>
      <c r="K115" s="168"/>
      <c r="M115" s="364">
        <f t="shared" si="31"/>
        <v>0.51580471940704886</v>
      </c>
      <c r="N115" s="359">
        <f>SUMMARY!J118</f>
        <v>0.64416765619740102</v>
      </c>
      <c r="P115"/>
      <c r="Q115"/>
      <c r="Z115"/>
      <c r="AA115"/>
      <c r="AB115" s="513"/>
      <c r="AC115" s="513"/>
    </row>
    <row r="116" spans="1:29" s="167" customFormat="1">
      <c r="A116" s="169" t="s">
        <v>93</v>
      </c>
      <c r="B116" s="170" t="s">
        <v>47</v>
      </c>
      <c r="C116" s="558">
        <f>'[39]Sch C'!D117</f>
        <v>10643.54</v>
      </c>
      <c r="D116" s="558">
        <f>'[39]Sch C'!F117</f>
        <v>0</v>
      </c>
      <c r="E116" s="171">
        <f t="shared" si="29"/>
        <v>10643.54</v>
      </c>
      <c r="F116" s="480"/>
      <c r="G116" s="171">
        <f>E116+F116</f>
        <v>10643.54</v>
      </c>
      <c r="H116" s="172">
        <f t="shared" si="30"/>
        <v>4.4498933233697788E-3</v>
      </c>
      <c r="I116" s="336"/>
      <c r="J116" s="168"/>
      <c r="K116" s="168"/>
      <c r="M116" s="364">
        <f t="shared" si="31"/>
        <v>0.80498714264105287</v>
      </c>
      <c r="N116" s="359">
        <f>SUMMARY!J119</f>
        <v>0.86820957192988468</v>
      </c>
      <c r="P116"/>
      <c r="Q116"/>
      <c r="Z116"/>
      <c r="AA116"/>
      <c r="AB116" s="513"/>
      <c r="AC116" s="513"/>
    </row>
    <row r="117" spans="1:29" s="167" customFormat="1">
      <c r="A117" s="169">
        <v>310</v>
      </c>
      <c r="B117" s="170" t="s">
        <v>60</v>
      </c>
      <c r="C117" s="558">
        <f>'[39]Sch C'!D118</f>
        <v>43.69</v>
      </c>
      <c r="D117" s="558">
        <f>'[39]Sch C'!F118</f>
        <v>0</v>
      </c>
      <c r="E117" s="171">
        <f t="shared" si="29"/>
        <v>43.69</v>
      </c>
      <c r="F117" s="480"/>
      <c r="G117" s="171">
        <f>E117+F117</f>
        <v>43.69</v>
      </c>
      <c r="H117" s="172">
        <f t="shared" si="30"/>
        <v>1.8266088096444003E-5</v>
      </c>
      <c r="I117" s="336"/>
      <c r="J117" s="168"/>
      <c r="K117" s="168"/>
      <c r="M117" s="364">
        <f t="shared" si="31"/>
        <v>3.3043412494327632E-3</v>
      </c>
      <c r="N117" s="359">
        <f>SUMMARY!J120</f>
        <v>1.260502321598151</v>
      </c>
      <c r="P117"/>
      <c r="Q117"/>
      <c r="Z117"/>
      <c r="AA117"/>
      <c r="AB117" s="513"/>
      <c r="AC117" s="513"/>
    </row>
    <row r="118" spans="1:29" s="167" customFormat="1">
      <c r="A118" s="169">
        <v>490</v>
      </c>
      <c r="B118" s="202" t="s">
        <v>312</v>
      </c>
      <c r="C118" s="558">
        <f>'[39]Sch C'!D119</f>
        <v>0</v>
      </c>
      <c r="D118" s="558">
        <f>'[39]Sch C'!F119</f>
        <v>0</v>
      </c>
      <c r="E118" s="171">
        <f t="shared" si="29"/>
        <v>0</v>
      </c>
      <c r="F118" s="480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  <c r="Z118"/>
      <c r="AA118"/>
      <c r="AB118" s="513"/>
      <c r="AC118" s="513"/>
    </row>
    <row r="119" spans="1:29" s="167" customFormat="1">
      <c r="A119" s="163"/>
      <c r="B119" s="170" t="s">
        <v>61</v>
      </c>
      <c r="C119" s="558">
        <f>SUM(C114:C118)</f>
        <v>33440.97</v>
      </c>
      <c r="D119" s="558">
        <f>SUM(D114:D118)</f>
        <v>6819.97</v>
      </c>
      <c r="E119" s="171">
        <f t="shared" ref="E119:F119" si="32">SUM(E114:E118)</f>
        <v>40260.94</v>
      </c>
      <c r="F119" s="171">
        <f t="shared" si="32"/>
        <v>0</v>
      </c>
      <c r="G119" s="171">
        <f>SUM(G114:G118)</f>
        <v>40260.94</v>
      </c>
      <c r="H119" s="172">
        <f t="shared" si="30"/>
        <v>1.6832453121667347E-2</v>
      </c>
      <c r="I119" s="336"/>
      <c r="J119" s="168"/>
      <c r="K119" s="168"/>
      <c r="M119" s="364">
        <f t="shared" si="31"/>
        <v>3.0449962184238393</v>
      </c>
      <c r="N119" s="359">
        <f>SUMMARY!J122</f>
        <v>6.0247597205909562</v>
      </c>
      <c r="O119" s="354">
        <f>M119/N119-1</f>
        <v>-0.49458628067491428</v>
      </c>
      <c r="P119"/>
      <c r="Q119"/>
      <c r="Z119"/>
      <c r="AA119"/>
      <c r="AB119" s="513"/>
      <c r="AC119" s="513"/>
    </row>
    <row r="120" spans="1:29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  <c r="Z120"/>
      <c r="AA120"/>
      <c r="AB120" s="203"/>
      <c r="AC120" s="203"/>
    </row>
    <row r="121" spans="1:29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  <c r="Z121"/>
      <c r="AA121"/>
      <c r="AB121" s="483"/>
      <c r="AC121" s="483"/>
    </row>
    <row r="122" spans="1:29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  <c r="Z122"/>
      <c r="AA122"/>
      <c r="AB122" s="483"/>
      <c r="AC122" s="483"/>
    </row>
    <row r="123" spans="1:29" s="167" customFormat="1">
      <c r="B123" s="163" t="s">
        <v>232</v>
      </c>
      <c r="C123" s="558">
        <f>'[39]Sch C'!D124</f>
        <v>18000</v>
      </c>
      <c r="D123" s="558">
        <f>'[39]Sch C'!F124</f>
        <v>0</v>
      </c>
      <c r="E123" s="171">
        <f t="shared" ref="E123:E127" si="33">C123+D123</f>
        <v>18000</v>
      </c>
      <c r="F123" s="480"/>
      <c r="G123" s="171">
        <f>E123+F123</f>
        <v>18000</v>
      </c>
      <c r="H123" s="172">
        <f>IF($G$208=0,0,G123/$G$208)</f>
        <v>7.5255112322268726E-3</v>
      </c>
      <c r="I123" s="336"/>
      <c r="J123" s="183">
        <v>0</v>
      </c>
      <c r="K123" s="183">
        <v>0</v>
      </c>
      <c r="M123" s="364">
        <f t="shared" ref="M123:M160" si="34">G123/G$228</f>
        <v>1.3613674179397972</v>
      </c>
      <c r="N123" s="359">
        <f>SUMMARY!J126</f>
        <v>0.56496190692599402</v>
      </c>
      <c r="P123"/>
      <c r="Q123"/>
      <c r="Z123" s="551">
        <v>0</v>
      </c>
      <c r="AA123" s="551">
        <v>0</v>
      </c>
      <c r="AB123" s="482">
        <v>0</v>
      </c>
      <c r="AC123" s="482">
        <v>0</v>
      </c>
    </row>
    <row r="124" spans="1:29" s="167" customFormat="1">
      <c r="B124" s="163" t="s">
        <v>194</v>
      </c>
      <c r="C124" s="558">
        <f>'[39]Sch C'!D125</f>
        <v>96660.290000000008</v>
      </c>
      <c r="D124" s="558">
        <f>'[39]Sch C'!F125</f>
        <v>0</v>
      </c>
      <c r="E124" s="171">
        <f t="shared" si="33"/>
        <v>96660.290000000008</v>
      </c>
      <c r="F124" s="480"/>
      <c r="G124" s="171">
        <f>E124+F124</f>
        <v>96660.290000000008</v>
      </c>
      <c r="H124" s="172">
        <f>IF($G$208=0,0,G124/$G$208)</f>
        <v>4.041211656140594E-2</v>
      </c>
      <c r="I124" s="336"/>
      <c r="J124" s="183">
        <v>3480.38</v>
      </c>
      <c r="K124" s="183">
        <v>3849.86</v>
      </c>
      <c r="M124" s="364">
        <f t="shared" si="34"/>
        <v>7.3105649674784452</v>
      </c>
      <c r="N124" s="359">
        <f>SUMMARY!J127</f>
        <v>7.6528583695016472</v>
      </c>
      <c r="P124"/>
      <c r="Q124"/>
      <c r="Z124" s="551">
        <v>541.36</v>
      </c>
      <c r="AA124" s="551">
        <v>553.80999999999995</v>
      </c>
      <c r="AB124" s="482">
        <v>3716</v>
      </c>
      <c r="AC124" s="482">
        <v>3716</v>
      </c>
    </row>
    <row r="125" spans="1:29" s="167" customFormat="1">
      <c r="A125" s="163" t="s">
        <v>198</v>
      </c>
      <c r="B125" s="163" t="s">
        <v>195</v>
      </c>
      <c r="C125" s="558">
        <f>'[39]Sch C'!D126</f>
        <v>0</v>
      </c>
      <c r="D125" s="558">
        <f>'[39]Sch C'!F126</f>
        <v>0</v>
      </c>
      <c r="E125" s="171">
        <f t="shared" si="33"/>
        <v>0</v>
      </c>
      <c r="F125" s="480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  <c r="Z125" s="551">
        <v>0</v>
      </c>
      <c r="AA125" s="551">
        <v>0</v>
      </c>
      <c r="AB125" s="482">
        <v>0</v>
      </c>
      <c r="AC125" s="482">
        <v>0</v>
      </c>
    </row>
    <row r="126" spans="1:29" s="167" customFormat="1">
      <c r="A126" s="169"/>
      <c r="B126" s="163" t="s">
        <v>196</v>
      </c>
      <c r="C126" s="558">
        <f>'[39]Sch C'!D127</f>
        <v>0</v>
      </c>
      <c r="D126" s="558">
        <f>'[39]Sch C'!F127</f>
        <v>0</v>
      </c>
      <c r="E126" s="171">
        <f t="shared" si="33"/>
        <v>0</v>
      </c>
      <c r="F126" s="480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  <c r="Z126" s="551">
        <v>0</v>
      </c>
      <c r="AA126" s="551">
        <v>0</v>
      </c>
      <c r="AB126" s="482">
        <v>0</v>
      </c>
      <c r="AC126" s="482">
        <v>0</v>
      </c>
    </row>
    <row r="127" spans="1:29" s="167" customFormat="1">
      <c r="A127" s="169"/>
      <c r="B127" s="163" t="s">
        <v>197</v>
      </c>
      <c r="C127" s="558">
        <f>'[39]Sch C'!D128</f>
        <v>18896.46</v>
      </c>
      <c r="D127" s="558">
        <f>'[39]Sch C'!F128</f>
        <v>3395.83</v>
      </c>
      <c r="E127" s="171">
        <f t="shared" si="33"/>
        <v>22292.29</v>
      </c>
      <c r="F127" s="480"/>
      <c r="G127" s="171">
        <f>E127+F127</f>
        <v>22292.29</v>
      </c>
      <c r="H127" s="172">
        <f>IF($G$208=0,0,G127/$G$208)</f>
        <v>9.3200488215032674E-3</v>
      </c>
      <c r="I127" s="336"/>
      <c r="J127" s="183">
        <v>1468.71</v>
      </c>
      <c r="K127" s="183">
        <v>1480.71</v>
      </c>
      <c r="M127" s="364">
        <f t="shared" si="34"/>
        <v>1.6859998487369536</v>
      </c>
      <c r="N127" s="359">
        <f>SUMMARY!J130</f>
        <v>3.5158276990454227</v>
      </c>
      <c r="P127"/>
      <c r="Q127"/>
      <c r="Z127" s="551">
        <v>160.4</v>
      </c>
      <c r="AA127" s="551">
        <v>160.4</v>
      </c>
      <c r="AB127" s="482">
        <v>1349</v>
      </c>
      <c r="AC127" s="482">
        <v>1349</v>
      </c>
    </row>
    <row r="128" spans="1:29" s="167" customFormat="1" ht="14" customHeight="1">
      <c r="A128" s="169" t="s">
        <v>95</v>
      </c>
      <c r="B128" s="170" t="s">
        <v>152</v>
      </c>
      <c r="C128" s="562"/>
      <c r="D128" s="562"/>
      <c r="E128" s="205"/>
      <c r="F128" s="547"/>
      <c r="G128" s="205"/>
      <c r="H128" s="206"/>
      <c r="I128" s="341"/>
      <c r="J128" s="207"/>
      <c r="K128" s="207"/>
      <c r="M128" s="364"/>
      <c r="N128" s="359"/>
      <c r="P128"/>
      <c r="Q128"/>
      <c r="Z128"/>
      <c r="AA128"/>
      <c r="AB128" s="517"/>
      <c r="AC128" s="517"/>
    </row>
    <row r="129" spans="1:29" s="167" customFormat="1">
      <c r="A129" s="169"/>
      <c r="B129" s="163" t="s">
        <v>232</v>
      </c>
      <c r="C129" s="558">
        <f>'[39]Sch C'!D130</f>
        <v>0</v>
      </c>
      <c r="D129" s="558">
        <f>'[39]Sch C'!F130</f>
        <v>0</v>
      </c>
      <c r="E129" s="171">
        <f t="shared" ref="E129:E133" si="35">C129+D129</f>
        <v>0</v>
      </c>
      <c r="F129" s="480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  <c r="Z129"/>
      <c r="AA129"/>
      <c r="AB129" s="483"/>
      <c r="AC129" s="483"/>
    </row>
    <row r="130" spans="1:29" s="167" customFormat="1">
      <c r="A130" s="169"/>
      <c r="B130" s="163" t="s">
        <v>194</v>
      </c>
      <c r="C130" s="558">
        <f>'[39]Sch C'!D131</f>
        <v>0</v>
      </c>
      <c r="D130" s="558">
        <f>'[39]Sch C'!F131</f>
        <v>28971.95</v>
      </c>
      <c r="E130" s="171">
        <f t="shared" si="35"/>
        <v>28971.95</v>
      </c>
      <c r="F130" s="480"/>
      <c r="G130" s="171">
        <f>E130+F130</f>
        <v>28971.95</v>
      </c>
      <c r="H130" s="172">
        <f>IF($G$208=0,0,G130/$G$208)</f>
        <v>1.2112707508028632E-2</v>
      </c>
      <c r="I130" s="336"/>
      <c r="J130" s="204"/>
      <c r="K130" s="204"/>
      <c r="M130" s="364">
        <f t="shared" si="34"/>
        <v>2.1911927091211618</v>
      </c>
      <c r="N130" s="359">
        <f>SUMMARY!J133</f>
        <v>1.2770660565872531</v>
      </c>
      <c r="P130"/>
      <c r="Q130"/>
      <c r="Z130"/>
      <c r="AA130"/>
      <c r="AB130" s="483"/>
      <c r="AC130" s="483"/>
    </row>
    <row r="131" spans="1:29" s="167" customFormat="1">
      <c r="B131" s="163" t="s">
        <v>195</v>
      </c>
      <c r="C131" s="558">
        <f>'[39]Sch C'!D132</f>
        <v>0</v>
      </c>
      <c r="D131" s="558">
        <f>'[39]Sch C'!F132</f>
        <v>0</v>
      </c>
      <c r="E131" s="171">
        <f t="shared" si="35"/>
        <v>0</v>
      </c>
      <c r="F131" s="480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  <c r="Z131"/>
      <c r="AA131"/>
      <c r="AB131" s="513"/>
      <c r="AC131" s="513"/>
    </row>
    <row r="132" spans="1:29" s="167" customFormat="1">
      <c r="B132" s="163" t="s">
        <v>196</v>
      </c>
      <c r="C132" s="558">
        <f>'[39]Sch C'!D133</f>
        <v>0</v>
      </c>
      <c r="D132" s="558">
        <f>'[39]Sch C'!F133</f>
        <v>0</v>
      </c>
      <c r="E132" s="171">
        <f t="shared" si="35"/>
        <v>0</v>
      </c>
      <c r="F132" s="480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  <c r="Z132"/>
      <c r="AA132"/>
      <c r="AB132" s="513"/>
      <c r="AC132" s="513"/>
    </row>
    <row r="133" spans="1:29" s="167" customFormat="1">
      <c r="B133" s="163" t="s">
        <v>197</v>
      </c>
      <c r="C133" s="558">
        <f>'[39]Sch C'!D134</f>
        <v>0</v>
      </c>
      <c r="D133" s="558">
        <f>'[39]Sch C'!F134</f>
        <v>0</v>
      </c>
      <c r="E133" s="171">
        <f t="shared" si="35"/>
        <v>0</v>
      </c>
      <c r="F133" s="480"/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  <c r="Z133"/>
      <c r="AA133"/>
      <c r="AB133" s="513"/>
      <c r="AC133" s="513"/>
    </row>
    <row r="134" spans="1:29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  <c r="Z134"/>
      <c r="AA134"/>
      <c r="AB134" s="483"/>
      <c r="AC134" s="483"/>
    </row>
    <row r="135" spans="1:29" s="167" customFormat="1">
      <c r="A135" s="169"/>
      <c r="B135" s="163" t="s">
        <v>194</v>
      </c>
      <c r="C135" s="558">
        <f>'[39]Sch C'!D136</f>
        <v>122652.59</v>
      </c>
      <c r="D135" s="558">
        <f>'[39]Sch C'!F136</f>
        <v>0</v>
      </c>
      <c r="E135" s="171">
        <f t="shared" ref="E135:E138" si="36">C135+D135</f>
        <v>122652.59</v>
      </c>
      <c r="F135" s="480"/>
      <c r="G135" s="171">
        <f>E135+F135</f>
        <v>122652.59</v>
      </c>
      <c r="H135" s="172">
        <f>IF($G$208=0,0,G135/$G$208)</f>
        <v>5.1279080205928744E-2</v>
      </c>
      <c r="I135" s="336"/>
      <c r="J135" s="183">
        <v>5174.05</v>
      </c>
      <c r="K135" s="183">
        <v>5520.73</v>
      </c>
      <c r="M135" s="364">
        <f t="shared" si="34"/>
        <v>9.2764022084404782</v>
      </c>
      <c r="N135" s="359">
        <f>SUMMARY!J138</f>
        <v>22.831883555057285</v>
      </c>
      <c r="P135"/>
      <c r="Q135"/>
      <c r="Z135" s="551">
        <v>919.46</v>
      </c>
      <c r="AA135" s="551">
        <v>951.46</v>
      </c>
      <c r="AB135" s="482">
        <v>3900</v>
      </c>
      <c r="AC135" s="482">
        <v>3900</v>
      </c>
    </row>
    <row r="136" spans="1:29" s="167" customFormat="1">
      <c r="A136" s="169"/>
      <c r="B136" s="163" t="s">
        <v>195</v>
      </c>
      <c r="C136" s="558">
        <f>'[39]Sch C'!D137</f>
        <v>149187.64000000001</v>
      </c>
      <c r="D136" s="558">
        <f>'[39]Sch C'!F137</f>
        <v>0</v>
      </c>
      <c r="E136" s="171">
        <f t="shared" si="36"/>
        <v>149187.64000000001</v>
      </c>
      <c r="F136" s="480"/>
      <c r="G136" s="171">
        <f>E136+F136</f>
        <v>149187.64000000001</v>
      </c>
      <c r="H136" s="172">
        <f>IF($G$208=0,0,G136/$G$208)</f>
        <v>6.2372958918301066E-2</v>
      </c>
      <c r="I136" s="336"/>
      <c r="J136" s="183">
        <v>7997.3</v>
      </c>
      <c r="K136" s="183">
        <v>8600.09</v>
      </c>
      <c r="M136" s="364">
        <f t="shared" si="34"/>
        <v>11.283288458629558</v>
      </c>
      <c r="N136" s="359">
        <f>SUMMARY!J139</f>
        <v>12.148107264801752</v>
      </c>
      <c r="P136"/>
      <c r="Q136"/>
      <c r="Z136" s="551">
        <v>1745.82</v>
      </c>
      <c r="AA136" s="551">
        <v>1785.82</v>
      </c>
      <c r="AB136" s="482">
        <v>8625</v>
      </c>
      <c r="AC136" s="482">
        <v>8625</v>
      </c>
    </row>
    <row r="137" spans="1:29" s="167" customFormat="1">
      <c r="A137" s="169"/>
      <c r="B137" s="163" t="s">
        <v>196</v>
      </c>
      <c r="C137" s="558">
        <f>'[39]Sch C'!D138</f>
        <v>306890.99</v>
      </c>
      <c r="D137" s="558">
        <f>'[39]Sch C'!F138</f>
        <v>0</v>
      </c>
      <c r="E137" s="171">
        <f t="shared" si="36"/>
        <v>306890.99</v>
      </c>
      <c r="F137" s="480"/>
      <c r="G137" s="171">
        <f>E137+F137</f>
        <v>306890.99</v>
      </c>
      <c r="H137" s="172">
        <f>IF($G$208=0,0,G137/$G$208)</f>
        <v>0.12830619957301248</v>
      </c>
      <c r="I137" s="336"/>
      <c r="J137" s="183">
        <v>29508.370000000003</v>
      </c>
      <c r="K137" s="183">
        <v>31844.97</v>
      </c>
      <c r="M137" s="364">
        <f t="shared" si="34"/>
        <v>23.210633035849341</v>
      </c>
      <c r="N137" s="359">
        <f>SUMMARY!J140</f>
        <v>29.755103028612584</v>
      </c>
      <c r="P137"/>
      <c r="Q137"/>
      <c r="Z137" s="551">
        <v>7695.99</v>
      </c>
      <c r="AA137" s="551">
        <v>7783.99</v>
      </c>
      <c r="AB137" s="482">
        <v>36420</v>
      </c>
      <c r="AC137" s="482">
        <v>36420</v>
      </c>
    </row>
    <row r="138" spans="1:29" s="167" customFormat="1">
      <c r="A138" s="169"/>
      <c r="B138" s="163" t="s">
        <v>197</v>
      </c>
      <c r="C138" s="558">
        <f>'[39]Sch C'!D139</f>
        <v>0</v>
      </c>
      <c r="D138" s="558">
        <f>'[39]Sch C'!F139</f>
        <v>0</v>
      </c>
      <c r="E138" s="171">
        <f t="shared" si="36"/>
        <v>0</v>
      </c>
      <c r="F138" s="480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  <c r="Z138" s="551">
        <v>0</v>
      </c>
      <c r="AA138" s="551">
        <v>0</v>
      </c>
      <c r="AB138" s="482">
        <v>0</v>
      </c>
      <c r="AC138" s="482">
        <v>0</v>
      </c>
    </row>
    <row r="139" spans="1:29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  <c r="Z139"/>
      <c r="AA139"/>
      <c r="AB139" s="518"/>
      <c r="AC139" s="518"/>
    </row>
    <row r="140" spans="1:29" s="167" customFormat="1">
      <c r="A140" s="169"/>
      <c r="B140" s="163" t="s">
        <v>194</v>
      </c>
      <c r="C140" s="558">
        <f>'[39]Sch C'!D141</f>
        <v>0</v>
      </c>
      <c r="D140" s="558">
        <f>'[39]Sch C'!F141</f>
        <v>36762.61</v>
      </c>
      <c r="E140" s="171">
        <f t="shared" ref="E140:E143" si="37">C140+D140</f>
        <v>36762.61</v>
      </c>
      <c r="F140" s="480"/>
      <c r="G140" s="171">
        <f>E140+F140</f>
        <v>36762.61</v>
      </c>
      <c r="H140" s="172">
        <f>IF($G$208=0,0,G140/$G$208)</f>
        <v>1.5369857471165331E-2</v>
      </c>
      <c r="I140" s="336"/>
      <c r="J140" s="168"/>
      <c r="K140" s="168"/>
      <c r="M140" s="364">
        <f t="shared" si="34"/>
        <v>2.7804121918015428</v>
      </c>
      <c r="N140" s="359">
        <f>SUMMARY!J143</f>
        <v>4.2102596407658526</v>
      </c>
      <c r="P140"/>
      <c r="Q140"/>
      <c r="Z140"/>
      <c r="AA140"/>
      <c r="AB140" s="513"/>
      <c r="AC140" s="513"/>
    </row>
    <row r="141" spans="1:29" s="167" customFormat="1">
      <c r="A141" s="169"/>
      <c r="B141" s="163" t="s">
        <v>195</v>
      </c>
      <c r="C141" s="558">
        <f>'[39]Sch C'!D142</f>
        <v>0</v>
      </c>
      <c r="D141" s="558">
        <f>'[39]Sch C'!F142</f>
        <v>44715.95</v>
      </c>
      <c r="E141" s="171">
        <f t="shared" si="37"/>
        <v>44715.95</v>
      </c>
      <c r="F141" s="480"/>
      <c r="G141" s="171">
        <f>E141+F141</f>
        <v>44715.95</v>
      </c>
      <c r="H141" s="172">
        <f>IF($G$208=0,0,G141/$G$208)</f>
        <v>1.8695021332483068E-2</v>
      </c>
      <c r="I141" s="336"/>
      <c r="J141" s="168"/>
      <c r="K141" s="168"/>
      <c r="M141" s="364">
        <f t="shared" si="34"/>
        <v>3.381935410679171</v>
      </c>
      <c r="N141" s="359">
        <f>SUMMARY!J144</f>
        <v>2.2256603513522144</v>
      </c>
      <c r="P141"/>
      <c r="Q141"/>
      <c r="Z141"/>
      <c r="AA141"/>
      <c r="AB141" s="513"/>
      <c r="AC141" s="513"/>
    </row>
    <row r="142" spans="1:29" s="167" customFormat="1">
      <c r="A142" s="169"/>
      <c r="B142" s="163" t="s">
        <v>196</v>
      </c>
      <c r="C142" s="558">
        <f>'[39]Sch C'!D143</f>
        <v>0</v>
      </c>
      <c r="D142" s="558">
        <f>'[39]Sch C'!F143</f>
        <v>91984.31</v>
      </c>
      <c r="E142" s="171">
        <f t="shared" si="37"/>
        <v>91984.31</v>
      </c>
      <c r="F142" s="480"/>
      <c r="G142" s="171">
        <f>E142+F142</f>
        <v>91984.31</v>
      </c>
      <c r="H142" s="172">
        <f>IF($G$208=0,0,G142/$G$208)</f>
        <v>3.8457164338535479E-2</v>
      </c>
      <c r="I142" s="336"/>
      <c r="J142" s="168"/>
      <c r="K142" s="168"/>
      <c r="M142" s="364">
        <f t="shared" si="34"/>
        <v>6.9569134775374373</v>
      </c>
      <c r="N142" s="359">
        <f>SUMMARY!J145</f>
        <v>5.5063490246705751</v>
      </c>
      <c r="P142"/>
      <c r="Q142"/>
      <c r="Z142"/>
      <c r="AA142"/>
      <c r="AB142" s="513"/>
      <c r="AC142" s="513"/>
    </row>
    <row r="143" spans="1:29" s="167" customFormat="1">
      <c r="A143" s="169"/>
      <c r="B143" s="163" t="s">
        <v>197</v>
      </c>
      <c r="C143" s="558">
        <f>'[39]Sch C'!D144</f>
        <v>0</v>
      </c>
      <c r="D143" s="558">
        <f>'[39]Sch C'!F144</f>
        <v>0</v>
      </c>
      <c r="E143" s="171">
        <f t="shared" si="37"/>
        <v>0</v>
      </c>
      <c r="F143" s="480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  <c r="Z143"/>
      <c r="AA143"/>
      <c r="AB143" s="513"/>
      <c r="AC143" s="513"/>
    </row>
    <row r="144" spans="1:29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  <c r="Z144"/>
      <c r="AA144"/>
      <c r="AB144" s="483"/>
      <c r="AC144" s="483"/>
    </row>
    <row r="145" spans="1:29" s="167" customFormat="1">
      <c r="A145" s="169"/>
      <c r="B145" s="163" t="s">
        <v>232</v>
      </c>
      <c r="C145" s="558">
        <f>'[39]Sch C'!D146</f>
        <v>0</v>
      </c>
      <c r="D145" s="558">
        <f>'[39]Sch C'!F146</f>
        <v>0</v>
      </c>
      <c r="E145" s="171">
        <f t="shared" ref="E145:E153" si="38">C145+D145</f>
        <v>0</v>
      </c>
      <c r="F145" s="480"/>
      <c r="G145" s="171">
        <f t="shared" ref="G145:G153" si="39">E145+F145</f>
        <v>0</v>
      </c>
      <c r="H145" s="172">
        <f t="shared" ref="H145:H153" si="40">IF($G$208=0,0,G145/$G$208)</f>
        <v>0</v>
      </c>
      <c r="I145" s="336"/>
      <c r="J145" s="183">
        <v>0</v>
      </c>
      <c r="K145" s="183">
        <v>0</v>
      </c>
      <c r="M145" s="364">
        <f t="shared" si="34"/>
        <v>0</v>
      </c>
      <c r="N145" s="359">
        <f>SUMMARY!J148</f>
        <v>1.6451259729597054</v>
      </c>
      <c r="P145"/>
      <c r="Q145"/>
      <c r="Z145" s="551">
        <v>0</v>
      </c>
      <c r="AA145" s="551">
        <v>0</v>
      </c>
      <c r="AB145" s="482">
        <v>0</v>
      </c>
      <c r="AC145" s="482">
        <v>0</v>
      </c>
    </row>
    <row r="146" spans="1:29" s="167" customFormat="1">
      <c r="A146" s="169"/>
      <c r="B146" s="163" t="s">
        <v>194</v>
      </c>
      <c r="C146" s="558">
        <f>'[39]Sch C'!D147</f>
        <v>0</v>
      </c>
      <c r="D146" s="558">
        <f>'[39]Sch C'!F147</f>
        <v>0</v>
      </c>
      <c r="E146" s="171">
        <f t="shared" si="38"/>
        <v>0</v>
      </c>
      <c r="F146" s="480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  <c r="Z146" s="551">
        <v>0</v>
      </c>
      <c r="AA146" s="551">
        <v>0</v>
      </c>
      <c r="AB146" s="482">
        <v>0</v>
      </c>
      <c r="AC146" s="482">
        <v>0</v>
      </c>
    </row>
    <row r="147" spans="1:29" s="167" customFormat="1">
      <c r="A147" s="169"/>
      <c r="B147" s="163" t="s">
        <v>195</v>
      </c>
      <c r="C147" s="558">
        <f>'[39]Sch C'!D148</f>
        <v>0</v>
      </c>
      <c r="D147" s="558">
        <f>'[39]Sch C'!F148</f>
        <v>0</v>
      </c>
      <c r="E147" s="171">
        <f t="shared" si="38"/>
        <v>0</v>
      </c>
      <c r="F147" s="480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  <c r="Z147" s="551">
        <v>0</v>
      </c>
      <c r="AA147" s="551">
        <v>0</v>
      </c>
      <c r="AB147" s="482">
        <v>0</v>
      </c>
      <c r="AC147" s="482">
        <v>0</v>
      </c>
    </row>
    <row r="148" spans="1:29" s="167" customFormat="1">
      <c r="A148" s="169"/>
      <c r="B148" s="163" t="s">
        <v>196</v>
      </c>
      <c r="C148" s="558">
        <f>'[39]Sch C'!D149</f>
        <v>0</v>
      </c>
      <c r="D148" s="558">
        <f>'[39]Sch C'!F149</f>
        <v>0</v>
      </c>
      <c r="E148" s="171">
        <f t="shared" si="38"/>
        <v>0</v>
      </c>
      <c r="F148" s="480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  <c r="Z148" s="551">
        <v>0</v>
      </c>
      <c r="AA148" s="551">
        <v>0</v>
      </c>
      <c r="AB148" s="482">
        <v>0</v>
      </c>
      <c r="AC148" s="482">
        <v>0</v>
      </c>
    </row>
    <row r="149" spans="1:29" s="167" customFormat="1">
      <c r="A149" s="169"/>
      <c r="B149" s="163" t="s">
        <v>197</v>
      </c>
      <c r="C149" s="558">
        <f>'[39]Sch C'!D150</f>
        <v>1711.51</v>
      </c>
      <c r="D149" s="558">
        <f>'[39]Sch C'!F150</f>
        <v>0</v>
      </c>
      <c r="E149" s="171">
        <f t="shared" si="38"/>
        <v>1711.51</v>
      </c>
      <c r="F149" s="480"/>
      <c r="G149" s="171">
        <f t="shared" si="39"/>
        <v>1711.51</v>
      </c>
      <c r="H149" s="172">
        <f t="shared" si="40"/>
        <v>7.155548738371453E-4</v>
      </c>
      <c r="I149" s="336"/>
      <c r="J149" s="183">
        <v>0</v>
      </c>
      <c r="K149" s="183">
        <v>0</v>
      </c>
      <c r="M149" s="364">
        <f t="shared" si="34"/>
        <v>0.12944410830434125</v>
      </c>
      <c r="N149" s="359">
        <f>SUMMARY!J152</f>
        <v>0.63962211863516594</v>
      </c>
      <c r="P149"/>
      <c r="Q149"/>
      <c r="Z149" s="551">
        <v>0</v>
      </c>
      <c r="AA149" s="551">
        <v>0</v>
      </c>
      <c r="AB149" s="482">
        <v>0</v>
      </c>
      <c r="AC149" s="482">
        <v>0</v>
      </c>
    </row>
    <row r="150" spans="1:29" s="167" customFormat="1">
      <c r="A150" s="169">
        <v>110</v>
      </c>
      <c r="B150" s="167" t="s">
        <v>65</v>
      </c>
      <c r="C150" s="558">
        <f>'[39]Sch C'!D151</f>
        <v>66009.87</v>
      </c>
      <c r="D150" s="558">
        <f>'[39]Sch C'!F151</f>
        <v>-388</v>
      </c>
      <c r="E150" s="171">
        <f t="shared" si="38"/>
        <v>65621.87</v>
      </c>
      <c r="F150" s="480"/>
      <c r="G150" s="171">
        <f t="shared" si="39"/>
        <v>65621.87</v>
      </c>
      <c r="H150" s="172">
        <f t="shared" si="40"/>
        <v>2.7435451098040648E-2</v>
      </c>
      <c r="I150" s="336"/>
      <c r="J150" s="168"/>
      <c r="K150" s="168"/>
      <c r="M150" s="364">
        <f t="shared" si="34"/>
        <v>4.9630819845711693</v>
      </c>
      <c r="N150" s="359">
        <f>SUMMARY!J153</f>
        <v>5.6321022575023187</v>
      </c>
      <c r="P150"/>
      <c r="Q150"/>
      <c r="Z150"/>
      <c r="AA150"/>
      <c r="AB150" s="513"/>
      <c r="AC150" s="513"/>
    </row>
    <row r="151" spans="1:29" s="167" customFormat="1">
      <c r="A151" s="169">
        <v>111</v>
      </c>
      <c r="B151" s="170" t="s">
        <v>97</v>
      </c>
      <c r="C151" s="558">
        <f>'[39]Sch C'!D152</f>
        <v>0</v>
      </c>
      <c r="D151" s="558">
        <f>'[39]Sch C'!F152</f>
        <v>0</v>
      </c>
      <c r="E151" s="171">
        <f t="shared" si="38"/>
        <v>0</v>
      </c>
      <c r="F151" s="480"/>
      <c r="G151" s="171">
        <f t="shared" si="39"/>
        <v>0</v>
      </c>
      <c r="H151" s="172">
        <f t="shared" si="40"/>
        <v>0</v>
      </c>
      <c r="I151" s="336"/>
      <c r="J151" s="168"/>
      <c r="K151" s="168"/>
      <c r="M151" s="364">
        <f t="shared" si="34"/>
        <v>0</v>
      </c>
      <c r="N151" s="359">
        <f>SUMMARY!J154</f>
        <v>0.34937544615199928</v>
      </c>
      <c r="P151"/>
      <c r="Q151"/>
      <c r="Z151"/>
      <c r="AA151"/>
      <c r="AB151" s="513"/>
      <c r="AC151" s="513"/>
    </row>
    <row r="152" spans="1:29" s="167" customFormat="1">
      <c r="A152" s="169">
        <v>230</v>
      </c>
      <c r="B152" s="170" t="s">
        <v>66</v>
      </c>
      <c r="C152" s="558">
        <f>'[39]Sch C'!D153</f>
        <v>0</v>
      </c>
      <c r="D152" s="558">
        <f>'[39]Sch C'!F153</f>
        <v>0</v>
      </c>
      <c r="E152" s="171">
        <f t="shared" si="38"/>
        <v>0</v>
      </c>
      <c r="F152" s="480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  <c r="Z152"/>
      <c r="AA152"/>
      <c r="AB152" s="513"/>
      <c r="AC152" s="513"/>
    </row>
    <row r="153" spans="1:29" s="167" customFormat="1">
      <c r="A153" s="169">
        <v>430</v>
      </c>
      <c r="B153" s="170" t="s">
        <v>99</v>
      </c>
      <c r="C153" s="558">
        <f>'[39]Sch C'!D154</f>
        <v>0</v>
      </c>
      <c r="D153" s="558">
        <f>'[39]Sch C'!F154</f>
        <v>0</v>
      </c>
      <c r="E153" s="171">
        <f t="shared" si="38"/>
        <v>0</v>
      </c>
      <c r="F153" s="480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  <c r="Z153"/>
      <c r="AA153"/>
      <c r="AB153" s="513"/>
      <c r="AC153" s="513"/>
    </row>
    <row r="154" spans="1:29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  <c r="Z154"/>
      <c r="AA154"/>
      <c r="AB154" s="513"/>
      <c r="AC154" s="513"/>
    </row>
    <row r="155" spans="1:29" s="167" customFormat="1">
      <c r="A155" s="169">
        <v>440.1</v>
      </c>
      <c r="B155" s="163" t="s">
        <v>223</v>
      </c>
      <c r="C155" s="558">
        <f>'[39]Sch C'!D156</f>
        <v>0</v>
      </c>
      <c r="D155" s="558">
        <f>'[39]Sch C'!F156</f>
        <v>0</v>
      </c>
      <c r="E155" s="171">
        <f t="shared" ref="E155:E160" si="41">C155+D155</f>
        <v>0</v>
      </c>
      <c r="F155" s="480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  <c r="Z155"/>
      <c r="AA155"/>
      <c r="AB155" s="513"/>
      <c r="AC155" s="513"/>
    </row>
    <row r="156" spans="1:29" s="167" customFormat="1">
      <c r="A156" s="169">
        <v>440.2</v>
      </c>
      <c r="B156" s="163" t="s">
        <v>224</v>
      </c>
      <c r="C156" s="558">
        <f>'[39]Sch C'!D157</f>
        <v>0</v>
      </c>
      <c r="D156" s="558">
        <f>'[39]Sch C'!F157</f>
        <v>0</v>
      </c>
      <c r="E156" s="171">
        <f t="shared" si="41"/>
        <v>0</v>
      </c>
      <c r="F156" s="480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  <c r="Z156"/>
      <c r="AA156"/>
      <c r="AB156" s="513"/>
      <c r="AC156" s="513"/>
    </row>
    <row r="157" spans="1:29" s="167" customFormat="1">
      <c r="A157" s="169">
        <v>440.3</v>
      </c>
      <c r="B157" s="163" t="s">
        <v>225</v>
      </c>
      <c r="C157" s="558">
        <f>'[39]Sch C'!D158</f>
        <v>0</v>
      </c>
      <c r="D157" s="558">
        <f>'[39]Sch C'!F158</f>
        <v>0</v>
      </c>
      <c r="E157" s="171">
        <f t="shared" si="41"/>
        <v>0</v>
      </c>
      <c r="F157" s="480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  <c r="Z157"/>
      <c r="AA157"/>
      <c r="AB157" s="513"/>
      <c r="AC157" s="513"/>
    </row>
    <row r="158" spans="1:29" s="167" customFormat="1">
      <c r="A158" s="169">
        <v>440.4</v>
      </c>
      <c r="B158" s="163" t="s">
        <v>226</v>
      </c>
      <c r="C158" s="558">
        <f>'[39]Sch C'!D159</f>
        <v>0</v>
      </c>
      <c r="D158" s="558">
        <f>'[39]Sch C'!F159</f>
        <v>0</v>
      </c>
      <c r="E158" s="171">
        <f t="shared" si="41"/>
        <v>0</v>
      </c>
      <c r="F158" s="480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  <c r="Z158"/>
      <c r="AA158"/>
      <c r="AB158" s="513"/>
      <c r="AC158" s="513"/>
    </row>
    <row r="159" spans="1:29" s="167" customFormat="1">
      <c r="A159" s="169">
        <v>440.5</v>
      </c>
      <c r="B159" s="163" t="s">
        <v>301</v>
      </c>
      <c r="C159" s="558">
        <f>'[39]Sch C'!D160</f>
        <v>0</v>
      </c>
      <c r="D159" s="558">
        <f>'[39]Sch C'!F160</f>
        <v>0</v>
      </c>
      <c r="E159" s="171">
        <f t="shared" si="41"/>
        <v>0</v>
      </c>
      <c r="F159" s="480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  <c r="Z159"/>
      <c r="AA159"/>
      <c r="AB159" s="513"/>
      <c r="AC159" s="513"/>
    </row>
    <row r="160" spans="1:29" s="167" customFormat="1">
      <c r="A160" s="169">
        <v>490</v>
      </c>
      <c r="B160" s="202" t="s">
        <v>315</v>
      </c>
      <c r="C160" s="558">
        <f>'[39]Sch C'!D161</f>
        <v>1207</v>
      </c>
      <c r="D160" s="558">
        <f>'[39]Sch C'!F161</f>
        <v>0</v>
      </c>
      <c r="E160" s="171">
        <f t="shared" si="41"/>
        <v>1207</v>
      </c>
      <c r="F160" s="480"/>
      <c r="G160" s="171">
        <f t="shared" si="42"/>
        <v>1207</v>
      </c>
      <c r="H160" s="172">
        <f t="shared" si="43"/>
        <v>5.046273365165464E-4</v>
      </c>
      <c r="I160" s="336"/>
      <c r="J160" s="168"/>
      <c r="K160" s="168"/>
      <c r="M160" s="364">
        <f t="shared" si="34"/>
        <v>9.1287248525185299E-2</v>
      </c>
      <c r="N160" s="359">
        <f>SUMMARY!J163</f>
        <v>0.85264911391265397</v>
      </c>
      <c r="P160"/>
      <c r="Q160"/>
      <c r="Z160"/>
      <c r="AA160"/>
      <c r="AB160" s="513"/>
      <c r="AC160" s="513"/>
    </row>
    <row r="161" spans="1:29" s="167" customFormat="1">
      <c r="A161" s="169"/>
      <c r="B161" s="170" t="s">
        <v>233</v>
      </c>
      <c r="C161" s="558">
        <f>SUM(C123:C160)</f>
        <v>781216.35</v>
      </c>
      <c r="D161" s="558">
        <f>SUM(D123:D160)</f>
        <v>205442.65</v>
      </c>
      <c r="E161" s="171">
        <f t="shared" ref="E161:F161" si="44">SUM(E123:E160)</f>
        <v>986658.99999999988</v>
      </c>
      <c r="F161" s="171">
        <f t="shared" si="44"/>
        <v>0</v>
      </c>
      <c r="G161" s="171">
        <f>SUM(G123:G160)</f>
        <v>986658.99999999988</v>
      </c>
      <c r="H161" s="172">
        <f t="shared" si="43"/>
        <v>0.4125062992709852</v>
      </c>
      <c r="I161" s="336"/>
      <c r="J161" s="168"/>
      <c r="K161" s="168"/>
      <c r="M161" s="364">
        <f>G161/G$228</f>
        <v>74.62252306761458</v>
      </c>
      <c r="N161" s="359">
        <f>SUMMARY!J164</f>
        <v>105.56901037202306</v>
      </c>
      <c r="O161" s="354">
        <f>M161/N161-1</f>
        <v>-0.29313988257873858</v>
      </c>
      <c r="P161"/>
      <c r="Q161"/>
      <c r="Z161"/>
      <c r="AA161"/>
      <c r="AB161" s="513"/>
      <c r="AC161" s="513"/>
    </row>
    <row r="162" spans="1:29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  <c r="Z162"/>
      <c r="AA162"/>
      <c r="AB162" s="513"/>
      <c r="AC162" s="513"/>
    </row>
    <row r="163" spans="1:29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  <c r="Z163"/>
      <c r="AA163"/>
      <c r="AB163" s="513"/>
      <c r="AC163" s="513"/>
    </row>
    <row r="164" spans="1:29" s="221" customFormat="1">
      <c r="A164" s="215" t="s">
        <v>95</v>
      </c>
      <c r="B164" s="148" t="s">
        <v>102</v>
      </c>
      <c r="C164" s="558">
        <f>'[39]Sch C'!D175</f>
        <v>0</v>
      </c>
      <c r="D164" s="558">
        <f>'[39]Sch C'!F175</f>
        <v>0</v>
      </c>
      <c r="E164" s="171">
        <f t="shared" ref="E164:E196" si="45">C164+D164</f>
        <v>0</v>
      </c>
      <c r="F164" s="480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  <c r="Z164" s="552">
        <v>0</v>
      </c>
      <c r="AA164" s="552">
        <v>0</v>
      </c>
      <c r="AB164" s="482">
        <v>0</v>
      </c>
      <c r="AC164" s="482">
        <v>0</v>
      </c>
    </row>
    <row r="165" spans="1:29" s="221" customFormat="1">
      <c r="A165" s="215" t="s">
        <v>123</v>
      </c>
      <c r="B165" s="148" t="s">
        <v>103</v>
      </c>
      <c r="C165" s="558">
        <f>'[39]Sch C'!D176</f>
        <v>0</v>
      </c>
      <c r="D165" s="558">
        <f>'[39]Sch C'!F176</f>
        <v>0</v>
      </c>
      <c r="E165" s="171">
        <f t="shared" si="45"/>
        <v>0</v>
      </c>
      <c r="F165" s="480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  <c r="Z165"/>
      <c r="AA165"/>
      <c r="AB165" s="519"/>
      <c r="AC165" s="519"/>
    </row>
    <row r="166" spans="1:29" s="221" customFormat="1">
      <c r="A166" s="215" t="s">
        <v>124</v>
      </c>
      <c r="B166" s="148" t="s">
        <v>104</v>
      </c>
      <c r="C166" s="558">
        <f>'[39]Sch C'!D177</f>
        <v>0</v>
      </c>
      <c r="D166" s="558">
        <f>'[39]Sch C'!F177</f>
        <v>0</v>
      </c>
      <c r="E166" s="171">
        <f t="shared" si="45"/>
        <v>0</v>
      </c>
      <c r="F166" s="480"/>
      <c r="G166" s="171">
        <f t="shared" si="46"/>
        <v>0</v>
      </c>
      <c r="H166" s="172">
        <f t="shared" si="47"/>
        <v>0</v>
      </c>
      <c r="I166" s="342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  <c r="Z166" s="552">
        <v>0</v>
      </c>
      <c r="AA166" s="552">
        <v>0</v>
      </c>
      <c r="AB166" s="482">
        <v>0</v>
      </c>
      <c r="AC166" s="482">
        <v>0</v>
      </c>
    </row>
    <row r="167" spans="1:29" s="221" customFormat="1">
      <c r="A167" s="215" t="s">
        <v>157</v>
      </c>
      <c r="B167" s="148" t="s">
        <v>105</v>
      </c>
      <c r="C167" s="558">
        <f>'[39]Sch C'!D178</f>
        <v>0</v>
      </c>
      <c r="D167" s="558">
        <f>'[39]Sch C'!F178</f>
        <v>0</v>
      </c>
      <c r="E167" s="171">
        <f t="shared" si="45"/>
        <v>0</v>
      </c>
      <c r="F167" s="480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  <c r="Z167"/>
      <c r="AA167"/>
      <c r="AB167" s="519"/>
      <c r="AC167" s="519"/>
    </row>
    <row r="168" spans="1:29" s="221" customFormat="1">
      <c r="A168" s="215" t="s">
        <v>158</v>
      </c>
      <c r="B168" s="148" t="s">
        <v>316</v>
      </c>
      <c r="C168" s="558">
        <f>'[39]Sch C'!D179</f>
        <v>0</v>
      </c>
      <c r="D168" s="558">
        <f>'[39]Sch C'!F179</f>
        <v>0</v>
      </c>
      <c r="E168" s="171">
        <f t="shared" si="45"/>
        <v>0</v>
      </c>
      <c r="F168" s="480"/>
      <c r="G168" s="171">
        <f t="shared" si="46"/>
        <v>0</v>
      </c>
      <c r="H168" s="172">
        <f t="shared" si="47"/>
        <v>0</v>
      </c>
      <c r="I168" s="342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  <c r="Z168" s="552">
        <v>0</v>
      </c>
      <c r="AA168" s="552">
        <v>0</v>
      </c>
      <c r="AB168" s="482">
        <v>0</v>
      </c>
      <c r="AC168" s="482">
        <v>0</v>
      </c>
    </row>
    <row r="169" spans="1:29" s="221" customFormat="1">
      <c r="A169" s="215" t="s">
        <v>86</v>
      </c>
      <c r="B169" s="148" t="s">
        <v>317</v>
      </c>
      <c r="C169" s="558">
        <f>'[39]Sch C'!D180</f>
        <v>0</v>
      </c>
      <c r="D169" s="558">
        <f>'[39]Sch C'!F180</f>
        <v>0</v>
      </c>
      <c r="E169" s="171">
        <f t="shared" si="45"/>
        <v>0</v>
      </c>
      <c r="F169" s="480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  <c r="Z169"/>
      <c r="AA169"/>
      <c r="AB169" s="519"/>
      <c r="AC169" s="519"/>
    </row>
    <row r="170" spans="1:29" s="221" customFormat="1">
      <c r="A170" s="215" t="s">
        <v>96</v>
      </c>
      <c r="B170" s="148" t="s">
        <v>318</v>
      </c>
      <c r="C170" s="558">
        <f>'[39]Sch C'!D181</f>
        <v>0</v>
      </c>
      <c r="D170" s="558">
        <f>'[39]Sch C'!F181</f>
        <v>0</v>
      </c>
      <c r="E170" s="171">
        <f t="shared" si="45"/>
        <v>0</v>
      </c>
      <c r="F170" s="480"/>
      <c r="G170" s="171">
        <f t="shared" si="46"/>
        <v>0</v>
      </c>
      <c r="H170" s="172">
        <f t="shared" si="47"/>
        <v>0</v>
      </c>
      <c r="I170" s="342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  <c r="Z170" s="552">
        <v>0</v>
      </c>
      <c r="AA170" s="552">
        <v>0</v>
      </c>
      <c r="AB170" s="482">
        <v>0</v>
      </c>
      <c r="AC170" s="482">
        <v>0</v>
      </c>
    </row>
    <row r="171" spans="1:29" s="221" customFormat="1">
      <c r="A171" s="215" t="s">
        <v>125</v>
      </c>
      <c r="B171" s="148" t="s">
        <v>109</v>
      </c>
      <c r="C171" s="558">
        <f>'[39]Sch C'!D182</f>
        <v>0</v>
      </c>
      <c r="D171" s="558">
        <f>'[39]Sch C'!F182</f>
        <v>0</v>
      </c>
      <c r="E171" s="171">
        <f t="shared" si="45"/>
        <v>0</v>
      </c>
      <c r="F171" s="480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  <c r="Z171"/>
      <c r="AA171"/>
      <c r="AB171" s="519"/>
      <c r="AC171" s="519"/>
    </row>
    <row r="172" spans="1:29" s="221" customFormat="1">
      <c r="A172" s="215" t="s">
        <v>126</v>
      </c>
      <c r="B172" s="148" t="s">
        <v>319</v>
      </c>
      <c r="C172" s="558">
        <f>'[39]Sch C'!D183</f>
        <v>0</v>
      </c>
      <c r="D172" s="558">
        <f>'[39]Sch C'!F183</f>
        <v>0</v>
      </c>
      <c r="E172" s="171">
        <f t="shared" si="45"/>
        <v>0</v>
      </c>
      <c r="F172" s="480"/>
      <c r="G172" s="171">
        <f t="shared" si="46"/>
        <v>0</v>
      </c>
      <c r="H172" s="172">
        <f t="shared" si="47"/>
        <v>0</v>
      </c>
      <c r="I172" s="342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  <c r="Z172" s="552">
        <v>0</v>
      </c>
      <c r="AA172" s="552">
        <v>0</v>
      </c>
      <c r="AB172" s="482">
        <v>0</v>
      </c>
      <c r="AC172" s="482">
        <v>0</v>
      </c>
    </row>
    <row r="173" spans="1:29" s="221" customFormat="1">
      <c r="A173" s="215" t="s">
        <v>127</v>
      </c>
      <c r="B173" s="148" t="s">
        <v>111</v>
      </c>
      <c r="C173" s="558">
        <f>'[39]Sch C'!D184</f>
        <v>0</v>
      </c>
      <c r="D173" s="558">
        <f>'[39]Sch C'!F184</f>
        <v>0</v>
      </c>
      <c r="E173" s="171">
        <f t="shared" si="45"/>
        <v>0</v>
      </c>
      <c r="F173" s="480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  <c r="Z173"/>
      <c r="AA173"/>
      <c r="AB173" s="519"/>
      <c r="AC173" s="519"/>
    </row>
    <row r="174" spans="1:29" s="221" customFormat="1">
      <c r="A174" s="215" t="s">
        <v>128</v>
      </c>
      <c r="B174" s="148" t="s">
        <v>320</v>
      </c>
      <c r="C174" s="558">
        <f>'[39]Sch C'!D185</f>
        <v>0</v>
      </c>
      <c r="D174" s="558">
        <f>'[39]Sch C'!F185</f>
        <v>0</v>
      </c>
      <c r="E174" s="171">
        <f t="shared" si="45"/>
        <v>0</v>
      </c>
      <c r="F174" s="480"/>
      <c r="G174" s="171">
        <f t="shared" si="46"/>
        <v>0</v>
      </c>
      <c r="H174" s="172">
        <f t="shared" si="47"/>
        <v>0</v>
      </c>
      <c r="I174" s="342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  <c r="Z174" s="552">
        <v>0</v>
      </c>
      <c r="AA174" s="552">
        <v>0</v>
      </c>
      <c r="AB174" s="482">
        <v>0</v>
      </c>
      <c r="AC174" s="482">
        <v>0</v>
      </c>
    </row>
    <row r="175" spans="1:29" s="221" customFormat="1">
      <c r="A175" s="215" t="s">
        <v>129</v>
      </c>
      <c r="B175" s="148" t="s">
        <v>321</v>
      </c>
      <c r="C175" s="558">
        <f>'[39]Sch C'!D186</f>
        <v>0</v>
      </c>
      <c r="D175" s="558">
        <f>'[39]Sch C'!F186</f>
        <v>0</v>
      </c>
      <c r="E175" s="171">
        <f t="shared" si="45"/>
        <v>0</v>
      </c>
      <c r="F175" s="480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  <c r="Z175"/>
      <c r="AA175"/>
      <c r="AB175" s="520"/>
      <c r="AC175" s="521"/>
    </row>
    <row r="176" spans="1:29" s="221" customFormat="1">
      <c r="A176" s="224" t="s">
        <v>293</v>
      </c>
      <c r="B176" s="148" t="s">
        <v>154</v>
      </c>
      <c r="C176" s="558">
        <f>'[39]Sch C'!D187</f>
        <v>0</v>
      </c>
      <c r="D176" s="558">
        <f>'[39]Sch C'!F187</f>
        <v>0</v>
      </c>
      <c r="E176" s="171">
        <f t="shared" si="45"/>
        <v>0</v>
      </c>
      <c r="F176" s="480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  <c r="Z176"/>
      <c r="AA176"/>
      <c r="AB176" s="520"/>
      <c r="AC176" s="521"/>
    </row>
    <row r="177" spans="1:29" s="221" customFormat="1">
      <c r="A177" s="224" t="s">
        <v>294</v>
      </c>
      <c r="B177" s="148" t="s">
        <v>322</v>
      </c>
      <c r="C177" s="558">
        <f>'[39]Sch C'!D188</f>
        <v>390</v>
      </c>
      <c r="D177" s="558">
        <f>'[39]Sch C'!F188</f>
        <v>0</v>
      </c>
      <c r="E177" s="171">
        <f t="shared" si="45"/>
        <v>390</v>
      </c>
      <c r="F177" s="480"/>
      <c r="G177" s="171">
        <f t="shared" si="46"/>
        <v>390</v>
      </c>
      <c r="H177" s="172">
        <f t="shared" si="47"/>
        <v>1.6305274336491559E-4</v>
      </c>
      <c r="I177" s="336"/>
      <c r="J177" s="223"/>
      <c r="K177" s="218"/>
      <c r="L177" s="220"/>
      <c r="M177" s="364">
        <f t="shared" si="48"/>
        <v>2.9496294055362277E-2</v>
      </c>
      <c r="N177" s="359">
        <f>SUMMARY!J180</f>
        <v>0.30705480193530821</v>
      </c>
      <c r="O177" s="220"/>
      <c r="P177"/>
      <c r="Q177"/>
      <c r="R177" s="220"/>
      <c r="S177" s="220"/>
      <c r="Z177"/>
      <c r="AA177"/>
      <c r="AB177" s="520"/>
      <c r="AC177" s="521"/>
    </row>
    <row r="178" spans="1:29" s="221" customFormat="1">
      <c r="A178" s="224" t="s">
        <v>295</v>
      </c>
      <c r="B178" s="148" t="s">
        <v>323</v>
      </c>
      <c r="C178" s="558">
        <f>'[39]Sch C'!D189</f>
        <v>0</v>
      </c>
      <c r="D178" s="558">
        <f>'[39]Sch C'!F189</f>
        <v>0</v>
      </c>
      <c r="E178" s="171">
        <f t="shared" si="45"/>
        <v>0</v>
      </c>
      <c r="F178" s="480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  <c r="Z178"/>
      <c r="AA178"/>
      <c r="AB178" s="520"/>
      <c r="AC178" s="521"/>
    </row>
    <row r="179" spans="1:29" s="221" customFormat="1">
      <c r="A179" s="224" t="s">
        <v>296</v>
      </c>
      <c r="B179" s="148" t="s">
        <v>324</v>
      </c>
      <c r="C179" s="558">
        <f>'[39]Sch C'!D190</f>
        <v>0</v>
      </c>
      <c r="D179" s="558">
        <f>'[39]Sch C'!F190</f>
        <v>0</v>
      </c>
      <c r="E179" s="171">
        <f t="shared" si="45"/>
        <v>0</v>
      </c>
      <c r="F179" s="480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  <c r="Z179"/>
      <c r="AA179"/>
      <c r="AB179" s="520"/>
      <c r="AC179" s="521"/>
    </row>
    <row r="180" spans="1:29" s="221" customFormat="1">
      <c r="A180" s="224" t="s">
        <v>297</v>
      </c>
      <c r="B180" s="148" t="s">
        <v>325</v>
      </c>
      <c r="C180" s="558">
        <f>'[39]Sch C'!D191</f>
        <v>0</v>
      </c>
      <c r="D180" s="558">
        <f>'[39]Sch C'!F191</f>
        <v>0</v>
      </c>
      <c r="E180" s="171">
        <f t="shared" si="45"/>
        <v>0</v>
      </c>
      <c r="F180" s="480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  <c r="Z180"/>
      <c r="AA180"/>
      <c r="AB180" s="520"/>
      <c r="AC180" s="521"/>
    </row>
    <row r="181" spans="1:29" s="221" customFormat="1">
      <c r="A181" s="224" t="s">
        <v>298</v>
      </c>
      <c r="B181" s="148" t="s">
        <v>117</v>
      </c>
      <c r="C181" s="558">
        <f>'[39]Sch C'!D192</f>
        <v>19683.22</v>
      </c>
      <c r="D181" s="558">
        <f>'[39]Sch C'!F192</f>
        <v>0</v>
      </c>
      <c r="E181" s="171">
        <f t="shared" si="45"/>
        <v>19683.22</v>
      </c>
      <c r="F181" s="480"/>
      <c r="G181" s="171">
        <f t="shared" si="46"/>
        <v>19683.22</v>
      </c>
      <c r="H181" s="172">
        <f t="shared" si="47"/>
        <v>8.2292385109107025E-3</v>
      </c>
      <c r="I181" s="336"/>
      <c r="J181" s="223"/>
      <c r="K181" s="218"/>
      <c r="L181" s="220"/>
      <c r="M181" s="364">
        <f t="shared" si="48"/>
        <v>1.4886719104522765</v>
      </c>
      <c r="N181" s="359">
        <f>SUMMARY!J184</f>
        <v>0.29174571104570529</v>
      </c>
      <c r="O181" s="220"/>
      <c r="P181"/>
      <c r="Q181"/>
      <c r="R181" s="220"/>
      <c r="S181" s="220"/>
      <c r="Z181"/>
      <c r="AA181"/>
      <c r="AB181" s="520"/>
      <c r="AC181" s="521"/>
    </row>
    <row r="182" spans="1:29" s="221" customFormat="1">
      <c r="A182" s="224" t="s">
        <v>132</v>
      </c>
      <c r="B182" s="148" t="s">
        <v>118</v>
      </c>
      <c r="C182" s="558">
        <f>'[39]Sch C'!D193</f>
        <v>0</v>
      </c>
      <c r="D182" s="558">
        <f>'[39]Sch C'!F193</f>
        <v>0</v>
      </c>
      <c r="E182" s="171">
        <f t="shared" si="45"/>
        <v>0</v>
      </c>
      <c r="F182" s="480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  <c r="Z182"/>
      <c r="AA182"/>
      <c r="AB182" s="520"/>
      <c r="AC182" s="521"/>
    </row>
    <row r="183" spans="1:29" s="221" customFormat="1">
      <c r="A183" s="224" t="s">
        <v>133</v>
      </c>
      <c r="B183" s="148" t="s">
        <v>119</v>
      </c>
      <c r="C183" s="558">
        <f>'[39]Sch C'!D194</f>
        <v>44402.8</v>
      </c>
      <c r="D183" s="558">
        <f>'[39]Sch C'!F194</f>
        <v>0</v>
      </c>
      <c r="E183" s="171">
        <f t="shared" si="45"/>
        <v>44402.8</v>
      </c>
      <c r="F183" s="480"/>
      <c r="G183" s="171">
        <f t="shared" si="46"/>
        <v>44402.8</v>
      </c>
      <c r="H183" s="172">
        <f t="shared" si="47"/>
        <v>1.856409834124019E-2</v>
      </c>
      <c r="I183" s="336"/>
      <c r="J183" s="223"/>
      <c r="K183" s="218"/>
      <c r="M183" s="364">
        <f t="shared" si="48"/>
        <v>3.3582513991831799</v>
      </c>
      <c r="N183" s="359">
        <f>SUMMARY!J186</f>
        <v>7.2780776577335544</v>
      </c>
      <c r="O183" s="220"/>
      <c r="P183"/>
      <c r="Q183"/>
      <c r="R183" s="220"/>
      <c r="S183" s="220"/>
      <c r="Z183"/>
      <c r="AA183"/>
      <c r="AB183" s="520"/>
      <c r="AC183" s="521"/>
    </row>
    <row r="184" spans="1:29" s="221" customFormat="1">
      <c r="A184" s="224" t="s">
        <v>134</v>
      </c>
      <c r="B184" s="148" t="s">
        <v>326</v>
      </c>
      <c r="C184" s="558">
        <f>'[39]Sch C'!D195</f>
        <v>0</v>
      </c>
      <c r="D184" s="558">
        <f>'[39]Sch C'!F195</f>
        <v>0</v>
      </c>
      <c r="E184" s="171">
        <f t="shared" si="45"/>
        <v>0</v>
      </c>
      <c r="F184" s="480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  <c r="Z184"/>
      <c r="AA184"/>
      <c r="AB184" s="520"/>
      <c r="AC184" s="521"/>
    </row>
    <row r="185" spans="1:29" s="221" customFormat="1">
      <c r="A185" s="224" t="s">
        <v>135</v>
      </c>
      <c r="B185" s="148" t="s">
        <v>327</v>
      </c>
      <c r="C185" s="558">
        <f>'[39]Sch C'!D196</f>
        <v>0</v>
      </c>
      <c r="D185" s="558">
        <f>'[39]Sch C'!F196</f>
        <v>0</v>
      </c>
      <c r="E185" s="171">
        <f t="shared" si="45"/>
        <v>0</v>
      </c>
      <c r="F185" s="480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  <c r="Z185"/>
      <c r="AA185"/>
      <c r="AB185" s="520"/>
      <c r="AC185" s="521"/>
    </row>
    <row r="186" spans="1:29" s="221" customFormat="1">
      <c r="A186" s="224" t="s">
        <v>136</v>
      </c>
      <c r="B186" s="148" t="s">
        <v>328</v>
      </c>
      <c r="C186" s="558">
        <f>'[39]Sch C'!D197</f>
        <v>44210.48</v>
      </c>
      <c r="D186" s="558">
        <f>'[39]Sch C'!F197</f>
        <v>0</v>
      </c>
      <c r="E186" s="171">
        <f t="shared" si="45"/>
        <v>44210.48</v>
      </c>
      <c r="F186" s="480"/>
      <c r="G186" s="171">
        <f t="shared" si="46"/>
        <v>44210.48</v>
      </c>
      <c r="H186" s="172">
        <f t="shared" si="47"/>
        <v>1.8483692434563419E-2</v>
      </c>
      <c r="I186" s="336"/>
      <c r="J186" s="223"/>
      <c r="K186" s="218"/>
      <c r="M186" s="364">
        <f t="shared" si="48"/>
        <v>3.3437059446377253</v>
      </c>
      <c r="N186" s="359">
        <f>SUMMARY!J189</f>
        <v>5.0164683871805966</v>
      </c>
      <c r="O186" s="220"/>
      <c r="P186"/>
      <c r="Q186"/>
      <c r="R186" s="220"/>
      <c r="S186" s="220"/>
      <c r="Z186"/>
      <c r="AA186"/>
      <c r="AB186" s="520"/>
      <c r="AC186" s="521"/>
    </row>
    <row r="187" spans="1:29" s="221" customFormat="1">
      <c r="A187" s="224" t="s">
        <v>137</v>
      </c>
      <c r="B187" s="148" t="s">
        <v>122</v>
      </c>
      <c r="C187" s="558">
        <f>'[39]Sch C'!D198</f>
        <v>0</v>
      </c>
      <c r="D187" s="558">
        <f>'[39]Sch C'!F198</f>
        <v>0</v>
      </c>
      <c r="E187" s="171">
        <f t="shared" si="45"/>
        <v>0</v>
      </c>
      <c r="F187" s="480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  <c r="Z187"/>
      <c r="AA187"/>
      <c r="AB187" s="520"/>
      <c r="AC187" s="521"/>
    </row>
    <row r="188" spans="1:29" s="221" customFormat="1">
      <c r="A188" s="224" t="s">
        <v>275</v>
      </c>
      <c r="B188" s="148" t="s">
        <v>329</v>
      </c>
      <c r="C188" s="558">
        <f>'[39]Sch C'!D199</f>
        <v>0</v>
      </c>
      <c r="D188" s="558">
        <f>'[39]Sch C'!F199</f>
        <v>0</v>
      </c>
      <c r="E188" s="171">
        <f t="shared" si="45"/>
        <v>0</v>
      </c>
      <c r="F188" s="480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  <c r="Z188"/>
      <c r="AA188"/>
      <c r="AB188" s="520"/>
      <c r="AC188" s="521"/>
    </row>
    <row r="189" spans="1:29" s="221" customFormat="1">
      <c r="A189" s="224" t="s">
        <v>277</v>
      </c>
      <c r="B189" s="148" t="s">
        <v>278</v>
      </c>
      <c r="C189" s="558">
        <f>'[39]Sch C'!D200</f>
        <v>0</v>
      </c>
      <c r="D189" s="558">
        <f>'[39]Sch C'!F200</f>
        <v>0</v>
      </c>
      <c r="E189" s="171">
        <f t="shared" si="45"/>
        <v>0</v>
      </c>
      <c r="F189" s="480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  <c r="Z189"/>
      <c r="AA189"/>
      <c r="AB189" s="520"/>
      <c r="AC189" s="521"/>
    </row>
    <row r="190" spans="1:29" s="221" customFormat="1">
      <c r="A190" s="225" t="s">
        <v>279</v>
      </c>
      <c r="B190" s="226" t="s">
        <v>280</v>
      </c>
      <c r="C190" s="558">
        <f>'[39]Sch C'!D201</f>
        <v>649</v>
      </c>
      <c r="D190" s="558">
        <f>'[39]Sch C'!F201</f>
        <v>0</v>
      </c>
      <c r="E190" s="171">
        <f t="shared" si="45"/>
        <v>649</v>
      </c>
      <c r="F190" s="480"/>
      <c r="G190" s="171">
        <f t="shared" si="46"/>
        <v>649</v>
      </c>
      <c r="H190" s="172">
        <f t="shared" si="47"/>
        <v>2.7133648831751338E-4</v>
      </c>
      <c r="I190" s="336"/>
      <c r="J190" s="223"/>
      <c r="K190" s="218"/>
      <c r="M190" s="364">
        <f t="shared" si="48"/>
        <v>4.9084858569051579E-2</v>
      </c>
      <c r="N190" s="359">
        <f>SUMMARY!J193</f>
        <v>9.491156275925049E-3</v>
      </c>
      <c r="O190" s="220"/>
      <c r="P190"/>
      <c r="Q190"/>
      <c r="R190" s="220"/>
      <c r="S190" s="220"/>
      <c r="Z190"/>
      <c r="AA190"/>
      <c r="AB190" s="520"/>
      <c r="AC190" s="521"/>
    </row>
    <row r="191" spans="1:29" s="221" customFormat="1">
      <c r="A191" s="225" t="s">
        <v>281</v>
      </c>
      <c r="B191" s="226" t="s">
        <v>282</v>
      </c>
      <c r="C191" s="558">
        <f>'[39]Sch C'!D202</f>
        <v>0</v>
      </c>
      <c r="D191" s="558">
        <f>'[39]Sch C'!F202</f>
        <v>0</v>
      </c>
      <c r="E191" s="171">
        <f t="shared" si="45"/>
        <v>0</v>
      </c>
      <c r="F191" s="480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  <c r="Z191"/>
      <c r="AA191"/>
      <c r="AB191" s="520"/>
      <c r="AC191" s="521"/>
    </row>
    <row r="192" spans="1:29" s="221" customFormat="1">
      <c r="A192" s="225" t="s">
        <v>283</v>
      </c>
      <c r="B192" s="226" t="s">
        <v>330</v>
      </c>
      <c r="C192" s="558">
        <f>'[39]Sch C'!D203</f>
        <v>0</v>
      </c>
      <c r="D192" s="558">
        <f>'[39]Sch C'!F203</f>
        <v>0</v>
      </c>
      <c r="E192" s="171">
        <f t="shared" si="45"/>
        <v>0</v>
      </c>
      <c r="F192" s="480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  <c r="Z192"/>
      <c r="AA192"/>
      <c r="AB192" s="520"/>
      <c r="AC192" s="521"/>
    </row>
    <row r="193" spans="1:29" s="221" customFormat="1">
      <c r="A193" s="225" t="s">
        <v>285</v>
      </c>
      <c r="B193" s="226" t="s">
        <v>331</v>
      </c>
      <c r="C193" s="558">
        <f>'[39]Sch C'!D204</f>
        <v>0</v>
      </c>
      <c r="D193" s="558">
        <f>'[39]Sch C'!F204</f>
        <v>0</v>
      </c>
      <c r="E193" s="171">
        <f t="shared" si="45"/>
        <v>0</v>
      </c>
      <c r="F193" s="480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  <c r="Z193"/>
      <c r="AA193"/>
      <c r="AB193" s="520"/>
      <c r="AC193" s="521"/>
    </row>
    <row r="194" spans="1:29" s="221" customFormat="1">
      <c r="A194" s="224" t="s">
        <v>138</v>
      </c>
      <c r="B194" s="148" t="s">
        <v>332</v>
      </c>
      <c r="C194" s="558">
        <f>'[39]Sch C'!D205</f>
        <v>47463.409999999996</v>
      </c>
      <c r="D194" s="558">
        <f>'[39]Sch C'!F205</f>
        <v>0</v>
      </c>
      <c r="E194" s="171">
        <f t="shared" si="45"/>
        <v>47463.409999999996</v>
      </c>
      <c r="F194" s="480"/>
      <c r="G194" s="171">
        <f t="shared" si="46"/>
        <v>47463.409999999996</v>
      </c>
      <c r="H194" s="172">
        <f t="shared" si="47"/>
        <v>1.9843690281932738E-2</v>
      </c>
      <c r="I194" s="336"/>
      <c r="J194" s="223"/>
      <c r="K194" s="218"/>
      <c r="M194" s="364">
        <f t="shared" si="48"/>
        <v>3.5897299954621085</v>
      </c>
      <c r="N194" s="359">
        <f>SUMMARY!J197</f>
        <v>9.4138592764245246</v>
      </c>
      <c r="O194" s="220"/>
      <c r="P194"/>
      <c r="Q194"/>
      <c r="R194" s="220"/>
      <c r="S194" s="220"/>
      <c r="Z194"/>
      <c r="AA194"/>
      <c r="AB194" s="520"/>
      <c r="AC194" s="521"/>
    </row>
    <row r="195" spans="1:29" s="221" customFormat="1">
      <c r="A195" s="224" t="s">
        <v>139</v>
      </c>
      <c r="B195" s="148" t="s">
        <v>67</v>
      </c>
      <c r="C195" s="558">
        <f>'[39]Sch C'!D206</f>
        <v>551.82000000000005</v>
      </c>
      <c r="D195" s="558">
        <f>'[39]Sch C'!F206</f>
        <v>0</v>
      </c>
      <c r="E195" s="171">
        <f t="shared" si="45"/>
        <v>551.82000000000005</v>
      </c>
      <c r="F195" s="480"/>
      <c r="G195" s="171">
        <f t="shared" si="46"/>
        <v>551.82000000000005</v>
      </c>
      <c r="H195" s="172">
        <f t="shared" si="47"/>
        <v>2.307070893426352E-4</v>
      </c>
      <c r="I195" s="336"/>
      <c r="J195" s="223"/>
      <c r="K195" s="218"/>
      <c r="M195" s="364">
        <f t="shared" si="48"/>
        <v>4.173498714264106E-2</v>
      </c>
      <c r="N195" s="359">
        <f>SUMMARY!J198</f>
        <v>0.50303072526897752</v>
      </c>
      <c r="O195" s="220"/>
      <c r="P195"/>
      <c r="Q195"/>
      <c r="R195" s="220"/>
      <c r="S195" s="220"/>
      <c r="Z195"/>
      <c r="AA195"/>
      <c r="AB195" s="520"/>
      <c r="AC195" s="521"/>
    </row>
    <row r="196" spans="1:29" s="221" customFormat="1">
      <c r="A196" s="225" t="s">
        <v>143</v>
      </c>
      <c r="B196" s="194" t="s">
        <v>333</v>
      </c>
      <c r="C196" s="558">
        <f>'[39]Sch C'!D207</f>
        <v>173163.47999999998</v>
      </c>
      <c r="D196" s="558">
        <f>'[39]Sch C'!F207</f>
        <v>-173163</v>
      </c>
      <c r="E196" s="171">
        <f t="shared" si="45"/>
        <v>0.47999999998137355</v>
      </c>
      <c r="F196" s="480"/>
      <c r="G196" s="171">
        <f t="shared" si="46"/>
        <v>0.47999999998137355</v>
      </c>
      <c r="H196" s="172">
        <f t="shared" si="47"/>
        <v>2.0068029951826253E-7</v>
      </c>
      <c r="I196" s="336"/>
      <c r="J196" s="223"/>
      <c r="K196" s="218"/>
      <c r="M196" s="364">
        <f t="shared" si="48"/>
        <v>3.6303131143652512E-5</v>
      </c>
      <c r="N196" s="359">
        <f>SUMMARY!J199</f>
        <v>0.37420738931321718</v>
      </c>
      <c r="O196" s="220"/>
      <c r="P196"/>
      <c r="Q196"/>
      <c r="R196" s="220"/>
      <c r="S196" s="220"/>
      <c r="Z196"/>
      <c r="AA196"/>
      <c r="AB196" s="520"/>
      <c r="AC196" s="521"/>
    </row>
    <row r="197" spans="1:29" s="167" customFormat="1">
      <c r="A197" s="163"/>
      <c r="B197" s="212" t="s">
        <v>130</v>
      </c>
      <c r="C197" s="558">
        <f>SUM(C164:C196)</f>
        <v>330514.20999999996</v>
      </c>
      <c r="D197" s="558">
        <f>SUM(D164:D196)</f>
        <v>-173163</v>
      </c>
      <c r="E197" s="171">
        <f t="shared" ref="E197:F197" si="49">SUM(E164:E196)</f>
        <v>157351.21</v>
      </c>
      <c r="F197" s="171">
        <f t="shared" si="49"/>
        <v>0</v>
      </c>
      <c r="G197" s="171">
        <f>SUM(G164:G196)</f>
        <v>157351.21</v>
      </c>
      <c r="H197" s="172">
        <f>IF($G$208=0,0,G197/$G$208)</f>
        <v>6.5786016569971628E-2</v>
      </c>
      <c r="I197" s="336"/>
      <c r="J197" s="168"/>
      <c r="K197" s="168"/>
      <c r="M197" s="364">
        <f>G197/G$228</f>
        <v>11.900711692633489</v>
      </c>
      <c r="N197" s="359">
        <f>SUMMARY!J200</f>
        <v>37.406784978272242</v>
      </c>
      <c r="O197" s="354"/>
      <c r="P197"/>
      <c r="Q197"/>
      <c r="Z197"/>
      <c r="AA197"/>
      <c r="AB197" s="513"/>
      <c r="AC197" s="513"/>
    </row>
    <row r="198" spans="1:2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  <c r="Z198"/>
      <c r="AA198"/>
      <c r="AB198" s="513"/>
      <c r="AC198" s="513"/>
    </row>
    <row r="199" spans="1:2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  <c r="Z199"/>
      <c r="AA199"/>
      <c r="AB199" s="513"/>
      <c r="AC199" s="513"/>
    </row>
    <row r="200" spans="1:29" s="167" customFormat="1">
      <c r="A200" s="169" t="s">
        <v>85</v>
      </c>
      <c r="B200" s="170" t="s">
        <v>69</v>
      </c>
      <c r="C200" s="558">
        <f>'[39]Sch C'!D211</f>
        <v>49690.04</v>
      </c>
      <c r="D200" s="558">
        <f>'[39]Sch C'!F211</f>
        <v>13853.279999999999</v>
      </c>
      <c r="E200" s="171">
        <f t="shared" ref="E200:E205" si="50">C200+D200</f>
        <v>63543.32</v>
      </c>
      <c r="F200" s="480"/>
      <c r="G200" s="171">
        <f t="shared" ref="G200:G205" si="51">E200+F200</f>
        <v>63543.32</v>
      </c>
      <c r="H200" s="172">
        <f t="shared" ref="H200:H206" si="52">IF($G$208=0,0,G200/$G$208)</f>
        <v>2.656644268849925E-2</v>
      </c>
      <c r="I200" s="336"/>
      <c r="J200" s="183">
        <v>3594.45</v>
      </c>
      <c r="K200" s="183">
        <v>4107.25</v>
      </c>
      <c r="M200" s="364">
        <f t="shared" ref="M200:M205" si="53">G200/G$228</f>
        <v>4.805878081984571</v>
      </c>
      <c r="N200" s="359">
        <f>SUMMARY!J203</f>
        <v>5.2601700809246292</v>
      </c>
      <c r="P200"/>
      <c r="Q200"/>
      <c r="Z200" s="551">
        <v>702.37</v>
      </c>
      <c r="AA200" s="551">
        <v>718.37</v>
      </c>
      <c r="AB200" s="482">
        <v>4985</v>
      </c>
      <c r="AC200" s="482">
        <v>4985</v>
      </c>
    </row>
    <row r="201" spans="1:29" s="167" customFormat="1">
      <c r="A201" s="169" t="s">
        <v>86</v>
      </c>
      <c r="B201" s="170" t="s">
        <v>45</v>
      </c>
      <c r="C201" s="558">
        <f>'[39]Sch C'!D212</f>
        <v>0</v>
      </c>
      <c r="D201" s="558">
        <f>'[39]Sch C'!F212</f>
        <v>0</v>
      </c>
      <c r="E201" s="171">
        <f t="shared" si="50"/>
        <v>0</v>
      </c>
      <c r="F201" s="480"/>
      <c r="G201" s="171">
        <f t="shared" si="51"/>
        <v>0</v>
      </c>
      <c r="H201" s="172">
        <f t="shared" si="52"/>
        <v>0</v>
      </c>
      <c r="I201" s="336"/>
      <c r="J201" s="168"/>
      <c r="K201" s="168"/>
      <c r="M201" s="364">
        <f t="shared" si="53"/>
        <v>0</v>
      </c>
      <c r="N201" s="359">
        <f>SUMMARY!J204</f>
        <v>1.0692430699343443</v>
      </c>
      <c r="P201"/>
      <c r="Q201"/>
      <c r="Z201"/>
      <c r="AA201"/>
      <c r="AB201" s="513"/>
      <c r="AC201" s="513"/>
    </row>
    <row r="202" spans="1:29" s="167" customFormat="1">
      <c r="A202" s="169" t="s">
        <v>140</v>
      </c>
      <c r="B202" s="170" t="s">
        <v>54</v>
      </c>
      <c r="C202" s="558">
        <f>'[39]Sch C'!D213</f>
        <v>28577</v>
      </c>
      <c r="D202" s="558">
        <f>'[39]Sch C'!F213</f>
        <v>0</v>
      </c>
      <c r="E202" s="171">
        <f t="shared" si="50"/>
        <v>28577</v>
      </c>
      <c r="F202" s="480"/>
      <c r="G202" s="171">
        <f t="shared" si="51"/>
        <v>28577</v>
      </c>
      <c r="H202" s="172">
        <f t="shared" si="52"/>
        <v>1.1947585249074853E-2</v>
      </c>
      <c r="I202" s="336"/>
      <c r="J202" s="168"/>
      <c r="K202" s="168"/>
      <c r="M202" s="364">
        <f t="shared" si="53"/>
        <v>2.1613220390258658</v>
      </c>
      <c r="N202" s="359">
        <f>SUMMARY!J205</f>
        <v>0.45326453571252473</v>
      </c>
      <c r="P202"/>
      <c r="Q202"/>
      <c r="Z202"/>
      <c r="AA202"/>
      <c r="AB202" s="513"/>
      <c r="AC202" s="513"/>
    </row>
    <row r="203" spans="1:29" s="167" customFormat="1">
      <c r="A203" s="169" t="s">
        <v>141</v>
      </c>
      <c r="B203" s="170" t="s">
        <v>70</v>
      </c>
      <c r="C203" s="558">
        <f>'[39]Sch C'!D214</f>
        <v>0</v>
      </c>
      <c r="D203" s="558">
        <f>'[39]Sch C'!F214</f>
        <v>0</v>
      </c>
      <c r="E203" s="171">
        <f t="shared" si="50"/>
        <v>0</v>
      </c>
      <c r="F203" s="480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  <c r="Z203"/>
      <c r="AA203"/>
      <c r="AB203" s="513"/>
      <c r="AC203" s="513"/>
    </row>
    <row r="204" spans="1:29" s="167" customFormat="1">
      <c r="A204" s="169" t="s">
        <v>142</v>
      </c>
      <c r="B204" s="202" t="s">
        <v>71</v>
      </c>
      <c r="C204" s="558">
        <f>'[39]Sch C'!D215</f>
        <v>0</v>
      </c>
      <c r="D204" s="558">
        <f>'[39]Sch C'!F215</f>
        <v>0</v>
      </c>
      <c r="E204" s="171">
        <f t="shared" si="50"/>
        <v>0</v>
      </c>
      <c r="F204" s="480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  <c r="Z204"/>
      <c r="AA204"/>
      <c r="AB204" s="513"/>
      <c r="AC204" s="513"/>
    </row>
    <row r="205" spans="1:29" s="167" customFormat="1">
      <c r="A205" s="169" t="s">
        <v>143</v>
      </c>
      <c r="B205" s="170" t="s">
        <v>312</v>
      </c>
      <c r="C205" s="558">
        <f>'[39]Sch C'!D216</f>
        <v>3380.5</v>
      </c>
      <c r="D205" s="558">
        <f>'[39]Sch C'!F216</f>
        <v>0</v>
      </c>
      <c r="E205" s="171">
        <f t="shared" si="50"/>
        <v>3380.5</v>
      </c>
      <c r="F205" s="480"/>
      <c r="G205" s="171">
        <f t="shared" si="51"/>
        <v>3380.5</v>
      </c>
      <c r="H205" s="172">
        <f t="shared" si="52"/>
        <v>1.4133328178079414E-3</v>
      </c>
      <c r="I205" s="336"/>
      <c r="J205" s="168"/>
      <c r="K205" s="168"/>
      <c r="M205" s="364">
        <f t="shared" si="53"/>
        <v>0.25567236424141582</v>
      </c>
      <c r="N205" s="359">
        <f>SUMMARY!J208</f>
        <v>0.36243287087155324</v>
      </c>
      <c r="P205"/>
      <c r="Q205"/>
      <c r="Z205"/>
      <c r="AA205"/>
      <c r="AB205" s="513"/>
      <c r="AC205" s="513"/>
    </row>
    <row r="206" spans="1:29" s="167" customFormat="1">
      <c r="A206" s="163"/>
      <c r="B206" s="170" t="s">
        <v>144</v>
      </c>
      <c r="C206" s="558">
        <f>SUM(C200:C205)</f>
        <v>81647.540000000008</v>
      </c>
      <c r="D206" s="558">
        <f>SUM(D200:D205)</f>
        <v>13853.279999999999</v>
      </c>
      <c r="E206" s="171">
        <f t="shared" ref="E206:F206" si="54">SUM(E200:E205)</f>
        <v>95500.82</v>
      </c>
      <c r="F206" s="171">
        <f t="shared" si="54"/>
        <v>0</v>
      </c>
      <c r="G206" s="171">
        <f>SUM(G200:G205)</f>
        <v>95500.82</v>
      </c>
      <c r="H206" s="172">
        <f t="shared" si="52"/>
        <v>3.9927360755382051E-2</v>
      </c>
      <c r="I206" s="336"/>
      <c r="J206" s="168"/>
      <c r="K206" s="168"/>
      <c r="M206" s="364">
        <f>G206/G$228</f>
        <v>7.2228724852518535</v>
      </c>
      <c r="N206" s="359">
        <f>SUMMARY!J209</f>
        <v>7.1515095990067339</v>
      </c>
      <c r="O206" s="354">
        <f>M206/N206-1</f>
        <v>9.9787164174442999E-3</v>
      </c>
      <c r="P206"/>
      <c r="Q206"/>
      <c r="Z206"/>
      <c r="AA206"/>
      <c r="AB206" s="513"/>
      <c r="AC206" s="513"/>
    </row>
    <row r="207" spans="1:2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  <c r="Z207" s="513"/>
      <c r="AA207" s="513"/>
    </row>
    <row r="208" spans="1:29" s="167" customFormat="1">
      <c r="A208" s="227"/>
      <c r="B208" s="228" t="s">
        <v>145</v>
      </c>
      <c r="C208" s="558">
        <f>SUM(C25:C206)/2</f>
        <v>3540452.3599999989</v>
      </c>
      <c r="D208" s="558">
        <f>SUM(D25:D206)/2</f>
        <v>-1148588.2799999998</v>
      </c>
      <c r="E208" s="171">
        <f t="shared" ref="E208:F208" si="55">SUM(E25:E206)/2</f>
        <v>2391864.0800000005</v>
      </c>
      <c r="F208" s="171">
        <f t="shared" si="55"/>
        <v>0</v>
      </c>
      <c r="G208" s="171">
        <f>SUM(G25:G206)/2</f>
        <v>2391864.0800000005</v>
      </c>
      <c r="H208" s="172">
        <f>IF($G$208=0,0,G208/$G$208)</f>
        <v>1</v>
      </c>
      <c r="I208" s="336"/>
      <c r="J208" s="183">
        <f>SUM(J25:J200)</f>
        <v>76686.64</v>
      </c>
      <c r="K208" s="183">
        <f>SUM(K25:K200)</f>
        <v>82864.509999999995</v>
      </c>
      <c r="M208" s="364">
        <f>G208/G$228</f>
        <v>180.90032370291942</v>
      </c>
      <c r="N208" s="359">
        <f>SUMMARY!J211</f>
        <v>266.32123907464864</v>
      </c>
      <c r="O208" s="358" t="s">
        <v>466</v>
      </c>
      <c r="P208"/>
      <c r="Q208"/>
      <c r="Z208" s="513">
        <f t="shared" ref="Z208:AC208" si="56">SUM(Z25:Z200)</f>
        <v>16355.19</v>
      </c>
      <c r="AA208" s="513">
        <f t="shared" si="56"/>
        <v>17088.8</v>
      </c>
      <c r="AB208" s="513">
        <f t="shared" si="56"/>
        <v>84243</v>
      </c>
      <c r="AC208" s="513">
        <f t="shared" si="56"/>
        <v>84243</v>
      </c>
    </row>
    <row r="209" spans="1:2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-1.0671203647558629</v>
      </c>
      <c r="P209"/>
      <c r="Q209"/>
      <c r="Z209" s="513"/>
      <c r="AA209" s="513"/>
    </row>
    <row r="210" spans="1:2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  <c r="Z210" s="513"/>
      <c r="AA210" s="513"/>
    </row>
    <row r="211" spans="1:27" s="167" customFormat="1">
      <c r="A211" s="163"/>
      <c r="B211" s="228" t="s">
        <v>181</v>
      </c>
      <c r="C211" s="558">
        <f>'[39]Sch C'!D221</f>
        <v>3540452.43</v>
      </c>
      <c r="D211" s="196"/>
      <c r="E211" s="165"/>
      <c r="F211"/>
      <c r="G211"/>
      <c r="I211" s="332"/>
      <c r="J211" s="168"/>
      <c r="K211" s="168"/>
      <c r="P211"/>
      <c r="Q211"/>
      <c r="Z211" s="513"/>
      <c r="AA211" s="513"/>
    </row>
    <row r="212" spans="1:27" s="167" customFormat="1">
      <c r="A212" s="163"/>
      <c r="B212" s="170" t="s">
        <v>147</v>
      </c>
      <c r="C212" s="558">
        <f>C208-C211</f>
        <v>-7.0000001229345798E-2</v>
      </c>
      <c r="D212" s="229"/>
      <c r="E212" s="165"/>
      <c r="F212"/>
      <c r="G212"/>
      <c r="I212" s="332"/>
      <c r="J212" s="168"/>
      <c r="K212" s="168"/>
      <c r="P212"/>
      <c r="Q212"/>
      <c r="Z212" s="513"/>
      <c r="AA212" s="513"/>
    </row>
    <row r="213" spans="1:2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  <c r="Z213" s="513"/>
      <c r="AA213" s="513"/>
    </row>
    <row r="214" spans="1:2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  <c r="Z214" s="513"/>
      <c r="AA214" s="513"/>
    </row>
    <row r="215" spans="1:27" s="167" customFormat="1">
      <c r="A215" s="163"/>
      <c r="B215" s="228" t="s">
        <v>78</v>
      </c>
      <c r="C215" s="558">
        <f>C21-C208</f>
        <v>322797.59000000125</v>
      </c>
      <c r="D215" s="558">
        <f>D21-D208</f>
        <v>701323.95999999973</v>
      </c>
      <c r="E215" s="171">
        <f t="shared" ref="E215:F215" si="57">E21-E208</f>
        <v>1024121.5499999993</v>
      </c>
      <c r="F215" s="171">
        <f t="shared" si="57"/>
        <v>0</v>
      </c>
      <c r="G215" s="171">
        <f>G21-G208</f>
        <v>1024121.5499999993</v>
      </c>
      <c r="I215" s="332"/>
      <c r="J215" s="168"/>
      <c r="K215" s="168"/>
      <c r="M215" s="356"/>
      <c r="N215" s="359"/>
      <c r="P215"/>
      <c r="Q215"/>
      <c r="Z215" s="513"/>
      <c r="AA215" s="513"/>
    </row>
    <row r="216" spans="1:2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  <c r="Z216" s="513"/>
      <c r="AA216" s="513"/>
    </row>
    <row r="217" spans="1:2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  <c r="Z217" s="513"/>
      <c r="AA217" s="513"/>
    </row>
    <row r="218" spans="1:2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27">
      <c r="A219" s="163"/>
      <c r="B219" s="170" t="s">
        <v>218</v>
      </c>
      <c r="C219" s="592">
        <f>'[39]Sch D'!C9</f>
        <v>9741</v>
      </c>
      <c r="D219" s="592"/>
      <c r="E219" s="235">
        <f t="shared" ref="E219:G227" si="58">C219+D219</f>
        <v>9741</v>
      </c>
      <c r="F219" s="481"/>
      <c r="G219" s="235">
        <f t="shared" si="58"/>
        <v>9741</v>
      </c>
      <c r="H219" s="172">
        <f t="shared" ref="H219:H228" si="59">IF($G$228=0,0,G219/$G$228)</f>
        <v>0.73672666767508699</v>
      </c>
      <c r="I219" s="336"/>
      <c r="J219" s="168"/>
      <c r="K219" s="168"/>
    </row>
    <row r="220" spans="1:27">
      <c r="A220" s="163"/>
      <c r="B220" s="170" t="s">
        <v>217</v>
      </c>
      <c r="C220" s="592">
        <f>'[39]Sch D'!D9</f>
        <v>0</v>
      </c>
      <c r="D220" s="592"/>
      <c r="E220" s="235">
        <f t="shared" ref="E220:E227" si="60">C220+D220</f>
        <v>0</v>
      </c>
      <c r="F220" s="481"/>
      <c r="G220" s="235">
        <f t="shared" si="58"/>
        <v>0</v>
      </c>
      <c r="H220" s="172">
        <f t="shared" si="59"/>
        <v>0</v>
      </c>
      <c r="I220" s="336"/>
      <c r="J220" s="168"/>
      <c r="K220" s="168"/>
    </row>
    <row r="221" spans="1:27">
      <c r="A221" s="163"/>
      <c r="B221" s="170" t="s">
        <v>72</v>
      </c>
      <c r="C221" s="592">
        <f>'[39]Sch D'!E9</f>
        <v>1262</v>
      </c>
      <c r="D221" s="592"/>
      <c r="E221" s="235">
        <f t="shared" si="60"/>
        <v>1262</v>
      </c>
      <c r="F221" s="481"/>
      <c r="G221" s="235">
        <f t="shared" si="58"/>
        <v>1262</v>
      </c>
      <c r="H221" s="172">
        <f t="shared" si="59"/>
        <v>9.5446982302223565E-2</v>
      </c>
      <c r="I221" s="336"/>
      <c r="J221" s="168"/>
      <c r="K221" s="168"/>
    </row>
    <row r="222" spans="1:27">
      <c r="A222" s="163"/>
      <c r="B222" s="202" t="s">
        <v>334</v>
      </c>
      <c r="C222" s="592">
        <f>'[39]Sch D'!F9</f>
        <v>0</v>
      </c>
      <c r="D222" s="592"/>
      <c r="E222" s="235">
        <f>C222+D222</f>
        <v>0</v>
      </c>
      <c r="F222" s="481"/>
      <c r="G222" s="235">
        <f>E222+F222</f>
        <v>0</v>
      </c>
      <c r="H222" s="172">
        <f t="shared" si="59"/>
        <v>0</v>
      </c>
      <c r="I222" s="336"/>
      <c r="J222" s="168"/>
      <c r="K222" s="168"/>
    </row>
    <row r="223" spans="1:27">
      <c r="A223" s="163"/>
      <c r="B223" s="170" t="s">
        <v>73</v>
      </c>
      <c r="C223" s="592">
        <f>'[39]Sch D'!G9</f>
        <v>0</v>
      </c>
      <c r="D223" s="592"/>
      <c r="E223" s="235">
        <f t="shared" si="60"/>
        <v>0</v>
      </c>
      <c r="F223" s="481"/>
      <c r="G223" s="235">
        <f t="shared" si="58"/>
        <v>0</v>
      </c>
      <c r="H223" s="172">
        <f t="shared" si="59"/>
        <v>0</v>
      </c>
      <c r="I223" s="336"/>
      <c r="J223" s="168"/>
      <c r="K223" s="168"/>
    </row>
    <row r="224" spans="1:27">
      <c r="A224" s="163"/>
      <c r="B224" s="170" t="s">
        <v>74</v>
      </c>
      <c r="C224" s="592">
        <f>'[39]Sch D'!H9</f>
        <v>1887</v>
      </c>
      <c r="D224" s="592"/>
      <c r="E224" s="235">
        <f t="shared" si="60"/>
        <v>1887</v>
      </c>
      <c r="F224" s="481"/>
      <c r="G224" s="235">
        <f t="shared" si="58"/>
        <v>1887</v>
      </c>
      <c r="H224" s="172">
        <f t="shared" si="59"/>
        <v>0.1427166843140221</v>
      </c>
      <c r="I224" s="336"/>
      <c r="J224" s="168"/>
      <c r="K224" s="168"/>
    </row>
    <row r="225" spans="1:11">
      <c r="A225" s="163"/>
      <c r="B225" s="170" t="s">
        <v>236</v>
      </c>
      <c r="C225" s="592">
        <f>'[39]Sch D'!I9</f>
        <v>332</v>
      </c>
      <c r="D225" s="592"/>
      <c r="E225" s="235">
        <f t="shared" si="60"/>
        <v>332</v>
      </c>
      <c r="F225" s="481"/>
      <c r="G225" s="235">
        <f t="shared" si="58"/>
        <v>332</v>
      </c>
      <c r="H225" s="172">
        <f t="shared" si="59"/>
        <v>2.5109665708667371E-2</v>
      </c>
      <c r="I225" s="336"/>
      <c r="J225" s="168"/>
      <c r="K225" s="168"/>
    </row>
    <row r="226" spans="1:11">
      <c r="A226" s="163"/>
      <c r="B226" s="170" t="s">
        <v>235</v>
      </c>
      <c r="C226" s="592">
        <f>'[39]Sch D'!J9</f>
        <v>0</v>
      </c>
      <c r="D226" s="592"/>
      <c r="E226" s="235">
        <f>C226+D226</f>
        <v>0</v>
      </c>
      <c r="F226" s="481"/>
      <c r="G226" s="235">
        <f>E226+F226</f>
        <v>0</v>
      </c>
      <c r="H226" s="172">
        <f t="shared" si="59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'[39]Sch D'!K9</f>
        <v>0</v>
      </c>
      <c r="D227" s="592"/>
      <c r="E227" s="235">
        <f t="shared" si="60"/>
        <v>0</v>
      </c>
      <c r="F227" s="481"/>
      <c r="G227" s="235">
        <f t="shared" si="58"/>
        <v>0</v>
      </c>
      <c r="H227" s="172">
        <f t="shared" si="59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13222</v>
      </c>
      <c r="D228" s="592">
        <f>SUM(D219:D227)</f>
        <v>0</v>
      </c>
      <c r="E228" s="237">
        <f>SUM(E219:E227)</f>
        <v>13222</v>
      </c>
      <c r="F228" s="237">
        <f>SUM(F219:F227)</f>
        <v>0</v>
      </c>
      <c r="G228" s="237">
        <f>SUM(G219:G227)</f>
        <v>13222</v>
      </c>
      <c r="H228" s="172">
        <f t="shared" si="59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'[39]Sch D'!N22</f>
        <v>46</v>
      </c>
      <c r="D231" s="559"/>
      <c r="E231" s="235">
        <f>C231+D231</f>
        <v>46</v>
      </c>
      <c r="F231" s="482"/>
      <c r="G231" s="235">
        <f>E231+F231</f>
        <v>46</v>
      </c>
      <c r="H231" s="167"/>
      <c r="J231" s="168"/>
      <c r="K231" s="168"/>
    </row>
    <row r="232" spans="1:11">
      <c r="A232" s="163"/>
      <c r="B232" s="202" t="s">
        <v>290</v>
      </c>
      <c r="C232" s="593">
        <f>'[39]Sch D'!N24</f>
        <v>46</v>
      </c>
      <c r="D232" s="559"/>
      <c r="E232" s="235">
        <f>C232+D232</f>
        <v>46</v>
      </c>
      <c r="F232" s="482"/>
      <c r="G232" s="235">
        <f>E232+F232</f>
        <v>46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'[39]Sch D'!N28</f>
        <v>16836</v>
      </c>
      <c r="D235" s="483"/>
      <c r="E235" s="234">
        <f>E231*E233</f>
        <v>16836</v>
      </c>
      <c r="F235" s="239"/>
      <c r="G235" s="234">
        <f>G231*G233</f>
        <v>16836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'[39]Sch D'!N30</f>
        <v>0.78534093608933242</v>
      </c>
      <c r="D236" s="239"/>
      <c r="E236" s="244">
        <f>E228/E235</f>
        <v>0.78534093608933242</v>
      </c>
      <c r="F236" s="245"/>
      <c r="G236" s="244">
        <f>G228/G235</f>
        <v>0.78534093608933242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'[39]Sch D'!N32</f>
        <v>0.57858161083392734</v>
      </c>
      <c r="D237" s="239"/>
      <c r="E237" s="244">
        <f>(E219+E220)/E235</f>
        <v>0.57858161083392734</v>
      </c>
      <c r="F237" s="245"/>
      <c r="G237" s="244">
        <f>(G219+G220)/G235</f>
        <v>0.57858161083392734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'[39]Sch D'!N34</f>
        <v>0.73672666767508699</v>
      </c>
      <c r="D238" s="239"/>
      <c r="E238" s="244">
        <f>(E237/E236)</f>
        <v>0.73672666767508699</v>
      </c>
      <c r="F238" s="245"/>
      <c r="G238" s="244">
        <f>(G237/G236)</f>
        <v>0.73672666767508699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'[39]Sch B'!C85</f>
        <v>142.28597122302159</v>
      </c>
    </row>
    <row r="242" spans="2:7">
      <c r="F242" s="142" t="s">
        <v>341</v>
      </c>
      <c r="G242" s="558">
        <f>'[39]Sch B'!E85</f>
        <v>217.58</v>
      </c>
    </row>
    <row r="243" spans="2:7">
      <c r="F243" s="142" t="s">
        <v>342</v>
      </c>
      <c r="G243" s="558">
        <f>'[39]Sch B'!G85</f>
        <v>183.22358722358723</v>
      </c>
    </row>
    <row r="244" spans="2:7">
      <c r="F244" s="142" t="s">
        <v>343</v>
      </c>
      <c r="G244" s="558">
        <f>'[39]Sch B'!I85</f>
        <v>172.45518867924528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379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'[40]Sch B'!E10</f>
        <v>2709729.23</v>
      </c>
      <c r="D11" s="558">
        <f>'[40]Sch B'!G10</f>
        <v>0</v>
      </c>
      <c r="E11" s="171">
        <f>C11+D11</f>
        <v>2709729.23</v>
      </c>
      <c r="F11" s="171"/>
      <c r="G11" s="171">
        <f t="shared" ref="G11:G20" si="0">E11+F11</f>
        <v>2709729.23</v>
      </c>
      <c r="H11" s="172">
        <f t="shared" ref="H11:H21" si="1">IF($G$21=0,0,G11/$G$21)</f>
        <v>0.78116310682983137</v>
      </c>
      <c r="I11" s="336"/>
      <c r="J11" s="368" t="s">
        <v>344</v>
      </c>
      <c r="K11" s="369">
        <f>G21</f>
        <v>3468839.23</v>
      </c>
      <c r="M11" s="359">
        <f>IFERROR(G11/G219,0)</f>
        <v>161.92955838412811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'[40]Sch B'!E15</f>
        <v>0</v>
      </c>
      <c r="D12" s="558">
        <f>'[40]Sch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2668559.96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'[40]Sch B'!E21</f>
        <v>167078</v>
      </c>
      <c r="D13" s="558">
        <f>'[40]Sch B'!G21</f>
        <v>0</v>
      </c>
      <c r="E13" s="171">
        <f t="shared" si="2"/>
        <v>167078</v>
      </c>
      <c r="F13" s="171"/>
      <c r="G13" s="171">
        <f t="shared" si="0"/>
        <v>167078</v>
      </c>
      <c r="H13" s="172">
        <f t="shared" si="1"/>
        <v>4.8165391625832138E-2</v>
      </c>
      <c r="I13" s="336"/>
      <c r="J13" s="370" t="s">
        <v>346</v>
      </c>
      <c r="K13" s="371">
        <f>G228</f>
        <v>19762</v>
      </c>
      <c r="M13" s="359">
        <f t="shared" si="3"/>
        <v>525.40251572327043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'[40]Sch B'!E27</f>
        <v>17136</v>
      </c>
      <c r="D14" s="558">
        <f>'[40]Sch B'!G27</f>
        <v>0</v>
      </c>
      <c r="E14" s="171">
        <f t="shared" si="2"/>
        <v>17136</v>
      </c>
      <c r="F14" s="175"/>
      <c r="G14" s="175">
        <f>E14+F14</f>
        <v>17136</v>
      </c>
      <c r="H14" s="176">
        <f t="shared" si="1"/>
        <v>4.939981032214053E-3</v>
      </c>
      <c r="I14" s="337"/>
      <c r="J14" s="370" t="s">
        <v>347</v>
      </c>
      <c r="K14" s="371">
        <f>G231</f>
        <v>155</v>
      </c>
      <c r="M14" s="359">
        <f t="shared" si="3"/>
        <v>306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'[40]Sch B'!E32</f>
        <v>0</v>
      </c>
      <c r="D15" s="558">
        <f>'[40]Sch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56730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'[40]Sch B'!E37</f>
        <v>355893</v>
      </c>
      <c r="D16" s="558">
        <f>'[40]Sch B'!G37</f>
        <v>0</v>
      </c>
      <c r="E16" s="171">
        <f t="shared" si="2"/>
        <v>355893</v>
      </c>
      <c r="F16" s="171"/>
      <c r="G16" s="171">
        <f t="shared" si="0"/>
        <v>355893</v>
      </c>
      <c r="H16" s="172">
        <f t="shared" si="1"/>
        <v>0.10259714457853385</v>
      </c>
      <c r="I16" s="336"/>
      <c r="J16" s="372"/>
      <c r="K16" s="371"/>
      <c r="M16" s="359">
        <f t="shared" si="3"/>
        <v>191.64943457189014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'[40]Sch B'!E42</f>
        <v>128678</v>
      </c>
      <c r="D17" s="558">
        <f>'[40]Sch B'!G42</f>
        <v>0</v>
      </c>
      <c r="E17" s="171">
        <f t="shared" si="2"/>
        <v>128678</v>
      </c>
      <c r="F17" s="171"/>
      <c r="G17" s="171">
        <f>E17+F17</f>
        <v>128678</v>
      </c>
      <c r="H17" s="172">
        <f t="shared" si="1"/>
        <v>3.7095406119470112E-2</v>
      </c>
      <c r="I17" s="336"/>
      <c r="J17" s="370" t="s">
        <v>156</v>
      </c>
      <c r="K17" s="371">
        <f>J208</f>
        <v>94711</v>
      </c>
      <c r="M17" s="359">
        <f t="shared" si="3"/>
        <v>161.45294855708909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'[40]Sch B'!E47</f>
        <v>0</v>
      </c>
      <c r="D18" s="558">
        <f>'[40]Sch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96695.83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'[40]Sch B'!E52</f>
        <v>0</v>
      </c>
      <c r="D19" s="558">
        <f>'[40]Sch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'[40]Sch B'!E67</f>
        <v>90325</v>
      </c>
      <c r="D20" s="558">
        <f>'[40]Sch B'!G67</f>
        <v>0</v>
      </c>
      <c r="E20" s="171">
        <f t="shared" si="2"/>
        <v>90325</v>
      </c>
      <c r="F20" s="171"/>
      <c r="G20" s="171">
        <f t="shared" si="0"/>
        <v>90325</v>
      </c>
      <c r="H20" s="172">
        <f t="shared" si="1"/>
        <v>2.6038969814118483E-2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3468839.23</v>
      </c>
      <c r="D21" s="558">
        <f>SUM(D11:D20)</f>
        <v>0</v>
      </c>
      <c r="E21" s="171">
        <f>SUM(E11:E20)</f>
        <v>3468839.23</v>
      </c>
      <c r="F21" s="171">
        <f>SUM(F11:F20)</f>
        <v>0</v>
      </c>
      <c r="G21" s="171">
        <f>SUM(G11:G20)</f>
        <v>3468839.23</v>
      </c>
      <c r="H21" s="172">
        <f t="shared" si="1"/>
        <v>1</v>
      </c>
      <c r="I21" s="336"/>
      <c r="J21" s="168"/>
      <c r="K21" s="168"/>
      <c r="M21" s="359">
        <f>IFERROR(G21/G228,0)</f>
        <v>175.53077775528791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'[40]Sch C'!D10</f>
        <v>60942</v>
      </c>
      <c r="D25" s="558">
        <f>'[40]Sch C'!F10</f>
        <v>0</v>
      </c>
      <c r="E25" s="171">
        <f t="shared" ref="E25:E60" si="4">C25+D25</f>
        <v>60942</v>
      </c>
      <c r="F25" s="171"/>
      <c r="G25" s="182">
        <f>E25+F25</f>
        <v>60942</v>
      </c>
      <c r="H25" s="172">
        <v>0.01</v>
      </c>
      <c r="I25" s="336"/>
      <c r="J25" s="183">
        <v>2080</v>
      </c>
      <c r="K25" s="183">
        <v>2080</v>
      </c>
      <c r="M25" s="359">
        <f>G25/G$228</f>
        <v>3.083797186519583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'[40]Sch C'!D11</f>
        <v>0</v>
      </c>
      <c r="D26" s="558">
        <f>'[40]Sch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'[40]Sch C'!D12</f>
        <v>99791</v>
      </c>
      <c r="D27" s="558">
        <f>'[40]Sch C'!F12</f>
        <v>0</v>
      </c>
      <c r="E27" s="171">
        <f t="shared" si="4"/>
        <v>99791</v>
      </c>
      <c r="F27" s="171"/>
      <c r="G27" s="171">
        <f t="shared" si="5"/>
        <v>99791</v>
      </c>
      <c r="H27" s="172">
        <f t="shared" si="6"/>
        <v>3.7395075057635202E-2</v>
      </c>
      <c r="I27" s="336"/>
      <c r="J27" s="185">
        <v>5685</v>
      </c>
      <c r="K27" s="185">
        <v>5826</v>
      </c>
      <c r="M27" s="359">
        <f t="shared" si="7"/>
        <v>5.0496407246230142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'[40]Sch C'!D13</f>
        <v>25705</v>
      </c>
      <c r="D28" s="558">
        <f>'[40]Sch C'!F13</f>
        <v>0</v>
      </c>
      <c r="E28" s="171">
        <f t="shared" si="4"/>
        <v>25705</v>
      </c>
      <c r="F28" s="171"/>
      <c r="G28" s="171">
        <f t="shared" si="5"/>
        <v>25705</v>
      </c>
      <c r="H28" s="172">
        <f t="shared" si="6"/>
        <v>9.6325360438968746E-3</v>
      </c>
      <c r="I28" s="336"/>
      <c r="J28" s="168"/>
      <c r="K28" s="168"/>
      <c r="M28" s="359">
        <f t="shared" si="7"/>
        <v>1.3007286711871269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'[40]Sch C'!D14</f>
        <v>0</v>
      </c>
      <c r="D29" s="558">
        <f>'[40]Sch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'[40]Sch C'!D15</f>
        <v>0</v>
      </c>
      <c r="D30" s="558">
        <f>'[40]Sch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'[40]Sch C'!D16</f>
        <v>0</v>
      </c>
      <c r="D31" s="558">
        <f>'[40]Sch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'[40]Sch C'!D17</f>
        <v>44755</v>
      </c>
      <c r="D32" s="558">
        <f>'[40]Sch C'!F17</f>
        <v>0</v>
      </c>
      <c r="E32" s="171">
        <f t="shared" si="4"/>
        <v>44755</v>
      </c>
      <c r="F32" s="171"/>
      <c r="G32" s="171">
        <f t="shared" si="5"/>
        <v>44755</v>
      </c>
      <c r="H32" s="172">
        <f t="shared" si="6"/>
        <v>1.6771217687010488E-2</v>
      </c>
      <c r="I32" s="336"/>
      <c r="J32" s="168"/>
      <c r="K32" s="168"/>
      <c r="M32" s="359">
        <f t="shared" si="7"/>
        <v>2.2646999291569681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'[40]Sch C'!D18</f>
        <v>8610.7800000000007</v>
      </c>
      <c r="D33" s="558">
        <f>'[40]Sch C'!F18</f>
        <v>0</v>
      </c>
      <c r="E33" s="171">
        <f t="shared" si="4"/>
        <v>8610.7800000000007</v>
      </c>
      <c r="F33" s="171"/>
      <c r="G33" s="171">
        <f t="shared" si="5"/>
        <v>8610.7800000000007</v>
      </c>
      <c r="H33" s="172">
        <f t="shared" si="6"/>
        <v>3.2267515547973677E-3</v>
      </c>
      <c r="I33" s="336"/>
      <c r="J33" s="168"/>
      <c r="K33" s="168"/>
      <c r="M33" s="359">
        <f t="shared" si="7"/>
        <v>0.43572411699220731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'[40]Sch C'!D19</f>
        <v>9396</v>
      </c>
      <c r="D34" s="558">
        <f>'[40]Sch C'!F19</f>
        <v>0</v>
      </c>
      <c r="E34" s="171">
        <f t="shared" si="4"/>
        <v>9396</v>
      </c>
      <c r="F34" s="171"/>
      <c r="G34" s="171">
        <f t="shared" si="5"/>
        <v>9396</v>
      </c>
      <c r="H34" s="172">
        <f t="shared" si="6"/>
        <v>3.5210001427136753E-3</v>
      </c>
      <c r="I34" s="336"/>
      <c r="J34" s="168"/>
      <c r="K34" s="168"/>
      <c r="M34" s="359">
        <f t="shared" si="7"/>
        <v>0.4754579496002429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'[40]Sch C'!D20</f>
        <v>26803</v>
      </c>
      <c r="D35" s="558">
        <f>'[40]Sch C'!F20</f>
        <v>0</v>
      </c>
      <c r="E35" s="171">
        <f t="shared" si="4"/>
        <v>26803</v>
      </c>
      <c r="F35" s="171"/>
      <c r="G35" s="171">
        <f t="shared" si="5"/>
        <v>26803</v>
      </c>
      <c r="H35" s="172">
        <f t="shared" si="6"/>
        <v>1.0043993914980273E-2</v>
      </c>
      <c r="I35" s="336"/>
      <c r="J35" s="168"/>
      <c r="K35" s="168"/>
      <c r="M35" s="359">
        <f t="shared" si="7"/>
        <v>1.356289849205546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'[40]Sch C'!D21</f>
        <v>8461</v>
      </c>
      <c r="D36" s="558">
        <f>'[40]Sch C'!F21</f>
        <v>0</v>
      </c>
      <c r="E36" s="171">
        <f t="shared" si="4"/>
        <v>8461</v>
      </c>
      <c r="F36" s="171"/>
      <c r="G36" s="171">
        <f t="shared" si="5"/>
        <v>8461</v>
      </c>
      <c r="H36" s="172">
        <f t="shared" si="6"/>
        <v>3.1706239045871019E-3</v>
      </c>
      <c r="I36" s="336"/>
      <c r="J36" s="168"/>
      <c r="K36" s="168"/>
      <c r="M36" s="359">
        <f t="shared" si="7"/>
        <v>0.42814492460277298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'[40]Sch C'!D22</f>
        <v>0</v>
      </c>
      <c r="D37" s="558">
        <f>'[40]Sch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'[40]Sch C'!D23</f>
        <v>2634</v>
      </c>
      <c r="D38" s="558">
        <f>'[40]Sch C'!F23</f>
        <v>0</v>
      </c>
      <c r="E38" s="171">
        <f t="shared" si="4"/>
        <v>2634</v>
      </c>
      <c r="F38" s="171"/>
      <c r="G38" s="171">
        <f t="shared" si="5"/>
        <v>2634</v>
      </c>
      <c r="H38" s="172">
        <f t="shared" si="6"/>
        <v>9.8704920986673276E-4</v>
      </c>
      <c r="I38" s="336"/>
      <c r="J38" s="168"/>
      <c r="K38" s="168"/>
      <c r="M38" s="359">
        <f t="shared" si="7"/>
        <v>0.13328610464527882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'[40]Sch C'!D24</f>
        <v>7167</v>
      </c>
      <c r="D39" s="558">
        <f>'[40]Sch C'!F24</f>
        <v>0</v>
      </c>
      <c r="E39" s="171">
        <f t="shared" si="4"/>
        <v>7167</v>
      </c>
      <c r="F39" s="171"/>
      <c r="G39" s="171">
        <f t="shared" si="5"/>
        <v>7167</v>
      </c>
      <c r="H39" s="172">
        <f t="shared" si="6"/>
        <v>2.6857181803777047E-3</v>
      </c>
      <c r="I39" s="336"/>
      <c r="J39" s="168"/>
      <c r="K39" s="168"/>
      <c r="M39" s="359">
        <f t="shared" si="7"/>
        <v>0.3626657220929056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'[40]Sch C'!D25</f>
        <v>0</v>
      </c>
      <c r="D40" s="558">
        <f>'[40]Sch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'[40]Sch C'!D26</f>
        <v>360060</v>
      </c>
      <c r="D41" s="558">
        <f>'[40]Sch C'!F26</f>
        <v>0</v>
      </c>
      <c r="E41" s="171">
        <f t="shared" si="4"/>
        <v>360060</v>
      </c>
      <c r="F41" s="171"/>
      <c r="G41" s="171">
        <f t="shared" si="5"/>
        <v>360060</v>
      </c>
      <c r="H41" s="172">
        <f t="shared" si="6"/>
        <v>0.13492670406401511</v>
      </c>
      <c r="I41" s="336"/>
      <c r="J41" s="168"/>
      <c r="K41" s="168"/>
      <c r="M41" s="359">
        <f t="shared" si="7"/>
        <v>18.219815808116586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'[40]Sch C'!D27</f>
        <v>0</v>
      </c>
      <c r="D42" s="558">
        <f>'[40]Sch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'[40]Sch C'!D28</f>
        <v>208796</v>
      </c>
      <c r="D43" s="558">
        <f>'[40]Sch C'!F28</f>
        <v>-208796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'[40]Sch C'!D29</f>
        <v>0</v>
      </c>
      <c r="D44" s="558">
        <f>'[40]Sch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'[40]Sch C'!D30</f>
        <v>100</v>
      </c>
      <c r="D45" s="558">
        <f>'[40]Sch C'!F30</f>
        <v>-100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'[40]Sch C'!D31</f>
        <v>23572</v>
      </c>
      <c r="D46" s="558">
        <f>'[40]Sch C'!F31</f>
        <v>0</v>
      </c>
      <c r="E46" s="171">
        <f t="shared" si="4"/>
        <v>23572</v>
      </c>
      <c r="F46" s="171"/>
      <c r="G46" s="171">
        <f t="shared" si="5"/>
        <v>23572</v>
      </c>
      <c r="H46" s="172">
        <f t="shared" si="6"/>
        <v>8.8332285402348623E-3</v>
      </c>
      <c r="I46" s="336"/>
      <c r="J46" s="168"/>
      <c r="K46" s="168"/>
      <c r="M46" s="359">
        <f t="shared" si="7"/>
        <v>1.1927942515939682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'[40]Sch C'!D32</f>
        <v>36333</v>
      </c>
      <c r="D47" s="558">
        <f>'[40]Sch C'!F32</f>
        <v>0</v>
      </c>
      <c r="E47" s="171">
        <f t="shared" si="4"/>
        <v>36333</v>
      </c>
      <c r="F47" s="171"/>
      <c r="G47" s="171">
        <f t="shared" si="5"/>
        <v>36333</v>
      </c>
      <c r="H47" s="172">
        <f t="shared" si="6"/>
        <v>1.3615208406259682E-2</v>
      </c>
      <c r="I47" s="336"/>
      <c r="J47" s="168"/>
      <c r="K47" s="168"/>
      <c r="M47" s="359">
        <f t="shared" si="7"/>
        <v>1.8385284890193301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'[40]Sch C'!D33</f>
        <v>15210</v>
      </c>
      <c r="D48" s="558">
        <f>'[40]Sch C'!F33</f>
        <v>-15210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'[40]Sch C'!D34</f>
        <v>0</v>
      </c>
      <c r="D49" s="558">
        <f>'[40]Sch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'[40]Sch C'!D35</f>
        <v>0</v>
      </c>
      <c r="D50" s="558">
        <f>'[40]Sch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'[40]Sch C'!D36</f>
        <v>0</v>
      </c>
      <c r="D51" s="558">
        <f>'[40]Sch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'[40]Sch C'!D37</f>
        <v>0</v>
      </c>
      <c r="D52" s="558">
        <f>'[40]Sch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'[40]Sch C'!D38</f>
        <v>0</v>
      </c>
      <c r="D53" s="558">
        <f>'[40]Sch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'[40]Sch C'!D39</f>
        <v>0</v>
      </c>
      <c r="D54" s="558">
        <f>'[40]Sch C'!F39</f>
        <v>0</v>
      </c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6"/>
      <c r="J54" s="168"/>
      <c r="K54" s="168"/>
      <c r="M54" s="359">
        <f t="shared" si="7"/>
        <v>0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'[40]Sch C'!D40</f>
        <v>625.79999999999995</v>
      </c>
      <c r="D55" s="558">
        <f>'[40]Sch C'!F40</f>
        <v>0</v>
      </c>
      <c r="E55" s="171">
        <f t="shared" si="4"/>
        <v>625.79999999999995</v>
      </c>
      <c r="F55" s="171"/>
      <c r="G55" s="171">
        <f t="shared" si="5"/>
        <v>625.79999999999995</v>
      </c>
      <c r="H55" s="172">
        <f t="shared" si="6"/>
        <v>2.345085024808661E-4</v>
      </c>
      <c r="I55" s="336"/>
      <c r="J55" s="168"/>
      <c r="K55" s="168"/>
      <c r="M55" s="359">
        <f t="shared" si="7"/>
        <v>3.1666835340552577E-2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'[40]Sch C'!D41</f>
        <v>4181</v>
      </c>
      <c r="D56" s="558">
        <f>'[40]Sch C'!F41</f>
        <v>0</v>
      </c>
      <c r="E56" s="171">
        <f t="shared" si="4"/>
        <v>4181</v>
      </c>
      <c r="F56" s="171"/>
      <c r="G56" s="171">
        <f t="shared" si="5"/>
        <v>4181</v>
      </c>
      <c r="H56" s="172">
        <f t="shared" si="6"/>
        <v>1.5667626220397912E-3</v>
      </c>
      <c r="I56" s="336"/>
      <c r="J56" s="168"/>
      <c r="K56" s="168"/>
      <c r="M56" s="359">
        <f t="shared" si="7"/>
        <v>0.2115676550956381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'[40]Sch C'!D42</f>
        <v>0</v>
      </c>
      <c r="D57" s="558">
        <f>'[40]Sch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'[40]Sch C'!D43</f>
        <v>0</v>
      </c>
      <c r="D58" s="558">
        <f>'[40]Sch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'[40]Sch C'!D44</f>
        <v>0</v>
      </c>
      <c r="D59" s="558">
        <f>'[40]Sch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'[40]Sch C'!D45</f>
        <v>7</v>
      </c>
      <c r="D60" s="558">
        <f>'[40]Sch C'!F45</f>
        <v>0</v>
      </c>
      <c r="E60" s="171">
        <f t="shared" si="4"/>
        <v>7</v>
      </c>
      <c r="F60" s="171"/>
      <c r="G60" s="171">
        <f t="shared" si="5"/>
        <v>7</v>
      </c>
      <c r="H60" s="172">
        <f t="shared" si="6"/>
        <v>2.6231376116427977E-6</v>
      </c>
      <c r="I60" s="336"/>
      <c r="J60" s="168"/>
      <c r="K60" s="168"/>
      <c r="M60" s="359">
        <f t="shared" si="7"/>
        <v>3.5421516040886551E-4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943149.58000000007</v>
      </c>
      <c r="D61" s="558">
        <f>SUM(D25:D60)</f>
        <v>-224106</v>
      </c>
      <c r="E61" s="171">
        <f t="shared" ref="E61:F61" si="8">SUM(E25:E60)</f>
        <v>719043.58000000007</v>
      </c>
      <c r="F61" s="171">
        <f t="shared" si="8"/>
        <v>0</v>
      </c>
      <c r="G61" s="171">
        <f>SUM(G25:G60)</f>
        <v>719043.58000000007</v>
      </c>
      <c r="H61" s="186">
        <f t="shared" si="6"/>
        <v>0.2694500370154696</v>
      </c>
      <c r="I61" s="338"/>
      <c r="J61" s="168"/>
      <c r="K61" s="168"/>
      <c r="M61" s="364">
        <f>G61/G$228</f>
        <v>36.385162432952136</v>
      </c>
      <c r="N61" s="359">
        <f>SUMMARY!J64</f>
        <v>53.728790309602623</v>
      </c>
      <c r="O61" s="354">
        <f>M61/N61-1</f>
        <v>-0.32279952287611369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'[40]Sch C'!D57</f>
        <v>300000</v>
      </c>
      <c r="D64" s="558">
        <f>'[40]Sch C'!F57</f>
        <v>-300000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'[40]Sch C'!D58</f>
        <v>20304.54</v>
      </c>
      <c r="D65" s="558">
        <f>'[40]Sch C'!F58</f>
        <v>0</v>
      </c>
      <c r="E65" s="171">
        <f t="shared" si="9"/>
        <v>20304.54</v>
      </c>
      <c r="F65" s="171"/>
      <c r="G65" s="171">
        <f t="shared" si="10"/>
        <v>20304.54</v>
      </c>
      <c r="H65" s="172">
        <f t="shared" si="11"/>
        <v>7.6088003658722368E-3</v>
      </c>
      <c r="I65" s="336"/>
      <c r="J65" s="190"/>
      <c r="K65" s="168"/>
      <c r="M65" s="359">
        <f t="shared" si="12"/>
        <v>1.0274536990183181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'[40]Sch C'!D59</f>
        <v>0</v>
      </c>
      <c r="D66" s="558">
        <f>'[40]Sch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'[40]Sch C'!D60</f>
        <v>27528</v>
      </c>
      <c r="D67" s="558">
        <f>'[40]Sch C'!F60</f>
        <v>0</v>
      </c>
      <c r="E67" s="171">
        <f t="shared" si="9"/>
        <v>27528</v>
      </c>
      <c r="F67" s="171"/>
      <c r="G67" s="171">
        <f t="shared" si="10"/>
        <v>27528</v>
      </c>
      <c r="H67" s="172">
        <f t="shared" si="11"/>
        <v>1.0315676024757563E-2</v>
      </c>
      <c r="I67" s="336"/>
      <c r="J67" s="193"/>
      <c r="K67" s="168"/>
      <c r="M67" s="359">
        <f t="shared" si="12"/>
        <v>1.3929764193907499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'[40]Sch C'!D61</f>
        <v>0</v>
      </c>
      <c r="D68" s="558">
        <f>'[40]Sch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'[40]Sch C'!D62</f>
        <v>31885</v>
      </c>
      <c r="D69" s="558">
        <f>'[40]Sch C'!F62</f>
        <v>0</v>
      </c>
      <c r="E69" s="171">
        <f t="shared" si="9"/>
        <v>31885</v>
      </c>
      <c r="F69" s="171"/>
      <c r="G69" s="171">
        <f t="shared" si="10"/>
        <v>31885</v>
      </c>
      <c r="H69" s="172">
        <f t="shared" si="11"/>
        <v>1.1948391821032944E-2</v>
      </c>
      <c r="I69" s="336"/>
      <c r="J69" s="195"/>
      <c r="K69" s="168"/>
      <c r="M69" s="359">
        <f t="shared" si="12"/>
        <v>1.6134500556623823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'[40]Sch C'!D63</f>
        <v>0</v>
      </c>
      <c r="D70" s="558">
        <f>'[40]Sch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'[40]Sch C'!D64</f>
        <v>0</v>
      </c>
      <c r="D71" s="558">
        <f>'[40]Sch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'[40]Sch C'!D65</f>
        <v>4176</v>
      </c>
      <c r="D72" s="558">
        <f>'[40]Sch C'!F65</f>
        <v>0</v>
      </c>
      <c r="E72" s="171">
        <f t="shared" si="9"/>
        <v>4176</v>
      </c>
      <c r="F72" s="171"/>
      <c r="G72" s="171">
        <f t="shared" si="10"/>
        <v>4176</v>
      </c>
      <c r="H72" s="172">
        <f t="shared" si="11"/>
        <v>1.564888952317189E-3</v>
      </c>
      <c r="I72" s="336"/>
      <c r="J72" s="195"/>
      <c r="K72" s="168"/>
      <c r="M72" s="359">
        <f t="shared" si="12"/>
        <v>0.21131464426677463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'[40]Sch C'!D66</f>
        <v>0</v>
      </c>
      <c r="D73" s="558">
        <f>'[40]Sch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'[40]Sch C'!D67</f>
        <v>63422.5</v>
      </c>
      <c r="D74" s="558">
        <f>'[40]Sch C'!F67</f>
        <v>0</v>
      </c>
      <c r="E74" s="171">
        <f t="shared" si="9"/>
        <v>63422.5</v>
      </c>
      <c r="F74" s="171"/>
      <c r="G74" s="171">
        <f t="shared" si="10"/>
        <v>63422.5</v>
      </c>
      <c r="H74" s="172">
        <f t="shared" si="11"/>
        <v>2.3766563596345051E-2</v>
      </c>
      <c r="I74" s="336"/>
      <c r="J74" s="195"/>
      <c r="K74" s="168"/>
      <c r="M74" s="359">
        <f t="shared" si="12"/>
        <v>3.2093158587187531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'[40]Sch C'!D68</f>
        <v>0</v>
      </c>
      <c r="D75" s="558">
        <f>'[40]Sch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'[40]Sch C'!D69</f>
        <v>0</v>
      </c>
      <c r="D76" s="558">
        <f>'[40]Sch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'[40]Sch C'!D70</f>
        <v>0</v>
      </c>
      <c r="D77" s="558">
        <f>'[40]Sch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'[40]Sch C'!D71</f>
        <v>0</v>
      </c>
      <c r="D78" s="558">
        <f>'[40]Sch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447316.04</v>
      </c>
      <c r="D79" s="558">
        <f>SUM(D64:D78)</f>
        <v>-300000</v>
      </c>
      <c r="E79" s="171">
        <f t="shared" ref="E79:F79" si="13">SUM(E64:E78)</f>
        <v>147316.04</v>
      </c>
      <c r="F79" s="171">
        <f t="shared" si="13"/>
        <v>0</v>
      </c>
      <c r="G79" s="171">
        <f>SUM(G64:G78)</f>
        <v>147316.04</v>
      </c>
      <c r="H79" s="172">
        <f t="shared" si="11"/>
        <v>5.5204320760324985E-2</v>
      </c>
      <c r="I79" s="336"/>
      <c r="J79" s="195"/>
      <c r="K79" s="168"/>
      <c r="M79" s="359">
        <f t="shared" si="12"/>
        <v>7.4545106770569785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'[40]Sch C'!D75</f>
        <v>38331.58</v>
      </c>
      <c r="D82" s="558">
        <f>'[40]Sch C'!F75</f>
        <v>0</v>
      </c>
      <c r="E82" s="171">
        <f t="shared" ref="E82:E92" si="14">C82+D82</f>
        <v>38331.58</v>
      </c>
      <c r="F82" s="171"/>
      <c r="G82" s="171">
        <f t="shared" ref="G82:G92" si="15">E82+F82</f>
        <v>38331.58</v>
      </c>
      <c r="H82" s="172">
        <f t="shared" ref="H82:H93" si="16">IF($G$208=0,0,G82/$G$208)</f>
        <v>1.4364144173099263E-2</v>
      </c>
      <c r="I82" s="336"/>
      <c r="J82" s="183">
        <v>3302</v>
      </c>
      <c r="K82" s="183">
        <v>3357.83</v>
      </c>
      <c r="M82" s="359">
        <f t="shared" ref="M82:M92" si="17">G82/G$228</f>
        <v>1.9396609654893231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'[40]Sch C'!D76</f>
        <v>3216.65</v>
      </c>
      <c r="D83" s="558">
        <f>'[40]Sch C'!F76</f>
        <v>0</v>
      </c>
      <c r="E83" s="171">
        <f t="shared" si="14"/>
        <v>3216.65</v>
      </c>
      <c r="F83" s="171"/>
      <c r="G83" s="171">
        <f t="shared" si="15"/>
        <v>3216.65</v>
      </c>
      <c r="H83" s="172">
        <f t="shared" si="16"/>
        <v>1.2053879426415436E-3</v>
      </c>
      <c r="I83" s="336"/>
      <c r="J83" s="168"/>
      <c r="K83" s="168"/>
      <c r="M83" s="359">
        <f t="shared" si="17"/>
        <v>0.16276945653273961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'[40]Sch C'!D77</f>
        <v>1872</v>
      </c>
      <c r="D84" s="558">
        <f>'[40]Sch C'!F77</f>
        <v>0</v>
      </c>
      <c r="E84" s="171">
        <f t="shared" si="14"/>
        <v>1872</v>
      </c>
      <c r="F84" s="171"/>
      <c r="G84" s="171">
        <f t="shared" si="15"/>
        <v>1872</v>
      </c>
      <c r="H84" s="172">
        <f t="shared" si="16"/>
        <v>7.0150194414218825E-4</v>
      </c>
      <c r="I84" s="336"/>
      <c r="J84" s="168"/>
      <c r="K84" s="168"/>
      <c r="M84" s="359">
        <f t="shared" si="17"/>
        <v>9.4727254326485169E-2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'[40]Sch C'!D78</f>
        <v>1077</v>
      </c>
      <c r="D85" s="558">
        <f>'[40]Sch C'!F78</f>
        <v>0</v>
      </c>
      <c r="E85" s="171">
        <f t="shared" si="14"/>
        <v>1077</v>
      </c>
      <c r="F85" s="171"/>
      <c r="G85" s="171">
        <f t="shared" si="15"/>
        <v>1077</v>
      </c>
      <c r="H85" s="172">
        <f t="shared" si="16"/>
        <v>4.0358845824847045E-4</v>
      </c>
      <c r="I85" s="336"/>
      <c r="J85" s="168"/>
      <c r="K85" s="168"/>
      <c r="M85" s="359">
        <f t="shared" si="17"/>
        <v>5.4498532537192591E-2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'[40]Sch C'!D79</f>
        <v>0</v>
      </c>
      <c r="D86" s="558">
        <f>'[40]Sch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'[40]Sch C'!D80</f>
        <v>23449</v>
      </c>
      <c r="D87" s="558">
        <f>'[40]Sch C'!F80</f>
        <v>0</v>
      </c>
      <c r="E87" s="171">
        <f t="shared" si="14"/>
        <v>23449</v>
      </c>
      <c r="F87" s="171"/>
      <c r="G87" s="171">
        <f t="shared" si="15"/>
        <v>23449</v>
      </c>
      <c r="H87" s="172">
        <f t="shared" si="16"/>
        <v>8.7871362650588525E-3</v>
      </c>
      <c r="I87" s="336"/>
      <c r="J87" s="168"/>
      <c r="K87" s="168"/>
      <c r="M87" s="359">
        <f t="shared" si="17"/>
        <v>1.1865701852039268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'[40]Sch C'!D81</f>
        <v>25487</v>
      </c>
      <c r="D88" s="558">
        <f>'[40]Sch C'!F81</f>
        <v>0</v>
      </c>
      <c r="E88" s="171">
        <f t="shared" si="14"/>
        <v>25487</v>
      </c>
      <c r="F88" s="171"/>
      <c r="G88" s="171">
        <f t="shared" si="15"/>
        <v>25487</v>
      </c>
      <c r="H88" s="172">
        <f t="shared" si="16"/>
        <v>9.5508440439914261E-3</v>
      </c>
      <c r="I88" s="336"/>
      <c r="J88" s="168"/>
      <c r="K88" s="168"/>
      <c r="M88" s="359">
        <f t="shared" si="17"/>
        <v>1.2896973990486793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'[40]Sch C'!D82</f>
        <v>11532</v>
      </c>
      <c r="D89" s="558">
        <f>'[40]Sch C'!F82</f>
        <v>0</v>
      </c>
      <c r="E89" s="171">
        <f t="shared" si="14"/>
        <v>11532</v>
      </c>
      <c r="F89" s="171"/>
      <c r="G89" s="171">
        <f t="shared" si="15"/>
        <v>11532</v>
      </c>
      <c r="H89" s="172">
        <f t="shared" si="16"/>
        <v>4.3214318482092491E-3</v>
      </c>
      <c r="I89" s="336"/>
      <c r="J89" s="168"/>
      <c r="K89" s="168"/>
      <c r="M89" s="359">
        <f t="shared" si="17"/>
        <v>0.58354417569071959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'[40]Sch C'!D83</f>
        <v>9184.9599999999991</v>
      </c>
      <c r="D90" s="558">
        <f>'[40]Sch C'!F83</f>
        <v>0</v>
      </c>
      <c r="E90" s="171">
        <f t="shared" si="14"/>
        <v>9184.9599999999991</v>
      </c>
      <c r="F90" s="171"/>
      <c r="G90" s="171">
        <f t="shared" si="15"/>
        <v>9184.9599999999991</v>
      </c>
      <c r="H90" s="172">
        <f t="shared" si="16"/>
        <v>3.44191629106209E-3</v>
      </c>
      <c r="I90" s="336"/>
      <c r="J90" s="168"/>
      <c r="K90" s="168"/>
      <c r="M90" s="359">
        <f t="shared" si="17"/>
        <v>0.46477886853557326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'[40]Sch C'!D84</f>
        <v>80895.570000000007</v>
      </c>
      <c r="D91" s="558">
        <f>'[40]Sch C'!F84</f>
        <v>0</v>
      </c>
      <c r="E91" s="171">
        <f t="shared" si="14"/>
        <v>80895.570000000007</v>
      </c>
      <c r="F91" s="171"/>
      <c r="G91" s="171">
        <f t="shared" si="15"/>
        <v>80895.570000000007</v>
      </c>
      <c r="H91" s="172">
        <f t="shared" si="16"/>
        <v>3.0314316040326111E-2</v>
      </c>
      <c r="I91" s="336"/>
      <c r="J91" s="168"/>
      <c r="K91" s="168"/>
      <c r="M91" s="359">
        <f t="shared" si="17"/>
        <v>4.0934910434166589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'[40]Sch C'!D85</f>
        <v>0</v>
      </c>
      <c r="D92" s="558">
        <f>'[40]Sch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195045.76000000001</v>
      </c>
      <c r="D93" s="558">
        <f>SUM(D82:D92)</f>
        <v>0</v>
      </c>
      <c r="E93" s="171">
        <f t="shared" ref="E93:F93" si="18">SUM(E82:E92)</f>
        <v>195045.76000000001</v>
      </c>
      <c r="F93" s="171">
        <f t="shared" si="18"/>
        <v>0</v>
      </c>
      <c r="G93" s="171">
        <f>SUM(G82:G92)</f>
        <v>195045.76000000001</v>
      </c>
      <c r="H93" s="172">
        <f t="shared" si="16"/>
        <v>7.3090267006779203E-2</v>
      </c>
      <c r="I93" s="336"/>
      <c r="J93" s="168"/>
      <c r="K93" s="168"/>
      <c r="M93" s="364">
        <f>G93/G$228</f>
        <v>9.8697378807812974</v>
      </c>
      <c r="N93" s="359">
        <f>SUMMARY!J96</f>
        <v>11.458724454710746</v>
      </c>
      <c r="O93" s="354">
        <f>M93/N93-1</f>
        <v>-0.13867045849734239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'[40]Sch C'!D89</f>
        <v>121621</v>
      </c>
      <c r="D96" s="558">
        <f>'[40]Sch C'!F89</f>
        <v>0</v>
      </c>
      <c r="E96" s="171">
        <f t="shared" ref="E96:E101" si="19">C96+D96</f>
        <v>121621</v>
      </c>
      <c r="F96" s="171"/>
      <c r="G96" s="171">
        <f t="shared" ref="G96:G101" si="20">E96+F96</f>
        <v>121621</v>
      </c>
      <c r="H96" s="172">
        <f t="shared" ref="H96:H102" si="21">IF($G$208=0,0,G96/$G$208)</f>
        <v>4.5575517066515532E-2</v>
      </c>
      <c r="I96" s="336"/>
      <c r="J96" s="183">
        <v>14127</v>
      </c>
      <c r="K96" s="183">
        <v>14497</v>
      </c>
      <c r="M96" s="364">
        <f t="shared" ref="M96:M101" si="22">G96/G$228</f>
        <v>6.154286003440947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'[40]Sch C'!D90</f>
        <v>10121</v>
      </c>
      <c r="D97" s="558">
        <f>'[40]Sch C'!F90</f>
        <v>0</v>
      </c>
      <c r="E97" s="171">
        <f t="shared" si="19"/>
        <v>10121</v>
      </c>
      <c r="F97" s="171"/>
      <c r="G97" s="171">
        <f t="shared" si="20"/>
        <v>10121</v>
      </c>
      <c r="H97" s="172">
        <f t="shared" si="21"/>
        <v>3.7926822524909651E-3</v>
      </c>
      <c r="I97" s="336"/>
      <c r="J97" s="168"/>
      <c r="K97" s="168"/>
      <c r="M97" s="364">
        <f t="shared" si="22"/>
        <v>0.51214451978544684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'[40]Sch C'!D91</f>
        <v>2371</v>
      </c>
      <c r="D98" s="558">
        <f>'[40]Sch C'!F91</f>
        <v>0</v>
      </c>
      <c r="E98" s="171">
        <f t="shared" si="19"/>
        <v>2371</v>
      </c>
      <c r="F98" s="171"/>
      <c r="G98" s="171">
        <f t="shared" si="20"/>
        <v>2371</v>
      </c>
      <c r="H98" s="172">
        <f t="shared" si="21"/>
        <v>8.884941824578677E-4</v>
      </c>
      <c r="I98" s="336"/>
      <c r="J98" s="168"/>
      <c r="K98" s="168"/>
      <c r="M98" s="364">
        <f t="shared" si="22"/>
        <v>0.11997773504706001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'[40]Sch C'!D92</f>
        <v>167891</v>
      </c>
      <c r="D99" s="558">
        <f>'[40]Sch C'!F92</f>
        <v>0</v>
      </c>
      <c r="E99" s="171">
        <f t="shared" si="19"/>
        <v>167891</v>
      </c>
      <c r="F99" s="171"/>
      <c r="G99" s="171">
        <f t="shared" si="20"/>
        <v>167891</v>
      </c>
      <c r="H99" s="172">
        <f t="shared" si="21"/>
        <v>6.2914456679474429E-2</v>
      </c>
      <c r="I99" s="336"/>
      <c r="J99" s="168"/>
      <c r="K99" s="168"/>
      <c r="M99" s="364">
        <f t="shared" si="22"/>
        <v>8.4956482137435483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'[40]Sch C'!D93</f>
        <v>34400.980000000003</v>
      </c>
      <c r="D100" s="558">
        <f>'[40]Sch C'!F93</f>
        <v>0</v>
      </c>
      <c r="E100" s="171">
        <f t="shared" si="19"/>
        <v>34400.980000000003</v>
      </c>
      <c r="F100" s="171"/>
      <c r="G100" s="171">
        <f t="shared" si="20"/>
        <v>34400.980000000003</v>
      </c>
      <c r="H100" s="172">
        <f t="shared" si="21"/>
        <v>1.2891214930767381E-2</v>
      </c>
      <c r="I100" s="336"/>
      <c r="J100" s="168"/>
      <c r="K100" s="168"/>
      <c r="M100" s="364">
        <f t="shared" si="22"/>
        <v>1.7407640927031678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'[40]Sch C'!D94</f>
        <v>531.44000000000005</v>
      </c>
      <c r="D101" s="558">
        <f>'[40]Sch C'!F94</f>
        <v>0</v>
      </c>
      <c r="E101" s="171">
        <f t="shared" si="19"/>
        <v>531.44000000000005</v>
      </c>
      <c r="F101" s="171"/>
      <c r="G101" s="171">
        <f t="shared" si="20"/>
        <v>531.44000000000005</v>
      </c>
      <c r="H101" s="172">
        <f t="shared" si="21"/>
        <v>1.9914860747592122E-4</v>
      </c>
      <c r="I101" s="336"/>
      <c r="J101" s="168"/>
      <c r="K101" s="168"/>
      <c r="M101" s="364">
        <f t="shared" si="22"/>
        <v>2.689201497824107E-2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336936.42</v>
      </c>
      <c r="D102" s="558">
        <f>SUM(D96:D101)</f>
        <v>0</v>
      </c>
      <c r="E102" s="171">
        <f t="shared" ref="E102:F102" si="23">SUM(E96:E101)</f>
        <v>336936.42</v>
      </c>
      <c r="F102" s="171">
        <f t="shared" si="23"/>
        <v>0</v>
      </c>
      <c r="G102" s="171">
        <f>SUM(G96:G101)</f>
        <v>336936.42</v>
      </c>
      <c r="H102" s="172">
        <f t="shared" si="21"/>
        <v>0.12626151371918209</v>
      </c>
      <c r="I102" s="336"/>
      <c r="J102" s="168"/>
      <c r="K102" s="168"/>
      <c r="M102" s="364">
        <f>G102/G$228</f>
        <v>17.049712579698411</v>
      </c>
      <c r="N102" s="359">
        <f>SUMMARY!J105</f>
        <v>19.901077037785338</v>
      </c>
      <c r="O102" s="354">
        <f>M102/N102-1</f>
        <v>-0.14327689163119972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'[40]Sch C'!D98</f>
        <v>18899.84</v>
      </c>
      <c r="D105" s="558">
        <f>'[40]Sch C'!F98</f>
        <v>0</v>
      </c>
      <c r="E105" s="171">
        <f t="shared" ref="E105:E110" si="24">C105+D105</f>
        <v>18899.84</v>
      </c>
      <c r="F105" s="171"/>
      <c r="G105" s="171">
        <f t="shared" ref="G105:G110" si="25">E105+F105</f>
        <v>18899.84</v>
      </c>
      <c r="H105" s="172">
        <f t="shared" ref="H105:H111" si="26">IF($G$208=0,0,G105/$G$208)</f>
        <v>7.082411594004431E-3</v>
      </c>
      <c r="I105" s="336"/>
      <c r="J105" s="183">
        <v>2222</v>
      </c>
      <c r="K105" s="183">
        <v>2270</v>
      </c>
      <c r="M105" s="364">
        <f t="shared" ref="M105:M110" si="27">G105/G$228</f>
        <v>0.95637283675741325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'[40]Sch C'!D99</f>
        <v>1553.68</v>
      </c>
      <c r="D106" s="558">
        <f>'[40]Sch C'!F99</f>
        <v>0</v>
      </c>
      <c r="E106" s="171">
        <f t="shared" si="24"/>
        <v>1553.68</v>
      </c>
      <c r="F106" s="171"/>
      <c r="G106" s="171">
        <f t="shared" si="25"/>
        <v>1553.68</v>
      </c>
      <c r="H106" s="172">
        <f t="shared" si="26"/>
        <v>5.8221663492245466E-4</v>
      </c>
      <c r="I106" s="336"/>
      <c r="J106" s="168"/>
      <c r="K106" s="168"/>
      <c r="M106" s="364">
        <f t="shared" si="27"/>
        <v>7.8619572917720884E-2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'[40]Sch C'!D100</f>
        <v>1445.59</v>
      </c>
      <c r="D107" s="558">
        <f>'[40]Sch C'!F100</f>
        <v>0</v>
      </c>
      <c r="E107" s="171">
        <f t="shared" si="24"/>
        <v>1445.59</v>
      </c>
      <c r="F107" s="171"/>
      <c r="G107" s="171">
        <f t="shared" si="25"/>
        <v>1445.59</v>
      </c>
      <c r="H107" s="172">
        <f t="shared" si="26"/>
        <v>5.4171164285924452E-4</v>
      </c>
      <c r="I107" s="336"/>
      <c r="J107" s="168"/>
      <c r="K107" s="168"/>
      <c r="M107" s="364">
        <f t="shared" si="27"/>
        <v>7.3149984819350269E-2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'[40]Sch C'!D101</f>
        <v>1416</v>
      </c>
      <c r="D108" s="558">
        <f>'[40]Sch C'!F101</f>
        <v>0</v>
      </c>
      <c r="E108" s="171">
        <f t="shared" si="24"/>
        <v>1416</v>
      </c>
      <c r="F108" s="171"/>
      <c r="G108" s="171">
        <f t="shared" si="25"/>
        <v>1416</v>
      </c>
      <c r="H108" s="172">
        <f t="shared" si="26"/>
        <v>5.3062326544088599E-4</v>
      </c>
      <c r="I108" s="336"/>
      <c r="J108" s="168"/>
      <c r="K108" s="168"/>
      <c r="M108" s="364">
        <f t="shared" si="27"/>
        <v>7.1652666734136228E-2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'[40]Sch C'!D102</f>
        <v>0</v>
      </c>
      <c r="D109" s="558">
        <f>'[40]Sch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'[40]Sch C'!D103</f>
        <v>0</v>
      </c>
      <c r="D110" s="558">
        <f>'[40]Sch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23315.11</v>
      </c>
      <c r="D111" s="558">
        <f>SUM(D105:D110)</f>
        <v>0</v>
      </c>
      <c r="E111" s="171">
        <f t="shared" ref="E111:F111" si="28">SUM(E105:E110)</f>
        <v>23315.11</v>
      </c>
      <c r="F111" s="171">
        <f t="shared" si="28"/>
        <v>0</v>
      </c>
      <c r="G111" s="171">
        <f>SUM(G105:G110)</f>
        <v>23315.11</v>
      </c>
      <c r="H111" s="172">
        <f t="shared" si="26"/>
        <v>8.7369631372270166E-3</v>
      </c>
      <c r="I111" s="336"/>
      <c r="J111" s="168"/>
      <c r="K111" s="168"/>
      <c r="M111" s="364">
        <f>G111/G$228</f>
        <v>1.1797950612286205</v>
      </c>
      <c r="N111" s="359">
        <f>SUMMARY!J114</f>
        <v>2.4242384372309496</v>
      </c>
      <c r="O111" s="354">
        <f>M111/N111-1</f>
        <v>-0.51333373685130412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'[40]Sch C'!D115</f>
        <v>48413</v>
      </c>
      <c r="D114" s="558">
        <f>'[40]Sch C'!F115</f>
        <v>0</v>
      </c>
      <c r="E114" s="171">
        <f t="shared" ref="E114:E118" si="29">C114+D114</f>
        <v>48413</v>
      </c>
      <c r="F114" s="171"/>
      <c r="G114" s="171">
        <f>E114+F114</f>
        <v>48413</v>
      </c>
      <c r="H114" s="172">
        <f t="shared" ref="H114:H119" si="30">IF($G$208=0,0,G114/$G$208)</f>
        <v>1.814199445606611E-2</v>
      </c>
      <c r="I114" s="336"/>
      <c r="J114" s="183">
        <v>6021</v>
      </c>
      <c r="K114" s="183">
        <v>6111</v>
      </c>
      <c r="M114" s="364">
        <f t="shared" ref="M114:M119" si="31">G114/G$228</f>
        <v>2.4498026515534863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'[40]Sch C'!D116</f>
        <v>4065</v>
      </c>
      <c r="D115" s="558">
        <f>'[40]Sch C'!F116</f>
        <v>0</v>
      </c>
      <c r="E115" s="171">
        <f t="shared" si="29"/>
        <v>4065</v>
      </c>
      <c r="F115" s="171"/>
      <c r="G115" s="171">
        <f>E115+F115</f>
        <v>4065</v>
      </c>
      <c r="H115" s="172">
        <f t="shared" si="30"/>
        <v>1.5232934844754248E-3</v>
      </c>
      <c r="I115" s="336"/>
      <c r="J115" s="168"/>
      <c r="K115" s="168"/>
      <c r="M115" s="364">
        <f t="shared" si="31"/>
        <v>0.20569780386600547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'[40]Sch C'!D117</f>
        <v>26510.58</v>
      </c>
      <c r="D116" s="558">
        <f>'[40]Sch C'!F117</f>
        <v>0</v>
      </c>
      <c r="E116" s="171">
        <f t="shared" si="29"/>
        <v>26510.58</v>
      </c>
      <c r="F116" s="171"/>
      <c r="G116" s="171">
        <f>E116+F116</f>
        <v>26510.58</v>
      </c>
      <c r="H116" s="172">
        <f t="shared" si="30"/>
        <v>9.9344142149236179E-3</v>
      </c>
      <c r="I116" s="336"/>
      <c r="J116" s="168"/>
      <c r="K116" s="168"/>
      <c r="M116" s="364">
        <f t="shared" si="31"/>
        <v>1.3414927638902947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'[40]Sch C'!D118</f>
        <v>0</v>
      </c>
      <c r="D117" s="558">
        <f>'[40]Sch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'[40]Sch C'!D119</f>
        <v>0</v>
      </c>
      <c r="D118" s="558">
        <f>'[40]Sch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78988.58</v>
      </c>
      <c r="D119" s="558">
        <f>SUM(D114:D118)</f>
        <v>0</v>
      </c>
      <c r="E119" s="171">
        <f t="shared" ref="E119:F119" si="32">SUM(E114:E118)</f>
        <v>78988.58</v>
      </c>
      <c r="F119" s="171">
        <f t="shared" si="32"/>
        <v>0</v>
      </c>
      <c r="G119" s="171">
        <f>SUM(G114:G118)</f>
        <v>78988.58</v>
      </c>
      <c r="H119" s="172">
        <f t="shared" si="30"/>
        <v>2.9599702155465153E-2</v>
      </c>
      <c r="I119" s="336"/>
      <c r="J119" s="168"/>
      <c r="K119" s="168"/>
      <c r="M119" s="364">
        <f t="shared" si="31"/>
        <v>3.9969932193097866</v>
      </c>
      <c r="N119" s="359">
        <f>SUMMARY!J122</f>
        <v>6.0247597205909562</v>
      </c>
      <c r="O119" s="354">
        <f>M119/N119-1</f>
        <v>-0.33657217803239969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'[40]Sch C'!D124</f>
        <v>0</v>
      </c>
      <c r="D123" s="558">
        <f>'[40]Sch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'[40]Sch C'!D125</f>
        <v>34832</v>
      </c>
      <c r="D124" s="558">
        <f>'[40]Sch C'!F125</f>
        <v>0</v>
      </c>
      <c r="E124" s="171">
        <f t="shared" si="33"/>
        <v>34832</v>
      </c>
      <c r="F124" s="171"/>
      <c r="G124" s="171">
        <f>E124+F124</f>
        <v>34832</v>
      </c>
      <c r="H124" s="172">
        <f>IF($G$208=0,0,G124/$G$208)</f>
        <v>1.3052732755534561E-2</v>
      </c>
      <c r="I124" s="336"/>
      <c r="J124" s="183">
        <v>1244</v>
      </c>
      <c r="K124" s="183">
        <v>1244</v>
      </c>
      <c r="M124" s="364">
        <f t="shared" si="34"/>
        <v>1.7625746381945147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'[40]Sch C'!D126</f>
        <v>0</v>
      </c>
      <c r="D125" s="558">
        <f>'[40]Sch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 t="s">
        <v>198</v>
      </c>
      <c r="K125" s="183" t="s">
        <v>198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'[40]Sch C'!D127</f>
        <v>0</v>
      </c>
      <c r="D126" s="558">
        <f>'[40]Sch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 t="s">
        <v>198</v>
      </c>
      <c r="K126" s="183" t="s">
        <v>198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'[40]Sch C'!D128</f>
        <v>19813.599999999999</v>
      </c>
      <c r="D127" s="558">
        <f>'[40]Sch C'!F128</f>
        <v>0</v>
      </c>
      <c r="E127" s="171">
        <f t="shared" si="33"/>
        <v>19813.599999999999</v>
      </c>
      <c r="F127" s="171"/>
      <c r="G127" s="171">
        <f>E127+F127</f>
        <v>19813.599999999999</v>
      </c>
      <c r="H127" s="172">
        <f>IF($G$208=0,0,G127/$G$208)</f>
        <v>7.4248284831493908E-3</v>
      </c>
      <c r="I127" s="336"/>
      <c r="J127" s="183">
        <v>2053</v>
      </c>
      <c r="K127" s="183">
        <v>2123</v>
      </c>
      <c r="M127" s="364">
        <f t="shared" si="34"/>
        <v>1.002611071753871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'[40]Sch C'!D130</f>
        <v>0</v>
      </c>
      <c r="D129" s="558">
        <f>'[40]Sch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'[40]Sch C'!D131</f>
        <v>3744.58</v>
      </c>
      <c r="D130" s="558">
        <f>'[40]Sch C'!F131</f>
        <v>0</v>
      </c>
      <c r="E130" s="171">
        <f t="shared" si="35"/>
        <v>3744.58</v>
      </c>
      <c r="F130" s="171"/>
      <c r="G130" s="171">
        <f>E130+F130</f>
        <v>3744.58</v>
      </c>
      <c r="H130" s="172">
        <f>IF($G$208=0,0,G130/$G$208)</f>
        <v>1.4032212339721982E-3</v>
      </c>
      <c r="I130" s="336"/>
      <c r="J130" s="204"/>
      <c r="K130" s="204"/>
      <c r="M130" s="364">
        <f t="shared" si="34"/>
        <v>0.18948385790911851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'[40]Sch C'!D132</f>
        <v>0</v>
      </c>
      <c r="D131" s="558">
        <f>'[40]Sch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'[40]Sch C'!D133</f>
        <v>0</v>
      </c>
      <c r="D132" s="558">
        <f>'[40]Sch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'[40]Sch C'!D134</f>
        <v>0</v>
      </c>
      <c r="D133" s="558">
        <f>'[40]Sch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'[40]Sch C'!D136</f>
        <v>319567</v>
      </c>
      <c r="D135" s="558">
        <f>'[40]Sch C'!F136</f>
        <v>0</v>
      </c>
      <c r="E135" s="171">
        <f t="shared" ref="E135:E138" si="36">C135+D135</f>
        <v>319567</v>
      </c>
      <c r="F135" s="171"/>
      <c r="G135" s="171">
        <f>E135+F135</f>
        <v>319567</v>
      </c>
      <c r="H135" s="172">
        <f>IF($G$208=0,0,G135/$G$208)</f>
        <v>0.11975260244855057</v>
      </c>
      <c r="I135" s="336"/>
      <c r="J135" s="183">
        <v>12487</v>
      </c>
      <c r="K135" s="183">
        <v>12797</v>
      </c>
      <c r="M135" s="364">
        <f t="shared" si="34"/>
        <v>16.170782309482846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'[40]Sch C'!D137</f>
        <v>75343</v>
      </c>
      <c r="D136" s="558">
        <f>'[40]Sch C'!F137</f>
        <v>0</v>
      </c>
      <c r="E136" s="171">
        <f t="shared" si="36"/>
        <v>75343</v>
      </c>
      <c r="F136" s="171"/>
      <c r="G136" s="171">
        <f>E136+F136</f>
        <v>75343</v>
      </c>
      <c r="H136" s="172">
        <f>IF($G$208=0,0,G136/$G$208)</f>
        <v>2.8233579582000474E-2</v>
      </c>
      <c r="I136" s="336"/>
      <c r="J136" s="183">
        <v>3445</v>
      </c>
      <c r="K136" s="183">
        <v>3503</v>
      </c>
      <c r="M136" s="364">
        <f t="shared" si="34"/>
        <v>3.8125189758121647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'[40]Sch C'!D138</f>
        <v>394605</v>
      </c>
      <c r="D137" s="558">
        <f>'[40]Sch C'!F138</f>
        <v>0</v>
      </c>
      <c r="E137" s="171">
        <f t="shared" si="36"/>
        <v>394605</v>
      </c>
      <c r="F137" s="171"/>
      <c r="G137" s="171">
        <f>E137+F137</f>
        <v>394605</v>
      </c>
      <c r="H137" s="172">
        <f>IF($G$208=0,0,G137/$G$208)</f>
        <v>0.14787188817747232</v>
      </c>
      <c r="I137" s="336"/>
      <c r="J137" s="183">
        <v>38929</v>
      </c>
      <c r="K137" s="183">
        <v>39719</v>
      </c>
      <c r="M137" s="364">
        <f t="shared" si="34"/>
        <v>19.967867624734339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'[40]Sch C'!D139</f>
        <v>0</v>
      </c>
      <c r="D138" s="558">
        <f>'[40]Sch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'[40]Sch C'!D141</f>
        <v>26699.9</v>
      </c>
      <c r="D140" s="558">
        <f>'[40]Sch C'!F141</f>
        <v>0</v>
      </c>
      <c r="E140" s="171">
        <f t="shared" ref="E140:E143" si="37">C140+D140</f>
        <v>26699.9</v>
      </c>
      <c r="F140" s="171"/>
      <c r="G140" s="171">
        <f>E140+F140</f>
        <v>26699.9</v>
      </c>
      <c r="H140" s="172">
        <f>IF($G$208=0,0,G140/$G$208)</f>
        <v>1.0005358845300219E-2</v>
      </c>
      <c r="I140" s="336"/>
      <c r="J140" s="168"/>
      <c r="K140" s="168"/>
      <c r="M140" s="364">
        <f t="shared" si="34"/>
        <v>1.3510727659143813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'[40]Sch C'!D142</f>
        <v>6329.48</v>
      </c>
      <c r="D141" s="558">
        <f>'[40]Sch C'!F142</f>
        <v>0</v>
      </c>
      <c r="E141" s="171">
        <f t="shared" si="37"/>
        <v>6329.48</v>
      </c>
      <c r="F141" s="171"/>
      <c r="G141" s="171">
        <f>E141+F141</f>
        <v>6329.48</v>
      </c>
      <c r="H141" s="172">
        <f>IF($G$208=0,0,G141/$G$208)</f>
        <v>2.3718710071629792E-3</v>
      </c>
      <c r="I141" s="336"/>
      <c r="J141" s="168"/>
      <c r="K141" s="168"/>
      <c r="M141" s="364">
        <f t="shared" si="34"/>
        <v>0.320285396214958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'[40]Sch C'!D143</f>
        <v>33399.589999999997</v>
      </c>
      <c r="D142" s="558">
        <f>'[40]Sch C'!F143</f>
        <v>0</v>
      </c>
      <c r="E142" s="171">
        <f t="shared" si="37"/>
        <v>33399.589999999997</v>
      </c>
      <c r="F142" s="171"/>
      <c r="G142" s="171">
        <f>E142+F142</f>
        <v>33399.589999999997</v>
      </c>
      <c r="H142" s="172">
        <f>IF($G$208=0,0,G142/$G$208)</f>
        <v>1.2515960106064095E-2</v>
      </c>
      <c r="I142" s="336"/>
      <c r="J142" s="168"/>
      <c r="K142" s="168"/>
      <c r="M142" s="364">
        <f t="shared" si="34"/>
        <v>1.6900915899200484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'[40]Sch C'!D144</f>
        <v>0</v>
      </c>
      <c r="D143" s="558">
        <f>'[40]Sch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'[40]Sch C'!D146</f>
        <v>16500</v>
      </c>
      <c r="D145" s="558">
        <f>'[40]Sch C'!F146</f>
        <v>0</v>
      </c>
      <c r="E145" s="171">
        <f t="shared" ref="E145:E153" si="38">C145+D145</f>
        <v>16500</v>
      </c>
      <c r="F145" s="171"/>
      <c r="G145" s="171">
        <f t="shared" ref="G145:G153" si="39">E145+F145</f>
        <v>16500</v>
      </c>
      <c r="H145" s="172">
        <f t="shared" ref="H145:H153" si="40">IF($G$208=0,0,G145/$G$208)</f>
        <v>6.183110084586595E-3</v>
      </c>
      <c r="I145" s="336"/>
      <c r="J145" s="183">
        <v>0</v>
      </c>
      <c r="K145" s="183">
        <v>0</v>
      </c>
      <c r="M145" s="364">
        <f t="shared" si="34"/>
        <v>0.83493573524946862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'[40]Sch C'!D147</f>
        <v>0</v>
      </c>
      <c r="D146" s="558">
        <f>'[40]Sch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'[40]Sch C'!D148</f>
        <v>0</v>
      </c>
      <c r="D147" s="558">
        <f>'[40]Sch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'[40]Sch C'!D149</f>
        <v>0</v>
      </c>
      <c r="D148" s="558">
        <f>'[40]Sch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'[40]Sch C'!D150</f>
        <v>0</v>
      </c>
      <c r="D149" s="558">
        <f>'[40]Sch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6"/>
      <c r="J149" s="183">
        <v>0</v>
      </c>
      <c r="K149" s="183">
        <v>0</v>
      </c>
      <c r="M149" s="364">
        <f t="shared" si="34"/>
        <v>0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'[40]Sch C'!D151</f>
        <v>74013</v>
      </c>
      <c r="D150" s="558">
        <f>'[40]Sch C'!F151</f>
        <v>0</v>
      </c>
      <c r="E150" s="171">
        <f t="shared" si="38"/>
        <v>74013</v>
      </c>
      <c r="F150" s="171"/>
      <c r="G150" s="171">
        <f t="shared" si="39"/>
        <v>74013</v>
      </c>
      <c r="H150" s="172">
        <f t="shared" si="40"/>
        <v>2.7735183435788343E-2</v>
      </c>
      <c r="I150" s="336"/>
      <c r="J150" s="168"/>
      <c r="K150" s="168"/>
      <c r="M150" s="364">
        <f t="shared" si="34"/>
        <v>3.7452180953344802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'[40]Sch C'!D152</f>
        <v>14639</v>
      </c>
      <c r="D151" s="558">
        <f>'[40]Sch C'!F152</f>
        <v>0</v>
      </c>
      <c r="E151" s="171">
        <f t="shared" si="38"/>
        <v>14639</v>
      </c>
      <c r="F151" s="171"/>
      <c r="G151" s="171">
        <f t="shared" si="39"/>
        <v>14639</v>
      </c>
      <c r="H151" s="172">
        <f t="shared" si="40"/>
        <v>5.4857302138341313E-3</v>
      </c>
      <c r="I151" s="336"/>
      <c r="J151" s="168"/>
      <c r="K151" s="168"/>
      <c r="M151" s="364">
        <f t="shared" si="34"/>
        <v>0.74076510474648316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'[40]Sch C'!D153</f>
        <v>0</v>
      </c>
      <c r="D152" s="558">
        <f>'[40]Sch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'[40]Sch C'!D154</f>
        <v>0</v>
      </c>
      <c r="D153" s="558">
        <f>'[40]Sch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'[40]Sch C'!D156</f>
        <v>0</v>
      </c>
      <c r="D155" s="558">
        <f>'[40]Sch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'[40]Sch C'!D157</f>
        <v>0</v>
      </c>
      <c r="D156" s="558">
        <f>'[40]Sch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'[40]Sch C'!D158</f>
        <v>0</v>
      </c>
      <c r="D157" s="558">
        <f>'[40]Sch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'[40]Sch C'!D159</f>
        <v>0</v>
      </c>
      <c r="D158" s="558">
        <f>'[40]Sch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'[40]Sch C'!D160</f>
        <v>0</v>
      </c>
      <c r="D159" s="558">
        <f>'[40]Sch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'[40]Sch C'!D161</f>
        <v>0</v>
      </c>
      <c r="D160" s="558">
        <f>'[40]Sch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1019486.1499999999</v>
      </c>
      <c r="D161" s="558">
        <f>SUM(D123:D160)</f>
        <v>0</v>
      </c>
      <c r="E161" s="171">
        <f t="shared" ref="E161:F161" si="44">SUM(E123:E160)</f>
        <v>1019486.1499999999</v>
      </c>
      <c r="F161" s="171">
        <f t="shared" si="44"/>
        <v>0</v>
      </c>
      <c r="G161" s="171">
        <f>SUM(G123:G160)</f>
        <v>1019486.1499999999</v>
      </c>
      <c r="H161" s="172">
        <f t="shared" si="43"/>
        <v>0.38203606637341586</v>
      </c>
      <c r="I161" s="336"/>
      <c r="J161" s="168"/>
      <c r="K161" s="168"/>
      <c r="M161" s="364">
        <f>G161/G$228</f>
        <v>51.588207165266667</v>
      </c>
      <c r="N161" s="359">
        <f>SUMMARY!J164</f>
        <v>105.56901037202306</v>
      </c>
      <c r="O161" s="354">
        <f>M161/N161-1</f>
        <v>-0.51133190522985039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'[40]Sch C'!D175</f>
        <v>0</v>
      </c>
      <c r="D164" s="558">
        <f>'[40]Sch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'[40]Sch C'!D176</f>
        <v>0</v>
      </c>
      <c r="D165" s="558">
        <f>'[40]Sch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'[40]Sch C'!D177</f>
        <v>0</v>
      </c>
      <c r="D166" s="558">
        <f>'[40]Sch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'[40]Sch C'!D178</f>
        <v>0</v>
      </c>
      <c r="D167" s="558">
        <f>'[40]Sch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'[40]Sch C'!D179</f>
        <v>0</v>
      </c>
      <c r="D168" s="558">
        <f>'[40]Sch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'[40]Sch C'!D180</f>
        <v>0</v>
      </c>
      <c r="D169" s="558">
        <f>'[40]Sch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'[40]Sch C'!D181</f>
        <v>0</v>
      </c>
      <c r="D170" s="558">
        <f>'[40]Sch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'[40]Sch C'!D182</f>
        <v>0</v>
      </c>
      <c r="D171" s="558">
        <f>'[40]Sch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'[40]Sch C'!D183</f>
        <v>0</v>
      </c>
      <c r="D172" s="558">
        <f>'[40]Sch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'[40]Sch C'!D184</f>
        <v>0</v>
      </c>
      <c r="D173" s="558">
        <f>'[40]Sch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'[40]Sch C'!D185</f>
        <v>0</v>
      </c>
      <c r="D174" s="558">
        <f>'[40]Sch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'[40]Sch C'!D186</f>
        <v>0</v>
      </c>
      <c r="D175" s="558">
        <f>'[40]Sch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'[40]Sch C'!D187</f>
        <v>0</v>
      </c>
      <c r="D176" s="558">
        <f>'[40]Sch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'[40]Sch C'!D188</f>
        <v>0</v>
      </c>
      <c r="D177" s="558">
        <f>'[40]Sch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'[40]Sch C'!D189</f>
        <v>0</v>
      </c>
      <c r="D178" s="558">
        <f>'[40]Sch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'[40]Sch C'!D190</f>
        <v>0</v>
      </c>
      <c r="D179" s="558">
        <f>'[40]Sch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'[40]Sch C'!D191</f>
        <v>0</v>
      </c>
      <c r="D180" s="558">
        <f>'[40]Sch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'[40]Sch C'!D192</f>
        <v>0</v>
      </c>
      <c r="D181" s="558">
        <f>'[40]Sch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'[40]Sch C'!D193</f>
        <v>0</v>
      </c>
      <c r="D182" s="558">
        <f>'[40]Sch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'[40]Sch C'!D194</f>
        <v>28291</v>
      </c>
      <c r="D183" s="558">
        <f>'[40]Sch C'!F194</f>
        <v>0</v>
      </c>
      <c r="E183" s="171">
        <f t="shared" si="45"/>
        <v>28291</v>
      </c>
      <c r="F183" s="216"/>
      <c r="G183" s="171">
        <f t="shared" si="46"/>
        <v>28291</v>
      </c>
      <c r="H183" s="172">
        <f t="shared" si="47"/>
        <v>1.0601598024426628E-2</v>
      </c>
      <c r="I183" s="336"/>
      <c r="J183" s="223"/>
      <c r="K183" s="218"/>
      <c r="M183" s="364">
        <f t="shared" si="48"/>
        <v>1.4315858718753163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'[40]Sch C'!D195</f>
        <v>11824</v>
      </c>
      <c r="D184" s="558">
        <f>'[40]Sch C'!F195</f>
        <v>0</v>
      </c>
      <c r="E184" s="171">
        <f t="shared" si="45"/>
        <v>11824</v>
      </c>
      <c r="F184" s="216"/>
      <c r="G184" s="171">
        <f t="shared" si="46"/>
        <v>11824</v>
      </c>
      <c r="H184" s="172">
        <f t="shared" si="47"/>
        <v>4.4308541600092061E-3</v>
      </c>
      <c r="I184" s="336"/>
      <c r="J184" s="223"/>
      <c r="K184" s="218"/>
      <c r="M184" s="364">
        <f t="shared" si="48"/>
        <v>0.59832000809634656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'[40]Sch C'!D196</f>
        <v>0</v>
      </c>
      <c r="D185" s="558">
        <f>'[40]Sch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'[40]Sch C'!D197</f>
        <v>25631.57</v>
      </c>
      <c r="D186" s="558">
        <f>'[40]Sch C'!F197</f>
        <v>0</v>
      </c>
      <c r="E186" s="171">
        <f t="shared" si="45"/>
        <v>25631.57</v>
      </c>
      <c r="F186" s="216"/>
      <c r="G186" s="171">
        <f t="shared" si="46"/>
        <v>25631.57</v>
      </c>
      <c r="H186" s="172">
        <f t="shared" si="47"/>
        <v>9.6050193303507409E-3</v>
      </c>
      <c r="I186" s="336"/>
      <c r="J186" s="223"/>
      <c r="K186" s="218"/>
      <c r="M186" s="364">
        <f t="shared" si="48"/>
        <v>1.2970129541544377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'[40]Sch C'!D198</f>
        <v>1590</v>
      </c>
      <c r="D187" s="558">
        <f>'[40]Sch C'!F198</f>
        <v>0</v>
      </c>
      <c r="E187" s="171">
        <f t="shared" si="45"/>
        <v>1590</v>
      </c>
      <c r="F187" s="216"/>
      <c r="G187" s="171">
        <f t="shared" si="46"/>
        <v>1590</v>
      </c>
      <c r="H187" s="172">
        <f t="shared" si="47"/>
        <v>5.958269717874355E-4</v>
      </c>
      <c r="I187" s="336"/>
      <c r="J187" s="223"/>
      <c r="K187" s="218"/>
      <c r="M187" s="364">
        <f t="shared" si="48"/>
        <v>8.0457443578585169E-2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'[40]Sch C'!D199</f>
        <v>0</v>
      </c>
      <c r="D188" s="558">
        <f>'[40]Sch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'[40]Sch C'!D200</f>
        <v>0</v>
      </c>
      <c r="D189" s="558">
        <f>'[40]Sch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'[40]Sch C'!D201</f>
        <v>0</v>
      </c>
      <c r="D190" s="558">
        <f>'[40]Sch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'[40]Sch C'!D202</f>
        <v>0</v>
      </c>
      <c r="D191" s="558">
        <f>'[40]Sch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'[40]Sch C'!D203</f>
        <v>0</v>
      </c>
      <c r="D192" s="558">
        <f>'[40]Sch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'[40]Sch C'!D204</f>
        <v>0</v>
      </c>
      <c r="D193" s="558">
        <f>'[40]Sch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'[40]Sch C'!D205</f>
        <v>22141.21</v>
      </c>
      <c r="D194" s="558">
        <f>'[40]Sch C'!F205</f>
        <v>0</v>
      </c>
      <c r="E194" s="171">
        <f t="shared" si="45"/>
        <v>22141.21</v>
      </c>
      <c r="F194" s="216"/>
      <c r="G194" s="171">
        <f t="shared" si="46"/>
        <v>22141.21</v>
      </c>
      <c r="H194" s="172">
        <f t="shared" si="47"/>
        <v>8.2970629597545181E-3</v>
      </c>
      <c r="I194" s="336"/>
      <c r="J194" s="223"/>
      <c r="K194" s="218"/>
      <c r="M194" s="364">
        <f t="shared" si="48"/>
        <v>1.1203931788280539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'[40]Sch C'!D206</f>
        <v>0</v>
      </c>
      <c r="D195" s="558">
        <f>'[40]Sch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'[40]Sch C'!D207</f>
        <v>0</v>
      </c>
      <c r="D196" s="558">
        <f>'[40]Sch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89477.78</v>
      </c>
      <c r="D197" s="558">
        <f>SUM(D164:D196)</f>
        <v>0</v>
      </c>
      <c r="E197" s="171">
        <f t="shared" ref="E197:F197" si="49">SUM(E164:E196)</f>
        <v>89477.78</v>
      </c>
      <c r="F197" s="171">
        <f t="shared" si="49"/>
        <v>0</v>
      </c>
      <c r="G197" s="171">
        <f>SUM(G164:G196)</f>
        <v>89477.78</v>
      </c>
      <c r="H197" s="172">
        <f>IF($G$208=0,0,G197/$G$208)</f>
        <v>3.3530361446328531E-2</v>
      </c>
      <c r="I197" s="336"/>
      <c r="J197" s="168"/>
      <c r="K197" s="168"/>
      <c r="M197" s="364">
        <f>G197/G$228</f>
        <v>4.5277694565327398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'[40]Sch C'!D211</f>
        <v>35101</v>
      </c>
      <c r="D200" s="558">
        <f>'[40]Sch C'!F211</f>
        <v>0</v>
      </c>
      <c r="E200" s="171">
        <f t="shared" ref="E200:E205" si="50">C200+D200</f>
        <v>35101</v>
      </c>
      <c r="F200" s="171"/>
      <c r="G200" s="171">
        <f t="shared" ref="G200:G205" si="51">E200+F200</f>
        <v>35101</v>
      </c>
      <c r="H200" s="172">
        <f t="shared" ref="H200:H206" si="52">IF($G$208=0,0,G200/$G$208)</f>
        <v>1.315353618661055E-2</v>
      </c>
      <c r="I200" s="336"/>
      <c r="J200" s="183">
        <v>3116</v>
      </c>
      <c r="K200" s="183">
        <v>3168</v>
      </c>
      <c r="M200" s="364">
        <f t="shared" ref="M200:M205" si="53">G200/G$228</f>
        <v>1.7761866207873698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'[40]Sch C'!D212</f>
        <v>2952.87</v>
      </c>
      <c r="D201" s="558">
        <f>'[40]Sch C'!F212</f>
        <v>0</v>
      </c>
      <c r="E201" s="171">
        <f t="shared" si="50"/>
        <v>2952.87</v>
      </c>
      <c r="F201" s="171"/>
      <c r="G201" s="171">
        <f t="shared" si="51"/>
        <v>2952.87</v>
      </c>
      <c r="H201" s="172">
        <f t="shared" si="52"/>
        <v>1.1065406227559525E-3</v>
      </c>
      <c r="I201" s="336"/>
      <c r="J201" s="168"/>
      <c r="K201" s="168"/>
      <c r="M201" s="364">
        <f t="shared" si="53"/>
        <v>0.1494216172452181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'[40]Sch C'!D213</f>
        <v>15496</v>
      </c>
      <c r="D202" s="558">
        <f>'[40]Sch C'!F213</f>
        <v>0</v>
      </c>
      <c r="E202" s="171">
        <f t="shared" si="50"/>
        <v>15496</v>
      </c>
      <c r="F202" s="171"/>
      <c r="G202" s="171">
        <f t="shared" si="51"/>
        <v>15496</v>
      </c>
      <c r="H202" s="172">
        <f t="shared" si="52"/>
        <v>5.8068772042881136E-3</v>
      </c>
      <c r="I202" s="336"/>
      <c r="J202" s="168"/>
      <c r="K202" s="168"/>
      <c r="M202" s="364">
        <f t="shared" si="53"/>
        <v>0.78413116081368284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'[40]Sch C'!D214</f>
        <v>5400.67</v>
      </c>
      <c r="D203" s="558">
        <f>'[40]Sch C'!F214</f>
        <v>0</v>
      </c>
      <c r="E203" s="171">
        <f t="shared" si="50"/>
        <v>5400.67</v>
      </c>
      <c r="F203" s="171"/>
      <c r="G203" s="171">
        <f t="shared" si="51"/>
        <v>5400.67</v>
      </c>
      <c r="H203" s="172">
        <f t="shared" si="52"/>
        <v>2.0238143721529869E-3</v>
      </c>
      <c r="I203" s="336"/>
      <c r="J203" s="168"/>
      <c r="K203" s="168"/>
      <c r="M203" s="364">
        <f t="shared" si="53"/>
        <v>0.27328559862362112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'[40]Sch C'!D215</f>
        <v>0</v>
      </c>
      <c r="D204" s="558">
        <f>'[40]Sch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'[40]Sch C'!D216</f>
        <v>0</v>
      </c>
      <c r="D205" s="558">
        <f>'[40]Sch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6"/>
      <c r="J205" s="168"/>
      <c r="K205" s="168"/>
      <c r="M205" s="364">
        <f t="shared" si="53"/>
        <v>0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58950.54</v>
      </c>
      <c r="D206" s="558">
        <f>SUM(D200:D205)</f>
        <v>0</v>
      </c>
      <c r="E206" s="171">
        <f t="shared" ref="E206:F206" si="54">SUM(E200:E205)</f>
        <v>58950.54</v>
      </c>
      <c r="F206" s="171">
        <f t="shared" si="54"/>
        <v>0</v>
      </c>
      <c r="G206" s="171">
        <f>SUM(G200:G205)</f>
        <v>58950.54</v>
      </c>
      <c r="H206" s="172">
        <f t="shared" si="52"/>
        <v>2.2090768385807601E-2</v>
      </c>
      <c r="I206" s="336"/>
      <c r="J206" s="168"/>
      <c r="K206" s="168"/>
      <c r="M206" s="364">
        <f>G206/G$228</f>
        <v>2.9830249974698919</v>
      </c>
      <c r="N206" s="359">
        <f>SUMMARY!J209</f>
        <v>7.1515095990067339</v>
      </c>
      <c r="O206" s="354">
        <f>M206/N206-1</f>
        <v>-0.58288177395662011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3192665.9600000009</v>
      </c>
      <c r="D208" s="558">
        <f>SUM(D25:D206)/2</f>
        <v>-524106</v>
      </c>
      <c r="E208" s="171">
        <f t="shared" ref="E208:F208" si="55">SUM(E25:E206)/2</f>
        <v>2668559.96</v>
      </c>
      <c r="F208" s="171">
        <f t="shared" si="55"/>
        <v>0</v>
      </c>
      <c r="G208" s="171">
        <f>SUM(G25:G206)/2</f>
        <v>2668559.96</v>
      </c>
      <c r="H208" s="172">
        <f>IF($G$208=0,0,G208/$G$208)</f>
        <v>1</v>
      </c>
      <c r="I208" s="336"/>
      <c r="J208" s="183">
        <f>SUM(J25:J200)</f>
        <v>94711</v>
      </c>
      <c r="K208" s="183">
        <f>SUM(K25:K200)</f>
        <v>96695.83</v>
      </c>
      <c r="M208" s="364">
        <f>G208/G$228</f>
        <v>135.03491347029652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-2.5488664670748302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'[40]Sch C'!D221</f>
        <v>3192666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-3.9999999105930328E-2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276173.26999999909</v>
      </c>
      <c r="D215" s="558">
        <f>D21-D208</f>
        <v>524106</v>
      </c>
      <c r="E215" s="171">
        <f t="shared" ref="E215:F215" si="56">E21-E208</f>
        <v>800279.27</v>
      </c>
      <c r="F215" s="171">
        <f t="shared" si="56"/>
        <v>0</v>
      </c>
      <c r="G215" s="171">
        <f>G21-G208</f>
        <v>800279.27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'[40]Sch D'!C9</f>
        <v>16734</v>
      </c>
      <c r="D219" s="592"/>
      <c r="E219" s="235">
        <f t="shared" ref="E219:G227" si="57">C219+D219</f>
        <v>16734</v>
      </c>
      <c r="F219" s="234"/>
      <c r="G219" s="235">
        <f t="shared" si="57"/>
        <v>16734</v>
      </c>
      <c r="H219" s="172">
        <f t="shared" ref="H219:H228" si="58">IF($G$228=0,0,G219/$G$228)</f>
        <v>0.84677664204027936</v>
      </c>
      <c r="I219" s="336"/>
      <c r="J219" s="168"/>
      <c r="K219" s="168"/>
    </row>
    <row r="220" spans="1:17">
      <c r="A220" s="163"/>
      <c r="B220" s="170" t="s">
        <v>217</v>
      </c>
      <c r="C220" s="592">
        <f>'[40]Sch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'[40]Sch D'!E9</f>
        <v>318</v>
      </c>
      <c r="D221" s="592"/>
      <c r="E221" s="235">
        <f t="shared" si="59"/>
        <v>318</v>
      </c>
      <c r="F221" s="234"/>
      <c r="G221" s="235">
        <f t="shared" si="57"/>
        <v>318</v>
      </c>
      <c r="H221" s="172">
        <f t="shared" si="58"/>
        <v>1.6091488715717032E-2</v>
      </c>
      <c r="I221" s="336"/>
      <c r="J221" s="168"/>
      <c r="K221" s="168"/>
    </row>
    <row r="222" spans="1:17">
      <c r="A222" s="163"/>
      <c r="B222" s="202" t="s">
        <v>334</v>
      </c>
      <c r="C222" s="592">
        <f>'[40]Sch D'!F9</f>
        <v>56</v>
      </c>
      <c r="D222" s="592"/>
      <c r="E222" s="235">
        <f>C222+D222</f>
        <v>56</v>
      </c>
      <c r="F222" s="234"/>
      <c r="G222" s="235">
        <f>E222+F222</f>
        <v>56</v>
      </c>
      <c r="H222" s="172">
        <f t="shared" si="58"/>
        <v>2.8337212832709241E-3</v>
      </c>
      <c r="I222" s="336"/>
      <c r="J222" s="168"/>
      <c r="K222" s="168"/>
    </row>
    <row r="223" spans="1:17">
      <c r="A223" s="163"/>
      <c r="B223" s="170" t="s">
        <v>73</v>
      </c>
      <c r="C223" s="592">
        <f>'[40]Sch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'[40]Sch D'!H9</f>
        <v>1857</v>
      </c>
      <c r="D224" s="592"/>
      <c r="E224" s="235">
        <f t="shared" si="59"/>
        <v>1857</v>
      </c>
      <c r="F224" s="234"/>
      <c r="G224" s="235">
        <f t="shared" si="57"/>
        <v>1857</v>
      </c>
      <c r="H224" s="172">
        <f t="shared" si="58"/>
        <v>9.3968221839894742E-2</v>
      </c>
      <c r="I224" s="336"/>
      <c r="J224" s="168"/>
      <c r="K224" s="168"/>
    </row>
    <row r="225" spans="1:11">
      <c r="A225" s="163"/>
      <c r="B225" s="170" t="s">
        <v>236</v>
      </c>
      <c r="C225" s="592">
        <f>'[40]Sch D'!I9</f>
        <v>797</v>
      </c>
      <c r="D225" s="592"/>
      <c r="E225" s="235">
        <f t="shared" si="59"/>
        <v>797</v>
      </c>
      <c r="F225" s="234"/>
      <c r="G225" s="235">
        <f t="shared" si="57"/>
        <v>797</v>
      </c>
      <c r="H225" s="172">
        <f t="shared" si="58"/>
        <v>4.0329926120837974E-2</v>
      </c>
      <c r="I225" s="336"/>
      <c r="J225" s="168"/>
      <c r="K225" s="168"/>
    </row>
    <row r="226" spans="1:11">
      <c r="A226" s="163"/>
      <c r="B226" s="170" t="s">
        <v>235</v>
      </c>
      <c r="C226" s="592">
        <f>'[40]Sch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'[40]Sch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19762</v>
      </c>
      <c r="D228" s="592">
        <f>SUM(D219:D227)</f>
        <v>0</v>
      </c>
      <c r="E228" s="237">
        <f>SUM(E219:E227)</f>
        <v>19762</v>
      </c>
      <c r="F228" s="237">
        <f>SUM(F219:F227)</f>
        <v>0</v>
      </c>
      <c r="G228" s="237">
        <f>SUM(G219:G227)</f>
        <v>19762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'[40]Sch D'!N22</f>
        <v>155</v>
      </c>
      <c r="D231" s="559"/>
      <c r="E231" s="235">
        <f>C231+D231</f>
        <v>155</v>
      </c>
      <c r="F231" s="235"/>
      <c r="G231" s="235">
        <f>E231+F231</f>
        <v>155</v>
      </c>
      <c r="H231" s="167"/>
      <c r="J231" s="168"/>
      <c r="K231" s="168"/>
    </row>
    <row r="232" spans="1:11">
      <c r="A232" s="163"/>
      <c r="B232" s="202" t="s">
        <v>290</v>
      </c>
      <c r="C232" s="593">
        <f>'[40]Sch D'!N24</f>
        <v>155</v>
      </c>
      <c r="D232" s="559"/>
      <c r="E232" s="235">
        <f>C232+D232</f>
        <v>155</v>
      </c>
      <c r="F232" s="235"/>
      <c r="G232" s="235">
        <f>E232+F232</f>
        <v>155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'[40]Sch D'!N28</f>
        <v>56730</v>
      </c>
      <c r="D235" s="483"/>
      <c r="E235" s="234">
        <f>E231*E233</f>
        <v>56730</v>
      </c>
      <c r="F235" s="239"/>
      <c r="G235" s="234">
        <f>G231*G233</f>
        <v>56730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'[40]Sch D'!N30</f>
        <v>0.34835184205887537</v>
      </c>
      <c r="D236" s="239"/>
      <c r="E236" s="244">
        <f>E228/E235</f>
        <v>0.34835184205887537</v>
      </c>
      <c r="F236" s="245"/>
      <c r="G236" s="244">
        <f>G228/G235</f>
        <v>0.34835184205887537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'[40]Sch D'!N32</f>
        <v>0.29497620306716021</v>
      </c>
      <c r="D237" s="239"/>
      <c r="E237" s="244">
        <f>(E219+E220)/E235</f>
        <v>0.29497620306716021</v>
      </c>
      <c r="F237" s="245"/>
      <c r="G237" s="244">
        <f>(G219+G220)/G235</f>
        <v>0.29497620306716021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'[40]Sch D'!N34</f>
        <v>0.84677664204027925</v>
      </c>
      <c r="D238" s="239"/>
      <c r="E238" s="244">
        <f>(E237/E236)</f>
        <v>0.84677664204027925</v>
      </c>
      <c r="F238" s="245"/>
      <c r="G238" s="244">
        <f>(G237/G236)</f>
        <v>0.84677664204027925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'[40]Sch B'!C85</f>
        <v>190.91499999999999</v>
      </c>
    </row>
    <row r="242" spans="2:7">
      <c r="F242" s="142" t="s">
        <v>341</v>
      </c>
      <c r="G242" s="558">
        <f>'[40]Sch B'!E85</f>
        <v>191.05769230769232</v>
      </c>
    </row>
    <row r="243" spans="2:7">
      <c r="F243" s="142" t="s">
        <v>342</v>
      </c>
      <c r="G243" s="558">
        <f>'[40]Sch B'!G85</f>
        <v>193.75</v>
      </c>
    </row>
    <row r="244" spans="2:7">
      <c r="F244" s="142" t="s">
        <v>343</v>
      </c>
      <c r="G244" s="558">
        <f>'[40]Sch B'!I85</f>
        <v>191.32367149758454</v>
      </c>
    </row>
    <row r="245" spans="2:7">
      <c r="F245" s="142"/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tabColor rgb="FFE28CAB"/>
  </sheetPr>
  <dimension ref="A1:T245"/>
  <sheetViews>
    <sheetView showGridLines="0" zoomScaleNormal="100" workbookViewId="0">
      <pane xSplit="2" ySplit="10" topLeftCell="C225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8203125" style="49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 t="s">
        <v>590</v>
      </c>
      <c r="D1" s="472"/>
      <c r="E1" s="472"/>
      <c r="F1" s="472"/>
      <c r="G1" s="472"/>
      <c r="H1" s="472"/>
      <c r="I1" s="614"/>
    </row>
    <row r="2" spans="1:17" ht="23">
      <c r="B2" s="143" t="s">
        <v>189</v>
      </c>
      <c r="C2" s="246" t="s">
        <v>589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524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534</v>
      </c>
      <c r="G4" s="150"/>
    </row>
    <row r="5" spans="1:17">
      <c r="A5" s="145"/>
      <c r="B5" s="148"/>
      <c r="C5" s="151"/>
      <c r="D5" s="144"/>
      <c r="F5" s="460" t="s">
        <v>535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615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616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616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84" t="s">
        <v>536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87" t="s">
        <v>530</v>
      </c>
      <c r="G10" s="165"/>
      <c r="H10" s="166"/>
      <c r="I10" s="617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'[41]Sch B'!E10</f>
        <v>1824303</v>
      </c>
      <c r="D11" s="558">
        <f>'[41]Sch B'!G10</f>
        <v>0</v>
      </c>
      <c r="E11" s="171">
        <f>C11+D11</f>
        <v>1824303</v>
      </c>
      <c r="F11" s="563">
        <f>427913.53-48174</f>
        <v>379739.53</v>
      </c>
      <c r="G11" s="171">
        <f t="shared" ref="G11:G20" si="0">E11+F11</f>
        <v>2204042.5300000003</v>
      </c>
      <c r="H11" s="172">
        <f t="shared" ref="H11:H21" si="1">IF($G$21=0,0,G11/$G$21)</f>
        <v>0.33979592253778668</v>
      </c>
      <c r="I11" s="608"/>
      <c r="J11" s="368" t="s">
        <v>344</v>
      </c>
      <c r="K11" s="369">
        <f>G21</f>
        <v>6486371.3300000001</v>
      </c>
      <c r="M11" s="359">
        <f>IFERROR(G11/G219,0)</f>
        <v>195.70613834132484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'[41]Sch B'!E15</f>
        <v>0</v>
      </c>
      <c r="D12" s="558">
        <f>'[41]Sch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608"/>
      <c r="J12" s="370" t="s">
        <v>345</v>
      </c>
      <c r="K12" s="371">
        <f>G208</f>
        <v>5668062.5692641875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'[41]Sch B'!E21</f>
        <v>1356867</v>
      </c>
      <c r="D13" s="558">
        <f>'[41]Sch B'!G21</f>
        <v>0</v>
      </c>
      <c r="E13" s="171">
        <f t="shared" si="2"/>
        <v>1356867</v>
      </c>
      <c r="F13" s="171">
        <v>318647</v>
      </c>
      <c r="G13" s="171">
        <f t="shared" si="0"/>
        <v>1675514</v>
      </c>
      <c r="H13" s="172">
        <f t="shared" si="1"/>
        <v>0.25831299423926135</v>
      </c>
      <c r="I13" s="608"/>
      <c r="J13" s="370" t="s">
        <v>346</v>
      </c>
      <c r="K13" s="371">
        <f>G228</f>
        <v>22333</v>
      </c>
      <c r="M13" s="359">
        <f t="shared" si="3"/>
        <v>551.51876234364715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'[41]Sch B'!E27</f>
        <v>1335965</v>
      </c>
      <c r="D14" s="558">
        <f>'[41]Sch B'!G27</f>
        <v>0</v>
      </c>
      <c r="E14" s="171">
        <f t="shared" si="2"/>
        <v>1335965</v>
      </c>
      <c r="F14" s="175">
        <v>223499</v>
      </c>
      <c r="G14" s="175">
        <f>E14+F14</f>
        <v>1559464</v>
      </c>
      <c r="H14" s="176">
        <f t="shared" si="1"/>
        <v>0.24042163494207477</v>
      </c>
      <c r="I14" s="618"/>
      <c r="J14" s="370" t="s">
        <v>347</v>
      </c>
      <c r="K14" s="371">
        <f>G231</f>
        <v>108</v>
      </c>
      <c r="M14" s="359">
        <f t="shared" si="3"/>
        <v>431.50636413945767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'[41]Sch B'!E32</f>
        <v>0</v>
      </c>
      <c r="D15" s="558">
        <f>'[41]Sch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608"/>
      <c r="J15" s="370" t="s">
        <v>348</v>
      </c>
      <c r="K15" s="371">
        <f>G235</f>
        <v>39528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'[41]Sch B'!E37</f>
        <v>483105</v>
      </c>
      <c r="D16" s="558">
        <f>'[41]Sch B'!G37</f>
        <v>0</v>
      </c>
      <c r="E16" s="171">
        <f t="shared" si="2"/>
        <v>483105</v>
      </c>
      <c r="F16" s="171">
        <v>121625</v>
      </c>
      <c r="G16" s="171">
        <f t="shared" si="0"/>
        <v>604730</v>
      </c>
      <c r="H16" s="172">
        <f t="shared" si="1"/>
        <v>9.3230863488045171E-2</v>
      </c>
      <c r="I16" s="608"/>
      <c r="J16" s="372"/>
      <c r="K16" s="371"/>
      <c r="M16" s="359">
        <f t="shared" si="3"/>
        <v>210.56058495821728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'[41]Sch B'!E42</f>
        <v>0</v>
      </c>
      <c r="D17" s="558">
        <f>'[41]Sch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608"/>
      <c r="J17" s="370" t="s">
        <v>156</v>
      </c>
      <c r="K17" s="371">
        <f>J208</f>
        <v>142012.73333333334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'[41]Sch B'!E47</f>
        <v>252959</v>
      </c>
      <c r="D18" s="558">
        <f>'[41]Sch B'!G47</f>
        <v>0</v>
      </c>
      <c r="E18" s="171">
        <f t="shared" si="2"/>
        <v>252959</v>
      </c>
      <c r="F18" s="171">
        <v>35519</v>
      </c>
      <c r="G18" s="171">
        <f>E18+F18</f>
        <v>288478</v>
      </c>
      <c r="H18" s="172">
        <f t="shared" si="1"/>
        <v>4.4474481235103759E-2</v>
      </c>
      <c r="I18" s="608"/>
      <c r="J18" s="373" t="s">
        <v>252</v>
      </c>
      <c r="K18" s="374">
        <f>K208</f>
        <v>150951.46666666667</v>
      </c>
      <c r="M18" s="359">
        <f t="shared" si="3"/>
        <v>187.20181700194678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'[41]Sch B'!E52</f>
        <v>0</v>
      </c>
      <c r="D19" s="558">
        <f>'[41]Sch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608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'[41]Sch B'!E67</f>
        <v>89984</v>
      </c>
      <c r="D20" s="558">
        <f>'[41]Sch B'!G67</f>
        <v>0</v>
      </c>
      <c r="E20" s="171">
        <f t="shared" si="2"/>
        <v>89984</v>
      </c>
      <c r="F20" s="563">
        <f>15984.8+48174</f>
        <v>64158.8</v>
      </c>
      <c r="G20" s="171">
        <f t="shared" si="0"/>
        <v>154142.79999999999</v>
      </c>
      <c r="H20" s="172">
        <f t="shared" si="1"/>
        <v>2.376410355772832E-2</v>
      </c>
      <c r="I20" s="608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5343183</v>
      </c>
      <c r="D21" s="558">
        <f>SUM(D11:D20)</f>
        <v>0</v>
      </c>
      <c r="E21" s="171">
        <f>SUM(E11:E20)</f>
        <v>5343183</v>
      </c>
      <c r="F21" s="171">
        <f>SUM(F11:F20)</f>
        <v>1143188.33</v>
      </c>
      <c r="G21" s="171">
        <f>SUM(G11:G20)</f>
        <v>6486371.3300000001</v>
      </c>
      <c r="H21" s="172">
        <f t="shared" si="1"/>
        <v>1</v>
      </c>
      <c r="I21" s="608"/>
      <c r="J21" s="168"/>
      <c r="K21" s="168"/>
      <c r="M21" s="359">
        <f>IFERROR(G21/G228,0)</f>
        <v>290.43887207271752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'[41]Sch C'!D10</f>
        <v>142423</v>
      </c>
      <c r="D25" s="558">
        <f>'[41]Sch C'!F10</f>
        <v>9040</v>
      </c>
      <c r="E25" s="171">
        <f t="shared" ref="E25:E60" si="4">C25+D25</f>
        <v>151463</v>
      </c>
      <c r="F25" s="171">
        <v>35698</v>
      </c>
      <c r="G25" s="182">
        <f>E25+F25</f>
        <v>187161</v>
      </c>
      <c r="H25" s="172">
        <f>IF($G$208=0,0,G25/$G$208)</f>
        <v>3.3020277689753297E-2</v>
      </c>
      <c r="I25" s="608"/>
      <c r="J25" s="183">
        <f>3501+828</f>
        <v>4329</v>
      </c>
      <c r="K25" s="183">
        <f>3723+878</f>
        <v>4601</v>
      </c>
      <c r="L25" s="238"/>
      <c r="M25" s="359">
        <f>G25/G$228</f>
        <v>8.38046836519948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'[41]Sch C'!D11</f>
        <v>0</v>
      </c>
      <c r="D26" s="558">
        <f>'[41]Sch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608"/>
      <c r="J26" s="183">
        <v>0</v>
      </c>
      <c r="K26" s="183">
        <v>0</v>
      </c>
      <c r="L26" s="238"/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'[41]Sch C'!D12</f>
        <v>230852</v>
      </c>
      <c r="D27" s="558">
        <f>'[41]Sch C'!F12</f>
        <v>14649</v>
      </c>
      <c r="E27" s="171">
        <f t="shared" si="4"/>
        <v>245501</v>
      </c>
      <c r="F27" s="171">
        <v>52964</v>
      </c>
      <c r="G27" s="171">
        <f t="shared" si="5"/>
        <v>298465</v>
      </c>
      <c r="H27" s="172">
        <f t="shared" si="6"/>
        <v>5.2657322736425954E-2</v>
      </c>
      <c r="I27" s="608"/>
      <c r="J27" s="185">
        <f>11196+2423</f>
        <v>13619</v>
      </c>
      <c r="K27" s="185">
        <f>11906+2569</f>
        <v>14475</v>
      </c>
      <c r="L27" s="238"/>
      <c r="M27" s="359">
        <f t="shared" si="7"/>
        <v>13.364303944834997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'[41]Sch C'!D13</f>
        <v>489789</v>
      </c>
      <c r="D28" s="558">
        <f>'[41]Sch C'!F13</f>
        <v>-443341</v>
      </c>
      <c r="E28" s="171">
        <f t="shared" si="4"/>
        <v>46448</v>
      </c>
      <c r="F28" s="171">
        <v>11000</v>
      </c>
      <c r="G28" s="171">
        <f t="shared" si="5"/>
        <v>57448</v>
      </c>
      <c r="H28" s="172">
        <f t="shared" si="6"/>
        <v>1.0135385645091378E-2</v>
      </c>
      <c r="I28" s="608"/>
      <c r="J28" s="168"/>
      <c r="K28" s="168"/>
      <c r="L28" s="238"/>
      <c r="M28" s="359">
        <f t="shared" si="7"/>
        <v>2.5723369005507544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'[41]Sch C'!D14</f>
        <v>0</v>
      </c>
      <c r="D29" s="558">
        <f>'[41]Sch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608"/>
      <c r="J29" s="168"/>
      <c r="K29" s="168"/>
      <c r="L29" s="23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'[41]Sch C'!D15</f>
        <v>0</v>
      </c>
      <c r="D30" s="558">
        <f>'[41]Sch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608"/>
      <c r="J30" s="168"/>
      <c r="K30" s="168"/>
      <c r="L30" s="23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'[41]Sch C'!D16</f>
        <v>267637</v>
      </c>
      <c r="D31" s="558">
        <f>'[41]Sch C'!F16</f>
        <v>120071.13926418754</v>
      </c>
      <c r="E31" s="171">
        <f t="shared" si="4"/>
        <v>387708.13926418754</v>
      </c>
      <c r="F31" s="563">
        <f>115652-35527-7105</f>
        <v>73020</v>
      </c>
      <c r="G31" s="171">
        <f t="shared" si="5"/>
        <v>460728.13926418754</v>
      </c>
      <c r="H31" s="172">
        <f t="shared" si="6"/>
        <v>8.1284942365058968E-2</v>
      </c>
      <c r="I31" s="608"/>
      <c r="J31" s="168"/>
      <c r="K31" s="168"/>
      <c r="L31" s="238"/>
      <c r="M31" s="359">
        <f t="shared" si="7"/>
        <v>20.629926085352956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'[41]Sch C'!D17</f>
        <v>0</v>
      </c>
      <c r="D32" s="558">
        <f>'[41]Sch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608"/>
      <c r="J32" s="168"/>
      <c r="K32" s="168"/>
      <c r="L32" s="23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'[41]Sch C'!D18</f>
        <v>10129</v>
      </c>
      <c r="D33" s="558">
        <f>'[41]Sch C'!F18</f>
        <v>0</v>
      </c>
      <c r="E33" s="171">
        <f t="shared" si="4"/>
        <v>10129</v>
      </c>
      <c r="F33" s="171">
        <v>2079</v>
      </c>
      <c r="G33" s="171">
        <f t="shared" si="5"/>
        <v>12208</v>
      </c>
      <c r="H33" s="172">
        <f t="shared" si="6"/>
        <v>2.1538223777202957E-3</v>
      </c>
      <c r="I33" s="608"/>
      <c r="J33" s="168"/>
      <c r="K33" s="168"/>
      <c r="L33" s="238"/>
      <c r="M33" s="359">
        <f t="shared" si="7"/>
        <v>0.54663502440334932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'[41]Sch C'!D19</f>
        <v>18479</v>
      </c>
      <c r="D34" s="558">
        <f>'[41]Sch C'!F19</f>
        <v>-2784.85</v>
      </c>
      <c r="E34" s="171">
        <f t="shared" si="4"/>
        <v>15694.15</v>
      </c>
      <c r="F34" s="171">
        <v>3131</v>
      </c>
      <c r="G34" s="171">
        <f t="shared" si="5"/>
        <v>18825.150000000001</v>
      </c>
      <c r="H34" s="172">
        <f t="shared" si="6"/>
        <v>3.3212671472756575E-3</v>
      </c>
      <c r="I34" s="608"/>
      <c r="J34" s="168"/>
      <c r="K34" s="168"/>
      <c r="L34" s="238"/>
      <c r="M34" s="359">
        <f t="shared" si="7"/>
        <v>0.84292974522007802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'[41]Sch C'!D20</f>
        <v>14441</v>
      </c>
      <c r="D35" s="558">
        <f>'[41]Sch C'!F20</f>
        <v>0</v>
      </c>
      <c r="E35" s="171">
        <f t="shared" si="4"/>
        <v>14441</v>
      </c>
      <c r="F35" s="171">
        <v>3204</v>
      </c>
      <c r="G35" s="171">
        <f t="shared" si="5"/>
        <v>17645</v>
      </c>
      <c r="H35" s="172">
        <f t="shared" si="6"/>
        <v>3.1130566722538185E-3</v>
      </c>
      <c r="I35" s="608"/>
      <c r="J35" s="168"/>
      <c r="K35" s="168"/>
      <c r="L35" s="238"/>
      <c r="M35" s="359">
        <f t="shared" si="7"/>
        <v>0.79008641920028655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'[41]Sch C'!D21</f>
        <v>1325</v>
      </c>
      <c r="D36" s="558">
        <f>'[41]Sch C'!F21</f>
        <v>0</v>
      </c>
      <c r="E36" s="171">
        <f t="shared" si="4"/>
        <v>1325</v>
      </c>
      <c r="F36" s="171">
        <v>1897</v>
      </c>
      <c r="G36" s="171">
        <f t="shared" si="5"/>
        <v>3222</v>
      </c>
      <c r="H36" s="172">
        <f t="shared" si="6"/>
        <v>5.6844820617748951E-4</v>
      </c>
      <c r="I36" s="608"/>
      <c r="J36" s="168"/>
      <c r="K36" s="168"/>
      <c r="L36" s="238"/>
      <c r="M36" s="359">
        <f t="shared" si="7"/>
        <v>0.14427081001208975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'[41]Sch C'!D22</f>
        <v>0</v>
      </c>
      <c r="D37" s="558">
        <f>'[41]Sch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608"/>
      <c r="J37" s="168"/>
      <c r="K37" s="168"/>
      <c r="L37" s="23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'[41]Sch C'!D23</f>
        <v>4785</v>
      </c>
      <c r="D38" s="558">
        <f>'[41]Sch C'!F23</f>
        <v>0</v>
      </c>
      <c r="E38" s="171">
        <f t="shared" si="4"/>
        <v>4785</v>
      </c>
      <c r="F38" s="171">
        <v>217</v>
      </c>
      <c r="G38" s="171">
        <f t="shared" si="5"/>
        <v>5002</v>
      </c>
      <c r="H38" s="172">
        <f t="shared" si="6"/>
        <v>8.8248849388572405E-4</v>
      </c>
      <c r="I38" s="608"/>
      <c r="J38" s="168"/>
      <c r="K38" s="168"/>
      <c r="L38" s="238"/>
      <c r="M38" s="359">
        <f t="shared" si="7"/>
        <v>0.22397349214167375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'[41]Sch C'!D24</f>
        <v>38632</v>
      </c>
      <c r="D39" s="558">
        <f>'[41]Sch C'!F24</f>
        <v>-10800</v>
      </c>
      <c r="E39" s="171">
        <f t="shared" si="4"/>
        <v>27832</v>
      </c>
      <c r="F39" s="171">
        <v>5678</v>
      </c>
      <c r="G39" s="171">
        <f t="shared" si="5"/>
        <v>33510</v>
      </c>
      <c r="H39" s="172">
        <f t="shared" si="6"/>
        <v>5.9120730567994023E-3</v>
      </c>
      <c r="I39" s="608"/>
      <c r="J39" s="168"/>
      <c r="K39" s="168"/>
      <c r="L39" s="238"/>
      <c r="M39" s="359">
        <f t="shared" si="7"/>
        <v>1.500470156270989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'[41]Sch C'!D25</f>
        <v>0</v>
      </c>
      <c r="D40" s="558">
        <f>'[41]Sch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608"/>
      <c r="J40" s="168"/>
      <c r="K40" s="168"/>
      <c r="L40" s="23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'[41]Sch C'!D26</f>
        <v>241055</v>
      </c>
      <c r="D41" s="558">
        <f>'[41]Sch C'!F26</f>
        <v>0</v>
      </c>
      <c r="E41" s="171">
        <f t="shared" si="4"/>
        <v>241055</v>
      </c>
      <c r="F41" s="171">
        <v>46221</v>
      </c>
      <c r="G41" s="171">
        <f t="shared" si="5"/>
        <v>287276</v>
      </c>
      <c r="H41" s="172">
        <f t="shared" si="6"/>
        <v>5.0683279602062224E-2</v>
      </c>
      <c r="I41" s="608"/>
      <c r="J41" s="168"/>
      <c r="K41" s="168"/>
      <c r="L41" s="238"/>
      <c r="M41" s="359">
        <f t="shared" si="7"/>
        <v>12.86329646711145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'[41]Sch C'!D27</f>
        <v>0</v>
      </c>
      <c r="D42" s="558">
        <f>'[41]Sch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608"/>
      <c r="J42" s="168"/>
      <c r="K42" s="168"/>
      <c r="L42" s="23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'[41]Sch C'!D28</f>
        <v>0</v>
      </c>
      <c r="D43" s="558">
        <f>'[41]Sch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608"/>
      <c r="J43" s="168"/>
      <c r="K43" s="168"/>
      <c r="L43" s="23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'[41]Sch C'!D29</f>
        <v>111215</v>
      </c>
      <c r="D44" s="558">
        <f>'[41]Sch C'!F29</f>
        <v>-111215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608"/>
      <c r="J44" s="168"/>
      <c r="K44" s="168"/>
      <c r="L44" s="23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'[41]Sch C'!D30</f>
        <v>0</v>
      </c>
      <c r="D45" s="558">
        <f>'[41]Sch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608"/>
      <c r="J45" s="168"/>
      <c r="K45" s="168"/>
      <c r="L45" s="23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'[41]Sch C'!D31</f>
        <v>58049</v>
      </c>
      <c r="D46" s="558">
        <f>'[41]Sch C'!F31</f>
        <v>0</v>
      </c>
      <c r="E46" s="171">
        <f t="shared" si="4"/>
        <v>58049</v>
      </c>
      <c r="F46" s="563">
        <f>10963-21973-4150</f>
        <v>-15160</v>
      </c>
      <c r="G46" s="171">
        <f t="shared" si="5"/>
        <v>42889</v>
      </c>
      <c r="H46" s="172">
        <f t="shared" si="6"/>
        <v>7.5667830896171163E-3</v>
      </c>
      <c r="I46" s="608"/>
      <c r="J46" s="168"/>
      <c r="K46" s="168"/>
      <c r="L46" s="238"/>
      <c r="M46" s="359">
        <f t="shared" si="7"/>
        <v>1.9204316482335557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'[41]Sch C'!D32</f>
        <v>81630</v>
      </c>
      <c r="D47" s="558">
        <f>'[41]Sch C'!F32</f>
        <v>-27900.600000000002</v>
      </c>
      <c r="E47" s="171">
        <f t="shared" si="4"/>
        <v>53729.399999999994</v>
      </c>
      <c r="F47" s="171">
        <v>10745.880000000001</v>
      </c>
      <c r="G47" s="171">
        <f t="shared" si="5"/>
        <v>64475.28</v>
      </c>
      <c r="H47" s="172">
        <f t="shared" si="6"/>
        <v>1.1375188472623018E-2</v>
      </c>
      <c r="I47" s="608"/>
      <c r="J47" s="168"/>
      <c r="K47" s="168"/>
      <c r="L47" s="238"/>
      <c r="M47" s="359">
        <f t="shared" si="7"/>
        <v>2.8869959253123181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'[41]Sch C'!D33</f>
        <v>0</v>
      </c>
      <c r="D48" s="558">
        <f>'[41]Sch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608"/>
      <c r="J48" s="168"/>
      <c r="K48" s="168"/>
      <c r="L48" s="23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'[41]Sch C'!D34</f>
        <v>0</v>
      </c>
      <c r="D49" s="558">
        <f>'[41]Sch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608"/>
      <c r="J49" s="168"/>
      <c r="K49" s="168"/>
      <c r="L49" s="23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'[41]Sch C'!D35</f>
        <v>276</v>
      </c>
      <c r="D50" s="558">
        <f>'[41]Sch C'!F35</f>
        <v>-276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608"/>
      <c r="J50" s="168"/>
      <c r="K50" s="168"/>
      <c r="L50" s="23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'[41]Sch C'!D36</f>
        <v>0</v>
      </c>
      <c r="D51" s="558">
        <f>'[41]Sch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608"/>
      <c r="J51" s="183">
        <v>0</v>
      </c>
      <c r="K51" s="183">
        <v>0</v>
      </c>
      <c r="L51" s="238"/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'[41]Sch C'!D37</f>
        <v>0</v>
      </c>
      <c r="D52" s="558">
        <f>'[41]Sch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608"/>
      <c r="J52" s="168"/>
      <c r="K52" s="168"/>
      <c r="L52" s="23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'[41]Sch C'!D38</f>
        <v>0</v>
      </c>
      <c r="D53" s="558">
        <f>'[41]Sch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608"/>
      <c r="J53" s="168"/>
      <c r="K53" s="168"/>
      <c r="L53" s="23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'[41]Sch C'!D39</f>
        <v>5918</v>
      </c>
      <c r="D54" s="558">
        <f>'[41]Sch C'!F39</f>
        <v>0</v>
      </c>
      <c r="E54" s="171">
        <f t="shared" si="4"/>
        <v>5918</v>
      </c>
      <c r="F54" s="171">
        <v>1262</v>
      </c>
      <c r="G54" s="171">
        <f t="shared" si="5"/>
        <v>7180</v>
      </c>
      <c r="H54" s="172">
        <f t="shared" si="6"/>
        <v>1.2667467785084962E-3</v>
      </c>
      <c r="I54" s="608"/>
      <c r="J54" s="168"/>
      <c r="K54" s="168"/>
      <c r="L54" s="238"/>
      <c r="M54" s="359">
        <f t="shared" si="7"/>
        <v>0.32149733578113104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'[41]Sch C'!D40</f>
        <v>4327</v>
      </c>
      <c r="D55" s="558">
        <f>'[41]Sch C'!F40</f>
        <v>0</v>
      </c>
      <c r="E55" s="171">
        <f t="shared" si="4"/>
        <v>4327</v>
      </c>
      <c r="F55" s="171">
        <v>2631</v>
      </c>
      <c r="G55" s="171">
        <f t="shared" si="5"/>
        <v>6958</v>
      </c>
      <c r="H55" s="172">
        <f t="shared" si="6"/>
        <v>1.22757995610893E-3</v>
      </c>
      <c r="I55" s="608"/>
      <c r="J55" s="168"/>
      <c r="K55" s="168"/>
      <c r="L55" s="238"/>
      <c r="M55" s="359">
        <f t="shared" si="7"/>
        <v>0.31155688890878969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'[41]Sch C'!D41</f>
        <v>14082</v>
      </c>
      <c r="D56" s="558">
        <f>'[41]Sch C'!F41</f>
        <v>0</v>
      </c>
      <c r="E56" s="171">
        <f t="shared" si="4"/>
        <v>14082</v>
      </c>
      <c r="F56" s="171">
        <v>2234</v>
      </c>
      <c r="G56" s="171">
        <f t="shared" si="5"/>
        <v>16316</v>
      </c>
      <c r="H56" s="172">
        <f t="shared" si="6"/>
        <v>2.8785850192401983E-3</v>
      </c>
      <c r="I56" s="608"/>
      <c r="J56" s="168"/>
      <c r="K56" s="168"/>
      <c r="L56" s="238"/>
      <c r="M56" s="359">
        <f t="shared" si="7"/>
        <v>0.73057806832937811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'[41]Sch C'!D42</f>
        <v>2104</v>
      </c>
      <c r="D57" s="558">
        <f>'[41]Sch C'!F42</f>
        <v>0</v>
      </c>
      <c r="E57" s="171">
        <f t="shared" si="4"/>
        <v>2104</v>
      </c>
      <c r="F57" s="171">
        <v>1144</v>
      </c>
      <c r="G57" s="171">
        <f t="shared" si="5"/>
        <v>3248</v>
      </c>
      <c r="H57" s="172">
        <f t="shared" si="6"/>
        <v>5.7303531150356486E-4</v>
      </c>
      <c r="I57" s="608"/>
      <c r="J57" s="168"/>
      <c r="K57" s="168"/>
      <c r="L57" s="238"/>
      <c r="M57" s="359">
        <f t="shared" si="7"/>
        <v>0.14543500649263422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'[41]Sch C'!D43</f>
        <v>3378</v>
      </c>
      <c r="D58" s="558">
        <f>'[41]Sch C'!F43</f>
        <v>0</v>
      </c>
      <c r="E58" s="171">
        <f t="shared" si="4"/>
        <v>3378</v>
      </c>
      <c r="F58" s="171">
        <v>775</v>
      </c>
      <c r="G58" s="171">
        <f t="shared" si="5"/>
        <v>4153</v>
      </c>
      <c r="H58" s="172">
        <f t="shared" si="6"/>
        <v>7.3270186227657175E-4</v>
      </c>
      <c r="I58" s="608"/>
      <c r="J58" s="168"/>
      <c r="K58" s="168"/>
      <c r="L58" s="238"/>
      <c r="M58" s="359">
        <f t="shared" si="7"/>
        <v>0.18595799937312496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'[41]Sch C'!D44</f>
        <v>1250</v>
      </c>
      <c r="D59" s="558">
        <f>'[41]Sch C'!F44</f>
        <v>0</v>
      </c>
      <c r="E59" s="171">
        <f t="shared" si="4"/>
        <v>1250</v>
      </c>
      <c r="F59" s="171">
        <v>435</v>
      </c>
      <c r="G59" s="171">
        <f t="shared" si="5"/>
        <v>1685</v>
      </c>
      <c r="H59" s="172">
        <f t="shared" si="6"/>
        <v>2.9727971055526687E-4</v>
      </c>
      <c r="I59" s="608"/>
      <c r="J59" s="168"/>
      <c r="K59" s="168"/>
      <c r="L59" s="238"/>
      <c r="M59" s="359">
        <f t="shared" si="7"/>
        <v>7.544888729682532E-2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'[41]Sch C'!D45</f>
        <v>5617</v>
      </c>
      <c r="D60" s="558">
        <f>'[41]Sch C'!F45</f>
        <v>-87808</v>
      </c>
      <c r="E60" s="171">
        <f t="shared" si="4"/>
        <v>-82191</v>
      </c>
      <c r="F60" s="171">
        <v>-14277</v>
      </c>
      <c r="G60" s="171">
        <f t="shared" si="5"/>
        <v>-96468</v>
      </c>
      <c r="H60" s="172">
        <f t="shared" si="6"/>
        <v>-1.70195721767629E-2</v>
      </c>
      <c r="I60" s="608"/>
      <c r="J60" s="168"/>
      <c r="K60" s="168"/>
      <c r="L60" s="238"/>
      <c r="M60" s="359">
        <f t="shared" si="7"/>
        <v>-4.3195271571217484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1747393</v>
      </c>
      <c r="D61" s="558">
        <f>SUM(D25:D60)</f>
        <v>-540365.31073581241</v>
      </c>
      <c r="E61" s="171">
        <f t="shared" ref="E61:F61" si="8">SUM(E25:E60)</f>
        <v>1207027.6892641876</v>
      </c>
      <c r="F61" s="171">
        <f t="shared" si="8"/>
        <v>224898.88</v>
      </c>
      <c r="G61" s="171">
        <f>SUM(G25:G60)</f>
        <v>1431926.5692641877</v>
      </c>
      <c r="H61" s="186">
        <f t="shared" si="6"/>
        <v>0.2526306920161745</v>
      </c>
      <c r="I61" s="609"/>
      <c r="J61" s="168"/>
      <c r="K61" s="168"/>
      <c r="L61" s="238"/>
      <c r="M61" s="364">
        <f>G61/G$228</f>
        <v>64.117072012904117</v>
      </c>
      <c r="N61" s="359">
        <f>SUMMARY!J64</f>
        <v>53.728790309602623</v>
      </c>
      <c r="O61" s="354">
        <f>M61/N61-1</f>
        <v>0.19334665164506526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610"/>
      <c r="J62" s="168"/>
      <c r="K62" s="168"/>
      <c r="L62" s="23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610"/>
      <c r="J63" s="168"/>
      <c r="K63" s="168"/>
      <c r="L63" s="23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'[41]Sch C'!D57</f>
        <v>417630</v>
      </c>
      <c r="D64" s="558">
        <f>'[41]Sch C'!F57</f>
        <v>-417630</v>
      </c>
      <c r="E64" s="171">
        <f t="shared" ref="E64:E78" si="9">C64+D64</f>
        <v>0</v>
      </c>
      <c r="F64" s="171">
        <v>5150</v>
      </c>
      <c r="G64" s="171">
        <f t="shared" ref="G64:G78" si="10">E64+F64</f>
        <v>5150</v>
      </c>
      <c r="H64" s="172">
        <f t="shared" ref="H64:H79" si="11">IF($G$208=0,0,G64/$G$208)</f>
        <v>9.0859970881876817E-4</v>
      </c>
      <c r="I64" s="608"/>
      <c r="J64" s="190"/>
      <c r="K64" s="168"/>
      <c r="L64" s="238"/>
      <c r="M64" s="359">
        <f t="shared" ref="M64:M79" si="12">G64/G$228</f>
        <v>0.23060045672323468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'[41]Sch C'!D58</f>
        <v>43096</v>
      </c>
      <c r="D65" s="558">
        <f>'[41]Sch C'!F58</f>
        <v>152080</v>
      </c>
      <c r="E65" s="171">
        <f t="shared" si="9"/>
        <v>195176</v>
      </c>
      <c r="F65" s="171">
        <v>39098</v>
      </c>
      <c r="G65" s="171">
        <f t="shared" si="10"/>
        <v>234274</v>
      </c>
      <c r="H65" s="172">
        <f t="shared" si="11"/>
        <v>4.1332288967729731E-2</v>
      </c>
      <c r="I65" s="608"/>
      <c r="J65" s="190"/>
      <c r="K65" s="168"/>
      <c r="L65" s="238"/>
      <c r="M65" s="359">
        <f t="shared" si="12"/>
        <v>10.490037164733803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'[41]Sch C'!D59</f>
        <v>0</v>
      </c>
      <c r="D66" s="558">
        <f>'[41]Sch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608"/>
      <c r="J66" s="190"/>
      <c r="K66" s="168"/>
      <c r="L66" s="23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'[41]Sch C'!D60</f>
        <v>28058</v>
      </c>
      <c r="D67" s="558">
        <f>'[41]Sch C'!F60</f>
        <v>0</v>
      </c>
      <c r="E67" s="171">
        <f t="shared" si="9"/>
        <v>28058</v>
      </c>
      <c r="F67" s="171">
        <v>5653</v>
      </c>
      <c r="G67" s="171">
        <f t="shared" si="10"/>
        <v>33711</v>
      </c>
      <c r="H67" s="172">
        <f t="shared" si="11"/>
        <v>5.9475349095125234E-3</v>
      </c>
      <c r="I67" s="608"/>
      <c r="J67" s="193"/>
      <c r="K67" s="168"/>
      <c r="L67" s="238"/>
      <c r="M67" s="359">
        <f t="shared" si="12"/>
        <v>1.5094702906013522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'[41]Sch C'!D61</f>
        <v>6453</v>
      </c>
      <c r="D68" s="558">
        <f>'[41]Sch C'!F61</f>
        <v>0</v>
      </c>
      <c r="E68" s="171">
        <f t="shared" si="9"/>
        <v>6453</v>
      </c>
      <c r="F68" s="171">
        <v>1209</v>
      </c>
      <c r="G68" s="171">
        <f t="shared" si="10"/>
        <v>7662</v>
      </c>
      <c r="H68" s="172">
        <f t="shared" si="11"/>
        <v>1.3517846541688159E-3</v>
      </c>
      <c r="I68" s="608"/>
      <c r="J68" s="193"/>
      <c r="K68" s="168"/>
      <c r="L68" s="238"/>
      <c r="M68" s="359">
        <f t="shared" si="12"/>
        <v>0.34307974745891728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'[41]Sch C'!D62</f>
        <v>521</v>
      </c>
      <c r="D69" s="558">
        <f>'[41]Sch C'!F62</f>
        <v>0</v>
      </c>
      <c r="E69" s="171">
        <f t="shared" si="9"/>
        <v>521</v>
      </c>
      <c r="F69" s="171">
        <v>104</v>
      </c>
      <c r="G69" s="171">
        <f t="shared" si="10"/>
        <v>625</v>
      </c>
      <c r="H69" s="172">
        <f t="shared" si="11"/>
        <v>1.1026695495373401E-4</v>
      </c>
      <c r="I69" s="608"/>
      <c r="J69" s="195"/>
      <c r="K69" s="168"/>
      <c r="L69" s="238"/>
      <c r="M69" s="359">
        <f t="shared" si="12"/>
        <v>2.7985492320780906E-2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'[41]Sch C'!D63</f>
        <v>0</v>
      </c>
      <c r="D70" s="558">
        <f>'[41]Sch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608"/>
      <c r="J70" s="195"/>
      <c r="K70" s="168"/>
      <c r="L70" s="23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'[41]Sch C'!D64</f>
        <v>0</v>
      </c>
      <c r="D71" s="558">
        <f>'[41]Sch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608"/>
      <c r="J71" s="195"/>
      <c r="K71" s="168"/>
      <c r="L71" s="23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'[41]Sch C'!D65</f>
        <v>3811</v>
      </c>
      <c r="D72" s="558">
        <f>'[41]Sch C'!F65</f>
        <v>0</v>
      </c>
      <c r="E72" s="171">
        <f t="shared" si="9"/>
        <v>3811</v>
      </c>
      <c r="F72" s="171">
        <v>797</v>
      </c>
      <c r="G72" s="171">
        <f t="shared" si="10"/>
        <v>4608</v>
      </c>
      <c r="H72" s="172">
        <f t="shared" si="11"/>
        <v>8.1297620548289012E-4</v>
      </c>
      <c r="I72" s="608"/>
      <c r="J72" s="195"/>
      <c r="K72" s="168"/>
      <c r="L72" s="238"/>
      <c r="M72" s="359">
        <f t="shared" si="12"/>
        <v>0.20633143778265348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'[41]Sch C'!D66</f>
        <v>18487</v>
      </c>
      <c r="D73" s="558">
        <f>'[41]Sch C'!F66</f>
        <v>0</v>
      </c>
      <c r="E73" s="171">
        <f t="shared" si="9"/>
        <v>18487</v>
      </c>
      <c r="F73" s="171">
        <v>2674</v>
      </c>
      <c r="G73" s="171">
        <f t="shared" si="10"/>
        <v>21161</v>
      </c>
      <c r="H73" s="172">
        <f t="shared" si="11"/>
        <v>3.7333744540415446E-3</v>
      </c>
      <c r="I73" s="608"/>
      <c r="J73" s="195"/>
      <c r="K73" s="168"/>
      <c r="L73" s="238"/>
      <c r="M73" s="359">
        <f t="shared" si="12"/>
        <v>0.94752160480007164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'[41]Sch C'!D67</f>
        <v>57377</v>
      </c>
      <c r="D74" s="558">
        <f>'[41]Sch C'!F67</f>
        <v>33843</v>
      </c>
      <c r="E74" s="171">
        <f t="shared" si="9"/>
        <v>91220</v>
      </c>
      <c r="F74" s="171">
        <v>16804</v>
      </c>
      <c r="G74" s="171">
        <f t="shared" si="10"/>
        <v>108024</v>
      </c>
      <c r="H74" s="172">
        <f t="shared" si="11"/>
        <v>1.9058364067075461E-2</v>
      </c>
      <c r="I74" s="608"/>
      <c r="J74" s="195"/>
      <c r="K74" s="168"/>
      <c r="L74" s="238"/>
      <c r="M74" s="359">
        <f t="shared" si="12"/>
        <v>4.8369677159360585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'[41]Sch C'!D68</f>
        <v>0</v>
      </c>
      <c r="D75" s="558">
        <f>'[41]Sch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608"/>
      <c r="J75" s="195"/>
      <c r="K75" s="168"/>
      <c r="L75" s="23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'[41]Sch C'!D69</f>
        <v>5019</v>
      </c>
      <c r="D76" s="558">
        <f>'[41]Sch C'!F69</f>
        <v>0</v>
      </c>
      <c r="E76" s="171">
        <f t="shared" si="9"/>
        <v>5019</v>
      </c>
      <c r="F76" s="171">
        <v>1035</v>
      </c>
      <c r="G76" s="171">
        <f t="shared" si="10"/>
        <v>6054</v>
      </c>
      <c r="H76" s="172">
        <f t="shared" si="11"/>
        <v>1.0680898324638491E-3</v>
      </c>
      <c r="I76" s="608"/>
      <c r="J76" s="195"/>
      <c r="K76" s="168"/>
      <c r="L76" s="238"/>
      <c r="M76" s="359">
        <f t="shared" si="12"/>
        <v>0.27107867281601217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'[41]Sch C'!D70</f>
        <v>0</v>
      </c>
      <c r="D77" s="558">
        <f>'[41]Sch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608"/>
      <c r="J77" s="195"/>
      <c r="K77" s="168"/>
      <c r="L77" s="23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'[41]Sch C'!D71</f>
        <v>0</v>
      </c>
      <c r="D78" s="558">
        <f>'[41]Sch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608"/>
      <c r="J78" s="195"/>
      <c r="K78" s="168"/>
      <c r="L78" s="23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580452</v>
      </c>
      <c r="D79" s="558">
        <f>SUM(D64:D78)</f>
        <v>-231707</v>
      </c>
      <c r="E79" s="171">
        <f t="shared" ref="E79:F79" si="13">SUM(E64:E78)</f>
        <v>348745</v>
      </c>
      <c r="F79" s="171">
        <f t="shared" si="13"/>
        <v>72524</v>
      </c>
      <c r="G79" s="171">
        <f>SUM(G64:G78)</f>
        <v>421269</v>
      </c>
      <c r="H79" s="172">
        <f t="shared" si="11"/>
        <v>7.4323279754247309E-2</v>
      </c>
      <c r="I79" s="608"/>
      <c r="J79" s="195"/>
      <c r="K79" s="168"/>
      <c r="L79" s="238"/>
      <c r="M79" s="359">
        <f t="shared" si="12"/>
        <v>18.863072583172883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608"/>
      <c r="J80" s="168"/>
      <c r="K80" s="168"/>
      <c r="L80" s="23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93"/>
      <c r="J81" s="168"/>
      <c r="K81" s="168"/>
      <c r="L81" s="23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'[41]Sch C'!D75</f>
        <v>27965</v>
      </c>
      <c r="D82" s="558">
        <f>'[41]Sch C'!F75</f>
        <v>1775</v>
      </c>
      <c r="E82" s="171">
        <f t="shared" ref="E82:E92" si="14">C82+D82</f>
        <v>29740</v>
      </c>
      <c r="F82" s="171">
        <v>4923</v>
      </c>
      <c r="G82" s="171">
        <f t="shared" ref="G82:G92" si="15">E82+F82</f>
        <v>34663</v>
      </c>
      <c r="H82" s="172">
        <f t="shared" ref="H82:H93" si="16">IF($G$208=0,0,G82/$G$208)</f>
        <v>6.1154935352980512E-3</v>
      </c>
      <c r="I82" s="608"/>
      <c r="J82" s="183">
        <f>1653+274</f>
        <v>1927</v>
      </c>
      <c r="K82" s="183">
        <f>1758+291</f>
        <v>2049</v>
      </c>
      <c r="L82" s="238"/>
      <c r="M82" s="359">
        <f t="shared" ref="M82:M92" si="17">G82/G$228</f>
        <v>1.5520977925043657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'[41]Sch C'!D76</f>
        <v>0</v>
      </c>
      <c r="D83" s="558">
        <f>'[41]Sch C'!F76</f>
        <v>3539</v>
      </c>
      <c r="E83" s="171">
        <f t="shared" si="14"/>
        <v>3539</v>
      </c>
      <c r="F83" s="171">
        <v>608</v>
      </c>
      <c r="G83" s="171">
        <f t="shared" si="15"/>
        <v>4147</v>
      </c>
      <c r="H83" s="172">
        <f t="shared" si="16"/>
        <v>7.3164329950901592E-4</v>
      </c>
      <c r="I83" s="608"/>
      <c r="J83" s="168"/>
      <c r="K83" s="168"/>
      <c r="L83" s="238"/>
      <c r="M83" s="359">
        <f t="shared" si="17"/>
        <v>0.18568933864684548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'[41]Sch C'!D77</f>
        <v>15729</v>
      </c>
      <c r="D84" s="558">
        <f>'[41]Sch C'!F77</f>
        <v>0</v>
      </c>
      <c r="E84" s="171">
        <f t="shared" si="14"/>
        <v>15729</v>
      </c>
      <c r="F84" s="171">
        <v>2785</v>
      </c>
      <c r="G84" s="171">
        <f t="shared" si="15"/>
        <v>18514</v>
      </c>
      <c r="H84" s="172">
        <f t="shared" si="16"/>
        <v>3.2663718464214903E-3</v>
      </c>
      <c r="I84" s="608"/>
      <c r="J84" s="168"/>
      <c r="K84" s="168"/>
      <c r="L84" s="238"/>
      <c r="M84" s="359">
        <f t="shared" si="17"/>
        <v>0.82899744772310036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'[41]Sch C'!D78</f>
        <v>0</v>
      </c>
      <c r="D85" s="558">
        <f>'[41]Sch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608"/>
      <c r="J85" s="168"/>
      <c r="K85" s="168"/>
      <c r="L85" s="23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'[41]Sch C'!D79</f>
        <v>5208</v>
      </c>
      <c r="D86" s="558">
        <f>'[41]Sch C'!F79</f>
        <v>0</v>
      </c>
      <c r="E86" s="171">
        <f t="shared" si="14"/>
        <v>5208</v>
      </c>
      <c r="F86" s="171">
        <v>964</v>
      </c>
      <c r="G86" s="171">
        <f>E86+F86</f>
        <v>6172</v>
      </c>
      <c r="H86" s="172">
        <f t="shared" si="16"/>
        <v>1.0889082335591141E-3</v>
      </c>
      <c r="I86" s="608"/>
      <c r="J86" s="168"/>
      <c r="K86" s="168"/>
      <c r="L86" s="238"/>
      <c r="M86" s="359">
        <f t="shared" si="17"/>
        <v>0.27636233376617564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'[41]Sch C'!D80</f>
        <v>15398</v>
      </c>
      <c r="D87" s="558">
        <f>'[41]Sch C'!F80</f>
        <v>0</v>
      </c>
      <c r="E87" s="171">
        <f t="shared" si="14"/>
        <v>15398</v>
      </c>
      <c r="F87" s="171">
        <v>3343</v>
      </c>
      <c r="G87" s="171">
        <f t="shared" si="15"/>
        <v>18741</v>
      </c>
      <c r="H87" s="172">
        <f t="shared" si="16"/>
        <v>3.3064208044606865E-3</v>
      </c>
      <c r="I87" s="608"/>
      <c r="J87" s="168"/>
      <c r="K87" s="168"/>
      <c r="L87" s="238"/>
      <c r="M87" s="359">
        <f t="shared" si="17"/>
        <v>0.83916177853400797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'[41]Sch C'!D81</f>
        <v>2192</v>
      </c>
      <c r="D88" s="558">
        <f>'[41]Sch C'!F81</f>
        <v>0</v>
      </c>
      <c r="E88" s="171">
        <f t="shared" si="14"/>
        <v>2192</v>
      </c>
      <c r="F88" s="171">
        <v>160</v>
      </c>
      <c r="G88" s="171">
        <f t="shared" si="15"/>
        <v>2352</v>
      </c>
      <c r="H88" s="172">
        <f t="shared" si="16"/>
        <v>4.1495660488189182E-4</v>
      </c>
      <c r="I88" s="608"/>
      <c r="J88" s="168"/>
      <c r="K88" s="168"/>
      <c r="L88" s="238"/>
      <c r="M88" s="359">
        <f t="shared" si="17"/>
        <v>0.10531500470156271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'[41]Sch C'!D82</f>
        <v>561</v>
      </c>
      <c r="D89" s="558">
        <f>'[41]Sch C'!F82</f>
        <v>0</v>
      </c>
      <c r="E89" s="171">
        <f t="shared" si="14"/>
        <v>561</v>
      </c>
      <c r="F89" s="171">
        <v>0</v>
      </c>
      <c r="G89" s="171">
        <f t="shared" si="15"/>
        <v>561</v>
      </c>
      <c r="H89" s="172">
        <f t="shared" si="16"/>
        <v>9.8975618766471648E-5</v>
      </c>
      <c r="I89" s="608"/>
      <c r="J89" s="168"/>
      <c r="K89" s="168"/>
      <c r="L89" s="238"/>
      <c r="M89" s="359">
        <f t="shared" si="17"/>
        <v>2.5119777907132941E-2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'[41]Sch C'!D83</f>
        <v>0</v>
      </c>
      <c r="D90" s="558">
        <f>'[41]Sch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608"/>
      <c r="J90" s="168"/>
      <c r="K90" s="168"/>
      <c r="L90" s="23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'[41]Sch C'!D84</f>
        <v>98638</v>
      </c>
      <c r="D91" s="558">
        <f>'[41]Sch C'!F84</f>
        <v>0</v>
      </c>
      <c r="E91" s="171">
        <f t="shared" si="14"/>
        <v>98638</v>
      </c>
      <c r="F91" s="171">
        <v>18044</v>
      </c>
      <c r="G91" s="171">
        <f t="shared" si="15"/>
        <v>116682</v>
      </c>
      <c r="H91" s="172">
        <f t="shared" si="16"/>
        <v>2.0585870140658546E-2</v>
      </c>
      <c r="I91" s="608"/>
      <c r="J91" s="168"/>
      <c r="K91" s="168"/>
      <c r="L91" s="238"/>
      <c r="M91" s="359">
        <f t="shared" si="17"/>
        <v>5.2246451439573729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'[41]Sch C'!D85</f>
        <v>0</v>
      </c>
      <c r="D92" s="558">
        <f>'[41]Sch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608"/>
      <c r="J92" s="168"/>
      <c r="K92" s="168"/>
      <c r="L92" s="23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165691</v>
      </c>
      <c r="D93" s="558">
        <f>SUM(D82:D92)</f>
        <v>5314</v>
      </c>
      <c r="E93" s="171">
        <f t="shared" ref="E93:F93" si="18">SUM(E82:E92)</f>
        <v>171005</v>
      </c>
      <c r="F93" s="171">
        <f t="shared" si="18"/>
        <v>30827</v>
      </c>
      <c r="G93" s="171">
        <f>SUM(G82:G92)</f>
        <v>201832</v>
      </c>
      <c r="H93" s="172">
        <f t="shared" si="16"/>
        <v>3.5608640083555271E-2</v>
      </c>
      <c r="I93" s="608"/>
      <c r="J93" s="168"/>
      <c r="K93" s="168"/>
      <c r="L93" s="238"/>
      <c r="M93" s="364">
        <f>G93/G$228</f>
        <v>9.0373886177405627</v>
      </c>
      <c r="N93" s="359">
        <f>SUMMARY!J96</f>
        <v>11.458724454710746</v>
      </c>
      <c r="O93" s="354">
        <f>M93/N93-1</f>
        <v>-0.21130936925311594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493"/>
      <c r="J94" s="168"/>
      <c r="K94" s="168"/>
      <c r="L94" s="23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93"/>
      <c r="J95" s="168"/>
      <c r="K95" s="168"/>
      <c r="L95" s="23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'[41]Sch C'!D89</f>
        <v>124241</v>
      </c>
      <c r="D96" s="558">
        <f>'[41]Sch C'!F89</f>
        <v>7886</v>
      </c>
      <c r="E96" s="171">
        <f t="shared" ref="E96:E101" si="19">C96+D96</f>
        <v>132127</v>
      </c>
      <c r="F96" s="171">
        <v>25462</v>
      </c>
      <c r="G96" s="171">
        <f t="shared" ref="G96:G101" si="20">E96+F96</f>
        <v>157589</v>
      </c>
      <c r="H96" s="172">
        <f t="shared" ref="H96:H102" si="21">IF($G$208=0,0,G96/$G$208)</f>
        <v>2.7802974662726382E-2</v>
      </c>
      <c r="I96" s="608"/>
      <c r="J96" s="183">
        <f>11388+2201</f>
        <v>13589</v>
      </c>
      <c r="K96" s="183">
        <f>12111+2334</f>
        <v>14445</v>
      </c>
      <c r="L96" s="238"/>
      <c r="M96" s="364">
        <f t="shared" ref="M96:M101" si="22">G96/G$228</f>
        <v>7.0563291989432679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'[41]Sch C'!D90</f>
        <v>0</v>
      </c>
      <c r="D97" s="558">
        <f>'[41]Sch C'!F90</f>
        <v>15723</v>
      </c>
      <c r="E97" s="171">
        <f t="shared" si="19"/>
        <v>15723</v>
      </c>
      <c r="F97" s="171">
        <v>3144</v>
      </c>
      <c r="G97" s="171">
        <f t="shared" si="20"/>
        <v>18867</v>
      </c>
      <c r="H97" s="172">
        <f t="shared" si="21"/>
        <v>3.328650622579359E-3</v>
      </c>
      <c r="I97" s="608"/>
      <c r="J97" s="168"/>
      <c r="K97" s="168"/>
      <c r="L97" s="238"/>
      <c r="M97" s="364">
        <f t="shared" si="22"/>
        <v>0.84480365378587741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'[41]Sch C'!D91</f>
        <v>18909</v>
      </c>
      <c r="D98" s="558">
        <f>'[41]Sch C'!F91</f>
        <v>0</v>
      </c>
      <c r="E98" s="171">
        <f t="shared" si="19"/>
        <v>18909</v>
      </c>
      <c r="F98" s="171">
        <v>3220</v>
      </c>
      <c r="G98" s="171">
        <f t="shared" si="20"/>
        <v>22129</v>
      </c>
      <c r="H98" s="172">
        <f t="shared" si="21"/>
        <v>3.9041559138738879E-3</v>
      </c>
      <c r="I98" s="608"/>
      <c r="J98" s="168"/>
      <c r="K98" s="168"/>
      <c r="L98" s="238"/>
      <c r="M98" s="364">
        <f t="shared" si="22"/>
        <v>0.99086553530649712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'[41]Sch C'!D92</f>
        <v>110942</v>
      </c>
      <c r="D99" s="558">
        <f>'[41]Sch C'!F92</f>
        <v>0</v>
      </c>
      <c r="E99" s="171">
        <f t="shared" si="19"/>
        <v>110942</v>
      </c>
      <c r="F99" s="171">
        <v>21341</v>
      </c>
      <c r="G99" s="171">
        <f t="shared" si="20"/>
        <v>132283</v>
      </c>
      <c r="H99" s="172">
        <f t="shared" si="21"/>
        <v>2.3338309763431674E-2</v>
      </c>
      <c r="I99" s="608"/>
      <c r="J99" s="168"/>
      <c r="K99" s="168"/>
      <c r="L99" s="238"/>
      <c r="M99" s="364">
        <f t="shared" si="22"/>
        <v>5.9232078090717772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'[41]Sch C'!D93</f>
        <v>10810</v>
      </c>
      <c r="D100" s="558">
        <f>'[41]Sch C'!F93</f>
        <v>0</v>
      </c>
      <c r="E100" s="171">
        <f t="shared" si="19"/>
        <v>10810</v>
      </c>
      <c r="F100" s="171">
        <v>1988</v>
      </c>
      <c r="G100" s="171">
        <f t="shared" si="20"/>
        <v>12798</v>
      </c>
      <c r="H100" s="172">
        <f t="shared" si="21"/>
        <v>2.2579143831966205E-3</v>
      </c>
      <c r="I100" s="608"/>
      <c r="J100" s="168"/>
      <c r="K100" s="168"/>
      <c r="L100" s="238"/>
      <c r="M100" s="364">
        <f t="shared" si="22"/>
        <v>0.57305332915416651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'[41]Sch C'!D94</f>
        <v>0</v>
      </c>
      <c r="D101" s="558">
        <f>'[41]Sch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608"/>
      <c r="J101" s="168"/>
      <c r="K101" s="168"/>
      <c r="L101" s="23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264902</v>
      </c>
      <c r="D102" s="558">
        <f>SUM(D96:D101)</f>
        <v>23609</v>
      </c>
      <c r="E102" s="171">
        <f t="shared" ref="E102:F102" si="23">SUM(E96:E101)</f>
        <v>288511</v>
      </c>
      <c r="F102" s="171">
        <f t="shared" si="23"/>
        <v>55155</v>
      </c>
      <c r="G102" s="171">
        <f>SUM(G96:G101)</f>
        <v>343666</v>
      </c>
      <c r="H102" s="172">
        <f t="shared" si="21"/>
        <v>6.063200534580792E-2</v>
      </c>
      <c r="I102" s="608"/>
      <c r="J102" s="168"/>
      <c r="K102" s="168"/>
      <c r="L102" s="238"/>
      <c r="M102" s="364">
        <f>G102/G$228</f>
        <v>15.388259526261585</v>
      </c>
      <c r="N102" s="359">
        <f>SUMMARY!J105</f>
        <v>19.901077037785338</v>
      </c>
      <c r="O102" s="354">
        <f>M102/N102-1</f>
        <v>-0.22676247637027158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493"/>
      <c r="J103" s="168"/>
      <c r="K103" s="168"/>
      <c r="L103" s="23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93"/>
      <c r="J104" s="168"/>
      <c r="K104" s="168"/>
      <c r="L104" s="23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'[41]Sch C'!D98</f>
        <v>0</v>
      </c>
      <c r="D105" s="558">
        <f>'[41]Sch C'!F98</f>
        <v>0</v>
      </c>
      <c r="E105" s="171">
        <f t="shared" ref="E105:E110" si="24">C105+D105</f>
        <v>0</v>
      </c>
      <c r="F105" s="171">
        <v>0</v>
      </c>
      <c r="G105" s="171">
        <f t="shared" ref="G105:G110" si="25">E105+F105</f>
        <v>0</v>
      </c>
      <c r="H105" s="172">
        <f t="shared" ref="H105:H111" si="26">IF($G$208=0,0,G105/$G$208)</f>
        <v>0</v>
      </c>
      <c r="I105" s="608"/>
      <c r="J105" s="183">
        <v>0</v>
      </c>
      <c r="K105" s="183">
        <v>0</v>
      </c>
      <c r="L105" s="238"/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'[41]Sch C'!D99</f>
        <v>0</v>
      </c>
      <c r="D106" s="558">
        <f>'[41]Sch C'!F99</f>
        <v>0</v>
      </c>
      <c r="E106" s="171">
        <f t="shared" si="24"/>
        <v>0</v>
      </c>
      <c r="F106" s="171">
        <v>0</v>
      </c>
      <c r="G106" s="171">
        <f t="shared" si="25"/>
        <v>0</v>
      </c>
      <c r="H106" s="172">
        <f t="shared" si="26"/>
        <v>0</v>
      </c>
      <c r="I106" s="608"/>
      <c r="J106" s="168"/>
      <c r="K106" s="168"/>
      <c r="L106" s="23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'[41]Sch C'!D100</f>
        <v>298</v>
      </c>
      <c r="D107" s="558">
        <f>'[41]Sch C'!F100</f>
        <v>0</v>
      </c>
      <c r="E107" s="171">
        <f t="shared" si="24"/>
        <v>298</v>
      </c>
      <c r="F107" s="171">
        <v>115</v>
      </c>
      <c r="G107" s="171">
        <f t="shared" si="25"/>
        <v>413</v>
      </c>
      <c r="H107" s="172">
        <f t="shared" si="26"/>
        <v>7.2864403833427431E-5</v>
      </c>
      <c r="I107" s="608"/>
      <c r="J107" s="168"/>
      <c r="K107" s="168"/>
      <c r="L107" s="238"/>
      <c r="M107" s="364">
        <f t="shared" si="27"/>
        <v>1.8492813325572025E-2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'[41]Sch C'!D101</f>
        <v>48477</v>
      </c>
      <c r="D108" s="558">
        <f>'[41]Sch C'!F101</f>
        <v>0</v>
      </c>
      <c r="E108" s="171">
        <f t="shared" si="24"/>
        <v>48477</v>
      </c>
      <c r="F108" s="171">
        <v>9596</v>
      </c>
      <c r="G108" s="171">
        <f t="shared" si="25"/>
        <v>58073</v>
      </c>
      <c r="H108" s="172">
        <f t="shared" si="26"/>
        <v>1.0245652600045112E-2</v>
      </c>
      <c r="I108" s="608"/>
      <c r="J108" s="168"/>
      <c r="K108" s="168"/>
      <c r="L108" s="238"/>
      <c r="M108" s="364">
        <f t="shared" si="27"/>
        <v>2.6003223928715355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'[41]Sch C'!D102</f>
        <v>750</v>
      </c>
      <c r="D109" s="558">
        <f>'[41]Sch C'!F102</f>
        <v>0</v>
      </c>
      <c r="E109" s="171">
        <f t="shared" si="24"/>
        <v>750</v>
      </c>
      <c r="F109" s="171">
        <v>552</v>
      </c>
      <c r="G109" s="171">
        <f t="shared" si="25"/>
        <v>1302</v>
      </c>
      <c r="H109" s="172">
        <f t="shared" si="26"/>
        <v>2.2970812055961867E-4</v>
      </c>
      <c r="I109" s="608"/>
      <c r="J109" s="168"/>
      <c r="K109" s="168"/>
      <c r="L109" s="238"/>
      <c r="M109" s="364">
        <f t="shared" si="27"/>
        <v>5.8299377602650783E-2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'[41]Sch C'!D103</f>
        <v>0</v>
      </c>
      <c r="D110" s="558">
        <f>'[41]Sch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608"/>
      <c r="J110" s="168"/>
      <c r="K110" s="168"/>
      <c r="L110" s="23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49525</v>
      </c>
      <c r="D111" s="558">
        <f>SUM(D105:D110)</f>
        <v>0</v>
      </c>
      <c r="E111" s="171">
        <f t="shared" ref="E111:F111" si="28">SUM(E105:E110)</f>
        <v>49525</v>
      </c>
      <c r="F111" s="171">
        <f t="shared" si="28"/>
        <v>10263</v>
      </c>
      <c r="G111" s="171">
        <f>SUM(G105:G110)</f>
        <v>59788</v>
      </c>
      <c r="H111" s="172">
        <f t="shared" si="26"/>
        <v>1.0548225124438157E-2</v>
      </c>
      <c r="I111" s="608"/>
      <c r="J111" s="168"/>
      <c r="K111" s="168"/>
      <c r="L111" s="238"/>
      <c r="M111" s="364">
        <f>G111/G$228</f>
        <v>2.6771145837997583</v>
      </c>
      <c r="N111" s="359">
        <f>SUMMARY!J114</f>
        <v>2.4242384372309496</v>
      </c>
      <c r="O111" s="354">
        <f>M111/N111-1</f>
        <v>0.10431158201486679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493"/>
      <c r="J112" s="168"/>
      <c r="K112" s="168"/>
      <c r="L112" s="23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93"/>
      <c r="J113" s="168"/>
      <c r="K113" s="168"/>
      <c r="L113" s="23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'[41]Sch C'!D115</f>
        <v>0</v>
      </c>
      <c r="D114" s="558">
        <f>'[41]Sch C'!F115</f>
        <v>0</v>
      </c>
      <c r="E114" s="171">
        <f t="shared" ref="E114:E118" si="29">C114+D114</f>
        <v>0</v>
      </c>
      <c r="F114" s="171">
        <v>0</v>
      </c>
      <c r="G114" s="171">
        <f>E114+F114</f>
        <v>0</v>
      </c>
      <c r="H114" s="172">
        <f t="shared" ref="H114:H119" si="30">IF($G$208=0,0,G114/$G$208)</f>
        <v>0</v>
      </c>
      <c r="I114" s="608"/>
      <c r="J114" s="183">
        <v>0</v>
      </c>
      <c r="K114" s="183">
        <v>0</v>
      </c>
      <c r="L114" s="238"/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'[41]Sch C'!D116</f>
        <v>0</v>
      </c>
      <c r="D115" s="558">
        <f>'[41]Sch C'!F116</f>
        <v>0</v>
      </c>
      <c r="E115" s="171">
        <f t="shared" si="29"/>
        <v>0</v>
      </c>
      <c r="F115" s="171">
        <v>0</v>
      </c>
      <c r="G115" s="171">
        <f>E115+F115</f>
        <v>0</v>
      </c>
      <c r="H115" s="172">
        <f t="shared" si="30"/>
        <v>0</v>
      </c>
      <c r="I115" s="608"/>
      <c r="J115" s="168"/>
      <c r="K115" s="168"/>
      <c r="L115" s="23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'[41]Sch C'!D117</f>
        <v>2644</v>
      </c>
      <c r="D116" s="558">
        <f>'[41]Sch C'!F117</f>
        <v>0</v>
      </c>
      <c r="E116" s="171">
        <f t="shared" si="29"/>
        <v>2644</v>
      </c>
      <c r="F116" s="171">
        <v>405</v>
      </c>
      <c r="G116" s="171">
        <f>E116+F116</f>
        <v>3049</v>
      </c>
      <c r="H116" s="172">
        <f t="shared" si="30"/>
        <v>5.3792631304629601E-4</v>
      </c>
      <c r="I116" s="608"/>
      <c r="J116" s="168"/>
      <c r="K116" s="168"/>
      <c r="L116" s="238"/>
      <c r="M116" s="364">
        <f t="shared" si="31"/>
        <v>0.13652442573769757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'[41]Sch C'!D118</f>
        <v>73840</v>
      </c>
      <c r="D117" s="558">
        <f>'[41]Sch C'!F118</f>
        <v>0</v>
      </c>
      <c r="E117" s="171">
        <f t="shared" si="29"/>
        <v>73840</v>
      </c>
      <c r="F117" s="171">
        <v>14395</v>
      </c>
      <c r="G117" s="171">
        <f>E117+F117</f>
        <v>88235</v>
      </c>
      <c r="H117" s="172">
        <f t="shared" si="30"/>
        <v>1.5567047632548353E-2</v>
      </c>
      <c r="I117" s="608"/>
      <c r="J117" s="168"/>
      <c r="K117" s="168"/>
      <c r="L117" s="238"/>
      <c r="M117" s="364">
        <f t="shared" si="31"/>
        <v>3.9508798638785652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'[41]Sch C'!D119</f>
        <v>0</v>
      </c>
      <c r="D118" s="558">
        <f>'[41]Sch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608"/>
      <c r="J118" s="168"/>
      <c r="K118" s="168"/>
      <c r="L118" s="23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76484</v>
      </c>
      <c r="D119" s="558">
        <f>SUM(D114:D118)</f>
        <v>0</v>
      </c>
      <c r="E119" s="171">
        <f t="shared" ref="E119:F119" si="32">SUM(E114:E118)</f>
        <v>76484</v>
      </c>
      <c r="F119" s="171">
        <f t="shared" si="32"/>
        <v>14800</v>
      </c>
      <c r="G119" s="171">
        <f>SUM(G114:G118)</f>
        <v>91284</v>
      </c>
      <c r="H119" s="172">
        <f t="shared" si="30"/>
        <v>1.6104973945594649E-2</v>
      </c>
      <c r="I119" s="608"/>
      <c r="J119" s="168"/>
      <c r="K119" s="168"/>
      <c r="L119" s="238"/>
      <c r="M119" s="364">
        <f t="shared" si="31"/>
        <v>4.0874042896162628</v>
      </c>
      <c r="N119" s="359">
        <f>SUMMARY!J122</f>
        <v>6.0247597205909562</v>
      </c>
      <c r="O119" s="354">
        <f>M119/N119-1</f>
        <v>-0.32156559279092078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608"/>
      <c r="J120" s="203"/>
      <c r="K120" s="203"/>
      <c r="L120" s="238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93"/>
      <c r="J121" s="204"/>
      <c r="K121" s="204"/>
      <c r="L121" s="238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93"/>
      <c r="J122" s="204"/>
      <c r="K122" s="204"/>
      <c r="L122" s="238"/>
      <c r="M122" s="359"/>
      <c r="N122" s="359"/>
      <c r="P122"/>
      <c r="Q122"/>
    </row>
    <row r="123" spans="1:17" s="167" customFormat="1">
      <c r="B123" s="163" t="s">
        <v>232</v>
      </c>
      <c r="C123" s="558">
        <f>'[41]Sch C'!D124</f>
        <v>0</v>
      </c>
      <c r="D123" s="558">
        <f>'[41]Sch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608"/>
      <c r="J123" s="183">
        <v>0</v>
      </c>
      <c r="K123" s="183">
        <v>0</v>
      </c>
      <c r="L123" s="238"/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'[41]Sch C'!D125</f>
        <v>148253</v>
      </c>
      <c r="D124" s="558">
        <f>'[41]Sch C'!F125</f>
        <v>9410</v>
      </c>
      <c r="E124" s="171">
        <f t="shared" si="33"/>
        <v>157663</v>
      </c>
      <c r="F124" s="171">
        <v>31318</v>
      </c>
      <c r="G124" s="171">
        <f>E124+F124</f>
        <v>188981</v>
      </c>
      <c r="H124" s="172">
        <f>IF($G$208=0,0,G124/$G$208)</f>
        <v>3.3341375062578567E-2</v>
      </c>
      <c r="I124" s="608"/>
      <c r="J124" s="183">
        <f>3612+720</f>
        <v>4332</v>
      </c>
      <c r="K124" s="183">
        <f>3841+763</f>
        <v>4604</v>
      </c>
      <c r="L124" s="238"/>
      <c r="M124" s="364">
        <f t="shared" si="34"/>
        <v>8.4619621188375937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'[41]Sch C'!D126</f>
        <v>49452</v>
      </c>
      <c r="D125" s="558">
        <f>'[41]Sch C'!F126</f>
        <v>3139</v>
      </c>
      <c r="E125" s="171">
        <f t="shared" si="33"/>
        <v>52591</v>
      </c>
      <c r="F125" s="171">
        <v>9396</v>
      </c>
      <c r="G125" s="171">
        <f>E125+F125</f>
        <v>61987</v>
      </c>
      <c r="H125" s="172">
        <f>IF($G$208=0,0,G125/$G$208)</f>
        <v>1.0936188378747377E-2</v>
      </c>
      <c r="I125" s="608"/>
      <c r="J125" s="183">
        <f>1640+294</f>
        <v>1934</v>
      </c>
      <c r="K125" s="183">
        <f>1744+312</f>
        <v>2056</v>
      </c>
      <c r="L125" s="238"/>
      <c r="M125" s="364">
        <f t="shared" si="34"/>
        <v>2.7755787399811935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'[41]Sch C'!D127</f>
        <v>0</v>
      </c>
      <c r="D126" s="558">
        <f>'[41]Sch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608"/>
      <c r="J126" s="183">
        <v>0</v>
      </c>
      <c r="K126" s="183">
        <v>0</v>
      </c>
      <c r="L126" s="238"/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'[41]Sch C'!D128</f>
        <v>20261</v>
      </c>
      <c r="D127" s="558">
        <f>'[41]Sch C'!F128</f>
        <v>1286</v>
      </c>
      <c r="E127" s="171">
        <f t="shared" si="33"/>
        <v>21547</v>
      </c>
      <c r="F127" s="171">
        <v>4622</v>
      </c>
      <c r="G127" s="171">
        <f>E127+F127</f>
        <v>26169</v>
      </c>
      <c r="H127" s="172">
        <f>IF($G$208=0,0,G127/$G$208)</f>
        <v>4.6169215106948245E-3</v>
      </c>
      <c r="I127" s="608"/>
      <c r="J127" s="183">
        <f>1350.73333333333+272</f>
        <v>1622.7333333333299</v>
      </c>
      <c r="K127" s="183">
        <f>1436.46666666667+289</f>
        <v>1725.4666666666701</v>
      </c>
      <c r="L127" s="238"/>
      <c r="M127" s="364">
        <f t="shared" si="34"/>
        <v>1.1717637576680249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611"/>
      <c r="J128" s="207"/>
      <c r="K128" s="207"/>
      <c r="L128" s="238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'[41]Sch C'!D130</f>
        <v>0</v>
      </c>
      <c r="D129" s="558">
        <f>'[41]Sch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608"/>
      <c r="J129" s="204"/>
      <c r="K129" s="204"/>
      <c r="L129" s="238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'[41]Sch C'!D131</f>
        <v>0</v>
      </c>
      <c r="D130" s="558">
        <f>'[41]Sch C'!F131</f>
        <v>18762</v>
      </c>
      <c r="E130" s="171">
        <f t="shared" si="35"/>
        <v>18762</v>
      </c>
      <c r="F130" s="171">
        <v>3866</v>
      </c>
      <c r="G130" s="171">
        <f>E130+F130</f>
        <v>22628</v>
      </c>
      <c r="H130" s="172">
        <f>IF($G$208=0,0,G130/$G$208)</f>
        <v>3.992193050708949E-3</v>
      </c>
      <c r="I130" s="608"/>
      <c r="J130" s="204"/>
      <c r="K130" s="204"/>
      <c r="L130" s="238"/>
      <c r="M130" s="364">
        <f t="shared" si="34"/>
        <v>1.0132091523754085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'[41]Sch C'!D132</f>
        <v>0</v>
      </c>
      <c r="D131" s="558">
        <f>'[41]Sch C'!F132</f>
        <v>6258</v>
      </c>
      <c r="E131" s="171">
        <f t="shared" si="35"/>
        <v>6258</v>
      </c>
      <c r="F131" s="171">
        <v>1160</v>
      </c>
      <c r="G131" s="171">
        <f>E131+F131</f>
        <v>7418</v>
      </c>
      <c r="H131" s="172">
        <f>IF($G$208=0,0,G131/$G$208)</f>
        <v>1.3087364349548781E-3</v>
      </c>
      <c r="I131" s="608"/>
      <c r="J131" s="168"/>
      <c r="K131" s="168"/>
      <c r="L131" s="238"/>
      <c r="M131" s="364">
        <f t="shared" si="34"/>
        <v>0.33215421125688444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'[41]Sch C'!D133</f>
        <v>0</v>
      </c>
      <c r="D132" s="558">
        <f>'[41]Sch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608"/>
      <c r="J132" s="168"/>
      <c r="K132" s="168"/>
      <c r="L132" s="23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'[41]Sch C'!D134</f>
        <v>0</v>
      </c>
      <c r="D133" s="558">
        <f>'[41]Sch C'!F134</f>
        <v>2564</v>
      </c>
      <c r="E133" s="171">
        <f t="shared" si="35"/>
        <v>2564</v>
      </c>
      <c r="F133" s="171">
        <v>571</v>
      </c>
      <c r="G133" s="171">
        <f>E133+F133</f>
        <v>3135</v>
      </c>
      <c r="H133" s="172">
        <f>IF($G$208=0,0,G133/$G$208)</f>
        <v>5.5309904604792983E-4</v>
      </c>
      <c r="I133" s="608"/>
      <c r="J133" s="168"/>
      <c r="K133" s="168"/>
      <c r="L133" s="238"/>
      <c r="M133" s="364">
        <f t="shared" si="34"/>
        <v>0.14037522948103703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08"/>
      <c r="J134" s="204"/>
      <c r="K134" s="204"/>
      <c r="L134" s="238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'[41]Sch C'!D136</f>
        <v>262760</v>
      </c>
      <c r="D135" s="558">
        <f>'[41]Sch C'!F136</f>
        <v>16677</v>
      </c>
      <c r="E135" s="171">
        <f t="shared" ref="E135:E138" si="36">C135+D135</f>
        <v>279437</v>
      </c>
      <c r="F135" s="171">
        <v>43927</v>
      </c>
      <c r="G135" s="171">
        <f>E135+F135</f>
        <v>323364</v>
      </c>
      <c r="H135" s="172">
        <f>IF($G$208=0,0,G135/$G$208)</f>
        <v>5.7050181794654792E-2</v>
      </c>
      <c r="I135" s="608"/>
      <c r="J135" s="183">
        <f>10325+1628</f>
        <v>11953</v>
      </c>
      <c r="K135" s="183">
        <f>10980+1726</f>
        <v>12706</v>
      </c>
      <c r="L135" s="238"/>
      <c r="M135" s="364">
        <f t="shared" si="34"/>
        <v>14.479201182107195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'[41]Sch C'!D137</f>
        <v>248862</v>
      </c>
      <c r="D136" s="558">
        <f>'[41]Sch C'!F137</f>
        <v>15795</v>
      </c>
      <c r="E136" s="171">
        <f t="shared" si="36"/>
        <v>264657</v>
      </c>
      <c r="F136" s="171">
        <v>65447</v>
      </c>
      <c r="G136" s="171">
        <f>E136+F136</f>
        <v>330104</v>
      </c>
      <c r="H136" s="172">
        <f>IF($G$208=0,0,G136/$G$208)</f>
        <v>5.8239300636875858E-2</v>
      </c>
      <c r="I136" s="608"/>
      <c r="J136" s="183">
        <f>11722+2908</f>
        <v>14630</v>
      </c>
      <c r="K136" s="183">
        <f>12466+3083</f>
        <v>15549</v>
      </c>
      <c r="L136" s="238"/>
      <c r="M136" s="364">
        <f t="shared" si="34"/>
        <v>14.780996731294497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'[41]Sch C'!D138</f>
        <v>541019</v>
      </c>
      <c r="D137" s="558">
        <f>'[41]Sch C'!F138</f>
        <v>34338</v>
      </c>
      <c r="E137" s="171">
        <f t="shared" si="36"/>
        <v>575357</v>
      </c>
      <c r="F137" s="171">
        <v>104538</v>
      </c>
      <c r="G137" s="171">
        <f>E137+F137</f>
        <v>679895</v>
      </c>
      <c r="H137" s="172">
        <f>IF($G$208=0,0,G137/$G$208)</f>
        <v>0.11995192214123038</v>
      </c>
      <c r="I137" s="608"/>
      <c r="J137" s="183">
        <f>42400+7727</f>
        <v>50127</v>
      </c>
      <c r="K137" s="183">
        <f>45091+8193</f>
        <v>53284</v>
      </c>
      <c r="L137" s="238"/>
      <c r="M137" s="364">
        <f t="shared" si="34"/>
        <v>30.443514082299735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'[41]Sch C'!D139</f>
        <v>40568</v>
      </c>
      <c r="D138" s="558">
        <f>'[41]Sch C'!F139</f>
        <v>2575</v>
      </c>
      <c r="E138" s="171">
        <f t="shared" si="36"/>
        <v>43143</v>
      </c>
      <c r="F138" s="171">
        <v>5859</v>
      </c>
      <c r="G138" s="171">
        <f>E138+F138</f>
        <v>49002</v>
      </c>
      <c r="H138" s="172">
        <f>IF($G$208=0,0,G138/$G$208)</f>
        <v>8.6452821226285989E-3</v>
      </c>
      <c r="I138" s="608"/>
      <c r="J138" s="183">
        <f>2486+339</f>
        <v>2825</v>
      </c>
      <c r="K138" s="183">
        <f>2644+359</f>
        <v>3003</v>
      </c>
      <c r="L138" s="238"/>
      <c r="M138" s="364">
        <f t="shared" si="34"/>
        <v>2.1941521515246496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08"/>
      <c r="J139" s="404"/>
      <c r="K139" s="404"/>
      <c r="L139" s="23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'[41]Sch C'!D141</f>
        <v>0</v>
      </c>
      <c r="D140" s="558">
        <f>'[41]Sch C'!F141</f>
        <v>33254</v>
      </c>
      <c r="E140" s="171">
        <f t="shared" ref="E140:E143" si="37">C140+D140</f>
        <v>33254</v>
      </c>
      <c r="F140" s="171">
        <v>5423</v>
      </c>
      <c r="G140" s="171">
        <f>E140+F140</f>
        <v>38677</v>
      </c>
      <c r="H140" s="172">
        <f>IF($G$208=0,0,G140/$G$208)</f>
        <v>6.8236720267929119E-3</v>
      </c>
      <c r="I140" s="608"/>
      <c r="J140" s="168"/>
      <c r="K140" s="168"/>
      <c r="L140" s="238"/>
      <c r="M140" s="364">
        <f t="shared" si="34"/>
        <v>1.7318318183853489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'[41]Sch C'!D142</f>
        <v>0</v>
      </c>
      <c r="D141" s="558">
        <f>'[41]Sch C'!F142</f>
        <v>31494</v>
      </c>
      <c r="E141" s="171">
        <f t="shared" si="37"/>
        <v>31494</v>
      </c>
      <c r="F141" s="171">
        <v>8080</v>
      </c>
      <c r="G141" s="171">
        <f>E141+F141</f>
        <v>39574</v>
      </c>
      <c r="H141" s="172">
        <f>IF($G$208=0,0,G141/$G$208)</f>
        <v>6.9819271605425113E-3</v>
      </c>
      <c r="I141" s="608"/>
      <c r="J141" s="168"/>
      <c r="K141" s="168"/>
      <c r="L141" s="238"/>
      <c r="M141" s="364">
        <f t="shared" si="34"/>
        <v>1.7719965969641338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'[41]Sch C'!D143</f>
        <v>0</v>
      </c>
      <c r="D142" s="558">
        <f>'[41]Sch C'!F143</f>
        <v>68468</v>
      </c>
      <c r="E142" s="171">
        <f t="shared" si="37"/>
        <v>68468</v>
      </c>
      <c r="F142" s="171">
        <v>12905</v>
      </c>
      <c r="G142" s="171">
        <f>E142+F142</f>
        <v>81373</v>
      </c>
      <c r="H142" s="172">
        <f>IF($G$208=0,0,G142/$G$208)</f>
        <v>1.4356404680720317E-2</v>
      </c>
      <c r="I142" s="608"/>
      <c r="J142" s="168"/>
      <c r="K142" s="168"/>
      <c r="L142" s="238"/>
      <c r="M142" s="364">
        <f t="shared" si="34"/>
        <v>3.6436215465902477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'[41]Sch C'!D144</f>
        <v>0</v>
      </c>
      <c r="D143" s="558">
        <f>'[41]Sch C'!F144</f>
        <v>5134</v>
      </c>
      <c r="E143" s="171">
        <f t="shared" si="37"/>
        <v>5134</v>
      </c>
      <c r="F143" s="171">
        <v>723</v>
      </c>
      <c r="G143" s="171">
        <f>E143+F143</f>
        <v>5857</v>
      </c>
      <c r="H143" s="172">
        <f>IF($G$208=0,0,G143/$G$208)</f>
        <v>1.0333336882624321E-3</v>
      </c>
      <c r="I143" s="608"/>
      <c r="J143" s="168"/>
      <c r="K143" s="168"/>
      <c r="L143" s="238"/>
      <c r="M143" s="364">
        <f t="shared" si="34"/>
        <v>0.26225764563650206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08"/>
      <c r="J144" s="204"/>
      <c r="K144" s="204"/>
      <c r="L144" s="238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'[41]Sch C'!D146</f>
        <v>61500</v>
      </c>
      <c r="D145" s="558">
        <f>'[41]Sch C'!F146</f>
        <v>0</v>
      </c>
      <c r="E145" s="171">
        <f t="shared" ref="E145:E153" si="38">C145+D145</f>
        <v>61500</v>
      </c>
      <c r="F145" s="171">
        <v>12100</v>
      </c>
      <c r="G145" s="171">
        <f t="shared" ref="G145:G153" si="39">E145+F145</f>
        <v>73600</v>
      </c>
      <c r="H145" s="172">
        <f t="shared" ref="H145:H153" si="40">IF($G$208=0,0,G145/$G$208)</f>
        <v>1.2985036615351716E-2</v>
      </c>
      <c r="I145" s="608"/>
      <c r="J145" s="183">
        <v>0</v>
      </c>
      <c r="K145" s="183">
        <v>0</v>
      </c>
      <c r="L145" s="238"/>
      <c r="M145" s="364">
        <f t="shared" si="34"/>
        <v>3.2955715756951598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'[41]Sch C'!D147</f>
        <v>0</v>
      </c>
      <c r="D146" s="558">
        <f>'[41]Sch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608"/>
      <c r="J146" s="183">
        <v>0</v>
      </c>
      <c r="K146" s="183">
        <v>0</v>
      </c>
      <c r="L146" s="238"/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'[41]Sch C'!D148</f>
        <v>0</v>
      </c>
      <c r="D147" s="558">
        <f>'[41]Sch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608"/>
      <c r="J147" s="183">
        <v>0</v>
      </c>
      <c r="K147" s="183">
        <v>0</v>
      </c>
      <c r="L147" s="238"/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'[41]Sch C'!D149</f>
        <v>0</v>
      </c>
      <c r="D148" s="558">
        <f>'[41]Sch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608"/>
      <c r="J148" s="183">
        <v>0</v>
      </c>
      <c r="K148" s="183">
        <v>0</v>
      </c>
      <c r="L148" s="238"/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'[41]Sch C'!D150</f>
        <v>4347</v>
      </c>
      <c r="D149" s="558">
        <f>'[41]Sch C'!F150</f>
        <v>0</v>
      </c>
      <c r="E149" s="171">
        <f t="shared" si="38"/>
        <v>4347</v>
      </c>
      <c r="F149" s="171">
        <v>1599</v>
      </c>
      <c r="G149" s="171">
        <f t="shared" si="39"/>
        <v>5946</v>
      </c>
      <c r="H149" s="172">
        <f t="shared" si="40"/>
        <v>1.0490357026478438E-3</v>
      </c>
      <c r="I149" s="608"/>
      <c r="J149" s="183">
        <v>0</v>
      </c>
      <c r="K149" s="183">
        <v>0</v>
      </c>
      <c r="L149" s="238"/>
      <c r="M149" s="364">
        <f t="shared" si="34"/>
        <v>0.26624277974298122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'[41]Sch C'!D151</f>
        <v>70152</v>
      </c>
      <c r="D150" s="558">
        <f>'[41]Sch C'!F151</f>
        <v>0</v>
      </c>
      <c r="E150" s="171">
        <f t="shared" si="38"/>
        <v>70152</v>
      </c>
      <c r="F150" s="171">
        <v>17418</v>
      </c>
      <c r="G150" s="171">
        <f t="shared" si="39"/>
        <v>87570</v>
      </c>
      <c r="H150" s="172">
        <f t="shared" si="40"/>
        <v>1.5449723592477579E-2</v>
      </c>
      <c r="I150" s="608"/>
      <c r="J150" s="168"/>
      <c r="K150" s="168"/>
      <c r="L150" s="238"/>
      <c r="M150" s="364">
        <f t="shared" si="34"/>
        <v>3.9211033000492543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'[41]Sch C'!D152</f>
        <v>1112</v>
      </c>
      <c r="D151" s="558">
        <f>'[41]Sch C'!F152</f>
        <v>0</v>
      </c>
      <c r="E151" s="171">
        <f t="shared" si="38"/>
        <v>1112</v>
      </c>
      <c r="F151" s="171">
        <v>830</v>
      </c>
      <c r="G151" s="171">
        <f t="shared" si="39"/>
        <v>1942</v>
      </c>
      <c r="H151" s="172">
        <f t="shared" si="40"/>
        <v>3.4262148243224231E-4</v>
      </c>
      <c r="I151" s="608"/>
      <c r="J151" s="168"/>
      <c r="K151" s="168"/>
      <c r="L151" s="238"/>
      <c r="M151" s="364">
        <f t="shared" si="34"/>
        <v>8.6956521739130432E-2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'[41]Sch C'!D153</f>
        <v>0</v>
      </c>
      <c r="D152" s="558">
        <f>'[41]Sch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608"/>
      <c r="J152" s="168"/>
      <c r="K152" s="168"/>
      <c r="L152" s="23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'[41]Sch C'!D154</f>
        <v>0</v>
      </c>
      <c r="D153" s="558">
        <f>'[41]Sch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608"/>
      <c r="J153" s="168"/>
      <c r="K153" s="168"/>
      <c r="L153" s="23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608"/>
      <c r="J154" s="168"/>
      <c r="K154" s="168"/>
      <c r="L154" s="23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'[41]Sch C'!D156</f>
        <v>0</v>
      </c>
      <c r="D155" s="558">
        <f>'[41]Sch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608"/>
      <c r="J155" s="168"/>
      <c r="K155" s="168"/>
      <c r="L155" s="23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'[41]Sch C'!D157</f>
        <v>0</v>
      </c>
      <c r="D156" s="558">
        <f>'[41]Sch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608"/>
      <c r="J156" s="168"/>
      <c r="K156" s="168"/>
      <c r="L156" s="23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'[41]Sch C'!D158</f>
        <v>0</v>
      </c>
      <c r="D157" s="558">
        <f>'[41]Sch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608"/>
      <c r="J157" s="168"/>
      <c r="K157" s="168"/>
      <c r="L157" s="23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'[41]Sch C'!D159</f>
        <v>0</v>
      </c>
      <c r="D158" s="558">
        <f>'[41]Sch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608"/>
      <c r="J158" s="168"/>
      <c r="K158" s="168"/>
      <c r="L158" s="23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'[41]Sch C'!D160</f>
        <v>0</v>
      </c>
      <c r="D159" s="558">
        <f>'[41]Sch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608"/>
      <c r="J159" s="168"/>
      <c r="K159" s="168"/>
      <c r="L159" s="23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'[41]Sch C'!D161</f>
        <v>275</v>
      </c>
      <c r="D160" s="558">
        <f>'[41]Sch C'!F161</f>
        <v>0</v>
      </c>
      <c r="E160" s="171">
        <f t="shared" si="41"/>
        <v>275</v>
      </c>
      <c r="F160" s="171">
        <v>250</v>
      </c>
      <c r="G160" s="171">
        <f t="shared" si="42"/>
        <v>525</v>
      </c>
      <c r="H160" s="172">
        <f t="shared" si="43"/>
        <v>9.2624242161136561E-5</v>
      </c>
      <c r="I160" s="608"/>
      <c r="J160" s="168"/>
      <c r="K160" s="168"/>
      <c r="L160" s="238"/>
      <c r="M160" s="364">
        <f t="shared" si="34"/>
        <v>2.3507813549455962E-2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1448561</v>
      </c>
      <c r="D161" s="558">
        <f>SUM(D123:D160)</f>
        <v>249154</v>
      </c>
      <c r="E161" s="171">
        <f t="shared" ref="E161:F161" si="44">SUM(E123:E160)</f>
        <v>1697715</v>
      </c>
      <c r="F161" s="171">
        <f t="shared" si="44"/>
        <v>330032</v>
      </c>
      <c r="G161" s="171">
        <f>SUM(G123:G160)</f>
        <v>2027747</v>
      </c>
      <c r="H161" s="172">
        <f t="shared" si="43"/>
        <v>0.35774957937051083</v>
      </c>
      <c r="I161" s="608"/>
      <c r="J161" s="168"/>
      <c r="K161" s="168"/>
      <c r="L161" s="238"/>
      <c r="M161" s="364">
        <f>G161/G$228</f>
        <v>90.795996955178438</v>
      </c>
      <c r="N161" s="359">
        <f>SUMMARY!J164</f>
        <v>105.56901037202306</v>
      </c>
      <c r="O161" s="354">
        <f>M161/N161-1</f>
        <v>-0.1399370266405342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608"/>
      <c r="J162" s="168"/>
      <c r="K162" s="168"/>
      <c r="L162" s="23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608"/>
      <c r="J163" s="168"/>
      <c r="K163" s="168"/>
      <c r="L163" s="23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'[41]Sch C'!D175</f>
        <v>0</v>
      </c>
      <c r="D164" s="558">
        <f>'[41]Sch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612"/>
      <c r="J164" s="217">
        <v>0</v>
      </c>
      <c r="K164" s="217">
        <v>0</v>
      </c>
      <c r="L164" s="619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'[41]Sch C'!D176</f>
        <v>0</v>
      </c>
      <c r="D165" s="558">
        <f>'[41]Sch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613"/>
      <c r="J165" s="222"/>
      <c r="K165" s="222"/>
      <c r="L165" s="619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'[41]Sch C'!D177</f>
        <v>269632</v>
      </c>
      <c r="D166" s="558">
        <f>'[41]Sch C'!F177</f>
        <v>17114</v>
      </c>
      <c r="E166" s="171">
        <f t="shared" si="45"/>
        <v>286746</v>
      </c>
      <c r="F166" s="216">
        <v>70080</v>
      </c>
      <c r="G166" s="171">
        <f t="shared" si="46"/>
        <v>356826</v>
      </c>
      <c r="H166" s="172">
        <f t="shared" si="47"/>
        <v>6.2953786349313742E-2</v>
      </c>
      <c r="I166" s="612"/>
      <c r="J166" s="217">
        <f>7323+1795</f>
        <v>9118</v>
      </c>
      <c r="K166" s="217">
        <f>7788+1903</f>
        <v>9691</v>
      </c>
      <c r="L166" s="619"/>
      <c r="M166" s="364">
        <f t="shared" si="48"/>
        <v>15.977522052567949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'[41]Sch C'!D178</f>
        <v>0</v>
      </c>
      <c r="D167" s="558">
        <f>'[41]Sch C'!F178</f>
        <v>34123</v>
      </c>
      <c r="E167" s="171">
        <f t="shared" si="45"/>
        <v>34123</v>
      </c>
      <c r="F167" s="216">
        <v>8652</v>
      </c>
      <c r="G167" s="171">
        <f t="shared" si="46"/>
        <v>42775</v>
      </c>
      <c r="H167" s="172">
        <f t="shared" si="47"/>
        <v>7.5466703970335555E-3</v>
      </c>
      <c r="I167" s="613"/>
      <c r="J167" s="222"/>
      <c r="K167" s="222"/>
      <c r="L167" s="619"/>
      <c r="M167" s="364">
        <f t="shared" si="48"/>
        <v>1.9153270944342453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'[41]Sch C'!D179</f>
        <v>46548</v>
      </c>
      <c r="D168" s="558">
        <f>'[41]Sch C'!F179</f>
        <v>2954</v>
      </c>
      <c r="E168" s="171">
        <f t="shared" si="45"/>
        <v>49502</v>
      </c>
      <c r="F168" s="216">
        <v>9497</v>
      </c>
      <c r="G168" s="171">
        <f t="shared" si="46"/>
        <v>58999</v>
      </c>
      <c r="H168" s="172">
        <f t="shared" si="47"/>
        <v>1.0409024120504564E-2</v>
      </c>
      <c r="I168" s="612"/>
      <c r="J168" s="217">
        <f>1051+202</f>
        <v>1253</v>
      </c>
      <c r="K168" s="217">
        <f>1118+215</f>
        <v>1333</v>
      </c>
      <c r="L168" s="619"/>
      <c r="M168" s="364">
        <f t="shared" si="48"/>
        <v>2.6417856982940044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'[41]Sch C'!D180</f>
        <v>0</v>
      </c>
      <c r="D169" s="558">
        <f>'[41]Sch C'!F180</f>
        <v>5891</v>
      </c>
      <c r="E169" s="171">
        <f t="shared" si="45"/>
        <v>5891</v>
      </c>
      <c r="F169" s="216">
        <v>1172</v>
      </c>
      <c r="G169" s="171">
        <f t="shared" si="46"/>
        <v>7063</v>
      </c>
      <c r="H169" s="172">
        <f t="shared" si="47"/>
        <v>1.2461048045411573E-3</v>
      </c>
      <c r="I169" s="613"/>
      <c r="J169" s="222"/>
      <c r="K169" s="222"/>
      <c r="L169" s="619"/>
      <c r="M169" s="364">
        <f t="shared" si="48"/>
        <v>0.31625845161868088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'[41]Sch C'!D181</f>
        <v>0</v>
      </c>
      <c r="D170" s="558">
        <f>'[41]Sch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612"/>
      <c r="J170" s="217">
        <v>0</v>
      </c>
      <c r="K170" s="217">
        <v>0</v>
      </c>
      <c r="L170" s="619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'[41]Sch C'!D182</f>
        <v>0</v>
      </c>
      <c r="D171" s="558">
        <f>'[41]Sch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613"/>
      <c r="J171" s="222"/>
      <c r="K171" s="222"/>
      <c r="L171" s="619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'[41]Sch C'!D183</f>
        <v>132591</v>
      </c>
      <c r="D172" s="558">
        <f>'[41]Sch C'!F183</f>
        <v>8416</v>
      </c>
      <c r="E172" s="171">
        <f t="shared" si="45"/>
        <v>141007</v>
      </c>
      <c r="F172" s="216">
        <v>30064</v>
      </c>
      <c r="G172" s="171">
        <f t="shared" si="46"/>
        <v>171071</v>
      </c>
      <c r="H172" s="172">
        <f t="shared" si="47"/>
        <v>3.0181565201424367E-2</v>
      </c>
      <c r="I172" s="612"/>
      <c r="J172" s="217">
        <f>3997+855</f>
        <v>4852</v>
      </c>
      <c r="K172" s="217">
        <f>4251+906</f>
        <v>5157</v>
      </c>
      <c r="L172" s="619"/>
      <c r="M172" s="364">
        <f t="shared" si="48"/>
        <v>7.6600098508932968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'[41]Sch C'!D184</f>
        <v>0</v>
      </c>
      <c r="D173" s="558">
        <f>'[41]Sch C'!F184</f>
        <v>16780</v>
      </c>
      <c r="E173" s="171">
        <f t="shared" si="45"/>
        <v>16780</v>
      </c>
      <c r="F173" s="216">
        <v>3711</v>
      </c>
      <c r="G173" s="171">
        <f t="shared" si="46"/>
        <v>20491</v>
      </c>
      <c r="H173" s="172">
        <f t="shared" si="47"/>
        <v>3.6151682783311418E-3</v>
      </c>
      <c r="I173" s="613"/>
      <c r="J173" s="222"/>
      <c r="K173" s="222"/>
      <c r="L173" s="619"/>
      <c r="M173" s="364">
        <f t="shared" si="48"/>
        <v>0.9175211570321945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'[41]Sch C'!D185</f>
        <v>0</v>
      </c>
      <c r="D174" s="558">
        <f>'[41]Sch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612"/>
      <c r="J174" s="217">
        <v>0</v>
      </c>
      <c r="K174" s="217">
        <v>0</v>
      </c>
      <c r="L174" s="619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'[41]Sch C'!D186</f>
        <v>0</v>
      </c>
      <c r="D175" s="558">
        <f>'[41]Sch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608"/>
      <c r="J175" s="223"/>
      <c r="K175" s="218"/>
      <c r="L175" s="6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'[41]Sch C'!D187</f>
        <v>0</v>
      </c>
      <c r="D176" s="558">
        <f>'[41]Sch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608"/>
      <c r="J176" s="223"/>
      <c r="K176" s="218"/>
      <c r="L176" s="6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'[41]Sch C'!D188</f>
        <v>1987</v>
      </c>
      <c r="D177" s="558">
        <f>'[41]Sch C'!F188</f>
        <v>0</v>
      </c>
      <c r="E177" s="171">
        <f t="shared" si="45"/>
        <v>1987</v>
      </c>
      <c r="F177" s="216">
        <v>852</v>
      </c>
      <c r="G177" s="171">
        <f t="shared" si="46"/>
        <v>2839</v>
      </c>
      <c r="H177" s="172">
        <f t="shared" si="47"/>
        <v>5.0087661618184137E-4</v>
      </c>
      <c r="I177" s="608"/>
      <c r="J177" s="223"/>
      <c r="K177" s="218"/>
      <c r="L177" s="620"/>
      <c r="M177" s="364">
        <f t="shared" si="48"/>
        <v>0.12712130031791519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'[41]Sch C'!D189</f>
        <v>0</v>
      </c>
      <c r="D178" s="558">
        <f>'[41]Sch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608"/>
      <c r="J178" s="223"/>
      <c r="K178" s="218"/>
      <c r="L178" s="6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'[41]Sch C'!D190</f>
        <v>0</v>
      </c>
      <c r="D179" s="558">
        <f>'[41]Sch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608"/>
      <c r="J179" s="223"/>
      <c r="K179" s="218"/>
      <c r="L179" s="6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'[41]Sch C'!D191</f>
        <v>0</v>
      </c>
      <c r="D180" s="558">
        <f>'[41]Sch C'!F191</f>
        <v>0</v>
      </c>
      <c r="E180" s="171">
        <f t="shared" si="45"/>
        <v>0</v>
      </c>
      <c r="F180" s="216">
        <v>303</v>
      </c>
      <c r="G180" s="171">
        <f t="shared" si="46"/>
        <v>303</v>
      </c>
      <c r="H180" s="172">
        <f t="shared" si="47"/>
        <v>5.345741976157025E-5</v>
      </c>
      <c r="I180" s="608"/>
      <c r="J180" s="223"/>
      <c r="K180" s="218"/>
      <c r="L180" s="620"/>
      <c r="M180" s="364">
        <f t="shared" si="48"/>
        <v>1.3567366677114584E-2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'[41]Sch C'!D192</f>
        <v>0</v>
      </c>
      <c r="D181" s="558">
        <f>'[41]Sch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608"/>
      <c r="J181" s="223"/>
      <c r="K181" s="218"/>
      <c r="L181" s="6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'[41]Sch C'!D193</f>
        <v>0</v>
      </c>
      <c r="D182" s="558">
        <f>'[41]Sch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608"/>
      <c r="J182" s="223"/>
      <c r="K182" s="218"/>
      <c r="L182" s="6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'[41]Sch C'!D194</f>
        <v>0</v>
      </c>
      <c r="D183" s="558">
        <f>'[41]Sch C'!F194</f>
        <v>0</v>
      </c>
      <c r="E183" s="171">
        <f t="shared" si="45"/>
        <v>0</v>
      </c>
      <c r="F183" s="216">
        <v>0</v>
      </c>
      <c r="G183" s="171">
        <f t="shared" si="46"/>
        <v>0</v>
      </c>
      <c r="H183" s="172">
        <f t="shared" si="47"/>
        <v>0</v>
      </c>
      <c r="I183" s="608"/>
      <c r="J183" s="223"/>
      <c r="K183" s="218"/>
      <c r="L183" s="621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'[41]Sch C'!D195</f>
        <v>342</v>
      </c>
      <c r="D184" s="558">
        <f>'[41]Sch C'!F195</f>
        <v>0</v>
      </c>
      <c r="E184" s="171">
        <f t="shared" si="45"/>
        <v>342</v>
      </c>
      <c r="F184" s="216">
        <v>332</v>
      </c>
      <c r="G184" s="171">
        <f t="shared" si="46"/>
        <v>674</v>
      </c>
      <c r="H184" s="172">
        <f t="shared" si="47"/>
        <v>1.1891188422210675E-4</v>
      </c>
      <c r="I184" s="608"/>
      <c r="J184" s="223"/>
      <c r="K184" s="218"/>
      <c r="L184" s="621"/>
      <c r="M184" s="364">
        <f t="shared" si="48"/>
        <v>3.0179554918730131E-2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'[41]Sch C'!D196</f>
        <v>0</v>
      </c>
      <c r="D185" s="558">
        <f>'[41]Sch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608"/>
      <c r="J185" s="223"/>
      <c r="K185" s="218"/>
      <c r="L185" s="621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'[41]Sch C'!D197</f>
        <v>0</v>
      </c>
      <c r="D186" s="558">
        <f>'[41]Sch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608"/>
      <c r="J186" s="223"/>
      <c r="K186" s="218"/>
      <c r="L186" s="621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'[41]Sch C'!D198</f>
        <v>62450</v>
      </c>
      <c r="D187" s="558">
        <f>'[41]Sch C'!F198</f>
        <v>0</v>
      </c>
      <c r="E187" s="171">
        <f t="shared" si="45"/>
        <v>62450</v>
      </c>
      <c r="F187" s="216">
        <v>15115</v>
      </c>
      <c r="G187" s="171">
        <f t="shared" si="46"/>
        <v>77565</v>
      </c>
      <c r="H187" s="172">
        <f t="shared" si="47"/>
        <v>1.3684570177578206E-2</v>
      </c>
      <c r="I187" s="608"/>
      <c r="J187" s="223"/>
      <c r="K187" s="218"/>
      <c r="L187" s="621"/>
      <c r="M187" s="364">
        <f t="shared" si="48"/>
        <v>3.4731115389781939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'[41]Sch C'!D199</f>
        <v>0</v>
      </c>
      <c r="D188" s="558">
        <f>'[41]Sch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608"/>
      <c r="J188" s="223"/>
      <c r="K188" s="218"/>
      <c r="L188" s="621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'[41]Sch C'!D200</f>
        <v>0</v>
      </c>
      <c r="D189" s="558">
        <f>'[41]Sch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608"/>
      <c r="J189" s="223"/>
      <c r="K189" s="218"/>
      <c r="L189" s="621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'[41]Sch C'!D201</f>
        <v>0</v>
      </c>
      <c r="D190" s="558">
        <f>'[41]Sch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608"/>
      <c r="J190" s="223"/>
      <c r="K190" s="218"/>
      <c r="L190" s="621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'[41]Sch C'!D202</f>
        <v>0</v>
      </c>
      <c r="D191" s="558">
        <f>'[41]Sch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608"/>
      <c r="J191" s="223"/>
      <c r="K191" s="218"/>
      <c r="L191" s="621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'[41]Sch C'!D203</f>
        <v>0</v>
      </c>
      <c r="D192" s="558">
        <f>'[41]Sch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608"/>
      <c r="J192" s="223"/>
      <c r="K192" s="218"/>
      <c r="L192" s="621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'[41]Sch C'!D204</f>
        <v>0</v>
      </c>
      <c r="D193" s="558">
        <f>'[41]Sch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608"/>
      <c r="J193" s="223"/>
      <c r="K193" s="218"/>
      <c r="L193" s="621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'[41]Sch C'!D205</f>
        <v>183948</v>
      </c>
      <c r="D194" s="558">
        <f>'[41]Sch C'!F205</f>
        <v>0</v>
      </c>
      <c r="E194" s="171">
        <f t="shared" si="45"/>
        <v>183948</v>
      </c>
      <c r="F194" s="216">
        <v>32536</v>
      </c>
      <c r="G194" s="171">
        <f t="shared" si="46"/>
        <v>216484</v>
      </c>
      <c r="H194" s="172">
        <f t="shared" si="47"/>
        <v>3.8193650361926644E-2</v>
      </c>
      <c r="I194" s="608"/>
      <c r="J194" s="223"/>
      <c r="K194" s="218"/>
      <c r="L194" s="621"/>
      <c r="M194" s="364">
        <f t="shared" si="48"/>
        <v>9.6934581113150937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'[41]Sch C'!D206</f>
        <v>3932</v>
      </c>
      <c r="D195" s="558">
        <f>'[41]Sch C'!F206</f>
        <v>0</v>
      </c>
      <c r="E195" s="171">
        <f t="shared" si="45"/>
        <v>3932</v>
      </c>
      <c r="F195" s="216">
        <v>2034</v>
      </c>
      <c r="G195" s="171">
        <f t="shared" si="46"/>
        <v>5966</v>
      </c>
      <c r="H195" s="172">
        <f t="shared" si="47"/>
        <v>1.0525642452063634E-3</v>
      </c>
      <c r="I195" s="608"/>
      <c r="J195" s="223"/>
      <c r="K195" s="218"/>
      <c r="L195" s="621"/>
      <c r="M195" s="364">
        <f t="shared" si="48"/>
        <v>0.2671383154972462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'[41]Sch C'!D207</f>
        <v>20533</v>
      </c>
      <c r="D196" s="558">
        <f>'[41]Sch C'!F207</f>
        <v>-295</v>
      </c>
      <c r="E196" s="171">
        <f t="shared" si="45"/>
        <v>20238</v>
      </c>
      <c r="F196" s="216">
        <v>4139</v>
      </c>
      <c r="G196" s="171">
        <f t="shared" si="46"/>
        <v>24377</v>
      </c>
      <c r="H196" s="172">
        <f t="shared" si="47"/>
        <v>4.3007640974514786E-3</v>
      </c>
      <c r="I196" s="608"/>
      <c r="J196" s="223"/>
      <c r="K196" s="218"/>
      <c r="L196" s="621"/>
      <c r="M196" s="364">
        <f t="shared" si="48"/>
        <v>1.091523754085882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721963</v>
      </c>
      <c r="D197" s="558">
        <f>SUM(D164:D196)</f>
        <v>84983</v>
      </c>
      <c r="E197" s="171">
        <f t="shared" ref="E197:F197" si="49">SUM(E164:E196)</f>
        <v>806946</v>
      </c>
      <c r="F197" s="171">
        <f t="shared" si="49"/>
        <v>178487</v>
      </c>
      <c r="G197" s="171">
        <f>SUM(G164:G196)</f>
        <v>985433</v>
      </c>
      <c r="H197" s="172">
        <f>IF($G$208=0,0,G197/$G$208)</f>
        <v>0.17385711395347675</v>
      </c>
      <c r="I197" s="608"/>
      <c r="J197" s="168"/>
      <c r="K197" s="168"/>
      <c r="L197" s="238"/>
      <c r="M197" s="364">
        <f>G197/G$228</f>
        <v>44.12452424663055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493"/>
      <c r="J198" s="168"/>
      <c r="K198" s="168"/>
      <c r="L198" s="23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93"/>
      <c r="J199" s="168"/>
      <c r="K199" s="168"/>
      <c r="L199" s="23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'[41]Sch C'!D211</f>
        <v>62622</v>
      </c>
      <c r="D200" s="558">
        <f>'[41]Sch C'!F211</f>
        <v>3975</v>
      </c>
      <c r="E200" s="171">
        <f t="shared" ref="E200:E205" si="50">C200+D200</f>
        <v>66597</v>
      </c>
      <c r="F200" s="171">
        <v>18590</v>
      </c>
      <c r="G200" s="171">
        <f t="shared" ref="G200:G205" si="51">E200+F200</f>
        <v>85187</v>
      </c>
      <c r="H200" s="172">
        <f t="shared" ref="H200:H206" si="52">IF($G$208=0,0,G200/$G$208)</f>
        <v>1.5029297746629982E-2</v>
      </c>
      <c r="I200" s="608"/>
      <c r="J200" s="183">
        <f>4611+1291</f>
        <v>5902</v>
      </c>
      <c r="K200" s="183">
        <f>4904+1369</f>
        <v>6273</v>
      </c>
      <c r="L200" s="238"/>
      <c r="M200" s="364">
        <f t="shared" ref="M200:M205" si="53">G200/G$228</f>
        <v>3.8144002149285812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'[41]Sch C'!D212</f>
        <v>0</v>
      </c>
      <c r="D201" s="558">
        <f>'[41]Sch C'!F212</f>
        <v>7925</v>
      </c>
      <c r="E201" s="171">
        <f t="shared" si="50"/>
        <v>7925</v>
      </c>
      <c r="F201" s="171">
        <v>2295</v>
      </c>
      <c r="G201" s="171">
        <f t="shared" si="51"/>
        <v>10220</v>
      </c>
      <c r="H201" s="172">
        <f t="shared" si="52"/>
        <v>1.8030852474034585E-3</v>
      </c>
      <c r="I201" s="608"/>
      <c r="J201" s="168"/>
      <c r="K201" s="168"/>
      <c r="L201" s="238"/>
      <c r="M201" s="364">
        <f t="shared" si="53"/>
        <v>0.4576187704294094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'[41]Sch C'!D213</f>
        <v>3412</v>
      </c>
      <c r="D202" s="558">
        <f>'[41]Sch C'!F213</f>
        <v>0</v>
      </c>
      <c r="E202" s="171">
        <f t="shared" si="50"/>
        <v>3412</v>
      </c>
      <c r="F202" s="171">
        <v>886</v>
      </c>
      <c r="G202" s="171">
        <f t="shared" si="51"/>
        <v>4298</v>
      </c>
      <c r="H202" s="172">
        <f t="shared" si="52"/>
        <v>7.5828379582583807E-4</v>
      </c>
      <c r="I202" s="608"/>
      <c r="J202" s="168"/>
      <c r="K202" s="168"/>
      <c r="L202" s="238"/>
      <c r="M202" s="364">
        <f t="shared" si="53"/>
        <v>0.19245063359154616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'[41]Sch C'!D214</f>
        <v>0</v>
      </c>
      <c r="D203" s="558">
        <f>'[41]Sch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608"/>
      <c r="J203" s="168"/>
      <c r="K203" s="168"/>
      <c r="L203" s="23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'[41]Sch C'!D215</f>
        <v>0</v>
      </c>
      <c r="D204" s="558">
        <f>'[41]Sch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608"/>
      <c r="J204" s="168"/>
      <c r="K204" s="168"/>
      <c r="L204" s="23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'[41]Sch C'!D216</f>
        <v>4181</v>
      </c>
      <c r="D205" s="558">
        <f>'[41]Sch C'!F216</f>
        <v>0</v>
      </c>
      <c r="E205" s="171">
        <f t="shared" si="50"/>
        <v>4181</v>
      </c>
      <c r="F205" s="171">
        <v>1231</v>
      </c>
      <c r="G205" s="171">
        <f t="shared" si="51"/>
        <v>5412</v>
      </c>
      <c r="H205" s="172">
        <f t="shared" si="52"/>
        <v>9.5482361633537351E-4</v>
      </c>
      <c r="I205" s="608"/>
      <c r="J205" s="168"/>
      <c r="K205" s="168"/>
      <c r="L205" s="238"/>
      <c r="M205" s="364">
        <f t="shared" si="53"/>
        <v>0.24233197510410603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70215</v>
      </c>
      <c r="D206" s="558">
        <f>SUM(D200:D205)</f>
        <v>11900</v>
      </c>
      <c r="E206" s="171">
        <f t="shared" ref="E206:F206" si="54">SUM(E200:E205)</f>
        <v>82115</v>
      </c>
      <c r="F206" s="171">
        <f t="shared" si="54"/>
        <v>23002</v>
      </c>
      <c r="G206" s="171">
        <f>SUM(G200:G205)</f>
        <v>105117</v>
      </c>
      <c r="H206" s="172">
        <f t="shared" si="52"/>
        <v>1.8545490406194652E-2</v>
      </c>
      <c r="I206" s="608"/>
      <c r="J206" s="168"/>
      <c r="K206" s="168"/>
      <c r="L206" s="238"/>
      <c r="M206" s="364">
        <f>G206/G$228</f>
        <v>4.7068015940536423</v>
      </c>
      <c r="N206" s="359">
        <f>SUMMARY!J209</f>
        <v>7.1515095990067339</v>
      </c>
      <c r="O206" s="354">
        <f>M206/N206-1</f>
        <v>-0.34184502881638235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493"/>
      <c r="J207" s="168"/>
      <c r="K207" s="168"/>
      <c r="L207" s="23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5125186</v>
      </c>
      <c r="D208" s="558">
        <f>SUM(D25:D206)/2</f>
        <v>-397112.31073581241</v>
      </c>
      <c r="E208" s="171">
        <f t="shared" ref="E208:F208" si="55">SUM(E25:E206)/2</f>
        <v>4728073.6892641876</v>
      </c>
      <c r="F208" s="171">
        <f t="shared" si="55"/>
        <v>939988.88</v>
      </c>
      <c r="G208" s="171">
        <f>SUM(G25:G206)/2</f>
        <v>5668062.5692641875</v>
      </c>
      <c r="H208" s="172">
        <f>IF($G$208=0,0,G208/$G$208)</f>
        <v>1</v>
      </c>
      <c r="I208" s="608"/>
      <c r="J208" s="183">
        <f>SUM(J25:J200)</f>
        <v>142012.73333333334</v>
      </c>
      <c r="K208" s="183">
        <f>SUM(K25:K200)</f>
        <v>150951.46666666667</v>
      </c>
      <c r="M208" s="364">
        <f>G208/G$228</f>
        <v>253.79763440935778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493"/>
      <c r="J209" s="168"/>
      <c r="K209" s="168"/>
      <c r="O209" s="553">
        <f>SUM(O61:O206)</f>
        <v>-0.94376126021129281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493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'[41]Sch C'!D221</f>
        <v>5125186</v>
      </c>
      <c r="D211" s="196"/>
      <c r="E211" s="165"/>
      <c r="F211" s="445" t="s">
        <v>524</v>
      </c>
      <c r="G211"/>
      <c r="I211" s="493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45" t="s">
        <v>534</v>
      </c>
      <c r="G212"/>
      <c r="I212" s="493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535</v>
      </c>
      <c r="G213" s="232"/>
      <c r="H213" s="166"/>
      <c r="I213" s="617"/>
      <c r="J213" s="168"/>
      <c r="K213" s="168" t="s">
        <v>198</v>
      </c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493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217997</v>
      </c>
      <c r="D215" s="558">
        <f>D21-D208</f>
        <v>397112.31073581241</v>
      </c>
      <c r="E215" s="171">
        <f t="shared" ref="E215:F215" si="56">E21-E208</f>
        <v>615109.31073581241</v>
      </c>
      <c r="F215" s="171">
        <f t="shared" si="56"/>
        <v>203199.45000000007</v>
      </c>
      <c r="G215" s="171">
        <f>G21-G208</f>
        <v>818308.7607358126</v>
      </c>
      <c r="I215" s="493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493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493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617"/>
      <c r="J218" s="168"/>
      <c r="K218" s="168"/>
    </row>
    <row r="219" spans="1:17">
      <c r="A219" s="163"/>
      <c r="B219" s="170" t="s">
        <v>218</v>
      </c>
      <c r="C219" s="592">
        <f>'[41]Sch D'!C9</f>
        <v>9490</v>
      </c>
      <c r="D219" s="592"/>
      <c r="E219" s="235">
        <f t="shared" ref="E219:G227" si="57">C219+D219</f>
        <v>9490</v>
      </c>
      <c r="F219" s="234">
        <v>1772</v>
      </c>
      <c r="G219" s="235">
        <f t="shared" si="57"/>
        <v>11262</v>
      </c>
      <c r="H219" s="172">
        <f t="shared" ref="H219:H228" si="58">IF($G$228=0,0,G219/$G$228)</f>
        <v>0.50427618322661527</v>
      </c>
      <c r="I219" s="608"/>
      <c r="J219" s="168"/>
      <c r="K219" s="168"/>
    </row>
    <row r="220" spans="1:17">
      <c r="A220" s="163"/>
      <c r="B220" s="170" t="s">
        <v>217</v>
      </c>
      <c r="C220" s="592">
        <f>'[41]Sch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608"/>
      <c r="J220" s="168"/>
      <c r="K220" s="168"/>
    </row>
    <row r="221" spans="1:17">
      <c r="A221" s="163"/>
      <c r="B221" s="170" t="s">
        <v>72</v>
      </c>
      <c r="C221" s="592">
        <f>'[41]Sch D'!E9</f>
        <v>2460</v>
      </c>
      <c r="D221" s="592"/>
      <c r="E221" s="235">
        <f t="shared" si="59"/>
        <v>2460</v>
      </c>
      <c r="F221" s="234">
        <v>578</v>
      </c>
      <c r="G221" s="235">
        <f t="shared" si="57"/>
        <v>3038</v>
      </c>
      <c r="H221" s="172">
        <f t="shared" si="58"/>
        <v>0.13603188107285183</v>
      </c>
      <c r="I221" s="608"/>
      <c r="J221" s="168"/>
      <c r="K221" s="168"/>
    </row>
    <row r="222" spans="1:17">
      <c r="A222" s="163"/>
      <c r="B222" s="202" t="s">
        <v>334</v>
      </c>
      <c r="C222" s="592">
        <f>'[41]Sch D'!F9</f>
        <v>3099</v>
      </c>
      <c r="D222" s="592"/>
      <c r="E222" s="235">
        <f>C222+D222</f>
        <v>3099</v>
      </c>
      <c r="F222" s="234">
        <v>515</v>
      </c>
      <c r="G222" s="235">
        <f>E222+F222</f>
        <v>3614</v>
      </c>
      <c r="H222" s="172">
        <f t="shared" si="58"/>
        <v>0.16182331079568352</v>
      </c>
      <c r="I222" s="608"/>
      <c r="J222" s="168"/>
      <c r="K222" s="168"/>
    </row>
    <row r="223" spans="1:17">
      <c r="A223" s="163"/>
      <c r="B223" s="170" t="s">
        <v>73</v>
      </c>
      <c r="C223" s="592">
        <f>'[41]Sch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608"/>
      <c r="J223" s="168"/>
      <c r="K223" s="168"/>
    </row>
    <row r="224" spans="1:17">
      <c r="A224" s="163"/>
      <c r="B224" s="170" t="s">
        <v>74</v>
      </c>
      <c r="C224" s="592">
        <f>'[41]Sch D'!H9</f>
        <v>2312</v>
      </c>
      <c r="D224" s="592"/>
      <c r="E224" s="235">
        <f t="shared" si="59"/>
        <v>2312</v>
      </c>
      <c r="F224" s="234">
        <v>560</v>
      </c>
      <c r="G224" s="235">
        <f t="shared" si="57"/>
        <v>2872</v>
      </c>
      <c r="H224" s="172">
        <f t="shared" si="58"/>
        <v>0.12859893431245242</v>
      </c>
      <c r="I224" s="608"/>
      <c r="J224" s="168"/>
      <c r="K224" s="168"/>
    </row>
    <row r="225" spans="1:11">
      <c r="A225" s="163"/>
      <c r="B225" s="170" t="s">
        <v>236</v>
      </c>
      <c r="C225" s="592">
        <f>'[41]Sch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608"/>
      <c r="J225" s="168"/>
      <c r="K225" s="168"/>
    </row>
    <row r="226" spans="1:11">
      <c r="A226" s="163"/>
      <c r="B226" s="170" t="s">
        <v>235</v>
      </c>
      <c r="C226" s="592">
        <f>'[41]Sch D'!J9</f>
        <v>1350</v>
      </c>
      <c r="D226" s="592"/>
      <c r="E226" s="235">
        <f>C226+D226</f>
        <v>1350</v>
      </c>
      <c r="F226" s="234">
        <v>191</v>
      </c>
      <c r="G226" s="235">
        <f>E226+F226</f>
        <v>1541</v>
      </c>
      <c r="H226" s="172">
        <f t="shared" si="58"/>
        <v>6.9001029866117405E-2</v>
      </c>
      <c r="I226" s="608"/>
      <c r="J226" s="168"/>
      <c r="K226" s="168"/>
    </row>
    <row r="227" spans="1:11">
      <c r="A227" s="163"/>
      <c r="B227" s="170" t="s">
        <v>179</v>
      </c>
      <c r="C227" s="592">
        <f>'[41]Sch D'!K9</f>
        <v>6</v>
      </c>
      <c r="D227" s="592"/>
      <c r="E227" s="235">
        <f t="shared" si="59"/>
        <v>6</v>
      </c>
      <c r="F227" s="234">
        <v>0</v>
      </c>
      <c r="G227" s="235">
        <f t="shared" si="57"/>
        <v>6</v>
      </c>
      <c r="H227" s="172">
        <f t="shared" si="58"/>
        <v>2.6866072627949671E-4</v>
      </c>
      <c r="I227" s="608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18717</v>
      </c>
      <c r="D228" s="592">
        <f>SUM(D219:D227)</f>
        <v>0</v>
      </c>
      <c r="E228" s="237">
        <f>SUM(E219:E227)</f>
        <v>18717</v>
      </c>
      <c r="F228" s="237">
        <f>SUM(F219:F227)</f>
        <v>3616</v>
      </c>
      <c r="G228" s="237">
        <f>SUM(G219:G227)</f>
        <v>22333</v>
      </c>
      <c r="H228" s="172">
        <f t="shared" si="58"/>
        <v>1</v>
      </c>
      <c r="I228" s="608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'[41]Sch D'!N22</f>
        <v>108</v>
      </c>
      <c r="D231" s="559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593">
        <f>'[41]Sch D'!N24</f>
        <v>108</v>
      </c>
      <c r="D232" s="559"/>
      <c r="E232" s="235">
        <f>C232+D232</f>
        <v>108</v>
      </c>
      <c r="F232" s="235"/>
      <c r="G232" s="235">
        <f>E232+F232</f>
        <v>108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'[41]Sch D'!N28</f>
        <v>32940</v>
      </c>
      <c r="D235" s="483"/>
      <c r="E235" s="234">
        <f>E231*E233</f>
        <v>32940</v>
      </c>
      <c r="F235" s="239"/>
      <c r="G235" s="234">
        <f>G231*G233</f>
        <v>39528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'[41]Sch D'!N30</f>
        <v>0.56821493624772312</v>
      </c>
      <c r="D236" s="239"/>
      <c r="E236" s="244">
        <f>E228/E235</f>
        <v>0.56821493624772312</v>
      </c>
      <c r="F236" s="245"/>
      <c r="G236" s="244">
        <f>G228/G235</f>
        <v>0.56499190447277881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'[41]Sch D'!N32</f>
        <v>0.28809957498482086</v>
      </c>
      <c r="D237" s="239"/>
      <c r="E237" s="244">
        <f>(E219+E220)/E235</f>
        <v>0.28809957498482086</v>
      </c>
      <c r="F237" s="245"/>
      <c r="G237" s="244">
        <f>(G219+G220)/G235</f>
        <v>0.28491196114146933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'[41]Sch D'!N34</f>
        <v>0.50702569856280388</v>
      </c>
      <c r="D238" s="239"/>
      <c r="E238" s="244">
        <f>(E237/E236)</f>
        <v>0.50702569856280388</v>
      </c>
      <c r="F238" s="245"/>
      <c r="G238" s="244">
        <f>(G237/G236)</f>
        <v>0.50427618322661527</v>
      </c>
      <c r="H238" s="167"/>
      <c r="J238" s="168"/>
      <c r="K238" s="168"/>
    </row>
    <row r="241" spans="2:7">
      <c r="B241" s="148" t="s">
        <v>339</v>
      </c>
      <c r="D241"/>
      <c r="E241"/>
      <c r="F241" s="142" t="s">
        <v>340</v>
      </c>
      <c r="G241" s="558">
        <v>195.9471649484536</v>
      </c>
    </row>
    <row r="242" spans="2:7">
      <c r="D242"/>
      <c r="E242"/>
      <c r="F242" s="142" t="s">
        <v>341</v>
      </c>
      <c r="G242" s="558">
        <v>210.65494791666666</v>
      </c>
    </row>
    <row r="243" spans="2:7">
      <c r="D243"/>
      <c r="E243"/>
      <c r="F243" s="142" t="s">
        <v>342</v>
      </c>
      <c r="G243" s="558">
        <v>230.71537001897534</v>
      </c>
    </row>
    <row r="244" spans="2:7">
      <c r="D244"/>
      <c r="E244"/>
      <c r="F244" s="142" t="s">
        <v>343</v>
      </c>
      <c r="G244" s="558">
        <f>1/3*198+2/3*217</f>
        <v>210.66666666666666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71">
    <tabColor rgb="FFE28CAB"/>
  </sheetPr>
  <dimension ref="A1:Q251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251" customWidth="1"/>
    <col min="2" max="2" width="43.1640625" style="249" customWidth="1"/>
    <col min="3" max="3" width="24.1640625" style="249" customWidth="1"/>
    <col min="4" max="4" width="12.6640625" style="249" customWidth="1"/>
    <col min="5" max="5" width="12.9140625" style="249" customWidth="1"/>
    <col min="6" max="6" width="14.1640625" style="249" bestFit="1" customWidth="1"/>
    <col min="7" max="7" width="13.5" style="249" bestFit="1" customWidth="1"/>
    <col min="8" max="8" width="12.58203125" style="249" customWidth="1"/>
    <col min="9" max="9" width="2.5" style="344" customWidth="1"/>
    <col min="10" max="10" width="14.6640625" style="250" customWidth="1"/>
    <col min="11" max="11" width="13" style="250" customWidth="1"/>
    <col min="12" max="12" width="2.5" style="249" customWidth="1"/>
    <col min="13" max="13" width="8.6640625" style="249"/>
    <col min="14" max="14" width="10.1640625" style="249" customWidth="1"/>
    <col min="15" max="15" width="12.1640625" style="249" customWidth="1"/>
    <col min="16" max="16" width="16.1640625" customWidth="1"/>
    <col min="17" max="17" width="12.6640625" customWidth="1"/>
    <col min="18" max="16384" width="8.6640625" style="249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7"/>
      <c r="D1" s="477"/>
      <c r="E1" s="477"/>
      <c r="F1" s="477"/>
      <c r="G1" s="477"/>
      <c r="H1" s="477"/>
      <c r="I1" s="478"/>
    </row>
    <row r="2" spans="1:17" ht="23">
      <c r="B2" s="143" t="s">
        <v>189</v>
      </c>
      <c r="C2" s="246" t="s">
        <v>591</v>
      </c>
      <c r="D2" s="253"/>
      <c r="E2" s="253"/>
    </row>
    <row r="3" spans="1:17" ht="24" customHeight="1">
      <c r="A3" s="254"/>
      <c r="B3" s="249" t="s">
        <v>79</v>
      </c>
      <c r="C3" s="489">
        <v>42186</v>
      </c>
      <c r="D3" s="253"/>
      <c r="E3" s="583"/>
      <c r="F3" s="664" t="s">
        <v>657</v>
      </c>
      <c r="G3" s="583"/>
      <c r="H3" s="583"/>
    </row>
    <row r="4" spans="1:17" ht="25.5" customHeight="1">
      <c r="A4" s="254"/>
      <c r="B4" s="256" t="s">
        <v>80</v>
      </c>
      <c r="C4" s="489">
        <v>42551</v>
      </c>
      <c r="D4" s="253"/>
      <c r="E4" s="583"/>
      <c r="F4" s="663" t="s">
        <v>658</v>
      </c>
      <c r="G4" s="583"/>
      <c r="H4" s="583"/>
    </row>
    <row r="5" spans="1:17">
      <c r="A5" s="254"/>
      <c r="B5" s="256"/>
      <c r="C5" s="259"/>
      <c r="D5" s="253"/>
      <c r="F5" s="445" t="s">
        <v>656</v>
      </c>
    </row>
    <row r="6" spans="1:17">
      <c r="A6" s="254"/>
      <c r="B6" s="256"/>
      <c r="C6" s="260" t="s">
        <v>37</v>
      </c>
      <c r="D6" s="261" t="s">
        <v>38</v>
      </c>
      <c r="E6" s="257" t="s">
        <v>39</v>
      </c>
      <c r="F6" s="262" t="s">
        <v>40</v>
      </c>
      <c r="G6" s="261" t="s">
        <v>41</v>
      </c>
      <c r="H6" s="257" t="s">
        <v>42</v>
      </c>
      <c r="I6" s="345"/>
      <c r="J6" s="263">
        <v>7</v>
      </c>
      <c r="K6" s="263">
        <v>8</v>
      </c>
      <c r="M6" s="255">
        <v>9</v>
      </c>
      <c r="N6" s="255">
        <v>10</v>
      </c>
      <c r="O6" s="255">
        <v>11</v>
      </c>
    </row>
    <row r="7" spans="1:17">
      <c r="B7" s="256"/>
      <c r="C7" s="264" t="s">
        <v>1</v>
      </c>
      <c r="D7" s="264" t="s">
        <v>2</v>
      </c>
      <c r="E7" s="264" t="s">
        <v>3</v>
      </c>
      <c r="F7" s="264" t="s">
        <v>4</v>
      </c>
      <c r="G7" s="264" t="s">
        <v>5</v>
      </c>
      <c r="H7" s="265" t="s">
        <v>6</v>
      </c>
      <c r="I7" s="346"/>
      <c r="J7" s="266" t="s">
        <v>291</v>
      </c>
      <c r="K7" s="267" t="s">
        <v>292</v>
      </c>
      <c r="M7" s="267" t="s">
        <v>351</v>
      </c>
      <c r="N7" s="267" t="s">
        <v>353</v>
      </c>
      <c r="O7" s="267" t="s">
        <v>354</v>
      </c>
    </row>
    <row r="8" spans="1:17">
      <c r="B8" s="256"/>
      <c r="C8" s="268"/>
      <c r="D8" s="268"/>
      <c r="E8" s="268" t="s">
        <v>8</v>
      </c>
      <c r="F8" s="268" t="s">
        <v>9</v>
      </c>
      <c r="G8" s="268" t="s">
        <v>10</v>
      </c>
      <c r="H8" s="269" t="s">
        <v>11</v>
      </c>
      <c r="I8" s="346"/>
      <c r="J8" s="270"/>
      <c r="K8" s="270"/>
      <c r="M8" s="270" t="s">
        <v>352</v>
      </c>
      <c r="N8" s="270" t="s">
        <v>351</v>
      </c>
      <c r="O8" s="270" t="s">
        <v>467</v>
      </c>
    </row>
    <row r="9" spans="1:17">
      <c r="A9" s="254"/>
      <c r="C9" s="259"/>
      <c r="D9" s="253"/>
      <c r="F9"/>
      <c r="G9" s="253"/>
    </row>
    <row r="10" spans="1:17" s="275" customFormat="1" ht="16" thickBot="1">
      <c r="A10" s="271" t="s">
        <v>245</v>
      </c>
      <c r="B10" s="164" t="s">
        <v>246</v>
      </c>
      <c r="C10" s="273"/>
      <c r="D10" s="273"/>
      <c r="E10" s="273"/>
      <c r="F10"/>
      <c r="G10" s="273"/>
      <c r="H10" s="274"/>
      <c r="I10" s="347"/>
      <c r="J10" s="276"/>
      <c r="K10" s="276"/>
      <c r="P10"/>
      <c r="Q10"/>
    </row>
    <row r="11" spans="1:17" s="275" customFormat="1">
      <c r="A11" s="277" t="s">
        <v>13</v>
      </c>
      <c r="B11" s="278" t="s">
        <v>213</v>
      </c>
      <c r="C11" s="558">
        <f>'[42]Sch B'!E10</f>
        <v>3388942.05</v>
      </c>
      <c r="D11" s="558">
        <f>'[42]Sch B'!G10</f>
        <v>0</v>
      </c>
      <c r="E11" s="248">
        <f>C11+D11</f>
        <v>3388942.05</v>
      </c>
      <c r="F11" s="248"/>
      <c r="G11" s="248">
        <f t="shared" ref="G11:G20" si="0">E11+F11</f>
        <v>3388942.05</v>
      </c>
      <c r="H11" s="279">
        <f t="shared" ref="H11:H21" si="1">IF($G$21=0,0,G11/$G$21)</f>
        <v>0.440877682139032</v>
      </c>
      <c r="I11" s="348"/>
      <c r="J11" s="368" t="s">
        <v>344</v>
      </c>
      <c r="K11" s="369">
        <f>G21</f>
        <v>7686807.8999999994</v>
      </c>
      <c r="M11" s="360">
        <f>IFERROR(G11/G219,0)</f>
        <v>268.36728302185617</v>
      </c>
      <c r="N11" s="360">
        <f>SUMMARY!J14</f>
        <v>222.18858354654498</v>
      </c>
      <c r="P11"/>
      <c r="Q11"/>
    </row>
    <row r="12" spans="1:17" s="275" customFormat="1">
      <c r="A12" s="277" t="s">
        <v>15</v>
      </c>
      <c r="B12" s="278" t="s">
        <v>212</v>
      </c>
      <c r="C12" s="558">
        <f>'[42]Sch B'!E15</f>
        <v>27020</v>
      </c>
      <c r="D12" s="558">
        <f>'[42]Sch B'!G15</f>
        <v>0</v>
      </c>
      <c r="E12" s="248">
        <f t="shared" ref="E12:E20" si="2">C12+D12</f>
        <v>27020</v>
      </c>
      <c r="F12" s="248">
        <v>-3125</v>
      </c>
      <c r="G12" s="248">
        <f>E12+F12</f>
        <v>23895</v>
      </c>
      <c r="H12" s="279">
        <f t="shared" si="1"/>
        <v>3.1085725454385303E-3</v>
      </c>
      <c r="I12" s="348"/>
      <c r="J12" s="370" t="s">
        <v>345</v>
      </c>
      <c r="K12" s="371">
        <f>G208</f>
        <v>7518184.4099999983</v>
      </c>
      <c r="M12" s="360">
        <f t="shared" ref="M12:M19" si="3">IFERROR(G12/G220,0)</f>
        <v>205.99137931034483</v>
      </c>
      <c r="N12" s="360">
        <f>SUMMARY!J15</f>
        <v>207.2175599435825</v>
      </c>
      <c r="P12"/>
      <c r="Q12"/>
    </row>
    <row r="13" spans="1:17" s="275" customFormat="1">
      <c r="A13" s="277" t="s">
        <v>16</v>
      </c>
      <c r="B13" s="278" t="s">
        <v>170</v>
      </c>
      <c r="C13" s="558">
        <f>'[42]Sch B'!E21</f>
        <v>1564035.5899999999</v>
      </c>
      <c r="D13" s="558">
        <f>'[42]Sch B'!G21</f>
        <v>0</v>
      </c>
      <c r="E13" s="248">
        <f t="shared" si="2"/>
        <v>1564035.5899999999</v>
      </c>
      <c r="F13" s="248"/>
      <c r="G13" s="248">
        <f t="shared" si="0"/>
        <v>1564035.5899999999</v>
      </c>
      <c r="H13" s="279">
        <f t="shared" si="1"/>
        <v>0.2034701023294728</v>
      </c>
      <c r="I13" s="348"/>
      <c r="J13" s="370" t="s">
        <v>346</v>
      </c>
      <c r="K13" s="371">
        <f>G228</f>
        <v>26650</v>
      </c>
      <c r="M13" s="360">
        <f t="shared" si="3"/>
        <v>559.98409953455064</v>
      </c>
      <c r="N13" s="360">
        <f>SUMMARY!J16</f>
        <v>537.49113199368492</v>
      </c>
      <c r="P13"/>
      <c r="Q13"/>
    </row>
    <row r="14" spans="1:17" s="275" customFormat="1">
      <c r="A14" s="280" t="s">
        <v>18</v>
      </c>
      <c r="B14" s="281" t="s">
        <v>306</v>
      </c>
      <c r="C14" s="558">
        <f>'[42]Sch B'!E27</f>
        <v>316048.90000000002</v>
      </c>
      <c r="D14" s="558">
        <f>'[42]Sch B'!G27</f>
        <v>0</v>
      </c>
      <c r="E14" s="248">
        <f t="shared" si="2"/>
        <v>316048.90000000002</v>
      </c>
      <c r="F14" s="282"/>
      <c r="G14" s="282">
        <f>E14+F14</f>
        <v>316048.90000000002</v>
      </c>
      <c r="H14" s="283">
        <f t="shared" si="1"/>
        <v>4.1115753653737076E-2</v>
      </c>
      <c r="I14" s="349"/>
      <c r="J14" s="370" t="s">
        <v>347</v>
      </c>
      <c r="K14" s="371">
        <f>G231</f>
        <v>107</v>
      </c>
      <c r="M14" s="360">
        <f t="shared" si="3"/>
        <v>397.04635678391963</v>
      </c>
      <c r="N14" s="360">
        <f>SUMMARY!J17</f>
        <v>403.86361337438132</v>
      </c>
      <c r="P14"/>
      <c r="Q14"/>
    </row>
    <row r="15" spans="1:17" s="275" customFormat="1">
      <c r="A15" s="277" t="s">
        <v>19</v>
      </c>
      <c r="B15" s="278" t="s">
        <v>171</v>
      </c>
      <c r="C15" s="558">
        <f>'[42]Sch B'!E32</f>
        <v>1547417.3499999999</v>
      </c>
      <c r="D15" s="558">
        <f>'[42]Sch B'!G32</f>
        <v>0</v>
      </c>
      <c r="E15" s="248">
        <f t="shared" si="2"/>
        <v>1547417.3499999999</v>
      </c>
      <c r="F15" s="248"/>
      <c r="G15" s="248">
        <f t="shared" si="0"/>
        <v>1547417.3499999999</v>
      </c>
      <c r="H15" s="279">
        <f t="shared" si="1"/>
        <v>0.20130818541725232</v>
      </c>
      <c r="I15" s="348"/>
      <c r="J15" s="370" t="s">
        <v>348</v>
      </c>
      <c r="K15" s="371">
        <f>G235</f>
        <v>39162</v>
      </c>
      <c r="M15" s="360">
        <f t="shared" si="3"/>
        <v>243.91824558638081</v>
      </c>
      <c r="N15" s="360">
        <f>SUMMARY!J18</f>
        <v>332.02055718372145</v>
      </c>
      <c r="P15"/>
      <c r="Q15"/>
    </row>
    <row r="16" spans="1:17" s="275" customFormat="1">
      <c r="A16" s="277" t="s">
        <v>21</v>
      </c>
      <c r="B16" s="278" t="s">
        <v>172</v>
      </c>
      <c r="C16" s="558">
        <f>'[42]Sch B'!E37</f>
        <v>510872.55000000005</v>
      </c>
      <c r="D16" s="558">
        <f>'[42]Sch B'!G37</f>
        <v>0</v>
      </c>
      <c r="E16" s="248">
        <f t="shared" si="2"/>
        <v>510872.55000000005</v>
      </c>
      <c r="F16" s="248"/>
      <c r="G16" s="248">
        <f t="shared" si="0"/>
        <v>510872.55000000005</v>
      </c>
      <c r="H16" s="279">
        <f t="shared" si="1"/>
        <v>6.646094928429265E-2</v>
      </c>
      <c r="I16" s="348"/>
      <c r="J16" s="372"/>
      <c r="K16" s="371"/>
      <c r="M16" s="360">
        <f t="shared" si="3"/>
        <v>200.34217647058824</v>
      </c>
      <c r="N16" s="360">
        <f>SUMMARY!J19</f>
        <v>209.32685676266178</v>
      </c>
      <c r="P16"/>
      <c r="Q16"/>
    </row>
    <row r="17" spans="1:17" s="275" customFormat="1">
      <c r="A17" s="277" t="s">
        <v>215</v>
      </c>
      <c r="B17" s="278" t="s">
        <v>228</v>
      </c>
      <c r="C17" s="558">
        <f>'[42]Sch B'!E42</f>
        <v>276808.67000000004</v>
      </c>
      <c r="D17" s="558">
        <f>'[42]Sch B'!G42</f>
        <v>0</v>
      </c>
      <c r="E17" s="248">
        <f t="shared" si="2"/>
        <v>276808.67000000004</v>
      </c>
      <c r="F17" s="248"/>
      <c r="G17" s="248">
        <f>E17+F17</f>
        <v>276808.67000000004</v>
      </c>
      <c r="H17" s="279">
        <f t="shared" si="1"/>
        <v>3.6010873902546731E-2</v>
      </c>
      <c r="I17" s="348"/>
      <c r="J17" s="370" t="s">
        <v>156</v>
      </c>
      <c r="K17" s="371">
        <f>J208</f>
        <v>176868.32</v>
      </c>
      <c r="M17" s="360">
        <f t="shared" si="3"/>
        <v>202.05012408759129</v>
      </c>
      <c r="N17" s="360">
        <f>SUMMARY!J20</f>
        <v>177.55325692366318</v>
      </c>
      <c r="P17"/>
      <c r="Q17"/>
    </row>
    <row r="18" spans="1:17" s="275" customFormat="1" ht="16" thickBot="1">
      <c r="A18" s="277" t="s">
        <v>216</v>
      </c>
      <c r="B18" s="278" t="s">
        <v>229</v>
      </c>
      <c r="C18" s="558">
        <f>'[42]Sch B'!E47</f>
        <v>10024.970000000001</v>
      </c>
      <c r="D18" s="558">
        <f>'[42]Sch B'!G47</f>
        <v>0</v>
      </c>
      <c r="E18" s="248">
        <f t="shared" si="2"/>
        <v>10024.970000000001</v>
      </c>
      <c r="F18" s="248"/>
      <c r="G18" s="248">
        <f>E18+F18</f>
        <v>10024.970000000001</v>
      </c>
      <c r="H18" s="279">
        <f t="shared" si="1"/>
        <v>1.3041785524521825E-3</v>
      </c>
      <c r="I18" s="348"/>
      <c r="J18" s="373" t="s">
        <v>252</v>
      </c>
      <c r="K18" s="374">
        <f>K208</f>
        <v>183372.22000000003</v>
      </c>
      <c r="M18" s="360">
        <f t="shared" si="3"/>
        <v>189.1503773584906</v>
      </c>
      <c r="N18" s="360">
        <f>SUMMARY!J21</f>
        <v>189.23177326776752</v>
      </c>
      <c r="P18"/>
      <c r="Q18"/>
    </row>
    <row r="19" spans="1:17" s="275" customFormat="1">
      <c r="A19" s="277" t="s">
        <v>227</v>
      </c>
      <c r="B19" s="177" t="s">
        <v>173</v>
      </c>
      <c r="C19" s="558">
        <f>'[42]Sch B'!E52</f>
        <v>0</v>
      </c>
      <c r="D19" s="558">
        <f>'[42]Sch B'!G52</f>
        <v>0</v>
      </c>
      <c r="E19" s="248">
        <f t="shared" si="2"/>
        <v>0</v>
      </c>
      <c r="F19" s="248"/>
      <c r="G19" s="248">
        <f t="shared" si="0"/>
        <v>0</v>
      </c>
      <c r="H19" s="279">
        <f t="shared" si="1"/>
        <v>0</v>
      </c>
      <c r="I19" s="348"/>
      <c r="J19" s="276"/>
      <c r="K19" s="276"/>
      <c r="M19" s="360">
        <f t="shared" si="3"/>
        <v>0</v>
      </c>
      <c r="N19" s="360">
        <f>SUMMARY!J22</f>
        <v>340.93117536472568</v>
      </c>
      <c r="P19"/>
      <c r="Q19"/>
    </row>
    <row r="20" spans="1:17" s="275" customFormat="1">
      <c r="A20" s="277" t="s">
        <v>183</v>
      </c>
      <c r="B20" s="23" t="s">
        <v>180</v>
      </c>
      <c r="C20" s="558">
        <f>'[42]Sch B'!E67</f>
        <v>49154.46</v>
      </c>
      <c r="D20" s="558">
        <f>'[42]Sch B'!G67</f>
        <v>-391.64</v>
      </c>
      <c r="E20" s="248">
        <f t="shared" si="2"/>
        <v>48762.82</v>
      </c>
      <c r="F20" s="248"/>
      <c r="G20" s="248">
        <f t="shared" si="0"/>
        <v>48762.82</v>
      </c>
      <c r="H20" s="279">
        <f t="shared" si="1"/>
        <v>6.3437021757757209E-3</v>
      </c>
      <c r="I20" s="348"/>
      <c r="J20" s="276"/>
      <c r="K20" s="276"/>
      <c r="M20" s="365" t="s">
        <v>200</v>
      </c>
      <c r="N20" s="365" t="s">
        <v>200</v>
      </c>
      <c r="P20"/>
      <c r="Q20"/>
    </row>
    <row r="21" spans="1:17" s="275" customFormat="1">
      <c r="A21" s="277"/>
      <c r="B21" s="178" t="s">
        <v>77</v>
      </c>
      <c r="C21" s="558">
        <f>SUM(C11:C20)</f>
        <v>7690324.5399999991</v>
      </c>
      <c r="D21" s="558">
        <f>SUM(D11:D20)</f>
        <v>-391.64</v>
      </c>
      <c r="E21" s="248">
        <f>SUM(E11:E20)</f>
        <v>7689932.8999999994</v>
      </c>
      <c r="F21" s="248">
        <f>SUM(F11:F20)</f>
        <v>-3125</v>
      </c>
      <c r="G21" s="248">
        <f>SUM(G11:G20)</f>
        <v>7686807.8999999994</v>
      </c>
      <c r="H21" s="279">
        <f t="shared" si="1"/>
        <v>1</v>
      </c>
      <c r="I21" s="348"/>
      <c r="J21" s="276"/>
      <c r="K21" s="276"/>
      <c r="M21" s="360">
        <f>IFERROR(G21/G228,0)</f>
        <v>288.43556848030016</v>
      </c>
      <c r="N21" s="360">
        <f>SUMMARY!J24</f>
        <v>278.37842406091033</v>
      </c>
      <c r="P21"/>
      <c r="Q21"/>
    </row>
    <row r="22" spans="1:17" ht="12" customHeight="1">
      <c r="A22" s="254"/>
      <c r="B22" s="179"/>
      <c r="C22" s="151"/>
      <c r="D22" s="144"/>
      <c r="F22" s="253"/>
      <c r="G22" s="253"/>
      <c r="M22" s="366"/>
      <c r="N22" s="366"/>
    </row>
    <row r="23" spans="1:17" ht="26.5">
      <c r="A23" s="286" t="s">
        <v>231</v>
      </c>
      <c r="B23" s="179" t="s">
        <v>222</v>
      </c>
      <c r="C23" s="151"/>
      <c r="D23" s="144"/>
      <c r="F23"/>
      <c r="G23" s="253"/>
      <c r="M23" s="366"/>
      <c r="N23" s="366"/>
    </row>
    <row r="24" spans="1:17">
      <c r="A24" s="287" t="s">
        <v>161</v>
      </c>
      <c r="B24" s="256" t="s">
        <v>12</v>
      </c>
      <c r="C24" s="140"/>
      <c r="D24" s="140"/>
      <c r="F24"/>
      <c r="M24" s="366"/>
      <c r="N24" s="366"/>
    </row>
    <row r="25" spans="1:17" s="275" customFormat="1">
      <c r="A25" s="277" t="s">
        <v>83</v>
      </c>
      <c r="B25" s="278" t="s">
        <v>14</v>
      </c>
      <c r="C25" s="558">
        <f>'[42]Sch C'!D10</f>
        <v>117846.82</v>
      </c>
      <c r="D25" s="558">
        <f>'[42]Sch C'!F10</f>
        <v>0</v>
      </c>
      <c r="E25" s="248">
        <f t="shared" ref="E25:E60" si="4">C25+D25</f>
        <v>117846.82</v>
      </c>
      <c r="F25" s="248"/>
      <c r="G25" s="288">
        <f>E25+F25</f>
        <v>117846.82</v>
      </c>
      <c r="H25" s="279">
        <f>IF($G$208=0,0,G25/$G$208)</f>
        <v>1.5674904148832929E-2</v>
      </c>
      <c r="I25" s="348"/>
      <c r="J25" s="486">
        <v>2080.08</v>
      </c>
      <c r="K25" s="486">
        <v>2080.08</v>
      </c>
      <c r="M25" s="360">
        <f>G25/G$228</f>
        <v>4.4220195121951225</v>
      </c>
      <c r="N25" s="360">
        <f>SUMMARY!J28</f>
        <v>5.2871017912533844</v>
      </c>
      <c r="P25"/>
      <c r="Q25"/>
    </row>
    <row r="26" spans="1:17" s="275" customFormat="1">
      <c r="A26" s="277" t="s">
        <v>84</v>
      </c>
      <c r="B26" s="278" t="s">
        <v>176</v>
      </c>
      <c r="C26" s="558">
        <f>'[42]Sch C'!D11</f>
        <v>0</v>
      </c>
      <c r="D26" s="558">
        <f>'[42]Sch C'!F11</f>
        <v>0</v>
      </c>
      <c r="E26" s="248">
        <f t="shared" si="4"/>
        <v>0</v>
      </c>
      <c r="F26" s="248"/>
      <c r="G26" s="248">
        <f t="shared" ref="G26:G60" si="5">E26+F26</f>
        <v>0</v>
      </c>
      <c r="H26" s="289">
        <f t="shared" ref="H26:H61" si="6">IF($G$208=0,0,G26/$G$208)</f>
        <v>0</v>
      </c>
      <c r="I26" s="348"/>
      <c r="J26" s="486">
        <v>0</v>
      </c>
      <c r="K26" s="486">
        <v>0</v>
      </c>
      <c r="M26" s="360">
        <f t="shared" ref="M26:M60" si="7">G26/G$228</f>
        <v>0</v>
      </c>
      <c r="N26" s="360">
        <f>SUMMARY!J29</f>
        <v>5.5405379333703472E-2</v>
      </c>
      <c r="P26"/>
      <c r="Q26"/>
    </row>
    <row r="27" spans="1:17" s="275" customFormat="1">
      <c r="A27" s="277" t="s">
        <v>85</v>
      </c>
      <c r="B27" s="278" t="s">
        <v>17</v>
      </c>
      <c r="C27" s="558">
        <f>'[42]Sch C'!D12</f>
        <v>252824.34</v>
      </c>
      <c r="D27" s="558">
        <f>'[42]Sch C'!F12</f>
        <v>-105743</v>
      </c>
      <c r="E27" s="248">
        <f t="shared" si="4"/>
        <v>147081.34</v>
      </c>
      <c r="F27" s="248"/>
      <c r="G27" s="248">
        <f t="shared" si="5"/>
        <v>147081.34</v>
      </c>
      <c r="H27" s="279">
        <f t="shared" si="6"/>
        <v>1.9563412119070384E-2</v>
      </c>
      <c r="I27" s="348"/>
      <c r="J27" s="486">
        <v>12309.01</v>
      </c>
      <c r="K27" s="486">
        <v>12749.34</v>
      </c>
      <c r="M27" s="360">
        <f t="shared" si="7"/>
        <v>5.5189996247654785</v>
      </c>
      <c r="N27" s="360">
        <f>SUMMARY!J30</f>
        <v>6.7296464607712929</v>
      </c>
      <c r="P27"/>
      <c r="Q27"/>
    </row>
    <row r="28" spans="1:17" s="275" customFormat="1">
      <c r="A28" s="277" t="s">
        <v>86</v>
      </c>
      <c r="B28" s="278" t="s">
        <v>45</v>
      </c>
      <c r="C28" s="558">
        <f>'[42]Sch C'!D13</f>
        <v>111615.53</v>
      </c>
      <c r="D28" s="558">
        <f>'[42]Sch C'!F13</f>
        <v>-29618</v>
      </c>
      <c r="E28" s="248">
        <f t="shared" si="4"/>
        <v>81997.53</v>
      </c>
      <c r="F28" s="248"/>
      <c r="G28" s="248">
        <f t="shared" si="5"/>
        <v>81997.53</v>
      </c>
      <c r="H28" s="279">
        <f t="shared" si="6"/>
        <v>1.0906560085295915E-2</v>
      </c>
      <c r="I28" s="348"/>
      <c r="J28" s="513"/>
      <c r="K28" s="513"/>
      <c r="M28" s="360">
        <f t="shared" si="7"/>
        <v>3.0768303939962478</v>
      </c>
      <c r="N28" s="360">
        <f>SUMMARY!J31</f>
        <v>2.2098304126852</v>
      </c>
      <c r="P28"/>
      <c r="Q28"/>
    </row>
    <row r="29" spans="1:17" s="275" customFormat="1">
      <c r="A29" s="277" t="s">
        <v>175</v>
      </c>
      <c r="B29" s="278" t="s">
        <v>20</v>
      </c>
      <c r="C29" s="558">
        <f>'[42]Sch C'!D14</f>
        <v>0</v>
      </c>
      <c r="D29" s="558">
        <f>'[42]Sch C'!F14</f>
        <v>0</v>
      </c>
      <c r="E29" s="248">
        <f t="shared" si="4"/>
        <v>0</v>
      </c>
      <c r="F29" s="248"/>
      <c r="G29" s="248">
        <f t="shared" si="5"/>
        <v>0</v>
      </c>
      <c r="H29" s="279">
        <f t="shared" si="6"/>
        <v>0</v>
      </c>
      <c r="I29" s="348"/>
      <c r="J29" s="513"/>
      <c r="K29" s="513"/>
      <c r="M29" s="360">
        <f t="shared" si="7"/>
        <v>0</v>
      </c>
      <c r="N29" s="360">
        <f>SUMMARY!J32</f>
        <v>7.2347686654990794E-3</v>
      </c>
      <c r="P29"/>
      <c r="Q29"/>
    </row>
    <row r="30" spans="1:17" s="275" customFormat="1">
      <c r="A30" s="277" t="s">
        <v>88</v>
      </c>
      <c r="B30" s="278" t="s">
        <v>22</v>
      </c>
      <c r="C30" s="558">
        <f>'[42]Sch C'!D15</f>
        <v>518286.7</v>
      </c>
      <c r="D30" s="558">
        <f>'[42]Sch C'!F15</f>
        <v>-518286.7</v>
      </c>
      <c r="E30" s="248">
        <f t="shared" si="4"/>
        <v>0</v>
      </c>
      <c r="F30" s="248"/>
      <c r="G30" s="248">
        <f t="shared" si="5"/>
        <v>0</v>
      </c>
      <c r="H30" s="279">
        <f t="shared" si="6"/>
        <v>0</v>
      </c>
      <c r="I30" s="348"/>
      <c r="J30" s="513"/>
      <c r="K30" s="513"/>
      <c r="M30" s="360">
        <f t="shared" si="7"/>
        <v>0</v>
      </c>
      <c r="N30" s="360">
        <f>SUMMARY!J33</f>
        <v>2.3289615556872723</v>
      </c>
      <c r="P30"/>
      <c r="Q30"/>
    </row>
    <row r="31" spans="1:17" s="275" customFormat="1">
      <c r="A31" s="277" t="s">
        <v>89</v>
      </c>
      <c r="B31" s="278" t="s">
        <v>148</v>
      </c>
      <c r="C31" s="558">
        <f>'[42]Sch C'!D16</f>
        <v>0</v>
      </c>
      <c r="D31" s="558">
        <f>'[42]Sch C'!F16</f>
        <v>272619</v>
      </c>
      <c r="E31" s="248">
        <f t="shared" si="4"/>
        <v>272619</v>
      </c>
      <c r="F31" s="248"/>
      <c r="G31" s="248">
        <f t="shared" si="5"/>
        <v>272619</v>
      </c>
      <c r="H31" s="279">
        <f t="shared" si="6"/>
        <v>3.6261281332416809E-2</v>
      </c>
      <c r="I31" s="348"/>
      <c r="J31" s="513"/>
      <c r="K31" s="513"/>
      <c r="M31" s="360">
        <f t="shared" si="7"/>
        <v>10.229606003752345</v>
      </c>
      <c r="N31" s="360">
        <f>SUMMARY!J34</f>
        <v>9.228688439287323</v>
      </c>
      <c r="P31"/>
      <c r="Q31"/>
    </row>
    <row r="32" spans="1:17" s="275" customFormat="1">
      <c r="A32" s="277" t="s">
        <v>90</v>
      </c>
      <c r="B32" s="278" t="s">
        <v>23</v>
      </c>
      <c r="C32" s="558">
        <f>'[42]Sch C'!D17</f>
        <v>0</v>
      </c>
      <c r="D32" s="558">
        <f>'[42]Sch C'!F17</f>
        <v>0</v>
      </c>
      <c r="E32" s="248">
        <f t="shared" si="4"/>
        <v>0</v>
      </c>
      <c r="F32" s="248"/>
      <c r="G32" s="248">
        <f t="shared" si="5"/>
        <v>0</v>
      </c>
      <c r="H32" s="279">
        <f t="shared" si="6"/>
        <v>0</v>
      </c>
      <c r="I32" s="348"/>
      <c r="J32" s="513"/>
      <c r="K32" s="513"/>
      <c r="M32" s="360">
        <f t="shared" si="7"/>
        <v>0</v>
      </c>
      <c r="N32" s="360">
        <f>SUMMARY!J35</f>
        <v>7.8323818996803851E-3</v>
      </c>
      <c r="P32"/>
      <c r="Q32"/>
    </row>
    <row r="33" spans="1:17" s="275" customFormat="1">
      <c r="A33" s="277" t="s">
        <v>91</v>
      </c>
      <c r="B33" s="278" t="s">
        <v>24</v>
      </c>
      <c r="C33" s="558">
        <f>'[42]Sch C'!D18</f>
        <v>20598.52</v>
      </c>
      <c r="D33" s="558">
        <f>'[42]Sch C'!F18</f>
        <v>0</v>
      </c>
      <c r="E33" s="248">
        <f t="shared" si="4"/>
        <v>20598.52</v>
      </c>
      <c r="F33" s="248"/>
      <c r="G33" s="248">
        <f t="shared" si="5"/>
        <v>20598.52</v>
      </c>
      <c r="H33" s="279">
        <f t="shared" si="6"/>
        <v>2.7398263831626343E-3</v>
      </c>
      <c r="I33" s="348"/>
      <c r="J33" s="513"/>
      <c r="K33" s="513"/>
      <c r="M33" s="360">
        <f t="shared" si="7"/>
        <v>0.77292757973733583</v>
      </c>
      <c r="N33" s="360">
        <f>SUMMARY!J36</f>
        <v>0.84523554145971291</v>
      </c>
      <c r="P33"/>
      <c r="Q33"/>
    </row>
    <row r="34" spans="1:17" s="275" customFormat="1">
      <c r="A34" s="277" t="s">
        <v>92</v>
      </c>
      <c r="B34" s="278" t="s">
        <v>25</v>
      </c>
      <c r="C34" s="558">
        <f>'[42]Sch C'!D19</f>
        <v>13340.91</v>
      </c>
      <c r="D34" s="558">
        <f>'[42]Sch C'!F19</f>
        <v>0</v>
      </c>
      <c r="E34" s="248">
        <f t="shared" si="4"/>
        <v>13340.91</v>
      </c>
      <c r="F34" s="248"/>
      <c r="G34" s="248">
        <f t="shared" si="5"/>
        <v>13340.91</v>
      </c>
      <c r="H34" s="279">
        <f t="shared" si="6"/>
        <v>1.7744856034995825E-3</v>
      </c>
      <c r="I34" s="348"/>
      <c r="J34" s="513"/>
      <c r="K34" s="513"/>
      <c r="M34" s="360">
        <f t="shared" si="7"/>
        <v>0.50059699812382741</v>
      </c>
      <c r="N34" s="360">
        <f>SUMMARY!J37</f>
        <v>0.66565591578793926</v>
      </c>
      <c r="P34"/>
      <c r="Q34"/>
    </row>
    <row r="35" spans="1:17" s="275" customFormat="1">
      <c r="A35" s="277" t="s">
        <v>93</v>
      </c>
      <c r="B35" s="278" t="s">
        <v>26</v>
      </c>
      <c r="C35" s="558">
        <f>'[42]Sch C'!D20</f>
        <v>23680.65</v>
      </c>
      <c r="D35" s="558">
        <f>'[42]Sch C'!F20</f>
        <v>0</v>
      </c>
      <c r="E35" s="248">
        <f t="shared" si="4"/>
        <v>23680.65</v>
      </c>
      <c r="F35" s="248"/>
      <c r="G35" s="248">
        <f t="shared" si="5"/>
        <v>23680.65</v>
      </c>
      <c r="H35" s="279">
        <f t="shared" si="6"/>
        <v>3.1497830737567669E-3</v>
      </c>
      <c r="I35" s="348"/>
      <c r="J35" s="513"/>
      <c r="K35" s="513"/>
      <c r="M35" s="360">
        <f t="shared" si="7"/>
        <v>0.88857973733583495</v>
      </c>
      <c r="N35" s="360">
        <f>SUMMARY!J38</f>
        <v>0.8424592434119561</v>
      </c>
      <c r="P35"/>
      <c r="Q35"/>
    </row>
    <row r="36" spans="1:17" s="275" customFormat="1">
      <c r="A36" s="277" t="s">
        <v>94</v>
      </c>
      <c r="B36" s="278" t="s">
        <v>27</v>
      </c>
      <c r="C36" s="558">
        <f>'[42]Sch C'!D21</f>
        <v>54027.05</v>
      </c>
      <c r="D36" s="558">
        <f>'[42]Sch C'!F21</f>
        <v>52892</v>
      </c>
      <c r="E36" s="248">
        <f t="shared" si="4"/>
        <v>106919.05</v>
      </c>
      <c r="F36" s="248"/>
      <c r="G36" s="248">
        <f t="shared" si="5"/>
        <v>106919.05</v>
      </c>
      <c r="H36" s="279">
        <f t="shared" si="6"/>
        <v>1.4221392316180234E-2</v>
      </c>
      <c r="I36" s="348"/>
      <c r="J36" s="513"/>
      <c r="K36" s="513"/>
      <c r="M36" s="360">
        <f t="shared" si="7"/>
        <v>4.0119718574108818</v>
      </c>
      <c r="N36" s="360">
        <f>SUMMARY!J39</f>
        <v>1.3169235823352747</v>
      </c>
      <c r="P36"/>
      <c r="Q36"/>
    </row>
    <row r="37" spans="1:17" s="275" customFormat="1">
      <c r="A37" s="271">
        <v>130</v>
      </c>
      <c r="B37" s="278" t="s">
        <v>28</v>
      </c>
      <c r="C37" s="558">
        <f>'[42]Sch C'!D22</f>
        <v>0</v>
      </c>
      <c r="D37" s="558">
        <f>'[42]Sch C'!F22</f>
        <v>0</v>
      </c>
      <c r="E37" s="248">
        <f t="shared" si="4"/>
        <v>0</v>
      </c>
      <c r="F37" s="248"/>
      <c r="G37" s="248">
        <f t="shared" si="5"/>
        <v>0</v>
      </c>
      <c r="H37" s="279">
        <f t="shared" si="6"/>
        <v>0</v>
      </c>
      <c r="I37" s="348"/>
      <c r="J37" s="513"/>
      <c r="K37" s="513"/>
      <c r="M37" s="360">
        <f t="shared" si="7"/>
        <v>0</v>
      </c>
      <c r="N37" s="360">
        <f>SUMMARY!J40</f>
        <v>1.6613467841685443E-2</v>
      </c>
      <c r="P37"/>
      <c r="Q37"/>
    </row>
    <row r="38" spans="1:17" s="275" customFormat="1">
      <c r="A38" s="271">
        <v>140</v>
      </c>
      <c r="B38" s="278" t="s">
        <v>149</v>
      </c>
      <c r="C38" s="558">
        <f>'[42]Sch C'!D23</f>
        <v>29419.63</v>
      </c>
      <c r="D38" s="558">
        <f>'[42]Sch C'!F23</f>
        <v>41953</v>
      </c>
      <c r="E38" s="248">
        <f t="shared" si="4"/>
        <v>71372.63</v>
      </c>
      <c r="F38" s="248"/>
      <c r="G38" s="248">
        <f t="shared" si="5"/>
        <v>71372.63</v>
      </c>
      <c r="H38" s="279">
        <f t="shared" si="6"/>
        <v>9.4933332448013229E-3</v>
      </c>
      <c r="I38" s="348"/>
      <c r="J38" s="513"/>
      <c r="K38" s="513"/>
      <c r="M38" s="360">
        <f t="shared" si="7"/>
        <v>2.6781474671669794</v>
      </c>
      <c r="N38" s="360">
        <f>SUMMARY!J41</f>
        <v>0.78350447706162407</v>
      </c>
      <c r="P38"/>
      <c r="Q38"/>
    </row>
    <row r="39" spans="1:17" s="275" customFormat="1">
      <c r="A39" s="271">
        <v>150</v>
      </c>
      <c r="B39" s="278" t="s">
        <v>29</v>
      </c>
      <c r="C39" s="558">
        <f>'[42]Sch C'!D24</f>
        <v>50676.09</v>
      </c>
      <c r="D39" s="558">
        <f>'[42]Sch C'!F24</f>
        <v>0</v>
      </c>
      <c r="E39" s="248">
        <f t="shared" si="4"/>
        <v>50676.09</v>
      </c>
      <c r="F39" s="248"/>
      <c r="G39" s="248">
        <f t="shared" si="5"/>
        <v>50676.09</v>
      </c>
      <c r="H39" s="279">
        <f t="shared" si="6"/>
        <v>6.7404691394102167E-3</v>
      </c>
      <c r="I39" s="348"/>
      <c r="J39" s="513"/>
      <c r="K39" s="513"/>
      <c r="M39" s="360">
        <f t="shared" si="7"/>
        <v>1.9015418386491556</v>
      </c>
      <c r="N39" s="360">
        <f>SUMMARY!J42</f>
        <v>1.2663707557948845</v>
      </c>
      <c r="P39"/>
      <c r="Q39"/>
    </row>
    <row r="40" spans="1:17" s="275" customFormat="1">
      <c r="A40" s="271">
        <v>160</v>
      </c>
      <c r="B40" s="278" t="s">
        <v>30</v>
      </c>
      <c r="C40" s="558">
        <f>'[42]Sch C'!D25</f>
        <v>0</v>
      </c>
      <c r="D40" s="558">
        <f>'[42]Sch C'!F25</f>
        <v>0</v>
      </c>
      <c r="E40" s="248">
        <f t="shared" si="4"/>
        <v>0</v>
      </c>
      <c r="F40" s="248"/>
      <c r="G40" s="248">
        <f t="shared" si="5"/>
        <v>0</v>
      </c>
      <c r="H40" s="279">
        <f t="shared" si="6"/>
        <v>0</v>
      </c>
      <c r="I40" s="348"/>
      <c r="J40" s="513"/>
      <c r="K40" s="513"/>
      <c r="M40" s="360">
        <f t="shared" si="7"/>
        <v>0</v>
      </c>
      <c r="N40" s="360">
        <f>SUMMARY!J43</f>
        <v>3.9859996698743162E-2</v>
      </c>
      <c r="P40"/>
      <c r="Q40"/>
    </row>
    <row r="41" spans="1:17" s="275" customFormat="1">
      <c r="A41" s="271">
        <v>170</v>
      </c>
      <c r="B41" s="278" t="s">
        <v>31</v>
      </c>
      <c r="C41" s="558">
        <f>'[42]Sch C'!D26</f>
        <v>422116.68</v>
      </c>
      <c r="D41" s="558">
        <f>'[42]Sch C'!F26</f>
        <v>-463.56</v>
      </c>
      <c r="E41" s="248">
        <f t="shared" si="4"/>
        <v>421653.12</v>
      </c>
      <c r="F41" s="248"/>
      <c r="G41" s="248">
        <f t="shared" si="5"/>
        <v>421653.12</v>
      </c>
      <c r="H41" s="279">
        <f t="shared" si="6"/>
        <v>5.6084434353479776E-2</v>
      </c>
      <c r="I41" s="348"/>
      <c r="J41" s="513"/>
      <c r="K41" s="513"/>
      <c r="M41" s="360">
        <f t="shared" si="7"/>
        <v>15.821880675422138</v>
      </c>
      <c r="N41" s="360">
        <f>SUMMARY!J44</f>
        <v>13.276275078297671</v>
      </c>
      <c r="P41"/>
      <c r="Q41"/>
    </row>
    <row r="42" spans="1:17" s="275" customFormat="1">
      <c r="A42" s="271">
        <v>180</v>
      </c>
      <c r="B42" s="278" t="s">
        <v>32</v>
      </c>
      <c r="C42" s="558">
        <f>'[42]Sch C'!D27</f>
        <v>4546.3999999999996</v>
      </c>
      <c r="D42" s="558">
        <f>'[42]Sch C'!F27</f>
        <v>10985.36</v>
      </c>
      <c r="E42" s="248">
        <f t="shared" si="4"/>
        <v>15531.76</v>
      </c>
      <c r="F42" s="248"/>
      <c r="G42" s="248">
        <f t="shared" si="5"/>
        <v>15531.76</v>
      </c>
      <c r="H42" s="279">
        <f t="shared" si="6"/>
        <v>2.0658923954221023E-3</v>
      </c>
      <c r="I42" s="348"/>
      <c r="J42" s="513"/>
      <c r="K42" s="513"/>
      <c r="M42" s="360">
        <f t="shared" si="7"/>
        <v>0.58280525328330213</v>
      </c>
      <c r="N42" s="360">
        <f>SUMMARY!J45</f>
        <v>0.53704966247864372</v>
      </c>
      <c r="P42"/>
      <c r="Q42"/>
    </row>
    <row r="43" spans="1:17" s="275" customFormat="1">
      <c r="A43" s="271">
        <v>190</v>
      </c>
      <c r="B43" s="278" t="s">
        <v>33</v>
      </c>
      <c r="C43" s="558">
        <f>'[42]Sch C'!D28</f>
        <v>0</v>
      </c>
      <c r="D43" s="558">
        <f>'[42]Sch C'!F28</f>
        <v>0</v>
      </c>
      <c r="E43" s="248">
        <f t="shared" si="4"/>
        <v>0</v>
      </c>
      <c r="F43" s="248"/>
      <c r="G43" s="248">
        <f t="shared" si="5"/>
        <v>0</v>
      </c>
      <c r="H43" s="279">
        <f t="shared" si="6"/>
        <v>0</v>
      </c>
      <c r="I43" s="348"/>
      <c r="J43" s="513"/>
      <c r="K43" s="513"/>
      <c r="M43" s="360">
        <f t="shared" si="7"/>
        <v>0</v>
      </c>
      <c r="N43" s="360">
        <f>SUMMARY!J46</f>
        <v>0</v>
      </c>
      <c r="P43"/>
      <c r="Q43"/>
    </row>
    <row r="44" spans="1:17" s="275" customFormat="1">
      <c r="A44" s="271">
        <v>200</v>
      </c>
      <c r="B44" s="278" t="s">
        <v>34</v>
      </c>
      <c r="C44" s="558">
        <f>'[42]Sch C'!D29</f>
        <v>203111.58</v>
      </c>
      <c r="D44" s="558">
        <f>'[42]Sch C'!F29</f>
        <v>-203111.58</v>
      </c>
      <c r="E44" s="248">
        <f t="shared" si="4"/>
        <v>0</v>
      </c>
      <c r="F44" s="248"/>
      <c r="G44" s="248">
        <f t="shared" si="5"/>
        <v>0</v>
      </c>
      <c r="H44" s="279">
        <f t="shared" si="6"/>
        <v>0</v>
      </c>
      <c r="I44" s="348"/>
      <c r="J44" s="513"/>
      <c r="K44" s="513"/>
      <c r="M44" s="360">
        <f t="shared" si="7"/>
        <v>0</v>
      </c>
      <c r="N44" s="360">
        <f>SUMMARY!J47</f>
        <v>0</v>
      </c>
      <c r="P44"/>
      <c r="Q44"/>
    </row>
    <row r="45" spans="1:17" s="275" customFormat="1">
      <c r="A45" s="271">
        <v>210</v>
      </c>
      <c r="B45" s="278" t="s">
        <v>35</v>
      </c>
      <c r="C45" s="558">
        <f>'[42]Sch C'!D30</f>
        <v>500</v>
      </c>
      <c r="D45" s="558">
        <f>'[42]Sch C'!F30</f>
        <v>-500</v>
      </c>
      <c r="E45" s="248">
        <f t="shared" si="4"/>
        <v>0</v>
      </c>
      <c r="F45" s="248"/>
      <c r="G45" s="248">
        <f t="shared" si="5"/>
        <v>0</v>
      </c>
      <c r="H45" s="279">
        <f t="shared" si="6"/>
        <v>0</v>
      </c>
      <c r="I45" s="348"/>
      <c r="J45" s="513"/>
      <c r="K45" s="513"/>
      <c r="M45" s="360">
        <f t="shared" si="7"/>
        <v>0</v>
      </c>
      <c r="N45" s="360">
        <f>SUMMARY!J48</f>
        <v>0</v>
      </c>
      <c r="P45"/>
      <c r="Q45"/>
    </row>
    <row r="46" spans="1:17" s="275" customFormat="1">
      <c r="A46" s="271">
        <v>220</v>
      </c>
      <c r="B46" s="278" t="s">
        <v>190</v>
      </c>
      <c r="C46" s="558">
        <f>'[42]Sch C'!D31</f>
        <v>6098.5</v>
      </c>
      <c r="D46" s="558">
        <f>'[42]Sch C'!F31</f>
        <v>0</v>
      </c>
      <c r="E46" s="248">
        <f t="shared" si="4"/>
        <v>6098.5</v>
      </c>
      <c r="F46" s="248"/>
      <c r="G46" s="248">
        <f t="shared" si="5"/>
        <v>6098.5</v>
      </c>
      <c r="H46" s="279">
        <f t="shared" si="6"/>
        <v>8.11166588556718E-4</v>
      </c>
      <c r="I46" s="348"/>
      <c r="J46" s="513"/>
      <c r="K46" s="513"/>
      <c r="M46" s="360">
        <f t="shared" si="7"/>
        <v>0.22883677298311444</v>
      </c>
      <c r="N46" s="360">
        <f>SUMMARY!J49</f>
        <v>1.2423066513894216</v>
      </c>
      <c r="P46"/>
      <c r="Q46"/>
    </row>
    <row r="47" spans="1:17" s="275" customFormat="1">
      <c r="A47" s="271">
        <v>230</v>
      </c>
      <c r="B47" s="278" t="s">
        <v>191</v>
      </c>
      <c r="C47" s="558">
        <f>'[42]Sch C'!D32</f>
        <v>131830.69</v>
      </c>
      <c r="D47" s="558">
        <f>'[42]Sch C'!F32</f>
        <v>0</v>
      </c>
      <c r="E47" s="248">
        <f t="shared" si="4"/>
        <v>131830.69</v>
      </c>
      <c r="F47" s="248"/>
      <c r="G47" s="248">
        <f t="shared" si="5"/>
        <v>131830.69</v>
      </c>
      <c r="H47" s="279">
        <f t="shared" si="6"/>
        <v>1.7534910399996433E-2</v>
      </c>
      <c r="I47" s="348"/>
      <c r="J47" s="513"/>
      <c r="K47" s="513"/>
      <c r="M47" s="360">
        <f t="shared" si="7"/>
        <v>4.9467425891181991</v>
      </c>
      <c r="N47" s="360">
        <f>SUMMARY!J50</f>
        <v>2.4834328319281553</v>
      </c>
      <c r="P47"/>
      <c r="Q47"/>
    </row>
    <row r="48" spans="1:17" s="275" customFormat="1">
      <c r="A48" s="271">
        <v>240</v>
      </c>
      <c r="B48" s="278" t="s">
        <v>201</v>
      </c>
      <c r="C48" s="558">
        <f>'[42]Sch C'!D33</f>
        <v>0</v>
      </c>
      <c r="D48" s="558">
        <f>'[42]Sch C'!F33</f>
        <v>0</v>
      </c>
      <c r="E48" s="248">
        <f t="shared" si="4"/>
        <v>0</v>
      </c>
      <c r="F48" s="248"/>
      <c r="G48" s="248">
        <f t="shared" si="5"/>
        <v>0</v>
      </c>
      <c r="H48" s="279">
        <f t="shared" si="6"/>
        <v>0</v>
      </c>
      <c r="I48" s="348"/>
      <c r="J48" s="513"/>
      <c r="K48" s="513"/>
      <c r="M48" s="360">
        <f t="shared" si="7"/>
        <v>0</v>
      </c>
      <c r="N48" s="360">
        <f>SUMMARY!J51</f>
        <v>0</v>
      </c>
      <c r="P48"/>
      <c r="Q48"/>
    </row>
    <row r="49" spans="1:17" s="275" customFormat="1">
      <c r="A49" s="271">
        <v>250</v>
      </c>
      <c r="B49" s="278" t="s">
        <v>202</v>
      </c>
      <c r="C49" s="558">
        <f>'[42]Sch C'!D34</f>
        <v>0</v>
      </c>
      <c r="D49" s="558">
        <f>'[42]Sch C'!F34</f>
        <v>1560</v>
      </c>
      <c r="E49" s="248">
        <f t="shared" si="4"/>
        <v>1560</v>
      </c>
      <c r="F49" s="248"/>
      <c r="G49" s="248">
        <f t="shared" si="5"/>
        <v>1560</v>
      </c>
      <c r="H49" s="279">
        <f t="shared" si="6"/>
        <v>2.0749690549290483E-4</v>
      </c>
      <c r="I49" s="348"/>
      <c r="J49" s="513"/>
      <c r="K49" s="513"/>
      <c r="M49" s="360">
        <f t="shared" si="7"/>
        <v>5.8536585365853662E-2</v>
      </c>
      <c r="N49" s="360">
        <f>SUMMARY!J52</f>
        <v>1.9989597825457835E-2</v>
      </c>
      <c r="P49"/>
      <c r="Q49"/>
    </row>
    <row r="50" spans="1:17" s="275" customFormat="1">
      <c r="A50" s="271">
        <v>270</v>
      </c>
      <c r="B50" s="278" t="s">
        <v>203</v>
      </c>
      <c r="C50" s="558">
        <f>'[42]Sch C'!D35</f>
        <v>20199.14</v>
      </c>
      <c r="D50" s="558">
        <f>'[42]Sch C'!F35</f>
        <v>-20199.14</v>
      </c>
      <c r="E50" s="248">
        <f t="shared" si="4"/>
        <v>0</v>
      </c>
      <c r="F50" s="248"/>
      <c r="G50" s="248">
        <f t="shared" si="5"/>
        <v>0</v>
      </c>
      <c r="H50" s="279">
        <f t="shared" si="6"/>
        <v>0</v>
      </c>
      <c r="I50" s="348"/>
      <c r="J50" s="513"/>
      <c r="K50" s="513"/>
      <c r="M50" s="360">
        <f t="shared" si="7"/>
        <v>0</v>
      </c>
      <c r="N50" s="360">
        <f>SUMMARY!J53</f>
        <v>0</v>
      </c>
      <c r="P50"/>
      <c r="Q50"/>
    </row>
    <row r="51" spans="1:17" s="275" customFormat="1">
      <c r="A51" s="271">
        <v>280</v>
      </c>
      <c r="B51" s="278" t="s">
        <v>204</v>
      </c>
      <c r="C51" s="558">
        <f>'[42]Sch C'!D36</f>
        <v>0</v>
      </c>
      <c r="D51" s="558">
        <f>'[42]Sch C'!F36</f>
        <v>0</v>
      </c>
      <c r="E51" s="248">
        <f t="shared" si="4"/>
        <v>0</v>
      </c>
      <c r="F51" s="248"/>
      <c r="G51" s="248">
        <f t="shared" si="5"/>
        <v>0</v>
      </c>
      <c r="H51" s="279">
        <f t="shared" si="6"/>
        <v>0</v>
      </c>
      <c r="I51" s="348"/>
      <c r="J51" s="486">
        <v>0</v>
      </c>
      <c r="K51" s="486">
        <v>0</v>
      </c>
      <c r="M51" s="360">
        <f t="shared" si="7"/>
        <v>0</v>
      </c>
      <c r="N51" s="360">
        <f>SUMMARY!J54</f>
        <v>0.71016556619157756</v>
      </c>
      <c r="P51"/>
      <c r="Q51"/>
    </row>
    <row r="52" spans="1:17" s="275" customFormat="1">
      <c r="A52" s="271">
        <v>290</v>
      </c>
      <c r="B52" s="278" t="s">
        <v>205</v>
      </c>
      <c r="C52" s="558">
        <f>'[42]Sch C'!D37</f>
        <v>0</v>
      </c>
      <c r="D52" s="558">
        <f>'[42]Sch C'!F37</f>
        <v>0</v>
      </c>
      <c r="E52" s="248">
        <f t="shared" si="4"/>
        <v>0</v>
      </c>
      <c r="F52" s="248"/>
      <c r="G52" s="248">
        <f t="shared" si="5"/>
        <v>0</v>
      </c>
      <c r="H52" s="279">
        <f t="shared" si="6"/>
        <v>0</v>
      </c>
      <c r="I52" s="348"/>
      <c r="J52" s="513"/>
      <c r="K52" s="513"/>
      <c r="M52" s="360">
        <f t="shared" si="7"/>
        <v>0</v>
      </c>
      <c r="N52" s="360">
        <f>SUMMARY!J55</f>
        <v>0.1226645084196832</v>
      </c>
      <c r="P52"/>
      <c r="Q52"/>
    </row>
    <row r="53" spans="1:17" s="275" customFormat="1">
      <c r="A53" s="271">
        <v>300</v>
      </c>
      <c r="B53" s="278" t="s">
        <v>206</v>
      </c>
      <c r="C53" s="558">
        <f>'[42]Sch C'!D38</f>
        <v>0</v>
      </c>
      <c r="D53" s="558">
        <f>'[42]Sch C'!F38</f>
        <v>0</v>
      </c>
      <c r="E53" s="248">
        <f t="shared" si="4"/>
        <v>0</v>
      </c>
      <c r="F53" s="248"/>
      <c r="G53" s="248">
        <f t="shared" si="5"/>
        <v>0</v>
      </c>
      <c r="H53" s="279">
        <f t="shared" si="6"/>
        <v>0</v>
      </c>
      <c r="I53" s="348"/>
      <c r="J53" s="513"/>
      <c r="K53" s="513"/>
      <c r="M53" s="360">
        <f t="shared" si="7"/>
        <v>0</v>
      </c>
      <c r="N53" s="360">
        <f>SUMMARY!J56</f>
        <v>2.2357065225546585E-3</v>
      </c>
      <c r="P53"/>
      <c r="Q53"/>
    </row>
    <row r="54" spans="1:17" s="275" customFormat="1">
      <c r="A54" s="271">
        <v>310</v>
      </c>
      <c r="B54" s="278" t="s">
        <v>207</v>
      </c>
      <c r="C54" s="558">
        <f>'[42]Sch C'!D39</f>
        <v>16397.22</v>
      </c>
      <c r="D54" s="558">
        <f>'[42]Sch C'!F39</f>
        <v>4594</v>
      </c>
      <c r="E54" s="248">
        <f t="shared" si="4"/>
        <v>20991.22</v>
      </c>
      <c r="F54" s="248"/>
      <c r="G54" s="248">
        <f t="shared" si="5"/>
        <v>20991.22</v>
      </c>
      <c r="H54" s="279">
        <f t="shared" si="6"/>
        <v>2.7920597387953677E-3</v>
      </c>
      <c r="I54" s="348"/>
      <c r="J54" s="513"/>
      <c r="K54" s="513"/>
      <c r="M54" s="360">
        <f t="shared" si="7"/>
        <v>0.78766303939962479</v>
      </c>
      <c r="N54" s="360">
        <f>SUMMARY!J57</f>
        <v>0.27779592873572578</v>
      </c>
      <c r="P54"/>
      <c r="Q54"/>
    </row>
    <row r="55" spans="1:17" s="275" customFormat="1">
      <c r="A55" s="271">
        <v>320</v>
      </c>
      <c r="B55" s="278" t="s">
        <v>208</v>
      </c>
      <c r="C55" s="558">
        <f>'[42]Sch C'!D40</f>
        <v>12357.19</v>
      </c>
      <c r="D55" s="558">
        <f>'[42]Sch C'!F40</f>
        <v>-12357</v>
      </c>
      <c r="E55" s="248">
        <f t="shared" si="4"/>
        <v>0.19000000000050932</v>
      </c>
      <c r="F55" s="248"/>
      <c r="G55" s="248">
        <f t="shared" si="5"/>
        <v>0.19000000000050932</v>
      </c>
      <c r="H55" s="279">
        <f t="shared" si="6"/>
        <v>2.5272059002408715E-8</v>
      </c>
      <c r="I55" s="348"/>
      <c r="J55" s="513"/>
      <c r="K55" s="513"/>
      <c r="M55" s="360">
        <f t="shared" si="7"/>
        <v>7.1294559099628259E-6</v>
      </c>
      <c r="N55" s="360">
        <f>SUMMARY!J58</f>
        <v>0.16653887337107628</v>
      </c>
      <c r="P55"/>
      <c r="Q55"/>
    </row>
    <row r="56" spans="1:17" s="275" customFormat="1">
      <c r="A56" s="271">
        <v>330</v>
      </c>
      <c r="B56" s="278" t="s">
        <v>48</v>
      </c>
      <c r="C56" s="558">
        <f>'[42]Sch C'!D41</f>
        <v>16037.12</v>
      </c>
      <c r="D56" s="558">
        <f>'[42]Sch C'!F41</f>
        <v>0</v>
      </c>
      <c r="E56" s="248">
        <f t="shared" si="4"/>
        <v>16037.12</v>
      </c>
      <c r="F56" s="248"/>
      <c r="G56" s="248">
        <f t="shared" si="5"/>
        <v>16037.12</v>
      </c>
      <c r="H56" s="279">
        <f t="shared" si="6"/>
        <v>2.1331107519348552E-3</v>
      </c>
      <c r="I56" s="348"/>
      <c r="J56" s="513"/>
      <c r="K56" s="513"/>
      <c r="M56" s="360">
        <f t="shared" si="7"/>
        <v>0.60176810506566603</v>
      </c>
      <c r="N56" s="360">
        <f>SUMMARY!J59</f>
        <v>2.14994424305825</v>
      </c>
      <c r="P56"/>
      <c r="Q56"/>
    </row>
    <row r="57" spans="1:17" s="275" customFormat="1">
      <c r="A57" s="271">
        <v>340</v>
      </c>
      <c r="B57" s="278" t="s">
        <v>209</v>
      </c>
      <c r="C57" s="558">
        <f>'[42]Sch C'!D42</f>
        <v>65</v>
      </c>
      <c r="D57" s="558">
        <f>'[42]Sch C'!F42</f>
        <v>4578</v>
      </c>
      <c r="E57" s="248">
        <f t="shared" si="4"/>
        <v>4643</v>
      </c>
      <c r="F57" s="248"/>
      <c r="G57" s="248">
        <f t="shared" si="5"/>
        <v>4643</v>
      </c>
      <c r="H57" s="279">
        <f t="shared" si="6"/>
        <v>6.175693155151007E-4</v>
      </c>
      <c r="I57" s="348"/>
      <c r="J57" s="513"/>
      <c r="K57" s="513"/>
      <c r="M57" s="360">
        <f t="shared" si="7"/>
        <v>0.17422138836772982</v>
      </c>
      <c r="N57" s="360">
        <f>SUMMARY!J60</f>
        <v>0.23079784303595582</v>
      </c>
      <c r="P57"/>
      <c r="Q57"/>
    </row>
    <row r="58" spans="1:17" s="275" customFormat="1">
      <c r="A58" s="271">
        <v>350</v>
      </c>
      <c r="B58" s="278" t="s">
        <v>210</v>
      </c>
      <c r="C58" s="558">
        <f>'[42]Sch C'!D43</f>
        <v>0</v>
      </c>
      <c r="D58" s="558">
        <f>'[42]Sch C'!F43</f>
        <v>0</v>
      </c>
      <c r="E58" s="248">
        <f t="shared" si="4"/>
        <v>0</v>
      </c>
      <c r="F58" s="248"/>
      <c r="G58" s="248">
        <f t="shared" si="5"/>
        <v>0</v>
      </c>
      <c r="H58" s="279">
        <f t="shared" si="6"/>
        <v>0</v>
      </c>
      <c r="I58" s="348"/>
      <c r="J58" s="513"/>
      <c r="K58" s="513"/>
      <c r="M58" s="360">
        <f t="shared" si="7"/>
        <v>0</v>
      </c>
      <c r="N58" s="360">
        <f>SUMMARY!J61</f>
        <v>0.17688029085358925</v>
      </c>
      <c r="P58"/>
      <c r="Q58"/>
    </row>
    <row r="59" spans="1:17" s="275" customFormat="1">
      <c r="A59" s="271">
        <v>360</v>
      </c>
      <c r="B59" s="278" t="s">
        <v>211</v>
      </c>
      <c r="C59" s="558">
        <f>'[42]Sch C'!D44</f>
        <v>600</v>
      </c>
      <c r="D59" s="558">
        <f>'[42]Sch C'!F44</f>
        <v>0</v>
      </c>
      <c r="E59" s="248">
        <f t="shared" si="4"/>
        <v>600</v>
      </c>
      <c r="F59" s="248"/>
      <c r="G59" s="248">
        <f t="shared" si="5"/>
        <v>600</v>
      </c>
      <c r="H59" s="279">
        <f t="shared" si="6"/>
        <v>7.9806502112655695E-5</v>
      </c>
      <c r="I59" s="348"/>
      <c r="J59" s="513"/>
      <c r="K59" s="513"/>
      <c r="M59" s="360">
        <f t="shared" si="7"/>
        <v>2.2514071294559099E-2</v>
      </c>
      <c r="N59" s="360">
        <f>SUMMARY!J62</f>
        <v>6.0661826966981001E-3</v>
      </c>
      <c r="P59"/>
      <c r="Q59"/>
    </row>
    <row r="60" spans="1:17" s="275" customFormat="1">
      <c r="A60" s="271">
        <v>490</v>
      </c>
      <c r="B60" s="278" t="s">
        <v>36</v>
      </c>
      <c r="C60" s="558">
        <f>'[42]Sch C'!D45</f>
        <v>8920.7099999999991</v>
      </c>
      <c r="D60" s="558">
        <f>'[42]Sch C'!F45</f>
        <v>5607</v>
      </c>
      <c r="E60" s="248">
        <f t="shared" si="4"/>
        <v>14527.71</v>
      </c>
      <c r="F60" s="248"/>
      <c r="G60" s="248">
        <f t="shared" si="5"/>
        <v>14527.71</v>
      </c>
      <c r="H60" s="279">
        <f t="shared" si="6"/>
        <v>1.9323428646784153E-3</v>
      </c>
      <c r="I60" s="348"/>
      <c r="J60" s="513"/>
      <c r="K60" s="513"/>
      <c r="M60" s="360">
        <f t="shared" si="7"/>
        <v>0.54512983114446523</v>
      </c>
      <c r="N60" s="360">
        <f>SUMMARY!J63</f>
        <v>0.69532317482298633</v>
      </c>
      <c r="P60"/>
      <c r="Q60"/>
    </row>
    <row r="61" spans="1:17" s="275" customFormat="1">
      <c r="A61" s="271"/>
      <c r="B61" s="278" t="s">
        <v>177</v>
      </c>
      <c r="C61" s="558">
        <f>SUM(C25:C60)</f>
        <v>2035096.47</v>
      </c>
      <c r="D61" s="558">
        <f>SUM(D25:D60)</f>
        <v>-495490.62</v>
      </c>
      <c r="E61" s="248">
        <f t="shared" ref="E61:F61" si="8">SUM(E25:E60)</f>
        <v>1539605.85</v>
      </c>
      <c r="F61" s="248">
        <f t="shared" si="8"/>
        <v>0</v>
      </c>
      <c r="G61" s="248">
        <f>SUM(G25:G60)</f>
        <v>1539605.85</v>
      </c>
      <c r="H61" s="186">
        <f t="shared" si="6"/>
        <v>0.20478426253447013</v>
      </c>
      <c r="I61" s="338"/>
      <c r="J61" s="513"/>
      <c r="K61" s="513"/>
      <c r="M61" s="367">
        <f>G61/G$228</f>
        <v>57.771326454033776</v>
      </c>
      <c r="N61" s="360">
        <f>SUMMARY!J64</f>
        <v>53.728790309602623</v>
      </c>
      <c r="O61" s="355">
        <f>M61/N61-1</f>
        <v>7.52396642682025E-2</v>
      </c>
      <c r="P61"/>
      <c r="Q61"/>
    </row>
    <row r="62" spans="1:17" s="275" customFormat="1">
      <c r="A62" s="271"/>
      <c r="C62" s="165"/>
      <c r="D62" s="165"/>
      <c r="E62" s="273"/>
      <c r="F62"/>
      <c r="G62" s="273"/>
      <c r="H62" s="187"/>
      <c r="I62" s="339"/>
      <c r="J62" s="513"/>
      <c r="K62" s="513"/>
      <c r="M62" s="360"/>
      <c r="N62" s="360"/>
      <c r="P62"/>
      <c r="Q62"/>
    </row>
    <row r="63" spans="1:17" s="275" customFormat="1">
      <c r="A63" s="277" t="s">
        <v>162</v>
      </c>
      <c r="B63" s="278" t="s">
        <v>178</v>
      </c>
      <c r="C63" s="165"/>
      <c r="D63" s="165"/>
      <c r="E63" s="273"/>
      <c r="F63"/>
      <c r="G63" s="273"/>
      <c r="H63" s="187"/>
      <c r="I63" s="339"/>
      <c r="J63" s="513"/>
      <c r="K63" s="513"/>
      <c r="M63" s="360"/>
      <c r="N63" s="360"/>
      <c r="P63"/>
      <c r="Q63"/>
    </row>
    <row r="64" spans="1:17" s="275" customFormat="1">
      <c r="A64" s="291">
        <v>230</v>
      </c>
      <c r="B64" s="292" t="s">
        <v>253</v>
      </c>
      <c r="C64" s="558">
        <f>'[42]Sch C'!D57</f>
        <v>859209.96</v>
      </c>
      <c r="D64" s="558">
        <f>'[42]Sch C'!F57</f>
        <v>-859210</v>
      </c>
      <c r="E64" s="248">
        <f t="shared" ref="E64:E78" si="9">C64+D64</f>
        <v>-4.0000000037252903E-2</v>
      </c>
      <c r="F64" s="248"/>
      <c r="G64" s="248">
        <f t="shared" ref="G64:G78" si="10">E64+F64</f>
        <v>-4.0000000037252903E-2</v>
      </c>
      <c r="H64" s="279">
        <f t="shared" ref="H64:H79" si="11">IF($G$208=0,0,G64/$G$208)</f>
        <v>-5.3204334791320867E-9</v>
      </c>
      <c r="I64" s="348"/>
      <c r="J64" s="514"/>
      <c r="K64" s="513"/>
      <c r="M64" s="360">
        <f t="shared" ref="M64:M79" si="12">G64/G$228</f>
        <v>-1.5009380877017974E-6</v>
      </c>
      <c r="N64" s="360">
        <f>SUMMARY!J67</f>
        <v>5.7390436698400178</v>
      </c>
      <c r="P64"/>
      <c r="Q64"/>
    </row>
    <row r="65" spans="1:17" s="275" customFormat="1">
      <c r="A65" s="293">
        <v>240</v>
      </c>
      <c r="B65" s="292" t="s">
        <v>254</v>
      </c>
      <c r="C65" s="558">
        <f>'[42]Sch C'!D58</f>
        <v>12479.76</v>
      </c>
      <c r="D65" s="558">
        <f>'[42]Sch C'!F58</f>
        <v>138462</v>
      </c>
      <c r="E65" s="248">
        <f t="shared" si="9"/>
        <v>150941.76000000001</v>
      </c>
      <c r="F65" s="248"/>
      <c r="G65" s="248">
        <f t="shared" si="10"/>
        <v>150941.76000000001</v>
      </c>
      <c r="H65" s="279">
        <f t="shared" si="11"/>
        <v>2.007688981387995E-2</v>
      </c>
      <c r="I65" s="348"/>
      <c r="J65" s="514"/>
      <c r="K65" s="513"/>
      <c r="M65" s="360">
        <f t="shared" si="12"/>
        <v>5.6638559099437149</v>
      </c>
      <c r="N65" s="360">
        <f>SUMMARY!J68</f>
        <v>5.746156082994454</v>
      </c>
      <c r="P65"/>
      <c r="Q65"/>
    </row>
    <row r="66" spans="1:17" s="275" customFormat="1">
      <c r="A66" s="294">
        <v>250</v>
      </c>
      <c r="B66" s="292" t="s">
        <v>307</v>
      </c>
      <c r="C66" s="558">
        <f>'[42]Sch C'!D59</f>
        <v>0</v>
      </c>
      <c r="D66" s="558">
        <f>'[42]Sch C'!F59</f>
        <v>323471.65000000002</v>
      </c>
      <c r="E66" s="248">
        <f t="shared" si="9"/>
        <v>323471.65000000002</v>
      </c>
      <c r="F66" s="248"/>
      <c r="G66" s="248">
        <f t="shared" si="10"/>
        <v>323471.65000000002</v>
      </c>
      <c r="H66" s="279">
        <f t="shared" si="11"/>
        <v>4.3025234865182047E-2</v>
      </c>
      <c r="I66" s="348"/>
      <c r="J66" s="514"/>
      <c r="K66" s="513"/>
      <c r="M66" s="360">
        <f t="shared" si="12"/>
        <v>12.137772983114447</v>
      </c>
      <c r="N66" s="360">
        <f>SUMMARY!J69</f>
        <v>4.7427204071264262</v>
      </c>
      <c r="P66"/>
      <c r="Q66"/>
    </row>
    <row r="67" spans="1:17" s="275" customFormat="1">
      <c r="A67" s="294">
        <v>260</v>
      </c>
      <c r="B67" s="295" t="s">
        <v>308</v>
      </c>
      <c r="C67" s="558">
        <f>'[42]Sch C'!D60</f>
        <v>45907.39</v>
      </c>
      <c r="D67" s="558">
        <f>'[42]Sch C'!F60</f>
        <v>-6791.5</v>
      </c>
      <c r="E67" s="248">
        <f t="shared" si="9"/>
        <v>39115.89</v>
      </c>
      <c r="F67" s="248"/>
      <c r="G67" s="248">
        <f t="shared" si="10"/>
        <v>39115.89</v>
      </c>
      <c r="H67" s="279">
        <f t="shared" si="11"/>
        <v>5.2028372632056796E-3</v>
      </c>
      <c r="I67" s="348"/>
      <c r="J67" s="515"/>
      <c r="K67" s="513"/>
      <c r="M67" s="360">
        <f t="shared" si="12"/>
        <v>1.4677632270168854</v>
      </c>
      <c r="N67" s="360">
        <f>SUMMARY!J70</f>
        <v>1.3209605424779576</v>
      </c>
      <c r="P67"/>
      <c r="Q67"/>
    </row>
    <row r="68" spans="1:17" s="275" customFormat="1">
      <c r="A68" s="294">
        <v>270</v>
      </c>
      <c r="B68" s="295" t="s">
        <v>309</v>
      </c>
      <c r="C68" s="558">
        <f>'[42]Sch C'!D61</f>
        <v>18960.95</v>
      </c>
      <c r="D68" s="558">
        <f>'[42]Sch C'!F61</f>
        <v>861</v>
      </c>
      <c r="E68" s="248">
        <f t="shared" si="9"/>
        <v>19821.95</v>
      </c>
      <c r="F68" s="248"/>
      <c r="G68" s="248">
        <f t="shared" si="10"/>
        <v>19821.95</v>
      </c>
      <c r="H68" s="279">
        <f t="shared" si="11"/>
        <v>2.6365341575865929E-3</v>
      </c>
      <c r="I68" s="348"/>
      <c r="J68" s="515"/>
      <c r="K68" s="513"/>
      <c r="M68" s="360">
        <f t="shared" si="12"/>
        <v>0.74378799249530958</v>
      </c>
      <c r="N68" s="360">
        <f>SUMMARY!J71</f>
        <v>0.53904014885667173</v>
      </c>
      <c r="P68"/>
      <c r="Q68"/>
    </row>
    <row r="69" spans="1:17" s="275" customFormat="1">
      <c r="A69" s="294">
        <v>280</v>
      </c>
      <c r="B69" s="296" t="s">
        <v>258</v>
      </c>
      <c r="C69" s="558">
        <f>'[42]Sch C'!D62</f>
        <v>3723.8</v>
      </c>
      <c r="D69" s="558">
        <f>'[42]Sch C'!F62</f>
        <v>0</v>
      </c>
      <c r="E69" s="248">
        <f t="shared" si="9"/>
        <v>3723.8</v>
      </c>
      <c r="F69" s="248"/>
      <c r="G69" s="248">
        <f t="shared" si="10"/>
        <v>3723.8</v>
      </c>
      <c r="H69" s="279">
        <f t="shared" si="11"/>
        <v>4.9530575427851218E-4</v>
      </c>
      <c r="I69" s="348"/>
      <c r="J69" s="516"/>
      <c r="K69" s="513"/>
      <c r="M69" s="360">
        <f t="shared" si="12"/>
        <v>0.1397298311444653</v>
      </c>
      <c r="N69" s="360">
        <f>SUMMARY!J72</f>
        <v>0.16713696357256011</v>
      </c>
      <c r="P69"/>
      <c r="Q69"/>
    </row>
    <row r="70" spans="1:17" s="275" customFormat="1">
      <c r="A70" s="294">
        <v>290</v>
      </c>
      <c r="B70" s="296" t="s">
        <v>259</v>
      </c>
      <c r="C70" s="558">
        <f>'[42]Sch C'!D63</f>
        <v>0</v>
      </c>
      <c r="D70" s="558">
        <f>'[42]Sch C'!F63</f>
        <v>0</v>
      </c>
      <c r="E70" s="248">
        <f t="shared" si="9"/>
        <v>0</v>
      </c>
      <c r="F70" s="248"/>
      <c r="G70" s="248">
        <f t="shared" si="10"/>
        <v>0</v>
      </c>
      <c r="H70" s="279">
        <f t="shared" si="11"/>
        <v>0</v>
      </c>
      <c r="I70" s="348"/>
      <c r="J70" s="516"/>
      <c r="K70" s="513"/>
      <c r="M70" s="360">
        <f t="shared" si="12"/>
        <v>0</v>
      </c>
      <c r="N70" s="360">
        <f>SUMMARY!J73</f>
        <v>1.8777613191307831E-3</v>
      </c>
      <c r="P70"/>
      <c r="Q70"/>
    </row>
    <row r="71" spans="1:17" s="275" customFormat="1">
      <c r="A71" s="294">
        <v>300</v>
      </c>
      <c r="B71" s="296" t="s">
        <v>260</v>
      </c>
      <c r="C71" s="558">
        <f>'[42]Sch C'!D64</f>
        <v>0</v>
      </c>
      <c r="D71" s="558">
        <f>'[42]Sch C'!F64</f>
        <v>0</v>
      </c>
      <c r="E71" s="248">
        <f t="shared" si="9"/>
        <v>0</v>
      </c>
      <c r="F71" s="248"/>
      <c r="G71" s="248">
        <f t="shared" si="10"/>
        <v>0</v>
      </c>
      <c r="H71" s="279">
        <f t="shared" si="11"/>
        <v>0</v>
      </c>
      <c r="I71" s="348"/>
      <c r="J71" s="516"/>
      <c r="K71" s="513"/>
      <c r="M71" s="360">
        <f t="shared" si="12"/>
        <v>0</v>
      </c>
      <c r="N71" s="360">
        <f>SUMMARY!J74</f>
        <v>4.8232648572635154E-4</v>
      </c>
      <c r="P71"/>
      <c r="Q71"/>
    </row>
    <row r="72" spans="1:17" s="275" customFormat="1">
      <c r="A72" s="294">
        <v>310</v>
      </c>
      <c r="B72" s="296" t="s">
        <v>310</v>
      </c>
      <c r="C72" s="558">
        <f>'[42]Sch C'!D65</f>
        <v>0</v>
      </c>
      <c r="D72" s="558">
        <f>'[42]Sch C'!F65</f>
        <v>0</v>
      </c>
      <c r="E72" s="248">
        <f t="shared" si="9"/>
        <v>0</v>
      </c>
      <c r="F72" s="248"/>
      <c r="G72" s="248">
        <f t="shared" si="10"/>
        <v>0</v>
      </c>
      <c r="H72" s="279">
        <f t="shared" si="11"/>
        <v>0</v>
      </c>
      <c r="I72" s="348"/>
      <c r="J72" s="516"/>
      <c r="K72" s="513"/>
      <c r="M72" s="360">
        <f t="shared" si="12"/>
        <v>0</v>
      </c>
      <c r="N72" s="360">
        <f>SUMMARY!J75</f>
        <v>0.16263825084835873</v>
      </c>
      <c r="P72"/>
      <c r="Q72"/>
    </row>
    <row r="73" spans="1:17" s="275" customFormat="1">
      <c r="A73" s="294">
        <v>320</v>
      </c>
      <c r="B73" s="296" t="s">
        <v>262</v>
      </c>
      <c r="C73" s="558">
        <f>'[42]Sch C'!D66</f>
        <v>0</v>
      </c>
      <c r="D73" s="558">
        <f>'[42]Sch C'!F66</f>
        <v>0</v>
      </c>
      <c r="E73" s="248">
        <f t="shared" si="9"/>
        <v>0</v>
      </c>
      <c r="F73" s="248"/>
      <c r="G73" s="248">
        <f t="shared" si="10"/>
        <v>0</v>
      </c>
      <c r="H73" s="279">
        <f t="shared" si="11"/>
        <v>0</v>
      </c>
      <c r="I73" s="348"/>
      <c r="J73" s="516"/>
      <c r="K73" s="513"/>
      <c r="M73" s="360">
        <f t="shared" si="12"/>
        <v>0</v>
      </c>
      <c r="N73" s="360">
        <f>SUMMARY!J76</f>
        <v>0.81830256983551586</v>
      </c>
      <c r="P73"/>
      <c r="Q73"/>
    </row>
    <row r="74" spans="1:17" s="275" customFormat="1">
      <c r="A74" s="294">
        <v>330</v>
      </c>
      <c r="B74" s="296" t="s">
        <v>263</v>
      </c>
      <c r="C74" s="558">
        <f>'[42]Sch C'!D67</f>
        <v>14522.82</v>
      </c>
      <c r="D74" s="558">
        <f>'[42]Sch C'!F67</f>
        <v>16571.68</v>
      </c>
      <c r="E74" s="248">
        <f t="shared" si="9"/>
        <v>31094.5</v>
      </c>
      <c r="F74" s="248"/>
      <c r="G74" s="248">
        <f t="shared" si="10"/>
        <v>31094.5</v>
      </c>
      <c r="H74" s="279">
        <f t="shared" si="11"/>
        <v>4.1359054665699542E-3</v>
      </c>
      <c r="I74" s="348"/>
      <c r="J74" s="516"/>
      <c r="K74" s="513"/>
      <c r="M74" s="360">
        <f t="shared" si="12"/>
        <v>1.1667729831144464</v>
      </c>
      <c r="N74" s="360">
        <f>SUMMARY!J77</f>
        <v>3.2132948973832529</v>
      </c>
      <c r="P74"/>
      <c r="Q74"/>
    </row>
    <row r="75" spans="1:17" s="275" customFormat="1">
      <c r="A75" s="294">
        <v>340</v>
      </c>
      <c r="B75" s="296" t="s">
        <v>264</v>
      </c>
      <c r="C75" s="558">
        <f>'[42]Sch C'!D68</f>
        <v>0</v>
      </c>
      <c r="D75" s="558">
        <f>'[42]Sch C'!F68</f>
        <v>0</v>
      </c>
      <c r="E75" s="248">
        <f t="shared" si="9"/>
        <v>0</v>
      </c>
      <c r="F75" s="248"/>
      <c r="G75" s="248">
        <f t="shared" si="10"/>
        <v>0</v>
      </c>
      <c r="H75" s="279">
        <f t="shared" si="11"/>
        <v>0</v>
      </c>
      <c r="I75" s="348"/>
      <c r="J75" s="516"/>
      <c r="K75" s="513"/>
      <c r="M75" s="360">
        <f t="shared" si="12"/>
        <v>0</v>
      </c>
      <c r="N75" s="360">
        <f>SUMMARY!J78</f>
        <v>7.1389679070674769E-2</v>
      </c>
      <c r="P75"/>
      <c r="Q75"/>
    </row>
    <row r="76" spans="1:17" s="275" customFormat="1">
      <c r="A76" s="275">
        <v>350</v>
      </c>
      <c r="B76" s="195" t="s">
        <v>311</v>
      </c>
      <c r="C76" s="558">
        <f>'[42]Sch C'!D69</f>
        <v>0</v>
      </c>
      <c r="D76" s="558">
        <f>'[42]Sch C'!F69</f>
        <v>6747.59</v>
      </c>
      <c r="E76" s="248">
        <f t="shared" si="9"/>
        <v>6747.59</v>
      </c>
      <c r="F76" s="248"/>
      <c r="G76" s="248">
        <f t="shared" si="10"/>
        <v>6747.59</v>
      </c>
      <c r="H76" s="279">
        <f t="shared" si="11"/>
        <v>8.9750259265055743E-4</v>
      </c>
      <c r="I76" s="348"/>
      <c r="J76" s="516"/>
      <c r="K76" s="513"/>
      <c r="M76" s="360">
        <f t="shared" si="12"/>
        <v>0.25319287054409007</v>
      </c>
      <c r="N76" s="360">
        <f>SUMMARY!J79</f>
        <v>0.13243591488759648</v>
      </c>
      <c r="P76"/>
      <c r="Q76"/>
    </row>
    <row r="77" spans="1:17" s="275" customFormat="1">
      <c r="A77" s="294">
        <v>360</v>
      </c>
      <c r="B77" s="296" t="s">
        <v>192</v>
      </c>
      <c r="C77" s="558">
        <f>'[42]Sch C'!D70</f>
        <v>0</v>
      </c>
      <c r="D77" s="558">
        <f>'[42]Sch C'!F70</f>
        <v>0</v>
      </c>
      <c r="E77" s="248">
        <f t="shared" si="9"/>
        <v>0</v>
      </c>
      <c r="F77" s="248"/>
      <c r="G77" s="248">
        <f t="shared" si="10"/>
        <v>0</v>
      </c>
      <c r="H77" s="279">
        <f t="shared" si="11"/>
        <v>0</v>
      </c>
      <c r="I77" s="348"/>
      <c r="J77" s="516"/>
      <c r="K77" s="513"/>
      <c r="M77" s="360">
        <f t="shared" si="12"/>
        <v>0</v>
      </c>
      <c r="N77" s="360">
        <f>SUMMARY!J80</f>
        <v>-5.8147137445899047E-4</v>
      </c>
      <c r="P77"/>
      <c r="Q77"/>
    </row>
    <row r="78" spans="1:17" s="275" customFormat="1">
      <c r="A78" s="294">
        <v>490</v>
      </c>
      <c r="B78" s="296" t="s">
        <v>312</v>
      </c>
      <c r="C78" s="558">
        <f>'[42]Sch C'!D71</f>
        <v>0</v>
      </c>
      <c r="D78" s="558">
        <f>'[42]Sch C'!F71</f>
        <v>0</v>
      </c>
      <c r="E78" s="248">
        <f t="shared" si="9"/>
        <v>0</v>
      </c>
      <c r="F78" s="248"/>
      <c r="G78" s="248">
        <f t="shared" si="10"/>
        <v>0</v>
      </c>
      <c r="H78" s="279">
        <f t="shared" si="11"/>
        <v>0</v>
      </c>
      <c r="I78" s="348"/>
      <c r="J78" s="516"/>
      <c r="K78" s="513"/>
      <c r="M78" s="360">
        <f t="shared" si="12"/>
        <v>0</v>
      </c>
      <c r="N78" s="360">
        <f>SUMMARY!J81</f>
        <v>1.4464221021288819E-3</v>
      </c>
      <c r="P78"/>
      <c r="Q78"/>
    </row>
    <row r="79" spans="1:17" s="275" customFormat="1">
      <c r="A79" s="271"/>
      <c r="B79" s="278" t="s">
        <v>150</v>
      </c>
      <c r="C79" s="558">
        <f>SUM(C64:C78)</f>
        <v>954804.67999999993</v>
      </c>
      <c r="D79" s="558">
        <f>SUM(D64:D78)</f>
        <v>-379887.57999999996</v>
      </c>
      <c r="E79" s="248">
        <f t="shared" ref="E79:F79" si="13">SUM(E64:E78)</f>
        <v>574917.1</v>
      </c>
      <c r="F79" s="248">
        <f t="shared" si="13"/>
        <v>0</v>
      </c>
      <c r="G79" s="248">
        <f>SUM(G64:G78)</f>
        <v>574917.1</v>
      </c>
      <c r="H79" s="279">
        <f t="shared" si="11"/>
        <v>7.647020459291981E-2</v>
      </c>
      <c r="I79" s="348"/>
      <c r="J79" s="516"/>
      <c r="K79" s="513"/>
      <c r="M79" s="360">
        <f t="shared" si="12"/>
        <v>21.57287429643527</v>
      </c>
      <c r="N79" s="360">
        <f>SUMMARY!J82</f>
        <v>22.656344165426013</v>
      </c>
      <c r="P79"/>
      <c r="Q79"/>
    </row>
    <row r="80" spans="1:17" s="275" customFormat="1">
      <c r="A80" s="271"/>
      <c r="B80" s="278"/>
      <c r="C80" s="196"/>
      <c r="D80" s="196"/>
      <c r="E80" s="297"/>
      <c r="F80" s="297"/>
      <c r="G80" s="297"/>
      <c r="H80" s="298"/>
      <c r="I80" s="348"/>
      <c r="J80" s="513"/>
      <c r="K80" s="513"/>
      <c r="M80" s="360"/>
      <c r="N80" s="360"/>
      <c r="P80"/>
      <c r="Q80"/>
    </row>
    <row r="81" spans="1:17" s="275" customFormat="1">
      <c r="A81" s="277" t="s">
        <v>163</v>
      </c>
      <c r="B81" s="278" t="s">
        <v>43</v>
      </c>
      <c r="C81" s="165"/>
      <c r="D81" s="165"/>
      <c r="E81" s="273"/>
      <c r="F81" s="273"/>
      <c r="G81" s="273"/>
      <c r="H81" s="299"/>
      <c r="I81" s="350"/>
      <c r="J81" s="513"/>
      <c r="K81" s="513"/>
      <c r="M81" s="360"/>
      <c r="N81" s="360"/>
      <c r="P81"/>
      <c r="Q81"/>
    </row>
    <row r="82" spans="1:17" s="275" customFormat="1">
      <c r="A82" s="277" t="s">
        <v>85</v>
      </c>
      <c r="B82" s="300" t="s">
        <v>44</v>
      </c>
      <c r="C82" s="558">
        <f>'[42]Sch C'!D75</f>
        <v>41869.760000000002</v>
      </c>
      <c r="D82" s="558">
        <f>'[42]Sch C'!F75</f>
        <v>0</v>
      </c>
      <c r="E82" s="248">
        <f t="shared" ref="E82:E92" si="14">C82+D82</f>
        <v>41869.760000000002</v>
      </c>
      <c r="F82" s="248"/>
      <c r="G82" s="248">
        <f t="shared" ref="G82:G92" si="15">E82+F82</f>
        <v>41869.760000000002</v>
      </c>
      <c r="H82" s="279">
        <f t="shared" ref="H82:H93" si="16">IF($G$208=0,0,G82/$G$208)</f>
        <v>5.5691318164939789E-3</v>
      </c>
      <c r="I82" s="348"/>
      <c r="J82" s="486">
        <v>1935.58</v>
      </c>
      <c r="K82" s="486">
        <v>2080.08</v>
      </c>
      <c r="M82" s="360">
        <f t="shared" ref="M82:M92" si="17">G82/G$228</f>
        <v>1.5710979362101314</v>
      </c>
      <c r="N82" s="360">
        <f>SUMMARY!J85</f>
        <v>2.536968118505103</v>
      </c>
      <c r="P82"/>
      <c r="Q82"/>
    </row>
    <row r="83" spans="1:17" s="275" customFormat="1">
      <c r="A83" s="277" t="s">
        <v>86</v>
      </c>
      <c r="B83" s="301" t="s">
        <v>45</v>
      </c>
      <c r="C83" s="558">
        <f>'[42]Sch C'!D76</f>
        <v>10986.07</v>
      </c>
      <c r="D83" s="558">
        <f>'[42]Sch C'!F76</f>
        <v>0</v>
      </c>
      <c r="E83" s="248">
        <f t="shared" si="14"/>
        <v>10986.07</v>
      </c>
      <c r="F83" s="248"/>
      <c r="G83" s="248">
        <f t="shared" si="15"/>
        <v>10986.07</v>
      </c>
      <c r="H83" s="279">
        <f t="shared" si="16"/>
        <v>1.4612663644413056E-3</v>
      </c>
      <c r="I83" s="348"/>
      <c r="J83" s="513"/>
      <c r="K83" s="513"/>
      <c r="M83" s="360">
        <f t="shared" si="17"/>
        <v>0.41223527204502813</v>
      </c>
      <c r="N83" s="360">
        <f>SUMMARY!J86</f>
        <v>0.51085058065727817</v>
      </c>
      <c r="P83"/>
      <c r="Q83"/>
    </row>
    <row r="84" spans="1:17" s="275" customFormat="1">
      <c r="A84" s="277" t="s">
        <v>93</v>
      </c>
      <c r="B84" s="301" t="s">
        <v>47</v>
      </c>
      <c r="C84" s="558">
        <f>'[42]Sch C'!D77</f>
        <v>13171.83</v>
      </c>
      <c r="D84" s="558">
        <f>'[42]Sch C'!F77</f>
        <v>0</v>
      </c>
      <c r="E84" s="248">
        <f t="shared" si="14"/>
        <v>13171.83</v>
      </c>
      <c r="F84" s="248"/>
      <c r="G84" s="248">
        <f t="shared" si="15"/>
        <v>13171.83</v>
      </c>
      <c r="H84" s="279">
        <f t="shared" si="16"/>
        <v>1.7519961312042361E-3</v>
      </c>
      <c r="I84" s="348"/>
      <c r="J84" s="513"/>
      <c r="K84" s="513"/>
      <c r="M84" s="360">
        <f t="shared" si="17"/>
        <v>0.49425253283302062</v>
      </c>
      <c r="N84" s="360">
        <f>SUMMARY!J87</f>
        <v>0.62330034041531523</v>
      </c>
      <c r="P84"/>
      <c r="Q84"/>
    </row>
    <row r="85" spans="1:17" s="275" customFormat="1">
      <c r="A85" s="277">
        <v>230</v>
      </c>
      <c r="B85" s="301" t="s">
        <v>46</v>
      </c>
      <c r="C85" s="558">
        <f>'[42]Sch C'!D78</f>
        <v>41993.01</v>
      </c>
      <c r="D85" s="558">
        <f>'[42]Sch C'!F78</f>
        <v>1118</v>
      </c>
      <c r="E85" s="248">
        <f t="shared" si="14"/>
        <v>43111.01</v>
      </c>
      <c r="F85" s="248"/>
      <c r="G85" s="248">
        <f t="shared" si="15"/>
        <v>43111.01</v>
      </c>
      <c r="H85" s="279">
        <f t="shared" si="16"/>
        <v>5.7342315177395355E-3</v>
      </c>
      <c r="I85" s="348"/>
      <c r="J85" s="513"/>
      <c r="K85" s="513"/>
      <c r="M85" s="360">
        <f t="shared" si="17"/>
        <v>1.6176739212007505</v>
      </c>
      <c r="N85" s="360">
        <f>SUMMARY!J88</f>
        <v>0.23395364628104837</v>
      </c>
      <c r="P85"/>
      <c r="Q85"/>
    </row>
    <row r="86" spans="1:17" s="275" customFormat="1">
      <c r="A86" s="277">
        <v>240</v>
      </c>
      <c r="B86" s="302" t="s">
        <v>267</v>
      </c>
      <c r="C86" s="558">
        <f>'[42]Sch C'!D79</f>
        <v>40048.720000000001</v>
      </c>
      <c r="D86" s="558">
        <f>'[42]Sch C'!F79</f>
        <v>0</v>
      </c>
      <c r="E86" s="248">
        <f t="shared" si="14"/>
        <v>40048.720000000001</v>
      </c>
      <c r="F86" s="248"/>
      <c r="G86" s="248">
        <f>E86+F86</f>
        <v>40048.720000000001</v>
      </c>
      <c r="H86" s="279">
        <f t="shared" si="16"/>
        <v>5.3269137621485942E-3</v>
      </c>
      <c r="I86" s="348"/>
      <c r="J86" s="513"/>
      <c r="K86" s="513"/>
      <c r="M86" s="360">
        <f t="shared" si="17"/>
        <v>1.5027662288930581</v>
      </c>
      <c r="N86" s="360">
        <f>SUMMARY!J89</f>
        <v>0.42480855389944888</v>
      </c>
      <c r="P86"/>
      <c r="Q86"/>
    </row>
    <row r="87" spans="1:17" s="275" customFormat="1">
      <c r="A87" s="277">
        <v>310</v>
      </c>
      <c r="B87" s="301" t="s">
        <v>54</v>
      </c>
      <c r="C87" s="558">
        <f>'[42]Sch C'!D80</f>
        <v>55993.68</v>
      </c>
      <c r="D87" s="558">
        <f>'[42]Sch C'!F80</f>
        <v>0</v>
      </c>
      <c r="E87" s="248">
        <f t="shared" si="14"/>
        <v>55993.68</v>
      </c>
      <c r="F87" s="248"/>
      <c r="G87" s="248">
        <f t="shared" si="15"/>
        <v>55993.68</v>
      </c>
      <c r="H87" s="279">
        <f t="shared" si="16"/>
        <v>7.4477662353589456E-3</v>
      </c>
      <c r="I87" s="348"/>
      <c r="J87" s="513"/>
      <c r="K87" s="513"/>
      <c r="M87" s="360">
        <f t="shared" si="17"/>
        <v>2.1010761726078799</v>
      </c>
      <c r="N87" s="360">
        <f>SUMMARY!J90</f>
        <v>1.0101009938069276</v>
      </c>
      <c r="P87"/>
      <c r="Q87"/>
    </row>
    <row r="88" spans="1:17" s="275" customFormat="1">
      <c r="A88" s="277">
        <v>320</v>
      </c>
      <c r="B88" s="303" t="s">
        <v>313</v>
      </c>
      <c r="C88" s="558">
        <f>'[42]Sch C'!D81</f>
        <v>281.67</v>
      </c>
      <c r="D88" s="558">
        <f>'[42]Sch C'!F81</f>
        <v>0</v>
      </c>
      <c r="E88" s="248">
        <f t="shared" si="14"/>
        <v>281.67</v>
      </c>
      <c r="F88" s="248"/>
      <c r="G88" s="248">
        <f t="shared" si="15"/>
        <v>281.67</v>
      </c>
      <c r="H88" s="279">
        <f t="shared" si="16"/>
        <v>3.7465162416786219E-5</v>
      </c>
      <c r="I88" s="348"/>
      <c r="J88" s="513"/>
      <c r="K88" s="513"/>
      <c r="M88" s="360">
        <f t="shared" si="17"/>
        <v>1.056923076923077E-2</v>
      </c>
      <c r="N88" s="360">
        <f>SUMMARY!J91</f>
        <v>0.64997885266319244</v>
      </c>
      <c r="P88"/>
      <c r="Q88"/>
    </row>
    <row r="89" spans="1:17" s="275" customFormat="1">
      <c r="A89" s="277">
        <v>330</v>
      </c>
      <c r="B89" s="303" t="s">
        <v>314</v>
      </c>
      <c r="C89" s="558">
        <f>'[42]Sch C'!D82</f>
        <v>8046.6</v>
      </c>
      <c r="D89" s="558">
        <f>'[42]Sch C'!F82</f>
        <v>0</v>
      </c>
      <c r="E89" s="248">
        <f t="shared" si="14"/>
        <v>8046.6</v>
      </c>
      <c r="F89" s="248"/>
      <c r="G89" s="248">
        <f t="shared" si="15"/>
        <v>8046.6</v>
      </c>
      <c r="H89" s="279">
        <f t="shared" si="16"/>
        <v>1.0702849998328256E-3</v>
      </c>
      <c r="I89" s="348"/>
      <c r="J89" s="513"/>
      <c r="K89" s="513"/>
      <c r="M89" s="360">
        <f t="shared" si="17"/>
        <v>0.30193621013133209</v>
      </c>
      <c r="N89" s="360">
        <f>SUMMARY!J92</f>
        <v>0.42366280341015539</v>
      </c>
      <c r="P89"/>
      <c r="Q89"/>
    </row>
    <row r="90" spans="1:17" s="275" customFormat="1">
      <c r="A90" s="271">
        <v>340</v>
      </c>
      <c r="B90" s="303" t="s">
        <v>349</v>
      </c>
      <c r="C90" s="558">
        <f>'[42]Sch C'!D83</f>
        <v>0</v>
      </c>
      <c r="D90" s="558">
        <f>'[42]Sch C'!F83</f>
        <v>0</v>
      </c>
      <c r="E90" s="248">
        <f t="shared" si="14"/>
        <v>0</v>
      </c>
      <c r="F90" s="248"/>
      <c r="G90" s="248">
        <f t="shared" si="15"/>
        <v>0</v>
      </c>
      <c r="H90" s="279">
        <f t="shared" si="16"/>
        <v>0</v>
      </c>
      <c r="I90" s="348"/>
      <c r="J90" s="513"/>
      <c r="K90" s="513"/>
      <c r="M90" s="360">
        <f t="shared" si="17"/>
        <v>0</v>
      </c>
      <c r="N90" s="360">
        <f>SUMMARY!J93</f>
        <v>0.18635465144944469</v>
      </c>
      <c r="P90"/>
      <c r="Q90"/>
    </row>
    <row r="91" spans="1:17" s="275" customFormat="1">
      <c r="A91" s="271">
        <v>350</v>
      </c>
      <c r="B91" s="301" t="s">
        <v>49</v>
      </c>
      <c r="C91" s="558">
        <f>'[42]Sch C'!D84</f>
        <v>158560.06</v>
      </c>
      <c r="D91" s="558">
        <f>'[42]Sch C'!F84</f>
        <v>1258</v>
      </c>
      <c r="E91" s="248">
        <f t="shared" si="14"/>
        <v>159818.06</v>
      </c>
      <c r="F91" s="248"/>
      <c r="G91" s="248">
        <f t="shared" si="15"/>
        <v>159818.06</v>
      </c>
      <c r="H91" s="279">
        <f t="shared" si="16"/>
        <v>2.125753390505089E-2</v>
      </c>
      <c r="I91" s="348"/>
      <c r="J91" s="513"/>
      <c r="K91" s="513"/>
      <c r="M91" s="360">
        <f t="shared" si="17"/>
        <v>5.9969253283302066</v>
      </c>
      <c r="N91" s="360">
        <f>SUMMARY!J94</f>
        <v>4.7538617738038829</v>
      </c>
      <c r="P91"/>
      <c r="Q91"/>
    </row>
    <row r="92" spans="1:17" s="275" customFormat="1">
      <c r="A92" s="271">
        <v>490</v>
      </c>
      <c r="B92" s="300" t="s">
        <v>312</v>
      </c>
      <c r="C92" s="558">
        <f>'[42]Sch C'!D85</f>
        <v>131.87</v>
      </c>
      <c r="D92" s="558">
        <f>'[42]Sch C'!F85</f>
        <v>0</v>
      </c>
      <c r="E92" s="248">
        <f t="shared" si="14"/>
        <v>131.87</v>
      </c>
      <c r="F92" s="248"/>
      <c r="G92" s="248">
        <f t="shared" si="15"/>
        <v>131.87</v>
      </c>
      <c r="H92" s="279">
        <f t="shared" si="16"/>
        <v>1.7540139055993179E-5</v>
      </c>
      <c r="I92" s="348"/>
      <c r="J92" s="513"/>
      <c r="K92" s="513"/>
      <c r="M92" s="360">
        <f t="shared" si="17"/>
        <v>4.9482176360225146E-3</v>
      </c>
      <c r="N92" s="360">
        <f>SUMMARY!J95</f>
        <v>0.10488413981894537</v>
      </c>
      <c r="P92"/>
      <c r="Q92"/>
    </row>
    <row r="93" spans="1:17" s="275" customFormat="1">
      <c r="A93" s="271"/>
      <c r="B93" s="278" t="s">
        <v>50</v>
      </c>
      <c r="C93" s="558">
        <f>SUM(C82:C92)</f>
        <v>371083.27</v>
      </c>
      <c r="D93" s="558">
        <f>SUM(D82:D92)</f>
        <v>2376</v>
      </c>
      <c r="E93" s="248">
        <f t="shared" ref="E93:F93" si="18">SUM(E82:E92)</f>
        <v>373459.27</v>
      </c>
      <c r="F93" s="248">
        <f t="shared" si="18"/>
        <v>0</v>
      </c>
      <c r="G93" s="248">
        <f>SUM(G82:G92)</f>
        <v>373459.27</v>
      </c>
      <c r="H93" s="279">
        <f t="shared" si="16"/>
        <v>4.9674130033743095E-2</v>
      </c>
      <c r="I93" s="348"/>
      <c r="J93" s="513"/>
      <c r="K93" s="513"/>
      <c r="M93" s="367">
        <f>G93/G$228</f>
        <v>14.013481050656662</v>
      </c>
      <c r="N93" s="360">
        <f>SUMMARY!J96</f>
        <v>11.458724454710746</v>
      </c>
      <c r="O93" s="355">
        <f>M93/N93-1</f>
        <v>0.22295296531854736</v>
      </c>
      <c r="P93"/>
      <c r="Q93"/>
    </row>
    <row r="94" spans="1:17" s="275" customFormat="1">
      <c r="A94" s="271"/>
      <c r="C94" s="165"/>
      <c r="D94" s="165"/>
      <c r="E94" s="273"/>
      <c r="F94" s="273"/>
      <c r="G94" s="273"/>
      <c r="H94" s="299"/>
      <c r="I94" s="350"/>
      <c r="J94" s="513"/>
      <c r="K94" s="513"/>
      <c r="M94" s="360"/>
      <c r="N94" s="360"/>
      <c r="P94"/>
      <c r="Q94"/>
    </row>
    <row r="95" spans="1:17" s="275" customFormat="1">
      <c r="A95" s="277" t="s">
        <v>164</v>
      </c>
      <c r="B95" s="278" t="s">
        <v>51</v>
      </c>
      <c r="C95" s="165"/>
      <c r="D95" s="165"/>
      <c r="E95" s="273"/>
      <c r="F95" s="273"/>
      <c r="G95" s="273"/>
      <c r="H95" s="299"/>
      <c r="I95" s="350"/>
      <c r="J95" s="513"/>
      <c r="K95" s="513"/>
      <c r="M95" s="360"/>
      <c r="N95" s="360"/>
      <c r="P95"/>
      <c r="Q95"/>
    </row>
    <row r="96" spans="1:17" s="275" customFormat="1">
      <c r="A96" s="277" t="s">
        <v>85</v>
      </c>
      <c r="B96" s="278" t="s">
        <v>44</v>
      </c>
      <c r="C96" s="558">
        <f>'[42]Sch C'!D89</f>
        <v>223236.32</v>
      </c>
      <c r="D96" s="558">
        <f>'[42]Sch C'!F89</f>
        <v>0</v>
      </c>
      <c r="E96" s="248">
        <f t="shared" ref="E96:E101" si="19">C96+D96</f>
        <v>223236.32</v>
      </c>
      <c r="F96" s="248"/>
      <c r="G96" s="248">
        <f t="shared" ref="G96:G101" si="20">E96+F96</f>
        <v>223236.32</v>
      </c>
      <c r="H96" s="279">
        <f t="shared" ref="H96:H102" si="21">IF($G$208=0,0,G96/$G$208)</f>
        <v>2.9692849739502473E-2</v>
      </c>
      <c r="I96" s="348"/>
      <c r="J96" s="486">
        <v>16409</v>
      </c>
      <c r="K96" s="486">
        <v>17030</v>
      </c>
      <c r="M96" s="367">
        <f t="shared" ref="M96:M101" si="22">G96/G$228</f>
        <v>8.376597373358349</v>
      </c>
      <c r="N96" s="360">
        <f>SUMMARY!J99</f>
        <v>8.3100610477681069</v>
      </c>
      <c r="P96"/>
      <c r="Q96"/>
    </row>
    <row r="97" spans="1:17" s="275" customFormat="1">
      <c r="A97" s="277" t="s">
        <v>86</v>
      </c>
      <c r="B97" s="278" t="s">
        <v>45</v>
      </c>
      <c r="C97" s="558">
        <f>'[42]Sch C'!D90</f>
        <v>55465.24</v>
      </c>
      <c r="D97" s="558">
        <f>'[42]Sch C'!F90</f>
        <v>0</v>
      </c>
      <c r="E97" s="248">
        <f t="shared" si="19"/>
        <v>55465.24</v>
      </c>
      <c r="F97" s="248"/>
      <c r="G97" s="248">
        <f t="shared" si="20"/>
        <v>55465.24</v>
      </c>
      <c r="H97" s="279">
        <f t="shared" si="21"/>
        <v>7.3774779887315917E-3</v>
      </c>
      <c r="I97" s="348"/>
      <c r="J97" s="513"/>
      <c r="K97" s="513"/>
      <c r="M97" s="367">
        <f t="shared" si="22"/>
        <v>2.0812472795497183</v>
      </c>
      <c r="N97" s="360">
        <f>SUMMARY!J100</f>
        <v>1.5162882954735211</v>
      </c>
      <c r="P97"/>
      <c r="Q97"/>
    </row>
    <row r="98" spans="1:17" s="275" customFormat="1">
      <c r="A98" s="277">
        <v>310</v>
      </c>
      <c r="B98" s="278" t="s">
        <v>54</v>
      </c>
      <c r="C98" s="558">
        <f>'[42]Sch C'!D91</f>
        <v>15152.77</v>
      </c>
      <c r="D98" s="558">
        <f>'[42]Sch C'!F91</f>
        <v>0</v>
      </c>
      <c r="E98" s="248">
        <f t="shared" si="19"/>
        <v>15152.77</v>
      </c>
      <c r="F98" s="248"/>
      <c r="G98" s="248">
        <f t="shared" si="20"/>
        <v>15152.77</v>
      </c>
      <c r="H98" s="279">
        <f t="shared" si="21"/>
        <v>2.0154826183626431E-3</v>
      </c>
      <c r="I98" s="348"/>
      <c r="J98" s="513"/>
      <c r="K98" s="513"/>
      <c r="M98" s="367">
        <f t="shared" si="22"/>
        <v>0.56858424015009379</v>
      </c>
      <c r="N98" s="360">
        <f>SUMMARY!J101</f>
        <v>2.5247120350104719</v>
      </c>
      <c r="P98"/>
      <c r="Q98"/>
    </row>
    <row r="99" spans="1:17" s="275" customFormat="1">
      <c r="A99" s="277">
        <v>380</v>
      </c>
      <c r="B99" s="278" t="s">
        <v>52</v>
      </c>
      <c r="C99" s="558">
        <f>'[42]Sch C'!D92</f>
        <v>200969.71</v>
      </c>
      <c r="D99" s="558">
        <f>'[42]Sch C'!F92</f>
        <v>0</v>
      </c>
      <c r="E99" s="248">
        <f t="shared" si="19"/>
        <v>200969.71</v>
      </c>
      <c r="F99" s="248"/>
      <c r="G99" s="248">
        <f t="shared" si="20"/>
        <v>200969.71</v>
      </c>
      <c r="H99" s="279">
        <f t="shared" si="21"/>
        <v>2.6731149309491338E-2</v>
      </c>
      <c r="I99" s="348"/>
      <c r="J99" s="513"/>
      <c r="K99" s="513"/>
      <c r="M99" s="367">
        <f t="shared" si="22"/>
        <v>7.5410772983114445</v>
      </c>
      <c r="N99" s="360">
        <f>SUMMARY!J102</f>
        <v>6.7604047844643738</v>
      </c>
      <c r="P99"/>
      <c r="Q99"/>
    </row>
    <row r="100" spans="1:17" s="275" customFormat="1">
      <c r="A100" s="277">
        <v>390</v>
      </c>
      <c r="B100" s="278" t="s">
        <v>53</v>
      </c>
      <c r="C100" s="558">
        <f>'[42]Sch C'!D93</f>
        <v>13308.33</v>
      </c>
      <c r="D100" s="558">
        <f>'[42]Sch C'!F93</f>
        <v>0</v>
      </c>
      <c r="E100" s="248">
        <f t="shared" si="19"/>
        <v>13308.33</v>
      </c>
      <c r="F100" s="248"/>
      <c r="G100" s="248">
        <f t="shared" si="20"/>
        <v>13308.33</v>
      </c>
      <c r="H100" s="279">
        <f t="shared" si="21"/>
        <v>1.7701521104348653E-3</v>
      </c>
      <c r="I100" s="348"/>
      <c r="J100" s="513"/>
      <c r="K100" s="513"/>
      <c r="M100" s="367">
        <f t="shared" si="22"/>
        <v>0.49937448405253282</v>
      </c>
      <c r="N100" s="360">
        <f>SUMMARY!J103</f>
        <v>0.72385493548615287</v>
      </c>
      <c r="P100"/>
      <c r="Q100"/>
    </row>
    <row r="101" spans="1:17" s="275" customFormat="1">
      <c r="A101" s="277">
        <v>490</v>
      </c>
      <c r="B101" s="23" t="s">
        <v>312</v>
      </c>
      <c r="C101" s="558">
        <f>'[42]Sch C'!D94</f>
        <v>6028.27</v>
      </c>
      <c r="D101" s="558">
        <f>'[42]Sch C'!F94</f>
        <v>0</v>
      </c>
      <c r="E101" s="248">
        <f t="shared" si="19"/>
        <v>6028.27</v>
      </c>
      <c r="F101" s="248"/>
      <c r="G101" s="248">
        <f t="shared" si="20"/>
        <v>6028.27</v>
      </c>
      <c r="H101" s="279">
        <f t="shared" si="21"/>
        <v>8.0182523748443168E-4</v>
      </c>
      <c r="I101" s="348"/>
      <c r="J101" s="513"/>
      <c r="K101" s="513"/>
      <c r="M101" s="367">
        <f t="shared" si="22"/>
        <v>0.22620150093808633</v>
      </c>
      <c r="N101" s="360">
        <f>SUMMARY!J104</f>
        <v>6.5755939582712558E-2</v>
      </c>
      <c r="P101"/>
      <c r="Q101"/>
    </row>
    <row r="102" spans="1:17" s="275" customFormat="1">
      <c r="A102" s="277"/>
      <c r="B102" s="278" t="s">
        <v>55</v>
      </c>
      <c r="C102" s="558">
        <f>SUM(C96:C101)</f>
        <v>514160.64000000007</v>
      </c>
      <c r="D102" s="558">
        <f>SUM(D96:D101)</f>
        <v>0</v>
      </c>
      <c r="E102" s="248">
        <f t="shared" ref="E102:F102" si="23">SUM(E96:E101)</f>
        <v>514160.64000000007</v>
      </c>
      <c r="F102" s="248">
        <f t="shared" si="23"/>
        <v>0</v>
      </c>
      <c r="G102" s="248">
        <f>SUM(G96:G101)</f>
        <v>514160.64000000007</v>
      </c>
      <c r="H102" s="279">
        <f t="shared" si="21"/>
        <v>6.8388937004007347E-2</v>
      </c>
      <c r="I102" s="348"/>
      <c r="J102" s="513"/>
      <c r="K102" s="513"/>
      <c r="M102" s="367">
        <f>G102/G$228</f>
        <v>19.29308217636023</v>
      </c>
      <c r="N102" s="360">
        <f>SUMMARY!J105</f>
        <v>19.901077037785338</v>
      </c>
      <c r="O102" s="355">
        <f>M102/N102-1</f>
        <v>-3.0550852110704074E-2</v>
      </c>
      <c r="P102"/>
      <c r="Q102"/>
    </row>
    <row r="103" spans="1:17" s="275" customFormat="1">
      <c r="A103" s="271"/>
      <c r="C103" s="165"/>
      <c r="D103" s="165"/>
      <c r="E103" s="273"/>
      <c r="F103" s="273"/>
      <c r="G103" s="273"/>
      <c r="H103" s="299"/>
      <c r="I103" s="350"/>
      <c r="J103" s="513"/>
      <c r="K103" s="513"/>
      <c r="M103" s="360"/>
      <c r="N103" s="360"/>
      <c r="P103"/>
      <c r="Q103"/>
    </row>
    <row r="104" spans="1:17" s="275" customFormat="1">
      <c r="A104" s="277" t="s">
        <v>165</v>
      </c>
      <c r="B104" s="278" t="s">
        <v>56</v>
      </c>
      <c r="C104" s="165"/>
      <c r="D104" s="165"/>
      <c r="E104" s="273"/>
      <c r="F104" s="273"/>
      <c r="G104" s="273"/>
      <c r="H104" s="299"/>
      <c r="I104" s="350"/>
      <c r="J104" s="513"/>
      <c r="K104" s="513"/>
      <c r="M104" s="360"/>
      <c r="N104" s="360"/>
      <c r="P104"/>
      <c r="Q104"/>
    </row>
    <row r="105" spans="1:17" s="275" customFormat="1">
      <c r="A105" s="277" t="s">
        <v>85</v>
      </c>
      <c r="B105" s="278" t="s">
        <v>44</v>
      </c>
      <c r="C105" s="558">
        <f>'[42]Sch C'!D98</f>
        <v>35526.25</v>
      </c>
      <c r="D105" s="558">
        <f>'[42]Sch C'!F98</f>
        <v>0</v>
      </c>
      <c r="E105" s="248">
        <f t="shared" ref="E105:E110" si="24">C105+D105</f>
        <v>35526.25</v>
      </c>
      <c r="F105" s="248"/>
      <c r="G105" s="248">
        <f t="shared" ref="G105:G110" si="25">E105+F105</f>
        <v>35526.25</v>
      </c>
      <c r="H105" s="279">
        <f t="shared" ref="H105:H111" si="26">IF($G$208=0,0,G105/$G$208)</f>
        <v>4.7253762427995573E-3</v>
      </c>
      <c r="I105" s="348"/>
      <c r="J105" s="486">
        <v>3735.8</v>
      </c>
      <c r="K105" s="486">
        <v>3875.8</v>
      </c>
      <c r="M105" s="367">
        <f t="shared" ref="M105:M110" si="27">G105/G$228</f>
        <v>1.3330675422138836</v>
      </c>
      <c r="N105" s="360">
        <f>SUMMARY!J108</f>
        <v>1.037156498380404</v>
      </c>
      <c r="P105"/>
      <c r="Q105"/>
    </row>
    <row r="106" spans="1:17" s="275" customFormat="1">
      <c r="A106" s="277" t="s">
        <v>86</v>
      </c>
      <c r="B106" s="278" t="s">
        <v>45</v>
      </c>
      <c r="C106" s="558">
        <f>'[42]Sch C'!D99</f>
        <v>10647</v>
      </c>
      <c r="D106" s="558">
        <f>'[42]Sch C'!F99</f>
        <v>0</v>
      </c>
      <c r="E106" s="248">
        <f t="shared" si="24"/>
        <v>10647</v>
      </c>
      <c r="F106" s="248"/>
      <c r="G106" s="248">
        <f t="shared" si="25"/>
        <v>10647</v>
      </c>
      <c r="H106" s="279">
        <f t="shared" si="26"/>
        <v>1.4161663799890753E-3</v>
      </c>
      <c r="I106" s="348"/>
      <c r="J106" s="513"/>
      <c r="K106" s="513"/>
      <c r="M106" s="367">
        <f t="shared" si="27"/>
        <v>0.39951219512195124</v>
      </c>
      <c r="N106" s="360">
        <f>SUMMARY!J109</f>
        <v>0.20576729906268329</v>
      </c>
      <c r="P106"/>
      <c r="Q106"/>
    </row>
    <row r="107" spans="1:17" s="275" customFormat="1">
      <c r="A107" s="277">
        <v>110</v>
      </c>
      <c r="B107" s="278" t="s">
        <v>47</v>
      </c>
      <c r="C107" s="558">
        <f>'[42]Sch C'!D100</f>
        <v>3471.58</v>
      </c>
      <c r="D107" s="558">
        <f>'[42]Sch C'!F100</f>
        <v>0</v>
      </c>
      <c r="E107" s="248">
        <f t="shared" si="24"/>
        <v>3471.58</v>
      </c>
      <c r="F107" s="248"/>
      <c r="G107" s="248">
        <f t="shared" si="25"/>
        <v>3471.58</v>
      </c>
      <c r="H107" s="279">
        <f t="shared" si="26"/>
        <v>4.6175776100708876E-4</v>
      </c>
      <c r="I107" s="348"/>
      <c r="J107" s="513"/>
      <c r="K107" s="513"/>
      <c r="M107" s="367">
        <f t="shared" si="27"/>
        <v>0.13026566604127579</v>
      </c>
      <c r="N107" s="360">
        <f>SUMMARY!J110</f>
        <v>0.1677349841046627</v>
      </c>
      <c r="P107"/>
      <c r="Q107"/>
    </row>
    <row r="108" spans="1:17" s="275" customFormat="1">
      <c r="A108" s="277">
        <v>310</v>
      </c>
      <c r="B108" s="278" t="s">
        <v>54</v>
      </c>
      <c r="C108" s="558">
        <f>'[42]Sch C'!D101</f>
        <v>269.7</v>
      </c>
      <c r="D108" s="558">
        <f>'[42]Sch C'!F101</f>
        <v>0</v>
      </c>
      <c r="E108" s="248">
        <f t="shared" si="24"/>
        <v>269.7</v>
      </c>
      <c r="F108" s="248"/>
      <c r="G108" s="248">
        <f t="shared" si="25"/>
        <v>269.7</v>
      </c>
      <c r="H108" s="279">
        <f t="shared" si="26"/>
        <v>3.5873022699638732E-5</v>
      </c>
      <c r="I108" s="348"/>
      <c r="J108" s="513"/>
      <c r="K108" s="513"/>
      <c r="M108" s="367">
        <f t="shared" si="27"/>
        <v>1.0120075046904315E-2</v>
      </c>
      <c r="N108" s="360">
        <f>SUMMARY!J111</f>
        <v>0.75134712715626728</v>
      </c>
      <c r="P108"/>
      <c r="Q108"/>
    </row>
    <row r="109" spans="1:17" s="275" customFormat="1">
      <c r="A109" s="277">
        <v>410</v>
      </c>
      <c r="B109" s="278" t="s">
        <v>57</v>
      </c>
      <c r="C109" s="558">
        <f>'[42]Sch C'!D102</f>
        <v>4933.3100000000004</v>
      </c>
      <c r="D109" s="558">
        <f>'[42]Sch C'!F102</f>
        <v>0</v>
      </c>
      <c r="E109" s="248">
        <f t="shared" si="24"/>
        <v>4933.3100000000004</v>
      </c>
      <c r="F109" s="248"/>
      <c r="G109" s="248">
        <f t="shared" si="25"/>
        <v>4933.3100000000004</v>
      </c>
      <c r="H109" s="279">
        <f t="shared" si="26"/>
        <v>6.5618369156230922E-4</v>
      </c>
      <c r="I109" s="348"/>
      <c r="J109" s="513"/>
      <c r="K109" s="513"/>
      <c r="M109" s="367">
        <f t="shared" si="27"/>
        <v>0.18511482176360228</v>
      </c>
      <c r="N109" s="360">
        <f>SUMMARY!J112</f>
        <v>0.24781104699146178</v>
      </c>
      <c r="P109"/>
      <c r="Q109"/>
    </row>
    <row r="110" spans="1:17" s="275" customFormat="1">
      <c r="A110" s="277">
        <v>490</v>
      </c>
      <c r="B110" s="23" t="s">
        <v>312</v>
      </c>
      <c r="C110" s="558">
        <f>'[42]Sch C'!D103</f>
        <v>0</v>
      </c>
      <c r="D110" s="558">
        <f>'[42]Sch C'!F103</f>
        <v>0</v>
      </c>
      <c r="E110" s="248">
        <f t="shared" si="24"/>
        <v>0</v>
      </c>
      <c r="F110" s="248"/>
      <c r="G110" s="248">
        <f t="shared" si="25"/>
        <v>0</v>
      </c>
      <c r="H110" s="279">
        <f t="shared" si="26"/>
        <v>0</v>
      </c>
      <c r="I110" s="348"/>
      <c r="J110" s="513"/>
      <c r="K110" s="513"/>
      <c r="M110" s="367">
        <f t="shared" si="27"/>
        <v>0</v>
      </c>
      <c r="N110" s="360">
        <f>SUMMARY!J113</f>
        <v>1.442148153547029E-2</v>
      </c>
      <c r="P110"/>
      <c r="Q110"/>
    </row>
    <row r="111" spans="1:17" s="275" customFormat="1">
      <c r="A111" s="271"/>
      <c r="B111" s="278" t="s">
        <v>58</v>
      </c>
      <c r="C111" s="558">
        <f>SUM(C105:C110)</f>
        <v>54847.839999999997</v>
      </c>
      <c r="D111" s="558">
        <f>SUM(D105:D110)</f>
        <v>0</v>
      </c>
      <c r="E111" s="248">
        <f t="shared" ref="E111:F111" si="28">SUM(E105:E110)</f>
        <v>54847.839999999997</v>
      </c>
      <c r="F111" s="248">
        <f t="shared" si="28"/>
        <v>0</v>
      </c>
      <c r="G111" s="248">
        <f>SUM(G105:G110)</f>
        <v>54847.839999999997</v>
      </c>
      <c r="H111" s="279">
        <f t="shared" si="26"/>
        <v>7.2953570980576693E-3</v>
      </c>
      <c r="I111" s="348"/>
      <c r="J111" s="513"/>
      <c r="K111" s="513"/>
      <c r="M111" s="367">
        <f>G111/G$228</f>
        <v>2.0580803001876173</v>
      </c>
      <c r="N111" s="360">
        <f>SUMMARY!J114</f>
        <v>2.4242384372309496</v>
      </c>
      <c r="O111" s="355">
        <f>M111/N111-1</f>
        <v>-0.1510404799379268</v>
      </c>
      <c r="P111"/>
      <c r="Q111"/>
    </row>
    <row r="112" spans="1:17" s="275" customFormat="1">
      <c r="A112" s="271"/>
      <c r="C112" s="165"/>
      <c r="D112" s="165"/>
      <c r="E112" s="273"/>
      <c r="F112" s="273"/>
      <c r="G112" s="273"/>
      <c r="H112" s="299"/>
      <c r="I112" s="350"/>
      <c r="J112" s="513"/>
      <c r="K112" s="513"/>
      <c r="M112" s="360"/>
      <c r="N112" s="360"/>
      <c r="P112"/>
      <c r="Q112"/>
    </row>
    <row r="113" spans="1:17" s="275" customFormat="1">
      <c r="A113" s="277" t="s">
        <v>166</v>
      </c>
      <c r="B113" s="278" t="s">
        <v>59</v>
      </c>
      <c r="C113" s="165"/>
      <c r="D113" s="165"/>
      <c r="E113" s="273"/>
      <c r="F113" s="273"/>
      <c r="G113" s="273"/>
      <c r="H113" s="299"/>
      <c r="I113" s="350"/>
      <c r="J113" s="513"/>
      <c r="K113" s="513"/>
      <c r="M113" s="360"/>
      <c r="N113" s="360"/>
      <c r="P113"/>
      <c r="Q113"/>
    </row>
    <row r="114" spans="1:17" s="275" customFormat="1">
      <c r="A114" s="277" t="s">
        <v>85</v>
      </c>
      <c r="B114" s="278" t="s">
        <v>44</v>
      </c>
      <c r="C114" s="558">
        <f>'[42]Sch C'!D115</f>
        <v>91610.15</v>
      </c>
      <c r="D114" s="558">
        <f>'[42]Sch C'!F115</f>
        <v>0</v>
      </c>
      <c r="E114" s="248">
        <f t="shared" ref="E114:E118" si="29">C114+D114</f>
        <v>91610.15</v>
      </c>
      <c r="F114" s="248"/>
      <c r="G114" s="248">
        <f>E114+F114</f>
        <v>91610.15</v>
      </c>
      <c r="H114" s="279">
        <f t="shared" ref="H114:H119" si="30">IF($G$208=0,0,G114/$G$208)</f>
        <v>1.2185142715859508E-2</v>
      </c>
      <c r="I114" s="348"/>
      <c r="J114" s="486">
        <v>8905.57</v>
      </c>
      <c r="K114" s="486">
        <v>9291.57</v>
      </c>
      <c r="M114" s="367">
        <f t="shared" ref="M114:M119" si="31">G114/G$228</f>
        <v>3.437529080675422</v>
      </c>
      <c r="N114" s="360">
        <f>SUMMARY!J117</f>
        <v>3.2429359621060407</v>
      </c>
      <c r="P114"/>
      <c r="Q114"/>
    </row>
    <row r="115" spans="1:17" s="275" customFormat="1">
      <c r="A115" s="277" t="s">
        <v>86</v>
      </c>
      <c r="B115" s="278" t="s">
        <v>151</v>
      </c>
      <c r="C115" s="558">
        <f>'[42]Sch C'!D116</f>
        <v>28930.93</v>
      </c>
      <c r="D115" s="558">
        <f>'[42]Sch C'!F116</f>
        <v>0</v>
      </c>
      <c r="E115" s="248">
        <f t="shared" si="29"/>
        <v>28930.93</v>
      </c>
      <c r="F115" s="248"/>
      <c r="G115" s="248">
        <f>E115+F115</f>
        <v>28930.93</v>
      </c>
      <c r="H115" s="279">
        <f t="shared" si="30"/>
        <v>3.8481272102768235E-3</v>
      </c>
      <c r="I115" s="348"/>
      <c r="J115" s="513"/>
      <c r="K115" s="513"/>
      <c r="M115" s="367">
        <f t="shared" si="31"/>
        <v>1.0855883677298312</v>
      </c>
      <c r="N115" s="360">
        <f>SUMMARY!J118</f>
        <v>0.64416765619740102</v>
      </c>
      <c r="P115"/>
      <c r="Q115"/>
    </row>
    <row r="116" spans="1:17" s="275" customFormat="1">
      <c r="A116" s="277" t="s">
        <v>93</v>
      </c>
      <c r="B116" s="278" t="s">
        <v>47</v>
      </c>
      <c r="C116" s="558">
        <f>'[42]Sch C'!D117</f>
        <v>18120.45</v>
      </c>
      <c r="D116" s="558">
        <f>'[42]Sch C'!F117</f>
        <v>0</v>
      </c>
      <c r="E116" s="248">
        <f t="shared" si="29"/>
        <v>18120.45</v>
      </c>
      <c r="F116" s="248"/>
      <c r="G116" s="248">
        <f>E116+F116</f>
        <v>18120.45</v>
      </c>
      <c r="H116" s="279">
        <f t="shared" si="30"/>
        <v>2.4102162186787866E-3</v>
      </c>
      <c r="I116" s="348"/>
      <c r="J116" s="513"/>
      <c r="K116" s="513"/>
      <c r="M116" s="367">
        <f t="shared" si="31"/>
        <v>0.67994183864915569</v>
      </c>
      <c r="N116" s="360">
        <f>SUMMARY!J119</f>
        <v>0.86820957192988468</v>
      </c>
      <c r="P116"/>
      <c r="Q116"/>
    </row>
    <row r="117" spans="1:17" s="275" customFormat="1">
      <c r="A117" s="277">
        <v>310</v>
      </c>
      <c r="B117" s="278" t="s">
        <v>60</v>
      </c>
      <c r="C117" s="558">
        <f>'[42]Sch C'!D118</f>
        <v>1925.01</v>
      </c>
      <c r="D117" s="558">
        <f>'[42]Sch C'!F118</f>
        <v>0</v>
      </c>
      <c r="E117" s="248">
        <f t="shared" si="29"/>
        <v>1925.01</v>
      </c>
      <c r="F117" s="248"/>
      <c r="G117" s="248">
        <f>E117+F117</f>
        <v>1925.01</v>
      </c>
      <c r="H117" s="279">
        <f t="shared" si="30"/>
        <v>2.5604719105313894E-4</v>
      </c>
      <c r="I117" s="348"/>
      <c r="J117" s="513"/>
      <c r="K117" s="513"/>
      <c r="M117" s="367">
        <f t="shared" si="31"/>
        <v>7.2233020637898687E-2</v>
      </c>
      <c r="N117" s="360">
        <f>SUMMARY!J120</f>
        <v>1.260502321598151</v>
      </c>
      <c r="P117"/>
      <c r="Q117"/>
    </row>
    <row r="118" spans="1:17" s="275" customFormat="1">
      <c r="A118" s="277">
        <v>490</v>
      </c>
      <c r="B118" s="23" t="s">
        <v>312</v>
      </c>
      <c r="C118" s="558">
        <f>'[42]Sch C'!D119</f>
        <v>511</v>
      </c>
      <c r="D118" s="558">
        <f>'[42]Sch C'!F119</f>
        <v>0</v>
      </c>
      <c r="E118" s="248">
        <f t="shared" si="29"/>
        <v>511</v>
      </c>
      <c r="F118" s="248"/>
      <c r="G118" s="248">
        <f>E118+F118</f>
        <v>511</v>
      </c>
      <c r="H118" s="279">
        <f t="shared" si="30"/>
        <v>6.7968537632611767E-5</v>
      </c>
      <c r="I118" s="348"/>
      <c r="J118" s="513"/>
      <c r="K118" s="513"/>
      <c r="M118" s="367">
        <f t="shared" si="31"/>
        <v>1.9174484052532834E-2</v>
      </c>
      <c r="N118" s="360">
        <f>SUMMARY!J121</f>
        <v>8.9442087594777155E-3</v>
      </c>
      <c r="P118"/>
      <c r="Q118"/>
    </row>
    <row r="119" spans="1:17" s="275" customFormat="1">
      <c r="A119" s="271"/>
      <c r="B119" s="278" t="s">
        <v>61</v>
      </c>
      <c r="C119" s="558">
        <f>SUM(C114:C118)</f>
        <v>141097.54</v>
      </c>
      <c r="D119" s="558">
        <f>SUM(D114:D118)</f>
        <v>0</v>
      </c>
      <c r="E119" s="248">
        <f t="shared" ref="E119:F119" si="32">SUM(E114:E118)</f>
        <v>141097.54</v>
      </c>
      <c r="F119" s="248">
        <f t="shared" si="32"/>
        <v>0</v>
      </c>
      <c r="G119" s="248">
        <f>SUM(G114:G118)</f>
        <v>141097.54</v>
      </c>
      <c r="H119" s="279">
        <f t="shared" si="30"/>
        <v>1.8767501873500871E-2</v>
      </c>
      <c r="I119" s="348"/>
      <c r="J119" s="513"/>
      <c r="K119" s="513"/>
      <c r="M119" s="367">
        <f t="shared" si="31"/>
        <v>5.2944667917448411</v>
      </c>
      <c r="N119" s="360">
        <f>SUMMARY!J122</f>
        <v>6.0247597205909562</v>
      </c>
      <c r="O119" s="355">
        <f>M119/N119-1</f>
        <v>-0.12121527873554472</v>
      </c>
      <c r="P119"/>
      <c r="Q119"/>
    </row>
    <row r="120" spans="1:17" s="275" customFormat="1">
      <c r="A120" s="271"/>
      <c r="B120" s="278"/>
      <c r="C120" s="196"/>
      <c r="D120" s="196"/>
      <c r="E120" s="297"/>
      <c r="F120" s="297"/>
      <c r="G120" s="297"/>
      <c r="H120" s="298"/>
      <c r="I120" s="348"/>
      <c r="J120" s="203"/>
      <c r="K120" s="203"/>
      <c r="M120" s="360"/>
      <c r="N120" s="360"/>
      <c r="P120"/>
      <c r="Q120"/>
    </row>
    <row r="121" spans="1:17" s="275" customFormat="1">
      <c r="A121" s="277" t="s">
        <v>167</v>
      </c>
      <c r="B121" s="278" t="s">
        <v>62</v>
      </c>
      <c r="C121" s="165"/>
      <c r="D121" s="165"/>
      <c r="E121" s="273"/>
      <c r="F121"/>
      <c r="G121" s="273"/>
      <c r="H121" s="299"/>
      <c r="I121" s="350"/>
      <c r="J121" s="483"/>
      <c r="K121" s="483"/>
      <c r="M121" s="360"/>
      <c r="N121" s="360"/>
      <c r="P121"/>
      <c r="Q121"/>
    </row>
    <row r="122" spans="1:17" s="275" customFormat="1">
      <c r="A122" s="277" t="s">
        <v>85</v>
      </c>
      <c r="B122" s="278" t="s">
        <v>63</v>
      </c>
      <c r="C122" s="165"/>
      <c r="D122" s="165"/>
      <c r="E122" s="273"/>
      <c r="F122"/>
      <c r="G122" s="273"/>
      <c r="H122" s="299"/>
      <c r="I122" s="350"/>
      <c r="J122" s="483"/>
      <c r="K122" s="483"/>
      <c r="M122" s="360"/>
      <c r="N122" s="360"/>
      <c r="P122"/>
      <c r="Q122"/>
    </row>
    <row r="123" spans="1:17" s="275" customFormat="1">
      <c r="B123" s="271" t="s">
        <v>232</v>
      </c>
      <c r="C123" s="558">
        <f>'[42]Sch C'!D124</f>
        <v>165903</v>
      </c>
      <c r="D123" s="558">
        <f>'[42]Sch C'!F124</f>
        <v>0</v>
      </c>
      <c r="E123" s="248">
        <f t="shared" ref="E123:E127" si="33">C123+D123</f>
        <v>165903</v>
      </c>
      <c r="F123" s="248"/>
      <c r="G123" s="248">
        <f>E123+F123</f>
        <v>165903</v>
      </c>
      <c r="H123" s="279">
        <f>IF($G$208=0,0,G123/$G$208)</f>
        <v>2.2066896866659864E-2</v>
      </c>
      <c r="I123" s="348"/>
      <c r="J123" s="486">
        <v>4343.32</v>
      </c>
      <c r="K123" s="486">
        <v>4423.32</v>
      </c>
      <c r="M123" s="367">
        <f t="shared" ref="M123:M160" si="34">G123/G$228</f>
        <v>6.225253283302064</v>
      </c>
      <c r="N123" s="360">
        <f>SUMMARY!J126</f>
        <v>0.56496190692599402</v>
      </c>
      <c r="P123"/>
      <c r="Q123"/>
    </row>
    <row r="124" spans="1:17" s="275" customFormat="1">
      <c r="B124" s="271" t="s">
        <v>194</v>
      </c>
      <c r="C124" s="558">
        <f>'[42]Sch C'!D125</f>
        <v>112069</v>
      </c>
      <c r="D124" s="558">
        <f>'[42]Sch C'!F125</f>
        <v>0</v>
      </c>
      <c r="E124" s="248">
        <f t="shared" si="33"/>
        <v>112069</v>
      </c>
      <c r="F124" s="248"/>
      <c r="G124" s="248">
        <f>E124+F124</f>
        <v>112069</v>
      </c>
      <c r="H124" s="279">
        <f>IF($G$208=0,0,G124/$G$208)</f>
        <v>1.4906391475438686E-2</v>
      </c>
      <c r="I124" s="348"/>
      <c r="J124" s="486">
        <v>2913.08</v>
      </c>
      <c r="K124" s="486">
        <v>2969.08</v>
      </c>
      <c r="M124" s="367">
        <f t="shared" si="34"/>
        <v>4.2052157598499065</v>
      </c>
      <c r="N124" s="360">
        <f>SUMMARY!J127</f>
        <v>7.6528583695016472</v>
      </c>
      <c r="P124"/>
      <c r="Q124"/>
    </row>
    <row r="125" spans="1:17" s="275" customFormat="1">
      <c r="A125" s="271" t="s">
        <v>198</v>
      </c>
      <c r="B125" s="271" t="s">
        <v>195</v>
      </c>
      <c r="C125" s="558">
        <f>'[42]Sch C'!D126</f>
        <v>0</v>
      </c>
      <c r="D125" s="558">
        <f>'[42]Sch C'!F126</f>
        <v>0</v>
      </c>
      <c r="E125" s="248">
        <f t="shared" si="33"/>
        <v>0</v>
      </c>
      <c r="F125" s="248"/>
      <c r="G125" s="248">
        <f>E125+F125</f>
        <v>0</v>
      </c>
      <c r="H125" s="279">
        <f>IF($G$208=0,0,G125/$G$208)</f>
        <v>0</v>
      </c>
      <c r="I125" s="348"/>
      <c r="J125" s="486">
        <v>0</v>
      </c>
      <c r="K125" s="486">
        <v>0</v>
      </c>
      <c r="M125" s="367">
        <f t="shared" si="34"/>
        <v>0</v>
      </c>
      <c r="N125" s="360">
        <f>SUMMARY!J128</f>
        <v>0.56709274435895785</v>
      </c>
      <c r="P125"/>
      <c r="Q125"/>
    </row>
    <row r="126" spans="1:17" s="275" customFormat="1">
      <c r="A126" s="277"/>
      <c r="B126" s="271" t="s">
        <v>196</v>
      </c>
      <c r="C126" s="558">
        <f>'[42]Sch C'!D127</f>
        <v>0</v>
      </c>
      <c r="D126" s="558">
        <f>'[42]Sch C'!F127</f>
        <v>0</v>
      </c>
      <c r="E126" s="248">
        <f t="shared" si="33"/>
        <v>0</v>
      </c>
      <c r="F126" s="248"/>
      <c r="G126" s="248">
        <f>E126+F126</f>
        <v>0</v>
      </c>
      <c r="H126" s="279">
        <f>IF($G$208=0,0,G126/$G$208)</f>
        <v>0</v>
      </c>
      <c r="I126" s="348"/>
      <c r="J126" s="486">
        <v>0</v>
      </c>
      <c r="K126" s="486">
        <v>0</v>
      </c>
      <c r="M126" s="367">
        <f t="shared" si="34"/>
        <v>0</v>
      </c>
      <c r="N126" s="360">
        <f>SUMMARY!J129</f>
        <v>1.0158975245767685E-2</v>
      </c>
      <c r="P126"/>
      <c r="Q126"/>
    </row>
    <row r="127" spans="1:17" s="275" customFormat="1">
      <c r="A127" s="277"/>
      <c r="B127" s="271" t="s">
        <v>197</v>
      </c>
      <c r="C127" s="558">
        <f>'[42]Sch C'!D128</f>
        <v>79661</v>
      </c>
      <c r="D127" s="558">
        <f>'[42]Sch C'!F128</f>
        <v>-30</v>
      </c>
      <c r="E127" s="248">
        <f t="shared" si="33"/>
        <v>79631</v>
      </c>
      <c r="F127" s="248"/>
      <c r="G127" s="248">
        <f>E127+F127</f>
        <v>79631</v>
      </c>
      <c r="H127" s="279">
        <f>IF($G$208=0,0,G127/$G$208)</f>
        <v>1.0591785949554809E-2</v>
      </c>
      <c r="I127" s="348"/>
      <c r="J127" s="486">
        <v>4129.91</v>
      </c>
      <c r="K127" s="486">
        <v>4177.91</v>
      </c>
      <c r="M127" s="367">
        <f t="shared" si="34"/>
        <v>2.9880300187617261</v>
      </c>
      <c r="N127" s="360">
        <f>SUMMARY!J130</f>
        <v>3.5158276990454227</v>
      </c>
      <c r="P127"/>
      <c r="Q127"/>
    </row>
    <row r="128" spans="1:17" s="275" customFormat="1">
      <c r="A128" s="277" t="s">
        <v>95</v>
      </c>
      <c r="B128" s="278" t="s">
        <v>152</v>
      </c>
      <c r="C128" s="562"/>
      <c r="D128" s="562"/>
      <c r="E128" s="304"/>
      <c r="F128" s="304"/>
      <c r="G128" s="304"/>
      <c r="H128" s="305"/>
      <c r="I128" s="351"/>
      <c r="J128" s="517"/>
      <c r="K128" s="517"/>
      <c r="M128" s="367"/>
      <c r="N128" s="360"/>
      <c r="P128"/>
      <c r="Q128"/>
    </row>
    <row r="129" spans="1:17" s="275" customFormat="1">
      <c r="A129" s="277"/>
      <c r="B129" s="271" t="s">
        <v>232</v>
      </c>
      <c r="C129" s="558">
        <f>'[42]Sch C'!D130</f>
        <v>41293</v>
      </c>
      <c r="D129" s="558">
        <f>'[42]Sch C'!F130</f>
        <v>0</v>
      </c>
      <c r="E129" s="248">
        <f t="shared" ref="E129:E133" si="35">C129+D129</f>
        <v>41293</v>
      </c>
      <c r="F129" s="248"/>
      <c r="G129" s="248">
        <f>E129+F129</f>
        <v>41293</v>
      </c>
      <c r="H129" s="279">
        <f>IF($G$208=0,0,G129/$G$208)</f>
        <v>5.4924164862298194E-3</v>
      </c>
      <c r="I129" s="348"/>
      <c r="J129" s="483"/>
      <c r="K129" s="483"/>
      <c r="M129" s="367">
        <f t="shared" si="34"/>
        <v>1.5494559099437148</v>
      </c>
      <c r="N129" s="360">
        <f>SUMMARY!J132</f>
        <v>0.13432903677023547</v>
      </c>
      <c r="P129"/>
      <c r="Q129"/>
    </row>
    <row r="130" spans="1:17" s="275" customFormat="1">
      <c r="A130" s="277"/>
      <c r="B130" s="271" t="s">
        <v>194</v>
      </c>
      <c r="C130" s="558">
        <f>'[42]Sch C'!D131</f>
        <v>27894</v>
      </c>
      <c r="D130" s="558">
        <f>'[42]Sch C'!F131</f>
        <v>0</v>
      </c>
      <c r="E130" s="248">
        <f t="shared" si="35"/>
        <v>27894</v>
      </c>
      <c r="F130" s="248"/>
      <c r="G130" s="248">
        <f>E130+F130</f>
        <v>27894</v>
      </c>
      <c r="H130" s="279">
        <f>IF($G$208=0,0,G130/$G$208)</f>
        <v>3.7102042832173636E-3</v>
      </c>
      <c r="I130" s="348"/>
      <c r="J130" s="483"/>
      <c r="K130" s="483"/>
      <c r="M130" s="367">
        <f t="shared" si="34"/>
        <v>1.0466791744840525</v>
      </c>
      <c r="N130" s="360">
        <f>SUMMARY!J133</f>
        <v>1.2770660565872531</v>
      </c>
      <c r="P130"/>
      <c r="Q130"/>
    </row>
    <row r="131" spans="1:17" s="275" customFormat="1">
      <c r="B131" s="271" t="s">
        <v>195</v>
      </c>
      <c r="C131" s="558">
        <f>'[42]Sch C'!D132</f>
        <v>0</v>
      </c>
      <c r="D131" s="558">
        <f>'[42]Sch C'!F132</f>
        <v>0</v>
      </c>
      <c r="E131" s="248">
        <f t="shared" si="35"/>
        <v>0</v>
      </c>
      <c r="F131" s="248"/>
      <c r="G131" s="248">
        <f>E131+F131</f>
        <v>0</v>
      </c>
      <c r="H131" s="279">
        <f>IF($G$208=0,0,G131/$G$208)</f>
        <v>0</v>
      </c>
      <c r="I131" s="348"/>
      <c r="J131" s="513"/>
      <c r="K131" s="513"/>
      <c r="M131" s="367">
        <f t="shared" si="34"/>
        <v>0</v>
      </c>
      <c r="N131" s="360">
        <f>SUMMARY!J134</f>
        <v>7.5896927014028476E-2</v>
      </c>
      <c r="P131"/>
      <c r="Q131"/>
    </row>
    <row r="132" spans="1:17" s="275" customFormat="1">
      <c r="B132" s="271" t="s">
        <v>196</v>
      </c>
      <c r="C132" s="558">
        <f>'[42]Sch C'!D133</f>
        <v>0</v>
      </c>
      <c r="D132" s="558">
        <f>'[42]Sch C'!F133</f>
        <v>0</v>
      </c>
      <c r="E132" s="248">
        <f t="shared" si="35"/>
        <v>0</v>
      </c>
      <c r="F132" s="248"/>
      <c r="G132" s="248">
        <f>E132+F132</f>
        <v>0</v>
      </c>
      <c r="H132" s="279">
        <f>IF($G$208=0,0,G132/$G$208)</f>
        <v>0</v>
      </c>
      <c r="I132" s="348"/>
      <c r="J132" s="513"/>
      <c r="K132" s="513"/>
      <c r="M132" s="367">
        <f t="shared" si="34"/>
        <v>0</v>
      </c>
      <c r="N132" s="360">
        <f>SUMMARY!J135</f>
        <v>1.8821090394045043E-3</v>
      </c>
      <c r="P132"/>
      <c r="Q132"/>
    </row>
    <row r="133" spans="1:17" s="275" customFormat="1">
      <c r="B133" s="271" t="s">
        <v>197</v>
      </c>
      <c r="C133" s="558">
        <f>'[42]Sch C'!D134</f>
        <v>17865</v>
      </c>
      <c r="D133" s="558">
        <f>'[42]Sch C'!F134</f>
        <v>0</v>
      </c>
      <c r="E133" s="248">
        <f t="shared" si="35"/>
        <v>17865</v>
      </c>
      <c r="F133" s="248"/>
      <c r="G133" s="248">
        <f>E133+F133</f>
        <v>17865</v>
      </c>
      <c r="H133" s="279">
        <f>IF($G$208=0,0,G133/$G$208)</f>
        <v>2.3762386004043236E-3</v>
      </c>
      <c r="I133" s="348"/>
      <c r="J133" s="513"/>
      <c r="K133" s="513"/>
      <c r="M133" s="367">
        <f t="shared" si="34"/>
        <v>0.67035647279549715</v>
      </c>
      <c r="N133" s="360">
        <f>SUMMARY!J136</f>
        <v>0.68147708722106659</v>
      </c>
      <c r="P133"/>
      <c r="Q133"/>
    </row>
    <row r="134" spans="1:17" s="275" customFormat="1">
      <c r="A134" s="277" t="s">
        <v>86</v>
      </c>
      <c r="B134" s="278" t="s">
        <v>64</v>
      </c>
      <c r="C134" s="196"/>
      <c r="D134" s="196"/>
      <c r="E134" s="297"/>
      <c r="F134" s="297"/>
      <c r="G134" s="297"/>
      <c r="H134" s="298"/>
      <c r="I134" s="348"/>
      <c r="J134" s="483"/>
      <c r="K134" s="483"/>
      <c r="M134" s="367"/>
      <c r="N134" s="360"/>
      <c r="P134"/>
      <c r="Q134"/>
    </row>
    <row r="135" spans="1:17" s="275" customFormat="1">
      <c r="A135" s="277"/>
      <c r="B135" s="271" t="s">
        <v>194</v>
      </c>
      <c r="C135" s="558">
        <f>'[42]Sch C'!D136</f>
        <v>562604.80000000005</v>
      </c>
      <c r="D135" s="558">
        <f>'[42]Sch C'!F136</f>
        <v>0</v>
      </c>
      <c r="E135" s="248">
        <f t="shared" ref="E135:E138" si="36">C135+D135</f>
        <v>562604.80000000005</v>
      </c>
      <c r="F135" s="248"/>
      <c r="G135" s="248">
        <f>E135+F135</f>
        <v>562604.80000000005</v>
      </c>
      <c r="H135" s="279">
        <f>IF($G$208=0,0,G135/$G$208)</f>
        <v>7.4832535266317071E-2</v>
      </c>
      <c r="I135" s="348"/>
      <c r="J135" s="486">
        <v>20078.29</v>
      </c>
      <c r="K135" s="486">
        <v>20710.53</v>
      </c>
      <c r="M135" s="367">
        <f t="shared" si="34"/>
        <v>21.110874296435274</v>
      </c>
      <c r="N135" s="360">
        <f>SUMMARY!J138</f>
        <v>22.831883555057285</v>
      </c>
      <c r="P135"/>
      <c r="Q135"/>
    </row>
    <row r="136" spans="1:17" s="275" customFormat="1">
      <c r="A136" s="277"/>
      <c r="B136" s="271" t="s">
        <v>195</v>
      </c>
      <c r="C136" s="558">
        <f>'[42]Sch C'!D137</f>
        <v>408698.28</v>
      </c>
      <c r="D136" s="558">
        <f>'[42]Sch C'!F137</f>
        <v>0</v>
      </c>
      <c r="E136" s="248">
        <f t="shared" si="36"/>
        <v>408698.28</v>
      </c>
      <c r="F136" s="248"/>
      <c r="G136" s="248">
        <f>E136+F136</f>
        <v>408698.28</v>
      </c>
      <c r="H136" s="279">
        <f>IF($G$208=0,0,G136/$G$208)</f>
        <v>5.4361300243764586E-2</v>
      </c>
      <c r="I136" s="348"/>
      <c r="J136" s="486">
        <v>16179.76</v>
      </c>
      <c r="K136" s="486">
        <v>16622.97</v>
      </c>
      <c r="M136" s="367">
        <f t="shared" si="34"/>
        <v>15.335770356472796</v>
      </c>
      <c r="N136" s="360">
        <f>SUMMARY!J139</f>
        <v>12.148107264801752</v>
      </c>
      <c r="P136"/>
      <c r="Q136"/>
    </row>
    <row r="137" spans="1:17" s="275" customFormat="1">
      <c r="A137" s="277"/>
      <c r="B137" s="271" t="s">
        <v>196</v>
      </c>
      <c r="C137" s="558">
        <f>'[42]Sch C'!D138</f>
        <v>611022</v>
      </c>
      <c r="D137" s="558">
        <f>'[42]Sch C'!F138</f>
        <v>0</v>
      </c>
      <c r="E137" s="248">
        <f t="shared" si="36"/>
        <v>611022</v>
      </c>
      <c r="F137" s="248"/>
      <c r="G137" s="248">
        <f>E137+F137</f>
        <v>611022</v>
      </c>
      <c r="H137" s="279">
        <f>IF($G$208=0,0,G137/$G$208)</f>
        <v>8.127254755646518E-2</v>
      </c>
      <c r="I137" s="348"/>
      <c r="J137" s="486">
        <v>47685.64</v>
      </c>
      <c r="K137" s="486">
        <v>49310.78</v>
      </c>
      <c r="M137" s="367">
        <f t="shared" si="34"/>
        <v>22.927654784240151</v>
      </c>
      <c r="N137" s="360">
        <f>SUMMARY!J140</f>
        <v>29.755103028612584</v>
      </c>
      <c r="P137"/>
      <c r="Q137"/>
    </row>
    <row r="138" spans="1:17" s="275" customFormat="1">
      <c r="A138" s="277"/>
      <c r="B138" s="271" t="s">
        <v>197</v>
      </c>
      <c r="C138" s="558">
        <f>'[42]Sch C'!D139</f>
        <v>148261</v>
      </c>
      <c r="D138" s="558">
        <f>'[42]Sch C'!F139</f>
        <v>0</v>
      </c>
      <c r="E138" s="248">
        <f t="shared" si="36"/>
        <v>148261</v>
      </c>
      <c r="F138" s="248"/>
      <c r="G138" s="248">
        <f>E138+F138</f>
        <v>148261</v>
      </c>
      <c r="H138" s="279">
        <f>IF($G$208=0,0,G138/$G$208)</f>
        <v>1.9720319682874077E-2</v>
      </c>
      <c r="I138" s="348"/>
      <c r="J138" s="486">
        <v>10871.07</v>
      </c>
      <c r="K138" s="486">
        <v>11175.82</v>
      </c>
      <c r="M138" s="367">
        <f t="shared" si="34"/>
        <v>5.5632645403377108</v>
      </c>
      <c r="N138" s="360">
        <f>SUMMARY!J141</f>
        <v>2.6137536270315449</v>
      </c>
      <c r="P138"/>
      <c r="Q138"/>
    </row>
    <row r="139" spans="1:17" s="275" customFormat="1">
      <c r="A139" s="277" t="s">
        <v>96</v>
      </c>
      <c r="B139" s="278" t="s">
        <v>153</v>
      </c>
      <c r="C139" s="196"/>
      <c r="D139" s="196"/>
      <c r="E139" s="297"/>
      <c r="F139" s="297"/>
      <c r="G139" s="297"/>
      <c r="H139" s="298"/>
      <c r="I139" s="348"/>
      <c r="J139" s="518"/>
      <c r="K139" s="518"/>
      <c r="M139" s="367"/>
      <c r="N139" s="360"/>
      <c r="P139"/>
      <c r="Q139"/>
    </row>
    <row r="140" spans="1:17" s="275" customFormat="1">
      <c r="A140" s="277"/>
      <c r="B140" s="271" t="s">
        <v>194</v>
      </c>
      <c r="C140" s="558">
        <f>'[42]Sch C'!D141</f>
        <v>140033</v>
      </c>
      <c r="D140" s="558">
        <f>'[42]Sch C'!F141</f>
        <v>0</v>
      </c>
      <c r="E140" s="248">
        <f t="shared" ref="E140:E143" si="37">C140+D140</f>
        <v>140033</v>
      </c>
      <c r="F140" s="248"/>
      <c r="G140" s="248">
        <f>E140+F140</f>
        <v>140033</v>
      </c>
      <c r="H140" s="279">
        <f>IF($G$208=0,0,G140/$G$208)</f>
        <v>1.8625906517235859E-2</v>
      </c>
      <c r="I140" s="348"/>
      <c r="J140" s="513"/>
      <c r="K140" s="513"/>
      <c r="M140" s="367">
        <f t="shared" si="34"/>
        <v>5.2545215759849908</v>
      </c>
      <c r="N140" s="360">
        <f>SUMMARY!J143</f>
        <v>4.2102596407658526</v>
      </c>
      <c r="P140"/>
      <c r="Q140"/>
    </row>
    <row r="141" spans="1:17" s="275" customFormat="1">
      <c r="A141" s="277"/>
      <c r="B141" s="271" t="s">
        <v>195</v>
      </c>
      <c r="C141" s="558">
        <f>'[42]Sch C'!D142</f>
        <v>101726</v>
      </c>
      <c r="D141" s="558">
        <f>'[42]Sch C'!F142</f>
        <v>0</v>
      </c>
      <c r="E141" s="248">
        <f t="shared" si="37"/>
        <v>101726</v>
      </c>
      <c r="F141" s="248"/>
      <c r="G141" s="248">
        <f>E141+F141</f>
        <v>101726</v>
      </c>
      <c r="H141" s="279">
        <f>IF($G$208=0,0,G141/$G$208)</f>
        <v>1.3530660389853356E-2</v>
      </c>
      <c r="I141" s="348"/>
      <c r="J141" s="513"/>
      <c r="K141" s="513"/>
      <c r="M141" s="367">
        <f t="shared" si="34"/>
        <v>3.8171106941838651</v>
      </c>
      <c r="N141" s="360">
        <f>SUMMARY!J144</f>
        <v>2.2256603513522144</v>
      </c>
      <c r="P141"/>
      <c r="Q141"/>
    </row>
    <row r="142" spans="1:17" s="275" customFormat="1">
      <c r="A142" s="277"/>
      <c r="B142" s="271" t="s">
        <v>196</v>
      </c>
      <c r="C142" s="558">
        <f>'[42]Sch C'!D143</f>
        <v>152085</v>
      </c>
      <c r="D142" s="558">
        <f>'[42]Sch C'!F143</f>
        <v>0</v>
      </c>
      <c r="E142" s="248">
        <f t="shared" si="37"/>
        <v>152085</v>
      </c>
      <c r="F142" s="248"/>
      <c r="G142" s="248">
        <f>E142+F142</f>
        <v>152085</v>
      </c>
      <c r="H142" s="279">
        <f>IF($G$208=0,0,G142/$G$208)</f>
        <v>2.0228953123005402E-2</v>
      </c>
      <c r="I142" s="348"/>
      <c r="J142" s="513"/>
      <c r="K142" s="513"/>
      <c r="M142" s="367">
        <f t="shared" si="34"/>
        <v>5.7067542213883673</v>
      </c>
      <c r="N142" s="360">
        <f>SUMMARY!J145</f>
        <v>5.5063490246705751</v>
      </c>
      <c r="P142"/>
      <c r="Q142"/>
    </row>
    <row r="143" spans="1:17" s="275" customFormat="1">
      <c r="A143" s="277"/>
      <c r="B143" s="271" t="s">
        <v>197</v>
      </c>
      <c r="C143" s="558">
        <f>'[42]Sch C'!D144</f>
        <v>36902</v>
      </c>
      <c r="D143" s="558">
        <f>'[42]Sch C'!F144</f>
        <v>0</v>
      </c>
      <c r="E143" s="248">
        <f t="shared" si="37"/>
        <v>36902</v>
      </c>
      <c r="F143" s="248"/>
      <c r="G143" s="248">
        <f>E143+F143</f>
        <v>36902</v>
      </c>
      <c r="H143" s="279">
        <f>IF($G$208=0,0,G143/$G$208)</f>
        <v>4.908365901602034E-3</v>
      </c>
      <c r="I143" s="348"/>
      <c r="J143" s="513"/>
      <c r="K143" s="513"/>
      <c r="M143" s="367">
        <f t="shared" si="34"/>
        <v>1.3846904315196997</v>
      </c>
      <c r="N143" s="360">
        <f>SUMMARY!J146</f>
        <v>0.55064368222190041</v>
      </c>
      <c r="P143"/>
      <c r="Q143"/>
    </row>
    <row r="144" spans="1:17" s="275" customFormat="1">
      <c r="A144" s="277" t="s">
        <v>87</v>
      </c>
      <c r="B144" s="278" t="s">
        <v>98</v>
      </c>
      <c r="C144" s="196"/>
      <c r="D144" s="196"/>
      <c r="E144" s="297"/>
      <c r="F144" s="297"/>
      <c r="G144" s="297"/>
      <c r="H144" s="298"/>
      <c r="I144" s="348"/>
      <c r="J144" s="591"/>
      <c r="K144" s="483"/>
      <c r="M144" s="367"/>
      <c r="N144" s="360"/>
      <c r="O144" s="508" t="s">
        <v>465</v>
      </c>
      <c r="P144"/>
      <c r="Q144"/>
    </row>
    <row r="145" spans="1:17" s="275" customFormat="1">
      <c r="A145" s="277"/>
      <c r="B145" s="271" t="s">
        <v>232</v>
      </c>
      <c r="C145" s="558">
        <f>'[42]Sch C'!D146</f>
        <v>55616</v>
      </c>
      <c r="D145" s="558">
        <f>'[42]Sch C'!F146</f>
        <v>0</v>
      </c>
      <c r="E145" s="248">
        <f t="shared" ref="E145:E153" si="38">C145+D145</f>
        <v>55616</v>
      </c>
      <c r="F145" s="248"/>
      <c r="G145" s="248">
        <f t="shared" ref="G145:G153" si="39">E145+F145</f>
        <v>55616</v>
      </c>
      <c r="H145" s="279">
        <f t="shared" ref="H145:H153" si="40">IF($G$208=0,0,G145/$G$208)</f>
        <v>7.3975307024957658E-3</v>
      </c>
      <c r="I145" s="348"/>
      <c r="J145" s="486">
        <v>0</v>
      </c>
      <c r="K145" s="486" t="s">
        <v>537</v>
      </c>
      <c r="M145" s="367">
        <f t="shared" si="34"/>
        <v>2.0869043151969979</v>
      </c>
      <c r="N145" s="360">
        <f>SUMMARY!J148</f>
        <v>1.6451259729597054</v>
      </c>
      <c r="O145" s="486">
        <v>0</v>
      </c>
      <c r="P145"/>
      <c r="Q145"/>
    </row>
    <row r="146" spans="1:17" s="275" customFormat="1">
      <c r="A146" s="277"/>
      <c r="B146" s="271" t="s">
        <v>194</v>
      </c>
      <c r="C146" s="558">
        <f>'[42]Sch C'!D147</f>
        <v>0</v>
      </c>
      <c r="D146" s="558">
        <f>'[42]Sch C'!F147</f>
        <v>0</v>
      </c>
      <c r="E146" s="248">
        <f t="shared" si="38"/>
        <v>0</v>
      </c>
      <c r="F146" s="248"/>
      <c r="G146" s="248">
        <f t="shared" si="39"/>
        <v>0</v>
      </c>
      <c r="H146" s="279">
        <f t="shared" si="40"/>
        <v>0</v>
      </c>
      <c r="I146" s="348"/>
      <c r="J146" s="486">
        <v>0</v>
      </c>
      <c r="K146" s="486">
        <v>0</v>
      </c>
      <c r="M146" s="367">
        <f t="shared" si="34"/>
        <v>0</v>
      </c>
      <c r="N146" s="360">
        <f>SUMMARY!J149</f>
        <v>0.46540336428082985</v>
      </c>
      <c r="O146" s="486">
        <v>0</v>
      </c>
      <c r="P146"/>
      <c r="Q146"/>
    </row>
    <row r="147" spans="1:17" s="275" customFormat="1">
      <c r="A147" s="277"/>
      <c r="B147" s="271" t="s">
        <v>195</v>
      </c>
      <c r="C147" s="558">
        <f>'[42]Sch C'!D148</f>
        <v>0</v>
      </c>
      <c r="D147" s="558">
        <f>'[42]Sch C'!F148</f>
        <v>0</v>
      </c>
      <c r="E147" s="248">
        <f t="shared" si="38"/>
        <v>0</v>
      </c>
      <c r="F147" s="248"/>
      <c r="G147" s="248">
        <f t="shared" si="39"/>
        <v>0</v>
      </c>
      <c r="H147" s="279">
        <f t="shared" si="40"/>
        <v>0</v>
      </c>
      <c r="I147" s="348"/>
      <c r="J147" s="486">
        <v>0</v>
      </c>
      <c r="K147" s="486">
        <v>0</v>
      </c>
      <c r="M147" s="367">
        <f t="shared" si="34"/>
        <v>0</v>
      </c>
      <c r="N147" s="360">
        <f>SUMMARY!J150</f>
        <v>0.21006426087323665</v>
      </c>
      <c r="O147" s="486">
        <v>0</v>
      </c>
      <c r="P147"/>
      <c r="Q147"/>
    </row>
    <row r="148" spans="1:17" s="275" customFormat="1">
      <c r="A148" s="277"/>
      <c r="B148" s="271" t="s">
        <v>196</v>
      </c>
      <c r="C148" s="558">
        <f>'[42]Sch C'!D149</f>
        <v>35343</v>
      </c>
      <c r="D148" s="558">
        <f>'[42]Sch C'!F149</f>
        <v>0</v>
      </c>
      <c r="E148" s="248">
        <f t="shared" si="38"/>
        <v>35343</v>
      </c>
      <c r="F148" s="248"/>
      <c r="G148" s="248">
        <f t="shared" si="39"/>
        <v>35343</v>
      </c>
      <c r="H148" s="279">
        <f t="shared" si="40"/>
        <v>4.7010020069459839E-3</v>
      </c>
      <c r="I148" s="348"/>
      <c r="J148" s="486">
        <v>0</v>
      </c>
      <c r="K148" s="486" t="s">
        <v>538</v>
      </c>
      <c r="M148" s="367">
        <f t="shared" si="34"/>
        <v>1.3261913696060037</v>
      </c>
      <c r="N148" s="360">
        <f>SUMMARY!J151</f>
        <v>0.30946371189888716</v>
      </c>
      <c r="O148" s="486">
        <v>0</v>
      </c>
      <c r="P148"/>
      <c r="Q148"/>
    </row>
    <row r="149" spans="1:17" s="275" customFormat="1">
      <c r="A149" s="277"/>
      <c r="B149" s="271" t="s">
        <v>197</v>
      </c>
      <c r="C149" s="558">
        <f>'[42]Sch C'!D150</f>
        <v>51454.22</v>
      </c>
      <c r="D149" s="558">
        <f>'[42]Sch C'!F150</f>
        <v>42777</v>
      </c>
      <c r="E149" s="248">
        <f t="shared" si="38"/>
        <v>94231.22</v>
      </c>
      <c r="F149" s="248"/>
      <c r="G149" s="248">
        <f t="shared" si="39"/>
        <v>94231.22</v>
      </c>
      <c r="H149" s="279">
        <f t="shared" si="40"/>
        <v>1.253377343001354E-2</v>
      </c>
      <c r="I149" s="348"/>
      <c r="J149" s="486">
        <v>0</v>
      </c>
      <c r="K149" s="486" t="s">
        <v>396</v>
      </c>
      <c r="M149" s="367">
        <f t="shared" si="34"/>
        <v>3.5358806754221388</v>
      </c>
      <c r="N149" s="360">
        <f>SUMMARY!J152</f>
        <v>0.63962211863516594</v>
      </c>
      <c r="O149" s="486">
        <v>0</v>
      </c>
      <c r="P149"/>
      <c r="Q149"/>
    </row>
    <row r="150" spans="1:17" s="275" customFormat="1">
      <c r="A150" s="277">
        <v>110</v>
      </c>
      <c r="B150" s="275" t="s">
        <v>65</v>
      </c>
      <c r="C150" s="558">
        <f>'[42]Sch C'!D151</f>
        <v>127517.52</v>
      </c>
      <c r="D150" s="558">
        <f>'[42]Sch C'!F151</f>
        <v>0</v>
      </c>
      <c r="E150" s="248">
        <f t="shared" si="38"/>
        <v>127517.52</v>
      </c>
      <c r="F150" s="248"/>
      <c r="G150" s="248">
        <f t="shared" si="39"/>
        <v>127517.52</v>
      </c>
      <c r="H150" s="279">
        <f t="shared" si="40"/>
        <v>1.6961212048801026E-2</v>
      </c>
      <c r="I150" s="348"/>
      <c r="J150" s="513"/>
      <c r="K150" s="513"/>
      <c r="M150" s="367">
        <f t="shared" si="34"/>
        <v>4.7848975609756099</v>
      </c>
      <c r="N150" s="360">
        <f>SUMMARY!J153</f>
        <v>5.6321022575023187</v>
      </c>
      <c r="P150"/>
      <c r="Q150"/>
    </row>
    <row r="151" spans="1:17" s="275" customFormat="1">
      <c r="A151" s="277">
        <v>111</v>
      </c>
      <c r="B151" s="278" t="s">
        <v>97</v>
      </c>
      <c r="C151" s="558">
        <f>'[42]Sch C'!D152</f>
        <v>3911.02</v>
      </c>
      <c r="D151" s="558">
        <f>'[42]Sch C'!F152</f>
        <v>0</v>
      </c>
      <c r="E151" s="248">
        <f t="shared" si="38"/>
        <v>3911.02</v>
      </c>
      <c r="F151" s="248"/>
      <c r="G151" s="248">
        <f t="shared" si="39"/>
        <v>3911.02</v>
      </c>
      <c r="H151" s="279">
        <f t="shared" si="40"/>
        <v>5.2020804315439778E-4</v>
      </c>
      <c r="I151" s="348"/>
      <c r="J151" s="513"/>
      <c r="K151" s="513"/>
      <c r="M151" s="367">
        <f t="shared" si="34"/>
        <v>0.14675497185741088</v>
      </c>
      <c r="N151" s="360">
        <f>SUMMARY!J154</f>
        <v>0.34937544615199928</v>
      </c>
      <c r="P151"/>
      <c r="Q151"/>
    </row>
    <row r="152" spans="1:17" s="275" customFormat="1">
      <c r="A152" s="277">
        <v>230</v>
      </c>
      <c r="B152" s="278" t="s">
        <v>66</v>
      </c>
      <c r="C152" s="558">
        <f>'[42]Sch C'!D153</f>
        <v>0</v>
      </c>
      <c r="D152" s="558">
        <f>'[42]Sch C'!F153</f>
        <v>0</v>
      </c>
      <c r="E152" s="248">
        <f t="shared" si="38"/>
        <v>0</v>
      </c>
      <c r="F152" s="248"/>
      <c r="G152" s="248">
        <f t="shared" si="39"/>
        <v>0</v>
      </c>
      <c r="H152" s="279">
        <f t="shared" si="40"/>
        <v>0</v>
      </c>
      <c r="I152" s="348"/>
      <c r="J152" s="513"/>
      <c r="K152" s="513"/>
      <c r="M152" s="367">
        <f t="shared" si="34"/>
        <v>0</v>
      </c>
      <c r="N152" s="360">
        <f>SUMMARY!J155</f>
        <v>0.16440170079037233</v>
      </c>
      <c r="P152"/>
      <c r="Q152"/>
    </row>
    <row r="153" spans="1:17" s="275" customFormat="1">
      <c r="A153" s="277">
        <v>430</v>
      </c>
      <c r="B153" s="278" t="s">
        <v>99</v>
      </c>
      <c r="C153" s="558">
        <f>'[42]Sch C'!D154</f>
        <v>0</v>
      </c>
      <c r="D153" s="558">
        <f>'[42]Sch C'!F154</f>
        <v>0</v>
      </c>
      <c r="E153" s="248">
        <f t="shared" si="38"/>
        <v>0</v>
      </c>
      <c r="F153" s="248"/>
      <c r="G153" s="248">
        <f t="shared" si="39"/>
        <v>0</v>
      </c>
      <c r="H153" s="279">
        <f t="shared" si="40"/>
        <v>0</v>
      </c>
      <c r="I153" s="348"/>
      <c r="J153" s="513"/>
      <c r="K153" s="513"/>
      <c r="M153" s="367">
        <f t="shared" si="34"/>
        <v>0</v>
      </c>
      <c r="N153" s="360">
        <f>SUMMARY!J156</f>
        <v>0.93843811429637136</v>
      </c>
      <c r="P153"/>
      <c r="Q153"/>
    </row>
    <row r="154" spans="1:17" s="275" customFormat="1">
      <c r="A154" s="277"/>
      <c r="B154" s="209" t="s">
        <v>302</v>
      </c>
      <c r="C154" s="557"/>
      <c r="D154" s="557"/>
      <c r="E154" s="306"/>
      <c r="F154" s="306"/>
      <c r="G154" s="306"/>
      <c r="H154" s="307"/>
      <c r="I154" s="348"/>
      <c r="J154" s="513"/>
      <c r="K154" s="513"/>
      <c r="M154" s="367"/>
      <c r="N154" s="360"/>
      <c r="P154"/>
      <c r="Q154"/>
    </row>
    <row r="155" spans="1:17" s="275" customFormat="1">
      <c r="A155" s="277">
        <v>440.1</v>
      </c>
      <c r="B155" s="271" t="s">
        <v>223</v>
      </c>
      <c r="C155" s="558">
        <f>'[42]Sch C'!D156</f>
        <v>0</v>
      </c>
      <c r="D155" s="558">
        <f>'[42]Sch C'!F156</f>
        <v>0</v>
      </c>
      <c r="E155" s="248">
        <f t="shared" ref="E155:E160" si="41">C155+D155</f>
        <v>0</v>
      </c>
      <c r="F155" s="248"/>
      <c r="G155" s="248">
        <f t="shared" ref="G155:G160" si="42">E155+F155</f>
        <v>0</v>
      </c>
      <c r="H155" s="279">
        <f t="shared" ref="H155:H161" si="43">IF($G$208=0,0,G155/$G$208)</f>
        <v>0</v>
      </c>
      <c r="I155" s="348"/>
      <c r="J155" s="513"/>
      <c r="K155" s="513"/>
      <c r="M155" s="367">
        <f t="shared" si="34"/>
        <v>0</v>
      </c>
      <c r="N155" s="360">
        <f>SUMMARY!J158</f>
        <v>4.8822158721856251E-4</v>
      </c>
      <c r="P155"/>
      <c r="Q155"/>
    </row>
    <row r="156" spans="1:17" s="275" customFormat="1">
      <c r="A156" s="277">
        <v>440.2</v>
      </c>
      <c r="B156" s="271" t="s">
        <v>224</v>
      </c>
      <c r="C156" s="558">
        <f>'[42]Sch C'!D157</f>
        <v>0</v>
      </c>
      <c r="D156" s="558">
        <f>'[42]Sch C'!F157</f>
        <v>0</v>
      </c>
      <c r="E156" s="248">
        <f t="shared" si="41"/>
        <v>0</v>
      </c>
      <c r="F156" s="248"/>
      <c r="G156" s="248">
        <f t="shared" si="42"/>
        <v>0</v>
      </c>
      <c r="H156" s="279">
        <f t="shared" si="43"/>
        <v>0</v>
      </c>
      <c r="I156" s="348"/>
      <c r="J156" s="513"/>
      <c r="K156" s="513"/>
      <c r="M156" s="367">
        <f t="shared" si="34"/>
        <v>0</v>
      </c>
      <c r="N156" s="360">
        <f>SUMMARY!J159</f>
        <v>1.2467276061937458E-2</v>
      </c>
      <c r="P156"/>
      <c r="Q156"/>
    </row>
    <row r="157" spans="1:17" s="275" customFormat="1">
      <c r="A157" s="277">
        <v>440.3</v>
      </c>
      <c r="B157" s="271" t="s">
        <v>225</v>
      </c>
      <c r="C157" s="558">
        <f>'[42]Sch C'!D158</f>
        <v>0</v>
      </c>
      <c r="D157" s="558">
        <f>'[42]Sch C'!F158</f>
        <v>0</v>
      </c>
      <c r="E157" s="248">
        <f t="shared" si="41"/>
        <v>0</v>
      </c>
      <c r="F157" s="248"/>
      <c r="G157" s="248">
        <f t="shared" si="42"/>
        <v>0</v>
      </c>
      <c r="H157" s="279">
        <f t="shared" si="43"/>
        <v>0</v>
      </c>
      <c r="I157" s="348"/>
      <c r="J157" s="513"/>
      <c r="K157" s="513"/>
      <c r="M157" s="367">
        <f t="shared" si="34"/>
        <v>0</v>
      </c>
      <c r="N157" s="360">
        <f>SUMMARY!J160</f>
        <v>8.8924926418415019E-3</v>
      </c>
      <c r="P157"/>
      <c r="Q157"/>
    </row>
    <row r="158" spans="1:17" s="275" customFormat="1">
      <c r="A158" s="277">
        <v>440.4</v>
      </c>
      <c r="B158" s="271" t="s">
        <v>226</v>
      </c>
      <c r="C158" s="558">
        <f>'[42]Sch C'!D159</f>
        <v>0</v>
      </c>
      <c r="D158" s="558">
        <f>'[42]Sch C'!F159</f>
        <v>0</v>
      </c>
      <c r="E158" s="248">
        <f t="shared" si="41"/>
        <v>0</v>
      </c>
      <c r="F158" s="248"/>
      <c r="G158" s="248">
        <f t="shared" si="42"/>
        <v>0</v>
      </c>
      <c r="H158" s="279">
        <f t="shared" si="43"/>
        <v>0</v>
      </c>
      <c r="I158" s="348"/>
      <c r="J158" s="513"/>
      <c r="K158" s="513"/>
      <c r="M158" s="367">
        <f t="shared" si="34"/>
        <v>0</v>
      </c>
      <c r="N158" s="360">
        <f>SUMMARY!J161</f>
        <v>5.6176565792548166E-4</v>
      </c>
      <c r="P158"/>
      <c r="Q158"/>
    </row>
    <row r="159" spans="1:17" s="275" customFormat="1">
      <c r="A159" s="277">
        <v>440.5</v>
      </c>
      <c r="B159" s="271" t="s">
        <v>301</v>
      </c>
      <c r="C159" s="558">
        <f>'[42]Sch C'!D160</f>
        <v>3726.17</v>
      </c>
      <c r="D159" s="558">
        <f>'[42]Sch C'!F160</f>
        <v>0</v>
      </c>
      <c r="E159" s="248">
        <f t="shared" si="41"/>
        <v>3726.17</v>
      </c>
      <c r="F159" s="248"/>
      <c r="G159" s="248">
        <f t="shared" si="42"/>
        <v>3726.17</v>
      </c>
      <c r="H159" s="279">
        <f t="shared" si="43"/>
        <v>4.9562098996185717E-4</v>
      </c>
      <c r="I159" s="348"/>
      <c r="J159" s="513"/>
      <c r="K159" s="513"/>
      <c r="M159" s="367">
        <f t="shared" si="34"/>
        <v>0.13981876172607879</v>
      </c>
      <c r="N159" s="360">
        <f>SUMMARY!J162</f>
        <v>1.6643468549097623E-2</v>
      </c>
      <c r="P159"/>
      <c r="Q159"/>
    </row>
    <row r="160" spans="1:17" s="275" customFormat="1">
      <c r="A160" s="277">
        <v>490</v>
      </c>
      <c r="B160" s="23" t="s">
        <v>350</v>
      </c>
      <c r="C160" s="558">
        <f>'[42]Sch C'!D161</f>
        <v>11022.51</v>
      </c>
      <c r="D160" s="558">
        <f>'[42]Sch C'!F161</f>
        <v>0</v>
      </c>
      <c r="E160" s="248">
        <f t="shared" si="41"/>
        <v>11022.51</v>
      </c>
      <c r="F160" s="248"/>
      <c r="G160" s="248">
        <f t="shared" si="42"/>
        <v>11022.51</v>
      </c>
      <c r="H160" s="279">
        <f t="shared" si="43"/>
        <v>1.4661132793362809E-3</v>
      </c>
      <c r="I160" s="348"/>
      <c r="J160" s="513"/>
      <c r="K160" s="513"/>
      <c r="M160" s="367">
        <f t="shared" si="34"/>
        <v>0.41360262664165104</v>
      </c>
      <c r="N160" s="360">
        <f>SUMMARY!J163</f>
        <v>0.85264911391265397</v>
      </c>
      <c r="P160"/>
      <c r="Q160"/>
    </row>
    <row r="161" spans="1:17" s="275" customFormat="1">
      <c r="A161" s="277"/>
      <c r="B161" s="278" t="s">
        <v>233</v>
      </c>
      <c r="C161" s="558">
        <f>SUM(C123:C160)</f>
        <v>2894607.52</v>
      </c>
      <c r="D161" s="558">
        <f>SUM(D123:D160)</f>
        <v>42747</v>
      </c>
      <c r="E161" s="248">
        <f t="shared" ref="E161:F161" si="44">SUM(E123:E160)</f>
        <v>2937354.52</v>
      </c>
      <c r="F161" s="248">
        <f t="shared" si="44"/>
        <v>0</v>
      </c>
      <c r="G161" s="248">
        <f>SUM(G123:G160)</f>
        <v>2937354.52</v>
      </c>
      <c r="H161" s="279">
        <f t="shared" si="43"/>
        <v>0.39069998284333129</v>
      </c>
      <c r="I161" s="348"/>
      <c r="J161" s="513"/>
      <c r="K161" s="513"/>
      <c r="M161" s="367">
        <f>G161/G$228</f>
        <v>110.2196818011257</v>
      </c>
      <c r="N161" s="360">
        <f>SUMMARY!J164</f>
        <v>105.56901037202306</v>
      </c>
      <c r="O161" s="355">
        <f>M161/N161-1</f>
        <v>4.4053377148405293E-2</v>
      </c>
      <c r="P161"/>
      <c r="Q161"/>
    </row>
    <row r="162" spans="1:17" s="275" customFormat="1">
      <c r="A162" s="277"/>
      <c r="B162" s="170"/>
      <c r="C162" s="196"/>
      <c r="D162" s="196"/>
      <c r="E162" s="297"/>
      <c r="F162" s="297"/>
      <c r="G162" s="297"/>
      <c r="H162" s="298"/>
      <c r="I162" s="348"/>
      <c r="J162" s="513"/>
      <c r="K162" s="513"/>
      <c r="M162" s="360"/>
      <c r="N162" s="360"/>
      <c r="P162"/>
      <c r="Q162"/>
    </row>
    <row r="163" spans="1:17" s="275" customFormat="1">
      <c r="A163" s="277" t="s">
        <v>168</v>
      </c>
      <c r="B163" s="212" t="s">
        <v>100</v>
      </c>
      <c r="C163" s="213"/>
      <c r="D163" s="213"/>
      <c r="E163" s="308"/>
      <c r="F163" s="308"/>
      <c r="G163" s="308"/>
      <c r="H163" s="309"/>
      <c r="I163" s="348"/>
      <c r="J163" s="513"/>
      <c r="K163" s="513"/>
      <c r="M163" s="360"/>
      <c r="N163" s="360"/>
      <c r="P163"/>
      <c r="Q163"/>
    </row>
    <row r="164" spans="1:17" s="221" customFormat="1">
      <c r="A164" s="310" t="s">
        <v>95</v>
      </c>
      <c r="B164" s="300" t="s">
        <v>102</v>
      </c>
      <c r="C164" s="558">
        <f>'[42]Sch C'!D175</f>
        <v>0</v>
      </c>
      <c r="D164" s="558">
        <f>'[42]Sch C'!F175</f>
        <v>0</v>
      </c>
      <c r="E164" s="248">
        <f t="shared" ref="E164:E196" si="45">C164+D164</f>
        <v>0</v>
      </c>
      <c r="F164" s="216"/>
      <c r="G164" s="248">
        <f t="shared" ref="G164:G196" si="46">E164+F164</f>
        <v>0</v>
      </c>
      <c r="H164" s="279">
        <f t="shared" ref="H164:H196" si="47">IF($G$208=0,0,G164/$G$208)</f>
        <v>0</v>
      </c>
      <c r="I164" s="352"/>
      <c r="J164" s="486">
        <v>0</v>
      </c>
      <c r="K164" s="486">
        <v>0</v>
      </c>
      <c r="L164" s="220"/>
      <c r="M164" s="367">
        <f>G164/G$228</f>
        <v>0</v>
      </c>
      <c r="N164" s="360">
        <f>SUMMARY!J167</f>
        <v>0</v>
      </c>
      <c r="O164" s="220"/>
      <c r="P164"/>
      <c r="Q164"/>
    </row>
    <row r="165" spans="1:17" s="221" customFormat="1">
      <c r="A165" s="310" t="s">
        <v>123</v>
      </c>
      <c r="B165" s="300" t="s">
        <v>103</v>
      </c>
      <c r="C165" s="558">
        <f>'[42]Sch C'!D176</f>
        <v>0</v>
      </c>
      <c r="D165" s="558">
        <f>'[42]Sch C'!F176</f>
        <v>0</v>
      </c>
      <c r="E165" s="248">
        <f t="shared" si="45"/>
        <v>0</v>
      </c>
      <c r="F165" s="216"/>
      <c r="G165" s="248">
        <f t="shared" si="46"/>
        <v>0</v>
      </c>
      <c r="H165" s="279">
        <f t="shared" si="47"/>
        <v>0</v>
      </c>
      <c r="I165" s="353"/>
      <c r="J165" s="519"/>
      <c r="K165" s="519"/>
      <c r="L165" s="220"/>
      <c r="M165" s="367">
        <f t="shared" ref="M165:M196" si="48">G165/G$228</f>
        <v>0</v>
      </c>
      <c r="N165" s="360">
        <f>SUMMARY!J168</f>
        <v>0</v>
      </c>
      <c r="O165" s="220"/>
      <c r="P165"/>
      <c r="Q165"/>
    </row>
    <row r="166" spans="1:17" s="221" customFormat="1">
      <c r="A166" s="310" t="s">
        <v>124</v>
      </c>
      <c r="B166" s="300" t="s">
        <v>104</v>
      </c>
      <c r="C166" s="558">
        <f>'[42]Sch C'!D177</f>
        <v>333363.51</v>
      </c>
      <c r="D166" s="558">
        <f>'[42]Sch C'!F177</f>
        <v>0</v>
      </c>
      <c r="E166" s="248">
        <f t="shared" si="45"/>
        <v>333363.51</v>
      </c>
      <c r="F166" s="216"/>
      <c r="G166" s="248">
        <f t="shared" si="46"/>
        <v>333363.51</v>
      </c>
      <c r="H166" s="279">
        <f t="shared" si="47"/>
        <v>4.4340959441828864E-2</v>
      </c>
      <c r="I166" s="352"/>
      <c r="J166" s="486">
        <v>9279.08</v>
      </c>
      <c r="K166" s="486">
        <v>9723.74</v>
      </c>
      <c r="L166" s="220"/>
      <c r="M166" s="367">
        <f t="shared" si="48"/>
        <v>12.50894971857411</v>
      </c>
      <c r="N166" s="360">
        <f>SUMMARY!J169</f>
        <v>4.9060338253170936</v>
      </c>
      <c r="O166" s="220"/>
      <c r="P166"/>
      <c r="Q166"/>
    </row>
    <row r="167" spans="1:17" s="221" customFormat="1">
      <c r="A167" s="310" t="s">
        <v>157</v>
      </c>
      <c r="B167" s="300" t="s">
        <v>105</v>
      </c>
      <c r="C167" s="558">
        <f>'[42]Sch C'!D178</f>
        <v>85432.11</v>
      </c>
      <c r="D167" s="558">
        <f>'[42]Sch C'!F178</f>
        <v>0</v>
      </c>
      <c r="E167" s="248">
        <f t="shared" si="45"/>
        <v>85432.11</v>
      </c>
      <c r="F167" s="216"/>
      <c r="G167" s="248">
        <f t="shared" si="46"/>
        <v>85432.11</v>
      </c>
      <c r="H167" s="279">
        <f t="shared" si="47"/>
        <v>1.136339644533939E-2</v>
      </c>
      <c r="I167" s="353"/>
      <c r="J167" s="519"/>
      <c r="K167" s="519"/>
      <c r="L167" s="220"/>
      <c r="M167" s="367">
        <f t="shared" si="48"/>
        <v>3.2057076923076924</v>
      </c>
      <c r="N167" s="360">
        <f>SUMMARY!J170</f>
        <v>0.8546059303297695</v>
      </c>
      <c r="O167" s="220"/>
      <c r="P167"/>
      <c r="Q167"/>
    </row>
    <row r="168" spans="1:17" s="221" customFormat="1">
      <c r="A168" s="310" t="s">
        <v>158</v>
      </c>
      <c r="B168" s="300" t="s">
        <v>316</v>
      </c>
      <c r="C168" s="558">
        <f>'[42]Sch C'!D179</f>
        <v>132818.57</v>
      </c>
      <c r="D168" s="558">
        <f>'[42]Sch C'!F179</f>
        <v>0</v>
      </c>
      <c r="E168" s="248">
        <f t="shared" si="45"/>
        <v>132818.57</v>
      </c>
      <c r="F168" s="216"/>
      <c r="G168" s="248">
        <f t="shared" si="46"/>
        <v>132818.57</v>
      </c>
      <c r="H168" s="279">
        <f t="shared" si="47"/>
        <v>1.7666309145508183E-2</v>
      </c>
      <c r="I168" s="352"/>
      <c r="J168" s="486">
        <v>3885.5</v>
      </c>
      <c r="K168" s="486">
        <v>4149.5</v>
      </c>
      <c r="L168" s="220"/>
      <c r="M168" s="367">
        <f t="shared" si="48"/>
        <v>4.9838112570356472</v>
      </c>
      <c r="N168" s="360">
        <f>SUMMARY!J171</f>
        <v>0.79511806658504303</v>
      </c>
      <c r="O168" s="220"/>
      <c r="P168"/>
      <c r="Q168"/>
    </row>
    <row r="169" spans="1:17" s="221" customFormat="1">
      <c r="A169" s="310" t="s">
        <v>86</v>
      </c>
      <c r="B169" s="300" t="s">
        <v>317</v>
      </c>
      <c r="C169" s="558">
        <f>'[42]Sch C'!D180</f>
        <v>37395.379999999997</v>
      </c>
      <c r="D169" s="558">
        <f>'[42]Sch C'!F180</f>
        <v>0</v>
      </c>
      <c r="E169" s="248">
        <f t="shared" si="45"/>
        <v>37395.379999999997</v>
      </c>
      <c r="F169" s="216"/>
      <c r="G169" s="248">
        <f t="shared" si="46"/>
        <v>37395.379999999997</v>
      </c>
      <c r="H169" s="279">
        <f t="shared" si="47"/>
        <v>4.9739907882892708E-3</v>
      </c>
      <c r="I169" s="353"/>
      <c r="J169" s="519"/>
      <c r="K169" s="519"/>
      <c r="L169" s="220"/>
      <c r="M169" s="367">
        <f t="shared" si="48"/>
        <v>1.4032037523452157</v>
      </c>
      <c r="N169" s="360">
        <f>SUMMARY!J172</f>
        <v>0.1405217057636943</v>
      </c>
      <c r="O169" s="220"/>
      <c r="P169"/>
      <c r="Q169"/>
    </row>
    <row r="170" spans="1:17" s="221" customFormat="1">
      <c r="A170" s="310" t="s">
        <v>96</v>
      </c>
      <c r="B170" s="300" t="s">
        <v>318</v>
      </c>
      <c r="C170" s="558">
        <f>'[42]Sch C'!D181</f>
        <v>0</v>
      </c>
      <c r="D170" s="558">
        <f>'[42]Sch C'!F181</f>
        <v>0</v>
      </c>
      <c r="E170" s="248">
        <f t="shared" si="45"/>
        <v>0</v>
      </c>
      <c r="F170" s="216"/>
      <c r="G170" s="248">
        <f t="shared" si="46"/>
        <v>0</v>
      </c>
      <c r="H170" s="279">
        <f t="shared" si="47"/>
        <v>0</v>
      </c>
      <c r="I170" s="352"/>
      <c r="J170" s="486">
        <v>0</v>
      </c>
      <c r="K170" s="486">
        <v>0</v>
      </c>
      <c r="L170" s="220"/>
      <c r="M170" s="367">
        <f t="shared" si="48"/>
        <v>0</v>
      </c>
      <c r="N170" s="360">
        <f>SUMMARY!J173</f>
        <v>0.14856138086857354</v>
      </c>
      <c r="O170" s="220"/>
      <c r="P170"/>
      <c r="Q170"/>
    </row>
    <row r="171" spans="1:17" s="221" customFormat="1">
      <c r="A171" s="310" t="s">
        <v>125</v>
      </c>
      <c r="B171" s="300" t="s">
        <v>109</v>
      </c>
      <c r="C171" s="558">
        <f>'[42]Sch C'!D182</f>
        <v>0</v>
      </c>
      <c r="D171" s="558">
        <f>'[42]Sch C'!F182</f>
        <v>0</v>
      </c>
      <c r="E171" s="248">
        <f t="shared" si="45"/>
        <v>0</v>
      </c>
      <c r="F171" s="216"/>
      <c r="G171" s="248">
        <f t="shared" si="46"/>
        <v>0</v>
      </c>
      <c r="H171" s="279">
        <f t="shared" si="47"/>
        <v>0</v>
      </c>
      <c r="I171" s="353"/>
      <c r="J171" s="519"/>
      <c r="K171" s="519"/>
      <c r="L171" s="220"/>
      <c r="M171" s="367">
        <f t="shared" si="48"/>
        <v>0</v>
      </c>
      <c r="N171" s="360">
        <f>SUMMARY!J174</f>
        <v>2.2545547697802093E-2</v>
      </c>
      <c r="O171" s="220"/>
      <c r="P171"/>
      <c r="Q171"/>
    </row>
    <row r="172" spans="1:17" s="221" customFormat="1">
      <c r="A172" s="310" t="s">
        <v>126</v>
      </c>
      <c r="B172" s="300" t="s">
        <v>319</v>
      </c>
      <c r="C172" s="558">
        <f>'[42]Sch C'!D183</f>
        <v>115960.96000000001</v>
      </c>
      <c r="D172" s="558">
        <f>'[42]Sch C'!F183</f>
        <v>0</v>
      </c>
      <c r="E172" s="248">
        <f t="shared" si="45"/>
        <v>115960.96000000001</v>
      </c>
      <c r="F172" s="216"/>
      <c r="G172" s="248">
        <f t="shared" si="46"/>
        <v>115960.96000000001</v>
      </c>
      <c r="H172" s="279">
        <f t="shared" si="47"/>
        <v>1.5424064332042639E-2</v>
      </c>
      <c r="I172" s="352"/>
      <c r="J172" s="486">
        <v>3163.38</v>
      </c>
      <c r="K172" s="486">
        <v>3395.95</v>
      </c>
      <c r="L172" s="220"/>
      <c r="M172" s="367">
        <f t="shared" si="48"/>
        <v>4.3512555347091935</v>
      </c>
      <c r="N172" s="360">
        <f>SUMMARY!J175</f>
        <v>2.8660001223726335</v>
      </c>
      <c r="O172" s="220"/>
      <c r="P172"/>
      <c r="Q172"/>
    </row>
    <row r="173" spans="1:17" s="221" customFormat="1">
      <c r="A173" s="310" t="s">
        <v>127</v>
      </c>
      <c r="B173" s="312" t="s">
        <v>111</v>
      </c>
      <c r="C173" s="558">
        <f>'[42]Sch C'!D184</f>
        <v>28790.44</v>
      </c>
      <c r="D173" s="558">
        <f>'[42]Sch C'!F184</f>
        <v>0</v>
      </c>
      <c r="E173" s="248">
        <f t="shared" si="45"/>
        <v>28790.44</v>
      </c>
      <c r="F173" s="216"/>
      <c r="G173" s="248">
        <f t="shared" si="46"/>
        <v>28790.44</v>
      </c>
      <c r="H173" s="279">
        <f t="shared" si="47"/>
        <v>3.8294405178071452E-3</v>
      </c>
      <c r="I173" s="353"/>
      <c r="J173" s="519"/>
      <c r="K173" s="519"/>
      <c r="L173" s="220"/>
      <c r="M173" s="367">
        <f t="shared" si="48"/>
        <v>1.08031669793621</v>
      </c>
      <c r="N173" s="360">
        <f>SUMMARY!J176</f>
        <v>0.45922325087038773</v>
      </c>
      <c r="O173" s="220"/>
      <c r="P173"/>
      <c r="Q173"/>
    </row>
    <row r="174" spans="1:17" s="221" customFormat="1">
      <c r="A174" s="310" t="s">
        <v>128</v>
      </c>
      <c r="B174" s="300" t="s">
        <v>320</v>
      </c>
      <c r="C174" s="558">
        <f>'[42]Sch C'!D185</f>
        <v>0</v>
      </c>
      <c r="D174" s="558">
        <f>'[42]Sch C'!F185</f>
        <v>0</v>
      </c>
      <c r="E174" s="248">
        <f t="shared" si="45"/>
        <v>0</v>
      </c>
      <c r="F174" s="216"/>
      <c r="G174" s="248">
        <f t="shared" si="46"/>
        <v>0</v>
      </c>
      <c r="H174" s="279">
        <f t="shared" si="47"/>
        <v>0</v>
      </c>
      <c r="I174" s="352"/>
      <c r="J174" s="486">
        <v>0</v>
      </c>
      <c r="K174" s="486">
        <v>0</v>
      </c>
      <c r="L174" s="220"/>
      <c r="M174" s="367">
        <f t="shared" si="48"/>
        <v>0</v>
      </c>
      <c r="N174" s="360">
        <f>SUMMARY!J177</f>
        <v>0</v>
      </c>
      <c r="O174" s="220"/>
      <c r="P174"/>
      <c r="Q174"/>
    </row>
    <row r="175" spans="1:17" s="221" customFormat="1">
      <c r="A175" s="310" t="s">
        <v>129</v>
      </c>
      <c r="B175" s="312" t="s">
        <v>321</v>
      </c>
      <c r="C175" s="558">
        <f>'[42]Sch C'!D186</f>
        <v>0</v>
      </c>
      <c r="D175" s="558">
        <f>'[42]Sch C'!F186</f>
        <v>0</v>
      </c>
      <c r="E175" s="248">
        <f t="shared" si="45"/>
        <v>0</v>
      </c>
      <c r="F175" s="216"/>
      <c r="G175" s="248">
        <f t="shared" si="46"/>
        <v>0</v>
      </c>
      <c r="H175" s="279">
        <f t="shared" si="47"/>
        <v>0</v>
      </c>
      <c r="I175" s="348"/>
      <c r="J175" s="520"/>
      <c r="K175" s="521"/>
      <c r="L175" s="220"/>
      <c r="M175" s="367">
        <f t="shared" si="48"/>
        <v>0</v>
      </c>
      <c r="N175" s="360">
        <f>SUMMARY!J178</f>
        <v>0</v>
      </c>
      <c r="P175"/>
      <c r="Q175"/>
    </row>
    <row r="176" spans="1:17" s="221" customFormat="1">
      <c r="A176" s="313" t="s">
        <v>293</v>
      </c>
      <c r="B176" s="300" t="s">
        <v>154</v>
      </c>
      <c r="C176" s="558">
        <f>'[42]Sch C'!D187</f>
        <v>0</v>
      </c>
      <c r="D176" s="558">
        <f>'[42]Sch C'!F187</f>
        <v>0</v>
      </c>
      <c r="E176" s="248">
        <f t="shared" si="45"/>
        <v>0</v>
      </c>
      <c r="F176" s="216"/>
      <c r="G176" s="248">
        <f t="shared" si="46"/>
        <v>0</v>
      </c>
      <c r="H176" s="279">
        <f t="shared" si="47"/>
        <v>0</v>
      </c>
      <c r="I176" s="348"/>
      <c r="J176" s="520"/>
      <c r="K176" s="521"/>
      <c r="L176" s="220"/>
      <c r="M176" s="367">
        <f t="shared" si="48"/>
        <v>0</v>
      </c>
      <c r="N176" s="360">
        <f>SUMMARY!J179</f>
        <v>0</v>
      </c>
      <c r="P176"/>
      <c r="Q176"/>
    </row>
    <row r="177" spans="1:17" s="221" customFormat="1">
      <c r="A177" s="313" t="s">
        <v>294</v>
      </c>
      <c r="B177" s="300" t="s">
        <v>322</v>
      </c>
      <c r="C177" s="558">
        <f>'[42]Sch C'!D188</f>
        <v>10523.22</v>
      </c>
      <c r="D177" s="558">
        <f>'[42]Sch C'!F188</f>
        <v>0</v>
      </c>
      <c r="E177" s="248">
        <f t="shared" si="45"/>
        <v>10523.22</v>
      </c>
      <c r="F177" s="216"/>
      <c r="G177" s="248">
        <f t="shared" si="46"/>
        <v>10523.22</v>
      </c>
      <c r="H177" s="279">
        <f t="shared" si="47"/>
        <v>1.3997022986032344E-3</v>
      </c>
      <c r="I177" s="348"/>
      <c r="J177" s="520"/>
      <c r="K177" s="521"/>
      <c r="L177" s="220"/>
      <c r="M177" s="367">
        <f t="shared" si="48"/>
        <v>0.39486754221388365</v>
      </c>
      <c r="N177" s="360">
        <f>SUMMARY!J180</f>
        <v>0.30705480193530821</v>
      </c>
      <c r="P177"/>
      <c r="Q177"/>
    </row>
    <row r="178" spans="1:17" s="221" customFormat="1">
      <c r="A178" s="313" t="s">
        <v>295</v>
      </c>
      <c r="B178" s="300" t="s">
        <v>323</v>
      </c>
      <c r="C178" s="558">
        <f>'[42]Sch C'!D189</f>
        <v>1775.7</v>
      </c>
      <c r="D178" s="558">
        <f>'[42]Sch C'!F189</f>
        <v>0</v>
      </c>
      <c r="E178" s="248">
        <f t="shared" si="45"/>
        <v>1775.7</v>
      </c>
      <c r="F178" s="216"/>
      <c r="G178" s="248">
        <f t="shared" si="46"/>
        <v>1775.7</v>
      </c>
      <c r="H178" s="279">
        <f t="shared" si="47"/>
        <v>2.3618734300240454E-4</v>
      </c>
      <c r="I178" s="348"/>
      <c r="J178" s="520"/>
      <c r="K178" s="521"/>
      <c r="L178" s="220"/>
      <c r="M178" s="367">
        <f t="shared" si="48"/>
        <v>6.663039399624765E-2</v>
      </c>
      <c r="N178" s="360">
        <f>SUMMARY!J181</f>
        <v>5.3584457511323957E-2</v>
      </c>
      <c r="P178"/>
      <c r="Q178"/>
    </row>
    <row r="179" spans="1:17" s="221" customFormat="1">
      <c r="A179" s="313" t="s">
        <v>296</v>
      </c>
      <c r="B179" s="300" t="s">
        <v>324</v>
      </c>
      <c r="C179" s="558">
        <f>'[42]Sch C'!D190</f>
        <v>0</v>
      </c>
      <c r="D179" s="558">
        <f>'[42]Sch C'!F190</f>
        <v>0</v>
      </c>
      <c r="E179" s="248">
        <f t="shared" si="45"/>
        <v>0</v>
      </c>
      <c r="F179" s="216"/>
      <c r="G179" s="248">
        <f t="shared" si="46"/>
        <v>0</v>
      </c>
      <c r="H179" s="279">
        <f t="shared" si="47"/>
        <v>0</v>
      </c>
      <c r="I179" s="348"/>
      <c r="J179" s="520"/>
      <c r="K179" s="521"/>
      <c r="L179" s="220"/>
      <c r="M179" s="367">
        <f t="shared" si="48"/>
        <v>0</v>
      </c>
      <c r="N179" s="360">
        <f>SUMMARY!J182</f>
        <v>0</v>
      </c>
      <c r="P179"/>
      <c r="Q179"/>
    </row>
    <row r="180" spans="1:17" s="221" customFormat="1">
      <c r="A180" s="313" t="s">
        <v>297</v>
      </c>
      <c r="B180" s="300" t="s">
        <v>325</v>
      </c>
      <c r="C180" s="558">
        <f>'[42]Sch C'!D191</f>
        <v>302.24</v>
      </c>
      <c r="D180" s="558">
        <f>'[42]Sch C'!F191</f>
        <v>0</v>
      </c>
      <c r="E180" s="248">
        <f t="shared" si="45"/>
        <v>302.24</v>
      </c>
      <c r="F180" s="216"/>
      <c r="G180" s="248">
        <f t="shared" si="46"/>
        <v>302.24</v>
      </c>
      <c r="H180" s="279">
        <f t="shared" si="47"/>
        <v>4.0201195330881763E-5</v>
      </c>
      <c r="I180" s="348"/>
      <c r="J180" s="520"/>
      <c r="K180" s="521"/>
      <c r="L180" s="220"/>
      <c r="M180" s="367">
        <f t="shared" si="48"/>
        <v>1.134108818011257E-2</v>
      </c>
      <c r="N180" s="360">
        <f>SUMMARY!J183</f>
        <v>0.1333235617560114</v>
      </c>
      <c r="P180"/>
      <c r="Q180"/>
    </row>
    <row r="181" spans="1:17" s="221" customFormat="1">
      <c r="A181" s="313" t="s">
        <v>298</v>
      </c>
      <c r="B181" s="300" t="s">
        <v>117</v>
      </c>
      <c r="C181" s="558">
        <f>'[42]Sch C'!D192</f>
        <v>50424.87</v>
      </c>
      <c r="D181" s="558">
        <f>'[42]Sch C'!F192</f>
        <v>0</v>
      </c>
      <c r="E181" s="248">
        <f t="shared" si="45"/>
        <v>50424.87</v>
      </c>
      <c r="F181" s="216"/>
      <c r="G181" s="248">
        <f t="shared" si="46"/>
        <v>50424.87</v>
      </c>
      <c r="H181" s="279">
        <f t="shared" si="47"/>
        <v>6.7070541569756482E-3</v>
      </c>
      <c r="I181" s="348"/>
      <c r="J181" s="520"/>
      <c r="K181" s="521"/>
      <c r="L181" s="220"/>
      <c r="M181" s="367">
        <f t="shared" si="48"/>
        <v>1.892115196998124</v>
      </c>
      <c r="N181" s="360">
        <f>SUMMARY!J184</f>
        <v>0.29174571104570529</v>
      </c>
      <c r="P181"/>
      <c r="Q181"/>
    </row>
    <row r="182" spans="1:17" s="221" customFormat="1">
      <c r="A182" s="313" t="s">
        <v>132</v>
      </c>
      <c r="B182" s="300" t="s">
        <v>118</v>
      </c>
      <c r="C182" s="558">
        <f>'[42]Sch C'!D193</f>
        <v>0</v>
      </c>
      <c r="D182" s="558">
        <f>'[42]Sch C'!F193</f>
        <v>0</v>
      </c>
      <c r="E182" s="248">
        <f t="shared" si="45"/>
        <v>0</v>
      </c>
      <c r="F182" s="216"/>
      <c r="G182" s="248">
        <f t="shared" si="46"/>
        <v>0</v>
      </c>
      <c r="H182" s="279">
        <f t="shared" si="47"/>
        <v>0</v>
      </c>
      <c r="I182" s="348"/>
      <c r="J182" s="520"/>
      <c r="K182" s="521"/>
      <c r="L182" s="220"/>
      <c r="M182" s="367">
        <f t="shared" si="48"/>
        <v>0</v>
      </c>
      <c r="N182" s="360">
        <f>SUMMARY!J185</f>
        <v>7.0915905841295299E-2</v>
      </c>
      <c r="P182"/>
      <c r="Q182"/>
    </row>
    <row r="183" spans="1:17" s="221" customFormat="1">
      <c r="A183" s="313" t="s">
        <v>133</v>
      </c>
      <c r="B183" s="300" t="s">
        <v>119</v>
      </c>
      <c r="C183" s="558">
        <f>'[42]Sch C'!D194</f>
        <v>0</v>
      </c>
      <c r="D183" s="558">
        <f>'[42]Sch C'!F194</f>
        <v>13905</v>
      </c>
      <c r="E183" s="248">
        <f t="shared" si="45"/>
        <v>13905</v>
      </c>
      <c r="F183" s="216"/>
      <c r="G183" s="248">
        <f t="shared" si="46"/>
        <v>13905</v>
      </c>
      <c r="H183" s="279">
        <f t="shared" si="47"/>
        <v>1.8495156864607959E-3</v>
      </c>
      <c r="I183" s="348"/>
      <c r="J183" s="520"/>
      <c r="K183" s="521"/>
      <c r="L183" s="220"/>
      <c r="M183" s="367">
        <f t="shared" si="48"/>
        <v>0.52176360225140717</v>
      </c>
      <c r="N183" s="360">
        <f>SUMMARY!J186</f>
        <v>7.2780776577335544</v>
      </c>
      <c r="P183"/>
      <c r="Q183"/>
    </row>
    <row r="184" spans="1:17" s="221" customFormat="1">
      <c r="A184" s="313" t="s">
        <v>134</v>
      </c>
      <c r="B184" s="300" t="s">
        <v>326</v>
      </c>
      <c r="C184" s="558">
        <f>'[42]Sch C'!D195</f>
        <v>0</v>
      </c>
      <c r="D184" s="558">
        <f>'[42]Sch C'!F195</f>
        <v>0</v>
      </c>
      <c r="E184" s="248">
        <f t="shared" si="45"/>
        <v>0</v>
      </c>
      <c r="F184" s="216"/>
      <c r="G184" s="248">
        <f t="shared" si="46"/>
        <v>0</v>
      </c>
      <c r="H184" s="279">
        <f t="shared" si="47"/>
        <v>0</v>
      </c>
      <c r="I184" s="348"/>
      <c r="J184" s="520"/>
      <c r="K184" s="521"/>
      <c r="L184" s="220"/>
      <c r="M184" s="367">
        <f t="shared" si="48"/>
        <v>0</v>
      </c>
      <c r="N184" s="360">
        <f>SUMMARY!J187</f>
        <v>1.7471448792019588</v>
      </c>
      <c r="P184"/>
      <c r="Q184"/>
    </row>
    <row r="185" spans="1:17" s="221" customFormat="1">
      <c r="A185" s="313" t="s">
        <v>135</v>
      </c>
      <c r="B185" s="300" t="s">
        <v>327</v>
      </c>
      <c r="C185" s="558">
        <f>'[42]Sch C'!D196</f>
        <v>0</v>
      </c>
      <c r="D185" s="558">
        <f>'[42]Sch C'!F196</f>
        <v>0</v>
      </c>
      <c r="E185" s="248">
        <f t="shared" si="45"/>
        <v>0</v>
      </c>
      <c r="F185" s="216"/>
      <c r="G185" s="248">
        <f t="shared" si="46"/>
        <v>0</v>
      </c>
      <c r="H185" s="279">
        <f t="shared" si="47"/>
        <v>0</v>
      </c>
      <c r="I185" s="348"/>
      <c r="J185" s="520"/>
      <c r="K185" s="521"/>
      <c r="L185" s="220"/>
      <c r="M185" s="367">
        <f t="shared" si="48"/>
        <v>0</v>
      </c>
      <c r="N185" s="360">
        <f>SUMMARY!J188</f>
        <v>0.10202169826083787</v>
      </c>
      <c r="P185"/>
      <c r="Q185"/>
    </row>
    <row r="186" spans="1:17" s="221" customFormat="1">
      <c r="A186" s="313" t="s">
        <v>136</v>
      </c>
      <c r="B186" s="300" t="s">
        <v>328</v>
      </c>
      <c r="C186" s="558">
        <f>'[42]Sch C'!D197</f>
        <v>0</v>
      </c>
      <c r="D186" s="558">
        <f>'[42]Sch C'!F197</f>
        <v>0</v>
      </c>
      <c r="E186" s="248">
        <f t="shared" si="45"/>
        <v>0</v>
      </c>
      <c r="F186" s="216"/>
      <c r="G186" s="248">
        <f t="shared" si="46"/>
        <v>0</v>
      </c>
      <c r="H186" s="279">
        <f t="shared" si="47"/>
        <v>0</v>
      </c>
      <c r="I186" s="348"/>
      <c r="J186" s="520"/>
      <c r="K186" s="521"/>
      <c r="L186" s="220"/>
      <c r="M186" s="367">
        <f t="shared" si="48"/>
        <v>0</v>
      </c>
      <c r="N186" s="360">
        <f>SUMMARY!J189</f>
        <v>5.0164683871805966</v>
      </c>
      <c r="P186"/>
      <c r="Q186"/>
    </row>
    <row r="187" spans="1:17" s="221" customFormat="1">
      <c r="A187" s="313" t="s">
        <v>137</v>
      </c>
      <c r="B187" s="300" t="s">
        <v>122</v>
      </c>
      <c r="C187" s="558">
        <f>'[42]Sch C'!D198</f>
        <v>0</v>
      </c>
      <c r="D187" s="558">
        <f>'[42]Sch C'!F198</f>
        <v>0</v>
      </c>
      <c r="E187" s="248">
        <f t="shared" si="45"/>
        <v>0</v>
      </c>
      <c r="F187" s="216"/>
      <c r="G187" s="248">
        <f t="shared" si="46"/>
        <v>0</v>
      </c>
      <c r="H187" s="279">
        <f t="shared" si="47"/>
        <v>0</v>
      </c>
      <c r="I187" s="348"/>
      <c r="J187" s="520"/>
      <c r="K187" s="521"/>
      <c r="L187" s="220"/>
      <c r="M187" s="367">
        <f t="shared" si="48"/>
        <v>0</v>
      </c>
      <c r="N187" s="360">
        <f>SUMMARY!J190</f>
        <v>1.4762344610483848</v>
      </c>
      <c r="P187"/>
      <c r="Q187"/>
    </row>
    <row r="188" spans="1:17" s="221" customFormat="1">
      <c r="A188" s="313" t="s">
        <v>275</v>
      </c>
      <c r="B188" s="300" t="s">
        <v>329</v>
      </c>
      <c r="C188" s="558">
        <f>'[42]Sch C'!D199</f>
        <v>0</v>
      </c>
      <c r="D188" s="558">
        <f>'[42]Sch C'!F199</f>
        <v>0</v>
      </c>
      <c r="E188" s="248">
        <f t="shared" si="45"/>
        <v>0</v>
      </c>
      <c r="F188" s="216"/>
      <c r="G188" s="248">
        <f t="shared" si="46"/>
        <v>0</v>
      </c>
      <c r="H188" s="279">
        <f t="shared" si="47"/>
        <v>0</v>
      </c>
      <c r="I188" s="348"/>
      <c r="J188" s="520"/>
      <c r="K188" s="521"/>
      <c r="L188" s="220"/>
      <c r="M188" s="367">
        <f t="shared" si="48"/>
        <v>0</v>
      </c>
      <c r="N188" s="360">
        <f>SUMMARY!J191</f>
        <v>0.3719273123267644</v>
      </c>
      <c r="P188"/>
      <c r="Q188"/>
    </row>
    <row r="189" spans="1:17" s="221" customFormat="1">
      <c r="A189" s="313" t="s">
        <v>277</v>
      </c>
      <c r="B189" s="300" t="s">
        <v>278</v>
      </c>
      <c r="C189" s="558">
        <f>'[42]Sch C'!D200</f>
        <v>0</v>
      </c>
      <c r="D189" s="558">
        <f>'[42]Sch C'!F200</f>
        <v>0</v>
      </c>
      <c r="E189" s="248">
        <f t="shared" si="45"/>
        <v>0</v>
      </c>
      <c r="F189" s="216"/>
      <c r="G189" s="248">
        <f t="shared" si="46"/>
        <v>0</v>
      </c>
      <c r="H189" s="279">
        <f t="shared" si="47"/>
        <v>0</v>
      </c>
      <c r="I189" s="348"/>
      <c r="J189" s="520"/>
      <c r="K189" s="521"/>
      <c r="L189" s="220"/>
      <c r="M189" s="367">
        <f t="shared" si="48"/>
        <v>0</v>
      </c>
      <c r="N189" s="360">
        <f>SUMMARY!J192</f>
        <v>1.1168537736152406E-3</v>
      </c>
      <c r="P189"/>
      <c r="Q189"/>
    </row>
    <row r="190" spans="1:17" s="221" customFormat="1">
      <c r="A190" s="314" t="s">
        <v>279</v>
      </c>
      <c r="B190" s="315" t="s">
        <v>280</v>
      </c>
      <c r="C190" s="558">
        <f>'[42]Sch C'!D201</f>
        <v>0</v>
      </c>
      <c r="D190" s="558">
        <f>'[42]Sch C'!F201</f>
        <v>0</v>
      </c>
      <c r="E190" s="248">
        <f t="shared" si="45"/>
        <v>0</v>
      </c>
      <c r="F190" s="216"/>
      <c r="G190" s="248">
        <f t="shared" si="46"/>
        <v>0</v>
      </c>
      <c r="H190" s="279">
        <f t="shared" si="47"/>
        <v>0</v>
      </c>
      <c r="I190" s="348"/>
      <c r="J190" s="520"/>
      <c r="K190" s="521"/>
      <c r="L190" s="220"/>
      <c r="M190" s="367">
        <f t="shared" si="48"/>
        <v>0</v>
      </c>
      <c r="N190" s="360">
        <f>SUMMARY!J193</f>
        <v>9.491156275925049E-3</v>
      </c>
      <c r="P190"/>
      <c r="Q190"/>
    </row>
    <row r="191" spans="1:17" s="221" customFormat="1">
      <c r="A191" s="314" t="s">
        <v>281</v>
      </c>
      <c r="B191" s="315" t="s">
        <v>282</v>
      </c>
      <c r="C191" s="558">
        <f>'[42]Sch C'!D202</f>
        <v>0</v>
      </c>
      <c r="D191" s="558">
        <f>'[42]Sch C'!F202</f>
        <v>0</v>
      </c>
      <c r="E191" s="248">
        <f t="shared" si="45"/>
        <v>0</v>
      </c>
      <c r="F191" s="216"/>
      <c r="G191" s="248">
        <f t="shared" si="46"/>
        <v>0</v>
      </c>
      <c r="H191" s="279">
        <f t="shared" si="47"/>
        <v>0</v>
      </c>
      <c r="I191" s="348"/>
      <c r="J191" s="520"/>
      <c r="K191" s="521"/>
      <c r="L191" s="220"/>
      <c r="M191" s="367">
        <f t="shared" si="48"/>
        <v>0</v>
      </c>
      <c r="N191" s="360">
        <f>SUMMARY!J194</f>
        <v>1.256942821802872E-4</v>
      </c>
      <c r="P191"/>
      <c r="Q191"/>
    </row>
    <row r="192" spans="1:17" s="221" customFormat="1">
      <c r="A192" s="314" t="s">
        <v>283</v>
      </c>
      <c r="B192" s="315" t="s">
        <v>330</v>
      </c>
      <c r="C192" s="558">
        <f>'[42]Sch C'!D203</f>
        <v>16076.05</v>
      </c>
      <c r="D192" s="558">
        <f>'[42]Sch C'!F203</f>
        <v>0</v>
      </c>
      <c r="E192" s="248">
        <f t="shared" si="45"/>
        <v>16076.05</v>
      </c>
      <c r="F192" s="216"/>
      <c r="G192" s="248">
        <f t="shared" si="46"/>
        <v>16076.05</v>
      </c>
      <c r="H192" s="279">
        <f t="shared" si="47"/>
        <v>2.1382888638135978E-3</v>
      </c>
      <c r="I192" s="348"/>
      <c r="J192" s="520"/>
      <c r="K192" s="521"/>
      <c r="L192" s="220"/>
      <c r="M192" s="367">
        <f t="shared" si="48"/>
        <v>0.6032288930581613</v>
      </c>
      <c r="N192" s="360">
        <f>SUMMARY!J195</f>
        <v>6.3845219287057137E-2</v>
      </c>
      <c r="P192"/>
      <c r="Q192"/>
    </row>
    <row r="193" spans="1:17" s="221" customFormat="1">
      <c r="A193" s="314" t="s">
        <v>285</v>
      </c>
      <c r="B193" s="315" t="s">
        <v>331</v>
      </c>
      <c r="C193" s="558">
        <f>'[42]Sch C'!D204</f>
        <v>0</v>
      </c>
      <c r="D193" s="558">
        <f>'[42]Sch C'!F204</f>
        <v>0</v>
      </c>
      <c r="E193" s="248">
        <f t="shared" si="45"/>
        <v>0</v>
      </c>
      <c r="F193" s="216"/>
      <c r="G193" s="248">
        <f t="shared" si="46"/>
        <v>0</v>
      </c>
      <c r="H193" s="279">
        <f t="shared" si="47"/>
        <v>0</v>
      </c>
      <c r="I193" s="348"/>
      <c r="J193" s="520"/>
      <c r="K193" s="521"/>
      <c r="L193" s="220"/>
      <c r="M193" s="367">
        <f t="shared" si="48"/>
        <v>0</v>
      </c>
      <c r="N193" s="360">
        <f>SUMMARY!J196</f>
        <v>0</v>
      </c>
      <c r="P193"/>
      <c r="Q193"/>
    </row>
    <row r="194" spans="1:17" s="221" customFormat="1">
      <c r="A194" s="313" t="s">
        <v>138</v>
      </c>
      <c r="B194" s="300" t="s">
        <v>332</v>
      </c>
      <c r="C194" s="558">
        <f>'[42]Sch C'!D205</f>
        <v>251439.52</v>
      </c>
      <c r="D194" s="558">
        <f>'[42]Sch C'!F205</f>
        <v>0</v>
      </c>
      <c r="E194" s="248">
        <f t="shared" si="45"/>
        <v>251439.52</v>
      </c>
      <c r="F194" s="216"/>
      <c r="G194" s="248">
        <f t="shared" si="46"/>
        <v>251439.52</v>
      </c>
      <c r="H194" s="279">
        <f t="shared" si="47"/>
        <v>3.3444180973475221E-2</v>
      </c>
      <c r="I194" s="348"/>
      <c r="J194" s="520"/>
      <c r="K194" s="521"/>
      <c r="L194" s="220"/>
      <c r="M194" s="367">
        <f t="shared" si="48"/>
        <v>9.43487879924953</v>
      </c>
      <c r="N194" s="360">
        <f>SUMMARY!J197</f>
        <v>9.4138592764245246</v>
      </c>
      <c r="P194"/>
      <c r="Q194"/>
    </row>
    <row r="195" spans="1:17" s="221" customFormat="1">
      <c r="A195" s="313" t="s">
        <v>139</v>
      </c>
      <c r="B195" s="300" t="s">
        <v>67</v>
      </c>
      <c r="C195" s="558">
        <f>'[42]Sch C'!D206</f>
        <v>1865.95</v>
      </c>
      <c r="D195" s="558">
        <f>'[42]Sch C'!F206</f>
        <v>0</v>
      </c>
      <c r="E195" s="248">
        <f t="shared" si="45"/>
        <v>1865.95</v>
      </c>
      <c r="F195" s="216"/>
      <c r="G195" s="248">
        <f t="shared" si="46"/>
        <v>1865.95</v>
      </c>
      <c r="H195" s="279">
        <f t="shared" si="47"/>
        <v>2.481915710285165E-4</v>
      </c>
      <c r="I195" s="348"/>
      <c r="J195" s="520"/>
      <c r="K195" s="521"/>
      <c r="L195" s="220"/>
      <c r="M195" s="367">
        <f t="shared" si="48"/>
        <v>7.0016885553470923E-2</v>
      </c>
      <c r="N195" s="360">
        <f>SUMMARY!J198</f>
        <v>0.50303072526897752</v>
      </c>
      <c r="P195"/>
      <c r="Q195"/>
    </row>
    <row r="196" spans="1:17" s="221" customFormat="1">
      <c r="A196" s="314" t="s">
        <v>143</v>
      </c>
      <c r="B196" s="296" t="s">
        <v>333</v>
      </c>
      <c r="C196" s="558">
        <f>'[42]Sch C'!D207</f>
        <v>43129.17</v>
      </c>
      <c r="D196" s="558">
        <f>'[42]Sch C'!F207</f>
        <v>0</v>
      </c>
      <c r="E196" s="248">
        <f t="shared" si="45"/>
        <v>43129.17</v>
      </c>
      <c r="F196" s="216"/>
      <c r="G196" s="248">
        <f t="shared" si="46"/>
        <v>43129.17</v>
      </c>
      <c r="H196" s="279">
        <f t="shared" si="47"/>
        <v>5.7366469945368112E-3</v>
      </c>
      <c r="I196" s="348"/>
      <c r="J196" s="520"/>
      <c r="K196" s="521"/>
      <c r="L196" s="220"/>
      <c r="M196" s="367">
        <f t="shared" si="48"/>
        <v>1.6183553470919323</v>
      </c>
      <c r="N196" s="360">
        <f>SUMMARY!J199</f>
        <v>0.37420738931321718</v>
      </c>
      <c r="P196"/>
      <c r="Q196"/>
    </row>
    <row r="197" spans="1:17" s="275" customFormat="1">
      <c r="A197" s="271"/>
      <c r="B197" s="316" t="s">
        <v>130</v>
      </c>
      <c r="C197" s="558">
        <f>SUM(C164:C196)</f>
        <v>1109297.6899999997</v>
      </c>
      <c r="D197" s="558">
        <f>SUM(D164:D196)</f>
        <v>13905</v>
      </c>
      <c r="E197" s="248">
        <f t="shared" ref="E197:F197" si="49">SUM(E164:E196)</f>
        <v>1123202.6899999997</v>
      </c>
      <c r="F197" s="248">
        <f t="shared" si="49"/>
        <v>0</v>
      </c>
      <c r="G197" s="248">
        <f>SUM(G164:G196)</f>
        <v>1123202.6899999997</v>
      </c>
      <c r="H197" s="279">
        <f>IF($G$208=0,0,G197/$G$208)</f>
        <v>0.14939812975404257</v>
      </c>
      <c r="I197" s="348"/>
      <c r="J197" s="513"/>
      <c r="K197" s="513"/>
      <c r="M197" s="367">
        <f>G197/G$228</f>
        <v>42.146442401500927</v>
      </c>
      <c r="N197" s="360">
        <f>SUMMARY!J200</f>
        <v>37.406784978272242</v>
      </c>
      <c r="O197" s="355"/>
      <c r="P197"/>
      <c r="Q197"/>
    </row>
    <row r="198" spans="1:17" s="275" customFormat="1">
      <c r="A198" s="271"/>
      <c r="C198" s="165"/>
      <c r="D198" s="165"/>
      <c r="E198" s="273"/>
      <c r="F198"/>
      <c r="G198" s="273"/>
      <c r="H198" s="299"/>
      <c r="I198" s="350"/>
      <c r="J198" s="513"/>
      <c r="K198" s="513"/>
      <c r="M198" s="360"/>
      <c r="N198" s="360"/>
      <c r="P198"/>
      <c r="Q198"/>
    </row>
    <row r="199" spans="1:17" s="275" customFormat="1">
      <c r="A199" s="277" t="s">
        <v>169</v>
      </c>
      <c r="B199" s="278" t="s">
        <v>68</v>
      </c>
      <c r="C199" s="165"/>
      <c r="D199" s="165"/>
      <c r="E199" s="273"/>
      <c r="F199"/>
      <c r="G199" s="273"/>
      <c r="H199" s="299"/>
      <c r="I199" s="350"/>
      <c r="J199" s="513"/>
      <c r="K199" s="513"/>
      <c r="M199" s="360"/>
      <c r="N199" s="360"/>
      <c r="P199"/>
      <c r="Q199"/>
    </row>
    <row r="200" spans="1:17" s="275" customFormat="1">
      <c r="A200" s="277" t="s">
        <v>85</v>
      </c>
      <c r="B200" s="278" t="s">
        <v>69</v>
      </c>
      <c r="C200" s="558">
        <f>'[42]Sch C'!D211</f>
        <v>139048.37</v>
      </c>
      <c r="D200" s="558">
        <f>'[42]Sch C'!F211</f>
        <v>0</v>
      </c>
      <c r="E200" s="248">
        <f t="shared" ref="E200:E205" si="50">C200+D200</f>
        <v>139048.37</v>
      </c>
      <c r="F200" s="248"/>
      <c r="G200" s="248">
        <f t="shared" ref="G200:G205" si="51">E200+F200</f>
        <v>139048.37</v>
      </c>
      <c r="H200" s="279">
        <f t="shared" ref="H200:H206" si="52">IF($G$208=0,0,G200/$G$208)</f>
        <v>1.8494940056943885E-2</v>
      </c>
      <c r="I200" s="348"/>
      <c r="J200" s="486">
        <v>8964.25</v>
      </c>
      <c r="K200" s="486">
        <v>9605.75</v>
      </c>
      <c r="M200" s="367">
        <f t="shared" ref="M200:M205" si="53">G200/G$228</f>
        <v>5.2175748592870539</v>
      </c>
      <c r="N200" s="360">
        <f>SUMMARY!J203</f>
        <v>5.2601700809246292</v>
      </c>
      <c r="P200"/>
      <c r="Q200"/>
    </row>
    <row r="201" spans="1:17" s="275" customFormat="1">
      <c r="A201" s="277" t="s">
        <v>86</v>
      </c>
      <c r="B201" s="278" t="s">
        <v>45</v>
      </c>
      <c r="C201" s="558">
        <f>'[42]Sch C'!D212</f>
        <v>32817.629999999997</v>
      </c>
      <c r="D201" s="558">
        <f>'[42]Sch C'!F212</f>
        <v>0</v>
      </c>
      <c r="E201" s="248">
        <f t="shared" si="50"/>
        <v>32817.629999999997</v>
      </c>
      <c r="F201" s="248"/>
      <c r="G201" s="248">
        <f t="shared" si="51"/>
        <v>32817.629999999997</v>
      </c>
      <c r="H201" s="279">
        <f t="shared" si="52"/>
        <v>4.3651004298789218E-3</v>
      </c>
      <c r="I201" s="348"/>
      <c r="J201" s="513"/>
      <c r="K201" s="513"/>
      <c r="M201" s="367">
        <f t="shared" si="53"/>
        <v>1.2314307692307691</v>
      </c>
      <c r="N201" s="360">
        <f>SUMMARY!J204</f>
        <v>1.0692430699343443</v>
      </c>
      <c r="P201"/>
      <c r="Q201"/>
    </row>
    <row r="202" spans="1:17" s="275" customFormat="1">
      <c r="A202" s="277" t="s">
        <v>140</v>
      </c>
      <c r="B202" s="278" t="s">
        <v>54</v>
      </c>
      <c r="C202" s="558">
        <f>'[42]Sch C'!D213</f>
        <v>9191.0499999999993</v>
      </c>
      <c r="D202" s="558">
        <f>'[42]Sch C'!F213</f>
        <v>0</v>
      </c>
      <c r="E202" s="248">
        <f t="shared" si="50"/>
        <v>9191.0499999999993</v>
      </c>
      <c r="F202" s="248"/>
      <c r="G202" s="248">
        <f t="shared" si="51"/>
        <v>9191.0499999999993</v>
      </c>
      <c r="H202" s="279">
        <f t="shared" si="52"/>
        <v>1.2225092520708736E-3</v>
      </c>
      <c r="I202" s="348"/>
      <c r="J202" s="513"/>
      <c r="K202" s="513"/>
      <c r="M202" s="367">
        <f t="shared" si="53"/>
        <v>0.34487992495309566</v>
      </c>
      <c r="N202" s="360">
        <f>SUMMARY!J205</f>
        <v>0.45326453571252473</v>
      </c>
      <c r="P202"/>
      <c r="Q202"/>
    </row>
    <row r="203" spans="1:17" s="275" customFormat="1">
      <c r="A203" s="277" t="s">
        <v>141</v>
      </c>
      <c r="B203" s="278" t="s">
        <v>70</v>
      </c>
      <c r="C203" s="558">
        <f>'[42]Sch C'!D214</f>
        <v>0</v>
      </c>
      <c r="D203" s="558">
        <f>'[42]Sch C'!F214</f>
        <v>0</v>
      </c>
      <c r="E203" s="248">
        <f t="shared" si="50"/>
        <v>0</v>
      </c>
      <c r="F203" s="248"/>
      <c r="G203" s="248">
        <f t="shared" si="51"/>
        <v>0</v>
      </c>
      <c r="H203" s="279">
        <f t="shared" si="52"/>
        <v>0</v>
      </c>
      <c r="I203" s="348"/>
      <c r="J203" s="513"/>
      <c r="K203" s="513"/>
      <c r="M203" s="367">
        <f t="shared" si="53"/>
        <v>0</v>
      </c>
      <c r="N203" s="360">
        <f>SUMMARY!J206</f>
        <v>6.3990415636810301E-3</v>
      </c>
      <c r="P203"/>
      <c r="Q203"/>
    </row>
    <row r="204" spans="1:17" s="275" customFormat="1">
      <c r="A204" s="277" t="s">
        <v>142</v>
      </c>
      <c r="B204" s="23" t="s">
        <v>71</v>
      </c>
      <c r="C204" s="558">
        <f>'[42]Sch C'!D215</f>
        <v>0</v>
      </c>
      <c r="D204" s="558">
        <f>'[42]Sch C'!F215</f>
        <v>0</v>
      </c>
      <c r="E204" s="248">
        <f t="shared" si="50"/>
        <v>0</v>
      </c>
      <c r="F204" s="248"/>
      <c r="G204" s="248">
        <f t="shared" si="51"/>
        <v>0</v>
      </c>
      <c r="H204" s="279">
        <f t="shared" si="52"/>
        <v>0</v>
      </c>
      <c r="I204" s="348"/>
      <c r="J204" s="513"/>
      <c r="K204" s="513"/>
      <c r="M204" s="367">
        <f t="shared" si="53"/>
        <v>0</v>
      </c>
      <c r="N204" s="360">
        <f>SUMMARY!J207</f>
        <v>0</v>
      </c>
      <c r="P204"/>
      <c r="Q204"/>
    </row>
    <row r="205" spans="1:17" s="275" customFormat="1">
      <c r="A205" s="277" t="s">
        <v>143</v>
      </c>
      <c r="B205" s="278" t="s">
        <v>312</v>
      </c>
      <c r="C205" s="558">
        <f>'[42]Sch C'!D216</f>
        <v>78481.91</v>
      </c>
      <c r="D205" s="558">
        <f>'[42]Sch C'!F216</f>
        <v>0</v>
      </c>
      <c r="E205" s="248">
        <f t="shared" si="50"/>
        <v>78481.91</v>
      </c>
      <c r="F205" s="248"/>
      <c r="G205" s="248">
        <f t="shared" si="51"/>
        <v>78481.91</v>
      </c>
      <c r="H205" s="279">
        <f t="shared" si="52"/>
        <v>1.0438944527033757E-2</v>
      </c>
      <c r="I205" s="348"/>
      <c r="J205" s="513"/>
      <c r="K205" s="513"/>
      <c r="M205" s="367">
        <f t="shared" si="53"/>
        <v>2.9449121951219515</v>
      </c>
      <c r="N205" s="360">
        <f>SUMMARY!J208</f>
        <v>0.36243287087155324</v>
      </c>
      <c r="P205"/>
      <c r="Q205"/>
    </row>
    <row r="206" spans="1:17" s="275" customFormat="1">
      <c r="A206" s="271"/>
      <c r="B206" s="278" t="s">
        <v>144</v>
      </c>
      <c r="C206" s="558">
        <f>SUM(C200:C205)</f>
        <v>259538.96</v>
      </c>
      <c r="D206" s="558">
        <f>SUM(D200:D205)</f>
        <v>0</v>
      </c>
      <c r="E206" s="248">
        <f t="shared" ref="E206:F206" si="54">SUM(E200:E205)</f>
        <v>259538.96</v>
      </c>
      <c r="F206" s="248">
        <f t="shared" si="54"/>
        <v>0</v>
      </c>
      <c r="G206" s="248">
        <f>SUM(G200:G205)</f>
        <v>259538.96</v>
      </c>
      <c r="H206" s="279">
        <f t="shared" si="52"/>
        <v>3.452149426592744E-2</v>
      </c>
      <c r="I206" s="348"/>
      <c r="J206" s="513"/>
      <c r="K206" s="513"/>
      <c r="M206" s="367">
        <f>G206/G$228</f>
        <v>9.7387977485928694</v>
      </c>
      <c r="N206" s="360">
        <f>SUMMARY!J209</f>
        <v>7.1515095990067339</v>
      </c>
      <c r="O206" s="355">
        <f>M206/N206-1</f>
        <v>0.36178209841814124</v>
      </c>
      <c r="P206"/>
      <c r="Q206"/>
    </row>
    <row r="207" spans="1:17" s="275" customFormat="1">
      <c r="A207" s="271"/>
      <c r="C207" s="165"/>
      <c r="D207" s="165"/>
      <c r="E207" s="273"/>
      <c r="F207" s="273"/>
      <c r="G207" s="273"/>
      <c r="H207" s="299"/>
      <c r="I207" s="350"/>
      <c r="J207" s="168"/>
      <c r="K207" s="168"/>
      <c r="M207" s="360"/>
      <c r="N207" s="360"/>
      <c r="P207"/>
      <c r="Q207"/>
    </row>
    <row r="208" spans="1:17" s="275" customFormat="1">
      <c r="A208" s="227"/>
      <c r="B208" s="178" t="s">
        <v>145</v>
      </c>
      <c r="C208" s="558">
        <f>SUM(C25:C206)/2</f>
        <v>8334534.6099999985</v>
      </c>
      <c r="D208" s="558">
        <f>SUM(D25:D206)/2</f>
        <v>-816350.2</v>
      </c>
      <c r="E208" s="248">
        <f t="shared" ref="E208:F208" si="55">SUM(E25:E206)/2</f>
        <v>7518184.4099999983</v>
      </c>
      <c r="F208" s="248">
        <f t="shared" si="55"/>
        <v>0</v>
      </c>
      <c r="G208" s="248">
        <f>SUM(G25:G206)/2</f>
        <v>7518184.4099999983</v>
      </c>
      <c r="H208" s="279">
        <f>IF($G$208=0,0,G208/$G$208)</f>
        <v>1</v>
      </c>
      <c r="I208" s="348"/>
      <c r="J208" s="183">
        <f>SUM(J25:J200)</f>
        <v>176868.32</v>
      </c>
      <c r="K208" s="183">
        <f>SUM(K25:K200)</f>
        <v>183372.22000000003</v>
      </c>
      <c r="M208" s="367">
        <f>G208/G$228</f>
        <v>282.10823302063784</v>
      </c>
      <c r="N208" s="360">
        <f>SUMMARY!J211</f>
        <v>266.32123907464864</v>
      </c>
      <c r="O208" s="358" t="s">
        <v>466</v>
      </c>
      <c r="P208"/>
      <c r="Q208"/>
    </row>
    <row r="209" spans="1:17" s="275" customFormat="1">
      <c r="A209" s="271"/>
      <c r="B209" s="278"/>
      <c r="C209" s="165"/>
      <c r="D209" s="165"/>
      <c r="E209" s="273"/>
      <c r="F209"/>
      <c r="G209"/>
      <c r="I209" s="344"/>
      <c r="J209" s="168"/>
      <c r="K209" s="168"/>
      <c r="O209" s="554">
        <f>SUM(O61:O206)</f>
        <v>0.4012214943691208</v>
      </c>
      <c r="P209"/>
      <c r="Q209"/>
    </row>
    <row r="210" spans="1:17" s="275" customFormat="1">
      <c r="A210" s="271"/>
      <c r="B210" s="278"/>
      <c r="C210" s="165"/>
      <c r="D210" s="165"/>
      <c r="E210" s="273"/>
      <c r="F210"/>
      <c r="G210"/>
      <c r="I210" s="344"/>
      <c r="J210" s="168"/>
      <c r="K210" s="168"/>
      <c r="P210"/>
      <c r="Q210"/>
    </row>
    <row r="211" spans="1:17" s="275" customFormat="1">
      <c r="A211" s="271"/>
      <c r="B211" s="228" t="s">
        <v>181</v>
      </c>
      <c r="C211" s="558">
        <f>'[42]Sch C'!D221</f>
        <v>8334534.6900000004</v>
      </c>
      <c r="D211" s="196"/>
      <c r="E211" s="273"/>
      <c r="F211"/>
      <c r="G211"/>
      <c r="I211" s="344"/>
      <c r="J211" s="168"/>
      <c r="K211" s="168"/>
      <c r="P211"/>
      <c r="Q211"/>
    </row>
    <row r="212" spans="1:17" s="275" customFormat="1">
      <c r="A212" s="271"/>
      <c r="B212" s="278" t="s">
        <v>147</v>
      </c>
      <c r="C212" s="558">
        <f>C208-C211</f>
        <v>-8.0000001937150955E-2</v>
      </c>
      <c r="D212" s="229"/>
      <c r="E212" s="273"/>
      <c r="F212"/>
      <c r="G212"/>
      <c r="I212" s="344"/>
      <c r="J212" s="168"/>
      <c r="K212" s="168"/>
      <c r="P212"/>
      <c r="Q212"/>
    </row>
    <row r="213" spans="1:17" s="275" customFormat="1">
      <c r="A213" s="271"/>
      <c r="B213" s="317"/>
      <c r="C213" s="576"/>
      <c r="D213" s="232"/>
      <c r="E213" s="318"/>
      <c r="F213" s="318"/>
      <c r="G213" s="318"/>
      <c r="H213" s="274"/>
      <c r="I213" s="347"/>
      <c r="J213" s="168"/>
      <c r="K213" s="168"/>
      <c r="P213"/>
      <c r="Q213"/>
    </row>
    <row r="214" spans="1:17" s="275" customFormat="1">
      <c r="A214" s="277"/>
      <c r="B214" s="178"/>
      <c r="C214" s="165"/>
      <c r="D214" s="165"/>
      <c r="E214" s="273"/>
      <c r="F214" s="273"/>
      <c r="G214" s="273"/>
      <c r="I214" s="344"/>
      <c r="J214" s="168"/>
      <c r="K214" s="168"/>
      <c r="P214"/>
      <c r="Q214"/>
    </row>
    <row r="215" spans="1:17" s="275" customFormat="1">
      <c r="A215" s="271"/>
      <c r="B215" s="178" t="s">
        <v>78</v>
      </c>
      <c r="C215" s="558">
        <f>C21-C208</f>
        <v>-644210.06999999937</v>
      </c>
      <c r="D215" s="558">
        <f>D21-D208</f>
        <v>815958.55999999994</v>
      </c>
      <c r="E215" s="248">
        <f t="shared" ref="E215:F215" si="56">E21-E208</f>
        <v>171748.49000000115</v>
      </c>
      <c r="F215" s="248">
        <f t="shared" si="56"/>
        <v>-3125</v>
      </c>
      <c r="G215" s="248">
        <f>G21-G208</f>
        <v>168623.49000000115</v>
      </c>
      <c r="I215" s="344"/>
      <c r="J215" s="276"/>
      <c r="K215" s="276"/>
      <c r="M215" s="357"/>
      <c r="N215" s="360"/>
      <c r="P215"/>
      <c r="Q215"/>
    </row>
    <row r="216" spans="1:17" s="275" customFormat="1">
      <c r="A216" s="271"/>
      <c r="B216" s="178"/>
      <c r="C216" s="196"/>
      <c r="D216" s="196"/>
      <c r="E216" s="297"/>
      <c r="F216" s="297"/>
      <c r="G216" s="297"/>
      <c r="I216" s="344"/>
      <c r="J216" s="276"/>
      <c r="K216" s="276"/>
      <c r="P216"/>
      <c r="Q216"/>
    </row>
    <row r="217" spans="1:17" s="275" customFormat="1">
      <c r="A217" s="271"/>
      <c r="B217" s="178"/>
      <c r="C217" s="196"/>
      <c r="D217" s="196"/>
      <c r="E217" s="297"/>
      <c r="F217"/>
      <c r="G217" s="297"/>
      <c r="I217" s="344"/>
      <c r="J217" s="276"/>
      <c r="K217" s="276"/>
      <c r="P217"/>
      <c r="Q217"/>
    </row>
    <row r="218" spans="1:17">
      <c r="A218" s="271"/>
      <c r="B218" s="164" t="s">
        <v>159</v>
      </c>
      <c r="C218" s="165"/>
      <c r="D218" s="165"/>
      <c r="E218" s="273"/>
      <c r="F218"/>
      <c r="G218" s="273"/>
      <c r="H218" s="274"/>
      <c r="I218" s="347"/>
      <c r="J218" s="276"/>
      <c r="K218" s="276"/>
    </row>
    <row r="219" spans="1:17">
      <c r="A219" s="271"/>
      <c r="B219" s="278" t="s">
        <v>218</v>
      </c>
      <c r="C219" s="592">
        <f>'[42]Sch D'!C9</f>
        <v>12628</v>
      </c>
      <c r="D219" s="592"/>
      <c r="E219" s="320">
        <f t="shared" ref="E219:G227" si="57">C219+D219</f>
        <v>12628</v>
      </c>
      <c r="F219" s="319"/>
      <c r="G219" s="320">
        <f t="shared" si="57"/>
        <v>12628</v>
      </c>
      <c r="H219" s="279">
        <f t="shared" ref="H219:H228" si="58">IF($G$228=0,0,G219/$G$228)</f>
        <v>0.47384615384615386</v>
      </c>
      <c r="I219" s="348"/>
      <c r="J219" s="276"/>
      <c r="K219" s="276"/>
    </row>
    <row r="220" spans="1:17">
      <c r="A220" s="271"/>
      <c r="B220" s="278" t="s">
        <v>217</v>
      </c>
      <c r="C220" s="592">
        <f>'[42]Sch D'!D9</f>
        <v>116</v>
      </c>
      <c r="D220" s="592"/>
      <c r="E220" s="320">
        <f t="shared" ref="E220:E227" si="59">C220+D220</f>
        <v>116</v>
      </c>
      <c r="F220" s="319"/>
      <c r="G220" s="320">
        <f t="shared" si="57"/>
        <v>116</v>
      </c>
      <c r="H220" s="279">
        <f t="shared" si="58"/>
        <v>4.3527204502814259E-3</v>
      </c>
      <c r="I220" s="348"/>
      <c r="J220" s="276"/>
      <c r="K220" s="276"/>
    </row>
    <row r="221" spans="1:17">
      <c r="A221" s="271"/>
      <c r="B221" s="278" t="s">
        <v>72</v>
      </c>
      <c r="C221" s="592">
        <f>'[42]Sch D'!E9</f>
        <v>2793</v>
      </c>
      <c r="D221" s="592"/>
      <c r="E221" s="320">
        <f t="shared" si="59"/>
        <v>2793</v>
      </c>
      <c r="F221" s="319"/>
      <c r="G221" s="320">
        <f t="shared" si="57"/>
        <v>2793</v>
      </c>
      <c r="H221" s="279">
        <f t="shared" si="58"/>
        <v>0.10480300187617261</v>
      </c>
      <c r="I221" s="348"/>
      <c r="J221" s="276"/>
      <c r="K221" s="276"/>
    </row>
    <row r="222" spans="1:17">
      <c r="A222" s="271"/>
      <c r="B222" s="321" t="s">
        <v>334</v>
      </c>
      <c r="C222" s="592">
        <f>'[42]Sch D'!F9</f>
        <v>796</v>
      </c>
      <c r="D222" s="592"/>
      <c r="E222" s="320">
        <f>C222+D222</f>
        <v>796</v>
      </c>
      <c r="F222" s="319"/>
      <c r="G222" s="320">
        <f>E222+F222</f>
        <v>796</v>
      </c>
      <c r="H222" s="279">
        <f t="shared" si="58"/>
        <v>2.9868667917448407E-2</v>
      </c>
      <c r="I222" s="348"/>
      <c r="J222" s="276"/>
      <c r="K222" s="276"/>
    </row>
    <row r="223" spans="1:17">
      <c r="A223" s="271"/>
      <c r="B223" s="278" t="s">
        <v>73</v>
      </c>
      <c r="C223" s="592">
        <f>'[42]Sch D'!G9</f>
        <v>6344</v>
      </c>
      <c r="D223" s="592"/>
      <c r="E223" s="320">
        <f t="shared" si="59"/>
        <v>6344</v>
      </c>
      <c r="F223" s="319"/>
      <c r="G223" s="320">
        <f t="shared" si="57"/>
        <v>6344</v>
      </c>
      <c r="H223" s="279">
        <f t="shared" si="58"/>
        <v>0.23804878048780487</v>
      </c>
      <c r="I223" s="348"/>
      <c r="J223" s="276"/>
      <c r="K223" s="276"/>
    </row>
    <row r="224" spans="1:17">
      <c r="A224" s="271"/>
      <c r="B224" s="278" t="s">
        <v>74</v>
      </c>
      <c r="C224" s="592">
        <f>'[42]Sch D'!H9</f>
        <v>2550</v>
      </c>
      <c r="D224" s="592"/>
      <c r="E224" s="320">
        <f t="shared" si="59"/>
        <v>2550</v>
      </c>
      <c r="F224" s="319"/>
      <c r="G224" s="320">
        <f t="shared" si="57"/>
        <v>2550</v>
      </c>
      <c r="H224" s="279">
        <f t="shared" si="58"/>
        <v>9.5684803001876179E-2</v>
      </c>
      <c r="I224" s="348"/>
      <c r="J224" s="276"/>
      <c r="K224" s="276"/>
    </row>
    <row r="225" spans="1:11">
      <c r="A225" s="271"/>
      <c r="B225" s="278" t="s">
        <v>236</v>
      </c>
      <c r="C225" s="592">
        <f>'[42]Sch D'!I9</f>
        <v>1370</v>
      </c>
      <c r="D225" s="592"/>
      <c r="E225" s="320">
        <f t="shared" si="59"/>
        <v>1370</v>
      </c>
      <c r="F225" s="319"/>
      <c r="G225" s="320">
        <f t="shared" si="57"/>
        <v>1370</v>
      </c>
      <c r="H225" s="279">
        <f t="shared" si="58"/>
        <v>5.1407129455909945E-2</v>
      </c>
      <c r="I225" s="348"/>
      <c r="J225" s="276"/>
      <c r="K225" s="276"/>
    </row>
    <row r="226" spans="1:11">
      <c r="A226" s="271"/>
      <c r="B226" s="278" t="s">
        <v>235</v>
      </c>
      <c r="C226" s="592">
        <f>'[42]Sch D'!J9</f>
        <v>53</v>
      </c>
      <c r="D226" s="592"/>
      <c r="E226" s="320">
        <f>C226+D226</f>
        <v>53</v>
      </c>
      <c r="F226" s="319"/>
      <c r="G226" s="320">
        <f>E226+F226</f>
        <v>53</v>
      </c>
      <c r="H226" s="279">
        <f t="shared" si="58"/>
        <v>1.9887429643527204E-3</v>
      </c>
      <c r="I226" s="348"/>
      <c r="J226" s="276"/>
      <c r="K226" s="276"/>
    </row>
    <row r="227" spans="1:11">
      <c r="A227" s="271"/>
      <c r="B227" s="278" t="s">
        <v>179</v>
      </c>
      <c r="C227" s="592">
        <f>'[42]Sch D'!K9</f>
        <v>0</v>
      </c>
      <c r="D227" s="592"/>
      <c r="E227" s="320">
        <f t="shared" si="59"/>
        <v>0</v>
      </c>
      <c r="F227" s="319"/>
      <c r="G227" s="320">
        <f t="shared" si="57"/>
        <v>0</v>
      </c>
      <c r="H227" s="279">
        <f t="shared" si="58"/>
        <v>0</v>
      </c>
      <c r="I227" s="348"/>
      <c r="J227" s="276"/>
      <c r="K227" s="276"/>
    </row>
    <row r="228" spans="1:11" ht="16" thickBot="1">
      <c r="A228" s="271"/>
      <c r="B228" s="331" t="s">
        <v>75</v>
      </c>
      <c r="C228" s="592">
        <f>SUM(C219:C227)</f>
        <v>26650</v>
      </c>
      <c r="D228" s="592">
        <f>SUM(D219:D227)</f>
        <v>0</v>
      </c>
      <c r="E228" s="323">
        <f>SUM(E219:E227)</f>
        <v>26650</v>
      </c>
      <c r="F228" s="323">
        <f>SUM(F219:F227)</f>
        <v>0</v>
      </c>
      <c r="G228" s="323">
        <f>SUM(G219:G227)</f>
        <v>26650</v>
      </c>
      <c r="H228" s="279">
        <f t="shared" si="58"/>
        <v>1</v>
      </c>
      <c r="I228" s="348"/>
      <c r="J228" s="276"/>
      <c r="K228" s="276"/>
    </row>
    <row r="229" spans="1:11" ht="16" thickTop="1">
      <c r="A229" s="271"/>
      <c r="B229" s="275"/>
      <c r="C229" s="577"/>
      <c r="D229" s="238"/>
      <c r="E229" s="318"/>
      <c r="F229" s="324"/>
      <c r="G229" s="318"/>
      <c r="H229" s="275"/>
      <c r="J229" s="276"/>
      <c r="K229" s="276"/>
    </row>
    <row r="230" spans="1:11">
      <c r="A230" s="271"/>
      <c r="B230" s="164" t="s">
        <v>160</v>
      </c>
      <c r="C230" s="576"/>
      <c r="D230" s="232"/>
      <c r="E230" s="318"/>
      <c r="F230" s="318"/>
      <c r="G230" s="318"/>
      <c r="H230" s="275"/>
      <c r="J230" s="276"/>
      <c r="K230" s="276"/>
    </row>
    <row r="231" spans="1:11">
      <c r="A231" s="271"/>
      <c r="B231" s="23" t="s">
        <v>219</v>
      </c>
      <c r="C231" s="593">
        <f>'[42]Sch D'!N22</f>
        <v>107</v>
      </c>
      <c r="D231" s="559"/>
      <c r="E231" s="320">
        <f>C231+D231</f>
        <v>107</v>
      </c>
      <c r="F231" s="320"/>
      <c r="G231" s="320">
        <f>E231</f>
        <v>107</v>
      </c>
      <c r="H231" s="275"/>
      <c r="J231" s="276"/>
      <c r="K231" s="276"/>
    </row>
    <row r="232" spans="1:11">
      <c r="A232" s="271"/>
      <c r="B232" s="23" t="s">
        <v>290</v>
      </c>
      <c r="C232" s="593">
        <f>'[42]Sch D'!N24</f>
        <v>107</v>
      </c>
      <c r="D232" s="559"/>
      <c r="E232" s="320">
        <f>C232+D232</f>
        <v>107</v>
      </c>
      <c r="F232" s="320"/>
      <c r="G232" s="320">
        <f>E232</f>
        <v>107</v>
      </c>
      <c r="H232" s="275"/>
      <c r="J232" s="276"/>
      <c r="K232" s="276"/>
    </row>
    <row r="233" spans="1:11">
      <c r="A233" s="271"/>
      <c r="B233" s="23" t="s">
        <v>76</v>
      </c>
      <c r="C233" s="593">
        <f>$C$4-$C$3+1</f>
        <v>366</v>
      </c>
      <c r="D233" s="483"/>
      <c r="E233" s="320">
        <f>C233+D233</f>
        <v>366</v>
      </c>
      <c r="F233" s="325"/>
      <c r="G233" s="320">
        <f>E233+F233</f>
        <v>366</v>
      </c>
      <c r="H233" s="275"/>
      <c r="J233" s="276"/>
      <c r="K233" s="276"/>
    </row>
    <row r="234" spans="1:11">
      <c r="A234" s="271"/>
      <c r="B234" s="326"/>
      <c r="C234" s="578"/>
      <c r="D234" s="239"/>
      <c r="E234" s="327"/>
      <c r="F234" s="325"/>
      <c r="G234" s="327"/>
      <c r="H234" s="275"/>
      <c r="J234" s="276"/>
      <c r="K234" s="276"/>
    </row>
    <row r="235" spans="1:11" ht="26.5">
      <c r="A235" s="271"/>
      <c r="B235" s="328" t="s">
        <v>237</v>
      </c>
      <c r="C235" s="593">
        <f>'[42]Sch D'!N28</f>
        <v>39162</v>
      </c>
      <c r="D235" s="483"/>
      <c r="E235" s="319">
        <f>E231*E233</f>
        <v>39162</v>
      </c>
      <c r="F235" s="325"/>
      <c r="G235" s="319">
        <f>G231*G233</f>
        <v>39162</v>
      </c>
      <c r="H235" s="275"/>
      <c r="J235" s="276"/>
      <c r="K235" s="276"/>
    </row>
    <row r="236" spans="1:11" ht="26.5">
      <c r="A236" s="271"/>
      <c r="B236" s="328" t="s">
        <v>238</v>
      </c>
      <c r="C236" s="594">
        <f>'[42]Sch D'!N30</f>
        <v>0.68050661355395536</v>
      </c>
      <c r="D236" s="239"/>
      <c r="E236" s="329">
        <f>E228/E235</f>
        <v>0.68050661355395536</v>
      </c>
      <c r="F236" s="330"/>
      <c r="G236" s="329">
        <f>G228/G235</f>
        <v>0.68050661355395536</v>
      </c>
      <c r="H236" s="275"/>
      <c r="J236" s="276"/>
      <c r="K236" s="276"/>
    </row>
    <row r="237" spans="1:11" ht="26.5">
      <c r="A237" s="271"/>
      <c r="B237" s="328" t="s">
        <v>239</v>
      </c>
      <c r="C237" s="594">
        <f>'[42]Sch D'!N32</f>
        <v>0.32541749655278074</v>
      </c>
      <c r="D237" s="239"/>
      <c r="E237" s="329">
        <f>(E219+E220)/E235</f>
        <v>0.32541749655278074</v>
      </c>
      <c r="F237" s="330"/>
      <c r="G237" s="329">
        <f>(G219+G220)/G235</f>
        <v>0.32541749655278074</v>
      </c>
      <c r="H237" s="275"/>
      <c r="J237" s="276"/>
      <c r="K237" s="276"/>
    </row>
    <row r="238" spans="1:11" ht="26.5">
      <c r="A238" s="271"/>
      <c r="B238" s="328" t="s">
        <v>240</v>
      </c>
      <c r="C238" s="594">
        <f>'[42]Sch D'!N34</f>
        <v>0.47819887429643526</v>
      </c>
      <c r="D238" s="239"/>
      <c r="E238" s="329">
        <f>(E237/E236)</f>
        <v>0.47819887429643526</v>
      </c>
      <c r="F238" s="330"/>
      <c r="G238" s="329">
        <f>(G237/G236)</f>
        <v>0.47819887429643526</v>
      </c>
      <c r="H238" s="275"/>
      <c r="J238" s="276"/>
      <c r="K238" s="276"/>
    </row>
    <row r="239" spans="1:11">
      <c r="C239" s="140"/>
      <c r="D239" s="140"/>
    </row>
    <row r="240" spans="1:11">
      <c r="C240" s="140"/>
      <c r="D240" s="140"/>
    </row>
    <row r="241" spans="2:7">
      <c r="B241" s="256" t="s">
        <v>339</v>
      </c>
      <c r="C241" s="140"/>
      <c r="D241" s="140"/>
      <c r="F241" s="251" t="s">
        <v>340</v>
      </c>
      <c r="G241" s="558">
        <f>'[42]Sch B'!C85</f>
        <v>211.18302259887002</v>
      </c>
    </row>
    <row r="242" spans="2:7">
      <c r="C242" s="140"/>
      <c r="D242" s="140"/>
      <c r="F242" s="251" t="s">
        <v>341</v>
      </c>
      <c r="G242" s="558">
        <f>'[42]Sch B'!E85</f>
        <v>198.82122905027933</v>
      </c>
    </row>
    <row r="243" spans="2:7">
      <c r="C243" s="140"/>
      <c r="D243" s="140"/>
      <c r="F243" s="251" t="s">
        <v>342</v>
      </c>
      <c r="G243" s="558">
        <f>'[42]Sch B'!G85</f>
        <v>131.66189054726368</v>
      </c>
    </row>
    <row r="244" spans="2:7">
      <c r="C244" s="140"/>
      <c r="D244" s="140"/>
      <c r="F244" s="251" t="s">
        <v>343</v>
      </c>
      <c r="G244" s="558">
        <f>'[42]Sch B'!I85</f>
        <v>271.06001470588234</v>
      </c>
    </row>
    <row r="245" spans="2:7">
      <c r="C245" s="140"/>
      <c r="D245" s="140"/>
      <c r="F245" s="251"/>
    </row>
    <row r="246" spans="2:7">
      <c r="C246" s="140"/>
      <c r="D246" s="140"/>
    </row>
    <row r="247" spans="2:7">
      <c r="C247" s="140"/>
      <c r="D247" s="140"/>
    </row>
    <row r="248" spans="2:7">
      <c r="C248" s="140"/>
      <c r="D248" s="140"/>
    </row>
    <row r="249" spans="2:7">
      <c r="C249" s="140"/>
      <c r="D249" s="140"/>
    </row>
    <row r="250" spans="2:7">
      <c r="C250" s="140"/>
      <c r="D250" s="140"/>
    </row>
    <row r="251" spans="2:7">
      <c r="C251" s="140"/>
      <c r="D251" s="140"/>
    </row>
  </sheetData>
  <customSheetViews>
    <customSheetView guid="{00D6F160-3E2B-11D5-8BE5-C1A1C12816BD}" showPageBreaks="1" showGridLines="0" showRuler="0">
      <selection activeCell="A20" sqref="A2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3">
    <tabColor rgb="FFE28CAB"/>
  </sheetPr>
  <dimension ref="A1:T245"/>
  <sheetViews>
    <sheetView showGridLines="0" zoomScaleNormal="100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358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60"/>
    </row>
    <row r="4" spans="1:17">
      <c r="A4" s="145"/>
      <c r="B4" s="148" t="s">
        <v>80</v>
      </c>
      <c r="C4" s="489">
        <v>42551</v>
      </c>
      <c r="D4" s="144"/>
      <c r="E4" s="149"/>
      <c r="F4" s="460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'[43]Sch B'!E10</f>
        <v>2038483</v>
      </c>
      <c r="D11" s="558">
        <f>'[43]Sch B'!G10</f>
        <v>0</v>
      </c>
      <c r="E11" s="171">
        <f>C11+D11</f>
        <v>2038483</v>
      </c>
      <c r="F11" s="171"/>
      <c r="G11" s="171">
        <f t="shared" ref="G11:G20" si="0">E11+F11</f>
        <v>2038483</v>
      </c>
      <c r="H11" s="172">
        <f t="shared" ref="H11:H21" si="1">IF($G$21=0,0,G11/$G$21)</f>
        <v>0.42037676052925227</v>
      </c>
      <c r="I11" s="336"/>
      <c r="J11" s="368" t="s">
        <v>344</v>
      </c>
      <c r="K11" s="369">
        <f>G21</f>
        <v>4849181</v>
      </c>
      <c r="M11" s="359">
        <f>IFERROR(G11/G219,0)</f>
        <v>175.80707201379906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'[43]Sch B'!E15</f>
        <v>0</v>
      </c>
      <c r="D12" s="558">
        <f>'[43]Sch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4899562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'[43]Sch B'!E21</f>
        <v>1177010</v>
      </c>
      <c r="D13" s="558">
        <f>'[43]Sch B'!G21</f>
        <v>0</v>
      </c>
      <c r="E13" s="171">
        <f t="shared" si="2"/>
        <v>1177010</v>
      </c>
      <c r="F13" s="171"/>
      <c r="G13" s="171">
        <f t="shared" si="0"/>
        <v>1177010</v>
      </c>
      <c r="H13" s="172">
        <f t="shared" si="1"/>
        <v>0.24272346196192718</v>
      </c>
      <c r="I13" s="336"/>
      <c r="J13" s="370" t="s">
        <v>346</v>
      </c>
      <c r="K13" s="371">
        <f>G228</f>
        <v>20307</v>
      </c>
      <c r="M13" s="359">
        <f t="shared" si="3"/>
        <v>546.17633410672852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'[43]Sch B'!E27</f>
        <v>435062</v>
      </c>
      <c r="D14" s="558">
        <f>'[43]Sch B'!G27</f>
        <v>0</v>
      </c>
      <c r="E14" s="171">
        <f t="shared" si="2"/>
        <v>435062</v>
      </c>
      <c r="F14" s="175"/>
      <c r="G14" s="175">
        <f>E14+F14</f>
        <v>435062</v>
      </c>
      <c r="H14" s="176">
        <f t="shared" si="1"/>
        <v>8.9718655583283027E-2</v>
      </c>
      <c r="I14" s="337"/>
      <c r="J14" s="370" t="s">
        <v>347</v>
      </c>
      <c r="K14" s="371">
        <f>G231</f>
        <v>102</v>
      </c>
      <c r="M14" s="359">
        <f t="shared" si="3"/>
        <v>455.08577405857739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'[43]Sch B'!E32</f>
        <v>0</v>
      </c>
      <c r="D15" s="558">
        <f>'[43]Sch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37332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'[43]Sch B'!E37</f>
        <v>852304</v>
      </c>
      <c r="D16" s="558">
        <f>'[43]Sch B'!G37</f>
        <v>0</v>
      </c>
      <c r="E16" s="171">
        <f t="shared" si="2"/>
        <v>852304</v>
      </c>
      <c r="F16" s="171"/>
      <c r="G16" s="171">
        <f t="shared" si="0"/>
        <v>852304</v>
      </c>
      <c r="H16" s="172">
        <f t="shared" si="1"/>
        <v>0.1757624638057437</v>
      </c>
      <c r="I16" s="336"/>
      <c r="J16" s="372"/>
      <c r="K16" s="371"/>
      <c r="M16" s="359">
        <f t="shared" si="3"/>
        <v>210.80979470690082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'[43]Sch B'!E42</f>
        <v>192098</v>
      </c>
      <c r="D17" s="558">
        <f>'[43]Sch B'!G42</f>
        <v>0</v>
      </c>
      <c r="E17" s="171">
        <f t="shared" si="2"/>
        <v>192098</v>
      </c>
      <c r="F17" s="171"/>
      <c r="G17" s="171">
        <f>E17+F17</f>
        <v>192098</v>
      </c>
      <c r="H17" s="172">
        <f t="shared" si="1"/>
        <v>3.96145245970402E-2</v>
      </c>
      <c r="I17" s="336"/>
      <c r="J17" s="370" t="s">
        <v>156</v>
      </c>
      <c r="K17" s="371">
        <f>J208</f>
        <v>103154</v>
      </c>
      <c r="M17" s="359">
        <f t="shared" si="3"/>
        <v>176.88581952117863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'[43]Sch B'!E47</f>
        <v>0</v>
      </c>
      <c r="D18" s="558">
        <f>'[43]Sch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111012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'[43]Sch B'!E52</f>
        <v>104561</v>
      </c>
      <c r="D19" s="558">
        <f>'[43]Sch B'!G52</f>
        <v>0</v>
      </c>
      <c r="E19" s="171">
        <f t="shared" si="2"/>
        <v>104561</v>
      </c>
      <c r="F19" s="171"/>
      <c r="G19" s="171">
        <f t="shared" si="0"/>
        <v>104561</v>
      </c>
      <c r="H19" s="172">
        <f t="shared" si="1"/>
        <v>2.156261026346511E-2</v>
      </c>
      <c r="I19" s="336"/>
      <c r="J19" s="168"/>
      <c r="K19" s="168"/>
      <c r="M19" s="359">
        <f t="shared" si="3"/>
        <v>221.52754237288136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'[43]Sch B'!E67</f>
        <v>63413</v>
      </c>
      <c r="D20" s="558">
        <f>'[43]Sch B'!G67</f>
        <v>-13750</v>
      </c>
      <c r="E20" s="171">
        <f t="shared" si="2"/>
        <v>49663</v>
      </c>
      <c r="F20" s="171"/>
      <c r="G20" s="171">
        <f t="shared" si="0"/>
        <v>49663</v>
      </c>
      <c r="H20" s="172">
        <f t="shared" si="1"/>
        <v>1.0241523259288527E-2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4862931</v>
      </c>
      <c r="D21" s="558">
        <f>SUM(D11:D20)</f>
        <v>-13750</v>
      </c>
      <c r="E21" s="171">
        <f>SUM(E11:E20)</f>
        <v>4849181</v>
      </c>
      <c r="F21" s="171">
        <f>SUM(F11:F20)</f>
        <v>0</v>
      </c>
      <c r="G21" s="171">
        <f>SUM(G11:G20)</f>
        <v>4849181</v>
      </c>
      <c r="H21" s="172">
        <f t="shared" si="1"/>
        <v>1</v>
      </c>
      <c r="I21" s="336"/>
      <c r="J21" s="168"/>
      <c r="K21" s="168"/>
      <c r="M21" s="359">
        <f>IFERROR(G21/G228,0)</f>
        <v>238.79356872014577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'[43]Sch C'!D10</f>
        <v>0</v>
      </c>
      <c r="D25" s="558">
        <f>'[43]Sch C'!F10</f>
        <v>121216</v>
      </c>
      <c r="E25" s="171">
        <f t="shared" ref="E25:E60" si="4">C25+D25</f>
        <v>121216</v>
      </c>
      <c r="F25" s="171"/>
      <c r="G25" s="182">
        <f>E25+F25</f>
        <v>121216</v>
      </c>
      <c r="H25" s="172">
        <f>IF($G$208=0,0,G25/$G$208)</f>
        <v>2.4740170651988892E-2</v>
      </c>
      <c r="I25" s="336"/>
      <c r="J25" s="183">
        <v>1984</v>
      </c>
      <c r="K25" s="183">
        <v>2176</v>
      </c>
      <c r="M25" s="359">
        <f>G25/G$228</f>
        <v>5.9691731915103166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'[43]Sch C'!D11</f>
        <v>0</v>
      </c>
      <c r="D26" s="558">
        <f>'[43]Sch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'[43]Sch C'!D12</f>
        <v>250421</v>
      </c>
      <c r="D27" s="558">
        <f>'[43]Sch C'!F12</f>
        <v>-121216</v>
      </c>
      <c r="E27" s="171">
        <f t="shared" si="4"/>
        <v>129205</v>
      </c>
      <c r="F27" s="171"/>
      <c r="G27" s="171">
        <f t="shared" si="5"/>
        <v>129205</v>
      </c>
      <c r="H27" s="172">
        <f t="shared" si="6"/>
        <v>2.6370724566808217E-2</v>
      </c>
      <c r="I27" s="336"/>
      <c r="J27" s="185">
        <v>8475</v>
      </c>
      <c r="K27" s="185">
        <v>9047</v>
      </c>
      <c r="M27" s="359">
        <f t="shared" si="7"/>
        <v>6.3625843305264196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'[43]Sch C'!D13</f>
        <v>30150</v>
      </c>
      <c r="D28" s="558">
        <f>'[43]Sch C'!F13</f>
        <v>-32</v>
      </c>
      <c r="E28" s="171">
        <f t="shared" si="4"/>
        <v>30118</v>
      </c>
      <c r="F28" s="171"/>
      <c r="G28" s="171">
        <f t="shared" si="5"/>
        <v>30118</v>
      </c>
      <c r="H28" s="172">
        <f t="shared" si="6"/>
        <v>6.1470800859342121E-3</v>
      </c>
      <c r="I28" s="336"/>
      <c r="J28" s="168"/>
      <c r="K28" s="168"/>
      <c r="M28" s="359">
        <f t="shared" si="7"/>
        <v>1.4831338947161077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'[43]Sch C'!D14</f>
        <v>0</v>
      </c>
      <c r="D29" s="558">
        <f>'[43]Sch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'[43]Sch C'!D15</f>
        <v>0</v>
      </c>
      <c r="D30" s="558">
        <f>'[43]Sch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'[43]Sch C'!D16</f>
        <v>239941</v>
      </c>
      <c r="D31" s="558">
        <f>'[43]Sch C'!F16</f>
        <v>-22987</v>
      </c>
      <c r="E31" s="171">
        <f t="shared" si="4"/>
        <v>216954</v>
      </c>
      <c r="F31" s="171"/>
      <c r="G31" s="171">
        <f t="shared" si="5"/>
        <v>216954</v>
      </c>
      <c r="H31" s="172">
        <f t="shared" si="6"/>
        <v>4.4280284645852014E-2</v>
      </c>
      <c r="I31" s="336"/>
      <c r="J31" s="168"/>
      <c r="K31" s="168"/>
      <c r="M31" s="359">
        <f t="shared" si="7"/>
        <v>10.683705126311125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'[43]Sch C'!D17</f>
        <v>407</v>
      </c>
      <c r="D32" s="558">
        <f>'[43]Sch C'!F17</f>
        <v>-407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'[43]Sch C'!D18</f>
        <v>19268</v>
      </c>
      <c r="D33" s="558">
        <f>'[43]Sch C'!F18</f>
        <v>0</v>
      </c>
      <c r="E33" s="171">
        <f t="shared" si="4"/>
        <v>19268</v>
      </c>
      <c r="F33" s="171"/>
      <c r="G33" s="171">
        <f t="shared" si="5"/>
        <v>19268</v>
      </c>
      <c r="H33" s="172">
        <f t="shared" si="6"/>
        <v>3.9325964239252404E-3</v>
      </c>
      <c r="I33" s="336"/>
      <c r="J33" s="168"/>
      <c r="K33" s="168"/>
      <c r="M33" s="359">
        <f t="shared" si="7"/>
        <v>0.94883537696360865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'[43]Sch C'!D19</f>
        <v>12414</v>
      </c>
      <c r="D34" s="558">
        <f>'[43]Sch C'!F19</f>
        <v>0</v>
      </c>
      <c r="E34" s="171">
        <f t="shared" si="4"/>
        <v>12414</v>
      </c>
      <c r="F34" s="171"/>
      <c r="G34" s="171">
        <f t="shared" si="5"/>
        <v>12414</v>
      </c>
      <c r="H34" s="172">
        <f t="shared" si="6"/>
        <v>2.5336958691409557E-3</v>
      </c>
      <c r="I34" s="336"/>
      <c r="J34" s="168"/>
      <c r="K34" s="168"/>
      <c r="M34" s="359">
        <f t="shared" si="7"/>
        <v>0.61131629487368888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'[43]Sch C'!D20</f>
        <v>10933</v>
      </c>
      <c r="D35" s="558">
        <f>'[43]Sch C'!F20</f>
        <v>-90</v>
      </c>
      <c r="E35" s="171">
        <f t="shared" si="4"/>
        <v>10843</v>
      </c>
      <c r="F35" s="171"/>
      <c r="G35" s="171">
        <f t="shared" si="5"/>
        <v>10843</v>
      </c>
      <c r="H35" s="172">
        <f t="shared" si="6"/>
        <v>2.2130549628721916E-3</v>
      </c>
      <c r="I35" s="336"/>
      <c r="J35" s="168"/>
      <c r="K35" s="168"/>
      <c r="M35" s="359">
        <f t="shared" si="7"/>
        <v>0.53395380903136846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'[43]Sch C'!D21</f>
        <v>7211</v>
      </c>
      <c r="D36" s="558">
        <f>'[43]Sch C'!F21</f>
        <v>0</v>
      </c>
      <c r="E36" s="171">
        <f t="shared" si="4"/>
        <v>7211</v>
      </c>
      <c r="F36" s="171"/>
      <c r="G36" s="171">
        <f t="shared" si="5"/>
        <v>7211</v>
      </c>
      <c r="H36" s="172">
        <f t="shared" si="6"/>
        <v>1.4717642107600639E-3</v>
      </c>
      <c r="I36" s="336"/>
      <c r="J36" s="168"/>
      <c r="K36" s="168"/>
      <c r="M36" s="359">
        <f t="shared" si="7"/>
        <v>0.35509922686758261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'[43]Sch C'!D22</f>
        <v>0</v>
      </c>
      <c r="D37" s="558">
        <f>'[43]Sch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'[43]Sch C'!D23</f>
        <v>6154</v>
      </c>
      <c r="D38" s="558">
        <f>'[43]Sch C'!F23</f>
        <v>0</v>
      </c>
      <c r="E38" s="171">
        <f t="shared" si="4"/>
        <v>6154</v>
      </c>
      <c r="F38" s="171"/>
      <c r="G38" s="171">
        <f t="shared" si="5"/>
        <v>6154</v>
      </c>
      <c r="H38" s="172">
        <f t="shared" si="6"/>
        <v>1.2560306411062865E-3</v>
      </c>
      <c r="I38" s="336"/>
      <c r="J38" s="168"/>
      <c r="K38" s="168"/>
      <c r="M38" s="359">
        <f t="shared" si="7"/>
        <v>0.30304820997685528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'[43]Sch C'!D24</f>
        <v>10766</v>
      </c>
      <c r="D39" s="558">
        <f>'[43]Sch C'!F24</f>
        <v>0</v>
      </c>
      <c r="E39" s="171">
        <f t="shared" si="4"/>
        <v>10766</v>
      </c>
      <c r="F39" s="171"/>
      <c r="G39" s="171">
        <f t="shared" si="5"/>
        <v>10766</v>
      </c>
      <c r="H39" s="172">
        <f t="shared" si="6"/>
        <v>2.1973392723676115E-3</v>
      </c>
      <c r="I39" s="336"/>
      <c r="J39" s="168"/>
      <c r="K39" s="168"/>
      <c r="M39" s="359">
        <f t="shared" si="7"/>
        <v>0.53016201309893141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'[43]Sch C'!D25</f>
        <v>765</v>
      </c>
      <c r="D40" s="558">
        <f>'[43]Sch C'!F25</f>
        <v>0</v>
      </c>
      <c r="E40" s="171">
        <f t="shared" si="4"/>
        <v>765</v>
      </c>
      <c r="F40" s="171"/>
      <c r="G40" s="171">
        <f t="shared" si="5"/>
        <v>765</v>
      </c>
      <c r="H40" s="172">
        <f t="shared" si="6"/>
        <v>1.561364056623837E-4</v>
      </c>
      <c r="I40" s="336"/>
      <c r="J40" s="168"/>
      <c r="K40" s="168"/>
      <c r="M40" s="359">
        <f t="shared" si="7"/>
        <v>3.7671738809277586E-2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'[43]Sch C'!D26</f>
        <v>315177</v>
      </c>
      <c r="D41" s="558">
        <f>'[43]Sch C'!F26</f>
        <v>0</v>
      </c>
      <c r="E41" s="171">
        <f t="shared" si="4"/>
        <v>315177</v>
      </c>
      <c r="F41" s="171"/>
      <c r="G41" s="171">
        <f t="shared" si="5"/>
        <v>315177</v>
      </c>
      <c r="H41" s="172">
        <f t="shared" si="6"/>
        <v>6.4327586833272041E-2</v>
      </c>
      <c r="I41" s="336"/>
      <c r="J41" s="168"/>
      <c r="K41" s="168"/>
      <c r="M41" s="359">
        <f t="shared" si="7"/>
        <v>15.520608657113311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'[43]Sch C'!D27</f>
        <v>14946</v>
      </c>
      <c r="D42" s="558">
        <f>'[43]Sch C'!F27</f>
        <v>-101</v>
      </c>
      <c r="E42" s="171">
        <f t="shared" si="4"/>
        <v>14845</v>
      </c>
      <c r="F42" s="171"/>
      <c r="G42" s="171">
        <f t="shared" si="5"/>
        <v>14845</v>
      </c>
      <c r="H42" s="172">
        <f t="shared" si="6"/>
        <v>3.0298626693569751E-3</v>
      </c>
      <c r="I42" s="336"/>
      <c r="J42" s="168"/>
      <c r="K42" s="168"/>
      <c r="M42" s="359">
        <f t="shared" si="7"/>
        <v>0.73102870931205988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'[43]Sch C'!D28</f>
        <v>0</v>
      </c>
      <c r="D43" s="558">
        <f>'[43]Sch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'[43]Sch C'!D29</f>
        <v>21798</v>
      </c>
      <c r="D44" s="558">
        <f>'[43]Sch C'!F29</f>
        <v>-21798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'[43]Sch C'!D30</f>
        <v>0</v>
      </c>
      <c r="D45" s="558">
        <f>'[43]Sch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'[43]Sch C'!D31</f>
        <v>0</v>
      </c>
      <c r="D46" s="558">
        <f>'[43]Sch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'[43]Sch C'!D32</f>
        <v>55940</v>
      </c>
      <c r="D47" s="558">
        <f>'[43]Sch C'!F32</f>
        <v>0</v>
      </c>
      <c r="E47" s="171">
        <f t="shared" si="4"/>
        <v>55940</v>
      </c>
      <c r="F47" s="171"/>
      <c r="G47" s="171">
        <f t="shared" si="5"/>
        <v>55940</v>
      </c>
      <c r="H47" s="172">
        <f t="shared" si="6"/>
        <v>1.1417347101638881E-2</v>
      </c>
      <c r="I47" s="336"/>
      <c r="J47" s="168"/>
      <c r="K47" s="168"/>
      <c r="M47" s="359">
        <f t="shared" si="7"/>
        <v>2.7547151228640372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'[43]Sch C'!D33</f>
        <v>0</v>
      </c>
      <c r="D48" s="558">
        <f>'[43]Sch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'[43]Sch C'!D34</f>
        <v>370</v>
      </c>
      <c r="D49" s="558">
        <f>'[43]Sch C'!F34</f>
        <v>0</v>
      </c>
      <c r="E49" s="171">
        <f t="shared" si="4"/>
        <v>370</v>
      </c>
      <c r="F49" s="171"/>
      <c r="G49" s="171">
        <f t="shared" si="5"/>
        <v>370</v>
      </c>
      <c r="H49" s="172">
        <f t="shared" si="6"/>
        <v>7.5516954372656167E-5</v>
      </c>
      <c r="I49" s="336"/>
      <c r="J49" s="168"/>
      <c r="K49" s="168"/>
      <c r="M49" s="359">
        <f t="shared" si="7"/>
        <v>1.8220318116905502E-2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'[43]Sch C'!D35</f>
        <v>0</v>
      </c>
      <c r="D50" s="558">
        <f>'[43]Sch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'[43]Sch C'!D36</f>
        <v>0</v>
      </c>
      <c r="D51" s="558">
        <f>'[43]Sch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'[43]Sch C'!D37</f>
        <v>0</v>
      </c>
      <c r="D52" s="558">
        <f>'[43]Sch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'[43]Sch C'!D38</f>
        <v>0</v>
      </c>
      <c r="D53" s="558">
        <f>'[43]Sch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'[43]Sch C'!D39</f>
        <v>5785</v>
      </c>
      <c r="D54" s="558">
        <f>'[43]Sch C'!F39</f>
        <v>0</v>
      </c>
      <c r="E54" s="171">
        <f t="shared" si="4"/>
        <v>5785</v>
      </c>
      <c r="F54" s="171"/>
      <c r="G54" s="171">
        <f t="shared" si="5"/>
        <v>5785</v>
      </c>
      <c r="H54" s="172">
        <f t="shared" si="6"/>
        <v>1.1807177866103133E-3</v>
      </c>
      <c r="I54" s="336"/>
      <c r="J54" s="168"/>
      <c r="K54" s="168"/>
      <c r="M54" s="359">
        <f t="shared" si="7"/>
        <v>0.28487713596296843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'[43]Sch C'!D40</f>
        <v>3747</v>
      </c>
      <c r="D55" s="558">
        <f>'[43]Sch C'!F40</f>
        <v>-3747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'[43]Sch C'!D41</f>
        <v>120468</v>
      </c>
      <c r="D56" s="558">
        <f>'[43]Sch C'!F41</f>
        <v>-1533</v>
      </c>
      <c r="E56" s="171">
        <f t="shared" si="4"/>
        <v>118935</v>
      </c>
      <c r="F56" s="171"/>
      <c r="G56" s="171">
        <f t="shared" si="5"/>
        <v>118935</v>
      </c>
      <c r="H56" s="172">
        <f t="shared" si="6"/>
        <v>2.4274618833275301E-2</v>
      </c>
      <c r="I56" s="336"/>
      <c r="J56" s="168"/>
      <c r="K56" s="168"/>
      <c r="M56" s="359">
        <f t="shared" si="7"/>
        <v>5.8568473925247453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'[43]Sch C'!D42</f>
        <v>188</v>
      </c>
      <c r="D57" s="558">
        <f>'[43]Sch C'!F42</f>
        <v>0</v>
      </c>
      <c r="E57" s="171">
        <f t="shared" si="4"/>
        <v>188</v>
      </c>
      <c r="F57" s="171"/>
      <c r="G57" s="171">
        <f t="shared" si="5"/>
        <v>188</v>
      </c>
      <c r="H57" s="172">
        <f t="shared" si="6"/>
        <v>3.8370776816376646E-5</v>
      </c>
      <c r="I57" s="336"/>
      <c r="J57" s="168"/>
      <c r="K57" s="168"/>
      <c r="M57" s="359">
        <f t="shared" si="7"/>
        <v>9.2578913675087412E-3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'[43]Sch C'!D43</f>
        <v>7619</v>
      </c>
      <c r="D58" s="558">
        <f>'[43]Sch C'!F43</f>
        <v>-7619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'[43]Sch C'!D44</f>
        <v>97</v>
      </c>
      <c r="D59" s="558">
        <f>'[43]Sch C'!F44</f>
        <v>0</v>
      </c>
      <c r="E59" s="171">
        <f t="shared" si="4"/>
        <v>97</v>
      </c>
      <c r="F59" s="171"/>
      <c r="G59" s="171">
        <f t="shared" si="5"/>
        <v>97</v>
      </c>
      <c r="H59" s="172">
        <f t="shared" si="6"/>
        <v>1.9797688038236886E-5</v>
      </c>
      <c r="I59" s="336"/>
      <c r="J59" s="168"/>
      <c r="K59" s="168"/>
      <c r="M59" s="359">
        <f t="shared" si="7"/>
        <v>4.7766779928103608E-3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'[43]Sch C'!D45</f>
        <v>4383</v>
      </c>
      <c r="D60" s="558">
        <f>'[43]Sch C'!F45</f>
        <v>-11508</v>
      </c>
      <c r="E60" s="171">
        <f t="shared" si="4"/>
        <v>-7125</v>
      </c>
      <c r="F60" s="171"/>
      <c r="G60" s="171">
        <f t="shared" si="5"/>
        <v>-7125</v>
      </c>
      <c r="H60" s="172">
        <f t="shared" si="6"/>
        <v>-1.4542116213653383E-3</v>
      </c>
      <c r="I60" s="336"/>
      <c r="J60" s="168"/>
      <c r="K60" s="168"/>
      <c r="M60" s="359">
        <f t="shared" si="7"/>
        <v>-0.35086423400797756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1138948</v>
      </c>
      <c r="D61" s="558">
        <f>SUM(D25:D60)</f>
        <v>-69822</v>
      </c>
      <c r="E61" s="171">
        <f t="shared" ref="E61:F61" si="8">SUM(E25:E60)</f>
        <v>1069126</v>
      </c>
      <c r="F61" s="171">
        <f t="shared" si="8"/>
        <v>0</v>
      </c>
      <c r="G61" s="171">
        <f>SUM(G25:G60)</f>
        <v>1069126</v>
      </c>
      <c r="H61" s="186">
        <f t="shared" si="6"/>
        <v>0.21820848475843352</v>
      </c>
      <c r="I61" s="338"/>
      <c r="J61" s="168"/>
      <c r="K61" s="168"/>
      <c r="M61" s="364">
        <f>G61/G$228</f>
        <v>52.648150883931649</v>
      </c>
      <c r="N61" s="359">
        <f>SUMMARY!J64</f>
        <v>53.728790309602623</v>
      </c>
      <c r="O61" s="354">
        <f>M61/N61-1</f>
        <v>-2.0112856058064565E-2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'[43]Sch C'!D57</f>
        <v>275241</v>
      </c>
      <c r="D64" s="558">
        <f>'[43]Sch C'!F57</f>
        <v>0</v>
      </c>
      <c r="E64" s="171">
        <f t="shared" ref="E64:E78" si="9">C64+D64</f>
        <v>275241</v>
      </c>
      <c r="F64" s="564"/>
      <c r="G64" s="171">
        <f t="shared" ref="G64:G78" si="10">E64+F64</f>
        <v>275241</v>
      </c>
      <c r="H64" s="172">
        <f t="shared" ref="H64:H79" si="11">IF($G$208=0,0,G64/$G$208)</f>
        <v>5.617665415806556E-2</v>
      </c>
      <c r="I64" s="555" t="s">
        <v>420</v>
      </c>
      <c r="J64" s="190"/>
      <c r="K64" s="168"/>
      <c r="M64" s="359">
        <f t="shared" ref="M64:M79" si="12">G64/G$228</f>
        <v>13.553996158959965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'[43]Sch C'!D58</f>
        <v>17457</v>
      </c>
      <c r="D65" s="558">
        <f>'[43]Sch C'!F58</f>
        <v>0</v>
      </c>
      <c r="E65" s="171">
        <f t="shared" si="9"/>
        <v>17457</v>
      </c>
      <c r="F65" s="171"/>
      <c r="G65" s="171">
        <f t="shared" si="10"/>
        <v>17457</v>
      </c>
      <c r="H65" s="172">
        <f t="shared" si="11"/>
        <v>3.5629715472525912E-3</v>
      </c>
      <c r="I65" s="336"/>
      <c r="J65" s="190"/>
      <c r="K65" s="168"/>
      <c r="M65" s="359">
        <f t="shared" si="12"/>
        <v>0.85965430639680895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'[43]Sch C'!D59</f>
        <v>0</v>
      </c>
      <c r="D66" s="558">
        <f>'[43]Sch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'[43]Sch C'!D60</f>
        <v>28801</v>
      </c>
      <c r="D67" s="558">
        <f>'[43]Sch C'!F60</f>
        <v>0</v>
      </c>
      <c r="E67" s="171">
        <f t="shared" si="9"/>
        <v>28801</v>
      </c>
      <c r="F67" s="171"/>
      <c r="G67" s="171">
        <f t="shared" si="10"/>
        <v>28801</v>
      </c>
      <c r="H67" s="172">
        <f t="shared" si="11"/>
        <v>5.8782805483428924E-3</v>
      </c>
      <c r="I67" s="336"/>
      <c r="J67" s="193"/>
      <c r="K67" s="168"/>
      <c r="M67" s="359">
        <f t="shared" si="12"/>
        <v>1.4182794110405279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'[43]Sch C'!D61</f>
        <v>15260</v>
      </c>
      <c r="D68" s="558">
        <f>'[43]Sch C'!F61</f>
        <v>0</v>
      </c>
      <c r="E68" s="171">
        <f t="shared" si="9"/>
        <v>15260</v>
      </c>
      <c r="F68" s="171"/>
      <c r="G68" s="171">
        <f t="shared" si="10"/>
        <v>15260</v>
      </c>
      <c r="H68" s="172">
        <f t="shared" si="11"/>
        <v>3.1145641181803598E-3</v>
      </c>
      <c r="I68" s="336"/>
      <c r="J68" s="193"/>
      <c r="K68" s="168"/>
      <c r="M68" s="359">
        <f t="shared" si="12"/>
        <v>0.7514650120648052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'[43]Sch C'!D62</f>
        <v>745</v>
      </c>
      <c r="D69" s="558">
        <f>'[43]Sch C'!F62</f>
        <v>0</v>
      </c>
      <c r="E69" s="171">
        <f t="shared" si="9"/>
        <v>745</v>
      </c>
      <c r="F69" s="171"/>
      <c r="G69" s="171">
        <f t="shared" si="10"/>
        <v>745</v>
      </c>
      <c r="H69" s="172">
        <f t="shared" si="11"/>
        <v>1.5205440812872661E-4</v>
      </c>
      <c r="I69" s="336"/>
      <c r="J69" s="195"/>
      <c r="K69" s="168"/>
      <c r="M69" s="359">
        <f t="shared" si="12"/>
        <v>3.6686856748904317E-2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'[43]Sch C'!D63</f>
        <v>0</v>
      </c>
      <c r="D70" s="558">
        <f>'[43]Sch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'[43]Sch C'!D64</f>
        <v>0</v>
      </c>
      <c r="D71" s="558">
        <f>'[43]Sch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'[43]Sch C'!D65</f>
        <v>0</v>
      </c>
      <c r="D72" s="558">
        <f>'[43]Sch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'[43]Sch C'!D66</f>
        <v>52115</v>
      </c>
      <c r="D73" s="558">
        <f>'[43]Sch C'!F66</f>
        <v>105</v>
      </c>
      <c r="E73" s="171">
        <f t="shared" si="9"/>
        <v>52220</v>
      </c>
      <c r="F73" s="564"/>
      <c r="G73" s="171">
        <f t="shared" si="10"/>
        <v>52220</v>
      </c>
      <c r="H73" s="172">
        <f t="shared" si="11"/>
        <v>1.0658095560378663E-2</v>
      </c>
      <c r="I73" s="555" t="s">
        <v>420</v>
      </c>
      <c r="J73" s="195"/>
      <c r="K73" s="168"/>
      <c r="M73" s="359">
        <f t="shared" si="12"/>
        <v>2.5715270596346089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'[43]Sch C'!D67</f>
        <v>40087</v>
      </c>
      <c r="D74" s="558">
        <f>'[43]Sch C'!F67</f>
        <v>0</v>
      </c>
      <c r="E74" s="171">
        <f t="shared" si="9"/>
        <v>40087</v>
      </c>
      <c r="F74" s="171"/>
      <c r="G74" s="171">
        <f t="shared" si="10"/>
        <v>40087</v>
      </c>
      <c r="H74" s="172">
        <f t="shared" si="11"/>
        <v>8.1817517565855886E-3</v>
      </c>
      <c r="I74" s="336"/>
      <c r="J74" s="195"/>
      <c r="K74" s="168"/>
      <c r="M74" s="359">
        <f t="shared" si="12"/>
        <v>1.9740483577091643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'[43]Sch C'!D68</f>
        <v>0</v>
      </c>
      <c r="D75" s="558">
        <f>'[43]Sch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'[43]Sch C'!D69</f>
        <v>4666</v>
      </c>
      <c r="D76" s="558">
        <f>'[43]Sch C'!F69</f>
        <v>0</v>
      </c>
      <c r="E76" s="171">
        <f t="shared" si="9"/>
        <v>4666</v>
      </c>
      <c r="F76" s="171"/>
      <c r="G76" s="171">
        <f t="shared" si="10"/>
        <v>4666</v>
      </c>
      <c r="H76" s="172">
        <f t="shared" si="11"/>
        <v>9.5233002460219911E-4</v>
      </c>
      <c r="I76" s="336"/>
      <c r="J76" s="195"/>
      <c r="K76" s="168"/>
      <c r="M76" s="359">
        <f t="shared" si="12"/>
        <v>0.22977298468508395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'[43]Sch C'!D70</f>
        <v>0</v>
      </c>
      <c r="D77" s="558">
        <f>'[43]Sch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'[43]Sch C'!D71</f>
        <v>0</v>
      </c>
      <c r="D78" s="558">
        <f>'[43]Sch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434372</v>
      </c>
      <c r="D79" s="558">
        <f>SUM(D64:D78)</f>
        <v>105</v>
      </c>
      <c r="E79" s="171">
        <f t="shared" ref="E79:F79" si="13">SUM(E64:E78)</f>
        <v>434477</v>
      </c>
      <c r="F79" s="171">
        <f t="shared" si="13"/>
        <v>0</v>
      </c>
      <c r="G79" s="171">
        <f>SUM(G64:G78)</f>
        <v>434477</v>
      </c>
      <c r="H79" s="172">
        <f t="shared" si="11"/>
        <v>8.8676702121536582E-2</v>
      </c>
      <c r="I79" s="336"/>
      <c r="J79" s="195"/>
      <c r="K79" s="168"/>
      <c r="M79" s="359">
        <f t="shared" si="12"/>
        <v>21.395430147239868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'[43]Sch C'!D75</f>
        <v>55735</v>
      </c>
      <c r="D82" s="558">
        <f>'[43]Sch C'!F75</f>
        <v>0</v>
      </c>
      <c r="E82" s="171">
        <f t="shared" ref="E82:E92" si="14">C82+D82</f>
        <v>55735</v>
      </c>
      <c r="F82" s="171"/>
      <c r="G82" s="171">
        <f t="shared" ref="G82:G92" si="15">E82+F82</f>
        <v>55735</v>
      </c>
      <c r="H82" s="172">
        <f t="shared" ref="H82:H93" si="16">IF($G$208=0,0,G82/$G$208)</f>
        <v>1.1375506626918896E-2</v>
      </c>
      <c r="I82" s="336"/>
      <c r="J82" s="183">
        <v>3058</v>
      </c>
      <c r="K82" s="183">
        <v>3271</v>
      </c>
      <c r="M82" s="359">
        <f t="shared" ref="M82:M92" si="17">G82/G$228</f>
        <v>2.7446200817452109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'[43]Sch C'!D76</f>
        <v>22056</v>
      </c>
      <c r="D83" s="558">
        <f>'[43]Sch C'!F76</f>
        <v>0</v>
      </c>
      <c r="E83" s="171">
        <f t="shared" si="14"/>
        <v>22056</v>
      </c>
      <c r="F83" s="171"/>
      <c r="G83" s="171">
        <f t="shared" si="15"/>
        <v>22056</v>
      </c>
      <c r="H83" s="172">
        <f t="shared" si="16"/>
        <v>4.501626880117039E-3</v>
      </c>
      <c r="I83" s="336"/>
      <c r="J83" s="168"/>
      <c r="K83" s="168"/>
      <c r="M83" s="359">
        <f t="shared" si="17"/>
        <v>1.0861279361796425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'[43]Sch C'!D77</f>
        <v>18009</v>
      </c>
      <c r="D84" s="558">
        <f>'[43]Sch C'!F77</f>
        <v>0</v>
      </c>
      <c r="E84" s="171">
        <f t="shared" si="14"/>
        <v>18009</v>
      </c>
      <c r="F84" s="171"/>
      <c r="G84" s="171">
        <f t="shared" si="15"/>
        <v>18009</v>
      </c>
      <c r="H84" s="172">
        <f t="shared" si="16"/>
        <v>3.6756346791815267E-3</v>
      </c>
      <c r="I84" s="336"/>
      <c r="J84" s="168"/>
      <c r="K84" s="168"/>
      <c r="M84" s="359">
        <f t="shared" si="17"/>
        <v>0.8868370512631113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'[43]Sch C'!D78</f>
        <v>0</v>
      </c>
      <c r="D85" s="558">
        <f>'[43]Sch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'[43]Sch C'!D79</f>
        <v>5506</v>
      </c>
      <c r="D86" s="558">
        <f>'[43]Sch C'!F79</f>
        <v>0</v>
      </c>
      <c r="E86" s="171">
        <f t="shared" si="14"/>
        <v>5506</v>
      </c>
      <c r="F86" s="171"/>
      <c r="G86" s="171">
        <f>E86+F86</f>
        <v>5506</v>
      </c>
      <c r="H86" s="172">
        <f t="shared" si="16"/>
        <v>1.1237739210157968E-3</v>
      </c>
      <c r="I86" s="336"/>
      <c r="J86" s="168"/>
      <c r="K86" s="168"/>
      <c r="M86" s="359">
        <f t="shared" si="17"/>
        <v>0.2711380312207613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'[43]Sch C'!D80</f>
        <v>14923</v>
      </c>
      <c r="D87" s="558">
        <f>'[43]Sch C'!F80</f>
        <v>0</v>
      </c>
      <c r="E87" s="171">
        <f t="shared" si="14"/>
        <v>14923</v>
      </c>
      <c r="F87" s="171"/>
      <c r="G87" s="171">
        <f t="shared" si="15"/>
        <v>14923</v>
      </c>
      <c r="H87" s="172">
        <f t="shared" si="16"/>
        <v>3.0457824597382378E-3</v>
      </c>
      <c r="I87" s="336"/>
      <c r="J87" s="168"/>
      <c r="K87" s="168"/>
      <c r="M87" s="359">
        <f t="shared" si="17"/>
        <v>0.73486974934751559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'[43]Sch C'!D81</f>
        <v>19977</v>
      </c>
      <c r="D88" s="558">
        <f>'[43]Sch C'!F81</f>
        <v>0</v>
      </c>
      <c r="E88" s="171">
        <f t="shared" si="14"/>
        <v>19977</v>
      </c>
      <c r="F88" s="171"/>
      <c r="G88" s="171">
        <f t="shared" si="15"/>
        <v>19977</v>
      </c>
      <c r="H88" s="172">
        <f t="shared" si="16"/>
        <v>4.0773032364933848E-3</v>
      </c>
      <c r="I88" s="336"/>
      <c r="J88" s="168"/>
      <c r="K88" s="168"/>
      <c r="M88" s="359">
        <f t="shared" si="17"/>
        <v>0.98374944600384107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'[43]Sch C'!D82</f>
        <v>15244</v>
      </c>
      <c r="D89" s="558">
        <f>'[43]Sch C'!F82</f>
        <v>0</v>
      </c>
      <c r="E89" s="171">
        <f t="shared" si="14"/>
        <v>15244</v>
      </c>
      <c r="F89" s="171"/>
      <c r="G89" s="171">
        <f t="shared" si="15"/>
        <v>15244</v>
      </c>
      <c r="H89" s="172">
        <f t="shared" si="16"/>
        <v>3.111298520153434E-3</v>
      </c>
      <c r="I89" s="336"/>
      <c r="J89" s="168"/>
      <c r="K89" s="168"/>
      <c r="M89" s="359">
        <f t="shared" si="17"/>
        <v>0.75067710641650665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'[43]Sch C'!D83</f>
        <v>0</v>
      </c>
      <c r="D90" s="558">
        <f>'[43]Sch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'[43]Sch C'!D84</f>
        <v>97775</v>
      </c>
      <c r="D91" s="558">
        <f>'[43]Sch C'!F84</f>
        <v>0</v>
      </c>
      <c r="E91" s="171">
        <f t="shared" si="14"/>
        <v>97775</v>
      </c>
      <c r="F91" s="171"/>
      <c r="G91" s="171">
        <f t="shared" si="15"/>
        <v>97775</v>
      </c>
      <c r="H91" s="172">
        <f t="shared" si="16"/>
        <v>1.9955865442666098E-2</v>
      </c>
      <c r="I91" s="336"/>
      <c r="J91" s="168"/>
      <c r="K91" s="168"/>
      <c r="M91" s="359">
        <f t="shared" si="17"/>
        <v>4.8148421726498256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'[43]Sch C'!D85</f>
        <v>0</v>
      </c>
      <c r="D92" s="558">
        <f>'[43]Sch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249225</v>
      </c>
      <c r="D93" s="558">
        <f>SUM(D82:D92)</f>
        <v>0</v>
      </c>
      <c r="E93" s="171">
        <f t="shared" ref="E93:F93" si="18">SUM(E82:E92)</f>
        <v>249225</v>
      </c>
      <c r="F93" s="171">
        <f t="shared" si="18"/>
        <v>0</v>
      </c>
      <c r="G93" s="171">
        <f>SUM(G82:G92)</f>
        <v>249225</v>
      </c>
      <c r="H93" s="172">
        <f t="shared" si="16"/>
        <v>5.0866791766284412E-2</v>
      </c>
      <c r="I93" s="336"/>
      <c r="J93" s="168"/>
      <c r="K93" s="168"/>
      <c r="M93" s="364">
        <f>G93/G$228</f>
        <v>12.272861574826415</v>
      </c>
      <c r="N93" s="359">
        <f>SUMMARY!J96</f>
        <v>11.458724454710746</v>
      </c>
      <c r="O93" s="354">
        <f>M93/N93-1</f>
        <v>7.10495416251129E-2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'[43]Sch C'!D89</f>
        <v>104089</v>
      </c>
      <c r="D96" s="558">
        <f>'[43]Sch C'!F89</f>
        <v>0</v>
      </c>
      <c r="E96" s="171">
        <f t="shared" ref="E96:E101" si="19">C96+D96</f>
        <v>104089</v>
      </c>
      <c r="F96" s="171"/>
      <c r="G96" s="171">
        <f t="shared" ref="G96:G101" si="20">E96+F96</f>
        <v>104089</v>
      </c>
      <c r="H96" s="172">
        <f t="shared" ref="H96:H102" si="21">IF($G$208=0,0,G96/$G$208)</f>
        <v>2.1244552064041643E-2</v>
      </c>
      <c r="I96" s="336"/>
      <c r="J96" s="183">
        <v>7322</v>
      </c>
      <c r="K96" s="183">
        <v>8254</v>
      </c>
      <c r="M96" s="364">
        <f t="shared" ref="M96:M101" si="22">G96/G$228</f>
        <v>5.1257694391096669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'[43]Sch C'!D90</f>
        <v>10582</v>
      </c>
      <c r="D97" s="558">
        <f>'[43]Sch C'!F90</f>
        <v>0</v>
      </c>
      <c r="E97" s="171">
        <f t="shared" si="19"/>
        <v>10582</v>
      </c>
      <c r="F97" s="171"/>
      <c r="G97" s="171">
        <f t="shared" si="20"/>
        <v>10582</v>
      </c>
      <c r="H97" s="172">
        <f t="shared" si="21"/>
        <v>2.1597848950579662E-3</v>
      </c>
      <c r="I97" s="336"/>
      <c r="J97" s="168"/>
      <c r="K97" s="168"/>
      <c r="M97" s="364">
        <f t="shared" si="22"/>
        <v>0.52110109814349737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'[43]Sch C'!D91</f>
        <v>174908</v>
      </c>
      <c r="D98" s="558">
        <f>'[43]Sch C'!F91</f>
        <v>0</v>
      </c>
      <c r="E98" s="171">
        <f t="shared" si="19"/>
        <v>174908</v>
      </c>
      <c r="F98" s="171"/>
      <c r="G98" s="171">
        <f t="shared" si="20"/>
        <v>174908</v>
      </c>
      <c r="H98" s="172">
        <f t="shared" si="21"/>
        <v>3.5698701230844718E-2</v>
      </c>
      <c r="I98" s="336"/>
      <c r="J98" s="168"/>
      <c r="K98" s="168"/>
      <c r="M98" s="364">
        <f t="shared" si="22"/>
        <v>8.6131875707883978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'[43]Sch C'!D92</f>
        <v>81133</v>
      </c>
      <c r="D99" s="558">
        <f>'[43]Sch C'!F92</f>
        <v>-1941</v>
      </c>
      <c r="E99" s="171">
        <f t="shared" si="19"/>
        <v>79192</v>
      </c>
      <c r="F99" s="171"/>
      <c r="G99" s="171">
        <f t="shared" si="20"/>
        <v>79192</v>
      </c>
      <c r="H99" s="172">
        <f t="shared" si="21"/>
        <v>1.6163077434268616E-2</v>
      </c>
      <c r="I99" s="336"/>
      <c r="J99" s="168"/>
      <c r="K99" s="168"/>
      <c r="M99" s="364">
        <f t="shared" si="22"/>
        <v>3.8997390062540012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'[43]Sch C'!D93</f>
        <v>9897</v>
      </c>
      <c r="D100" s="558">
        <f>'[43]Sch C'!F93</f>
        <v>0</v>
      </c>
      <c r="E100" s="171">
        <f t="shared" si="19"/>
        <v>9897</v>
      </c>
      <c r="F100" s="171"/>
      <c r="G100" s="171">
        <f t="shared" si="20"/>
        <v>9897</v>
      </c>
      <c r="H100" s="172">
        <f t="shared" si="21"/>
        <v>2.0199764795302113E-3</v>
      </c>
      <c r="I100" s="336"/>
      <c r="J100" s="168"/>
      <c r="K100" s="168"/>
      <c r="M100" s="364">
        <f t="shared" si="22"/>
        <v>0.48736888757571278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'[43]Sch C'!D94</f>
        <v>0</v>
      </c>
      <c r="D101" s="558">
        <f>'[43]Sch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380609</v>
      </c>
      <c r="D102" s="558">
        <f>SUM(D96:D101)</f>
        <v>-1941</v>
      </c>
      <c r="E102" s="171">
        <f t="shared" ref="E102:F102" si="23">SUM(E96:E101)</f>
        <v>378668</v>
      </c>
      <c r="F102" s="171">
        <f t="shared" si="23"/>
        <v>0</v>
      </c>
      <c r="G102" s="171">
        <f>SUM(G96:G101)</f>
        <v>378668</v>
      </c>
      <c r="H102" s="172">
        <f t="shared" si="21"/>
        <v>7.7286092103743154E-2</v>
      </c>
      <c r="I102" s="336"/>
      <c r="J102" s="168"/>
      <c r="K102" s="168"/>
      <c r="M102" s="364">
        <f>G102/G$228</f>
        <v>18.647166001871277</v>
      </c>
      <c r="N102" s="359">
        <f>SUMMARY!J105</f>
        <v>19.901077037785338</v>
      </c>
      <c r="O102" s="354">
        <f>M102/N102-1</f>
        <v>-6.3007194712794368E-2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'[43]Sch C'!D98</f>
        <v>0</v>
      </c>
      <c r="D105" s="558">
        <f>'[43]Sch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'[43]Sch C'!D99</f>
        <v>0</v>
      </c>
      <c r="D106" s="558">
        <f>'[43]Sch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'[43]Sch C'!D100</f>
        <v>-48</v>
      </c>
      <c r="D107" s="558">
        <f>'[43]Sch C'!F100</f>
        <v>0</v>
      </c>
      <c r="E107" s="171">
        <f t="shared" si="24"/>
        <v>-48</v>
      </c>
      <c r="F107" s="171"/>
      <c r="G107" s="171">
        <f t="shared" si="25"/>
        <v>-48</v>
      </c>
      <c r="H107" s="172">
        <f t="shared" si="26"/>
        <v>-9.7967940807770169E-6</v>
      </c>
      <c r="I107" s="336"/>
      <c r="J107" s="168"/>
      <c r="K107" s="168"/>
      <c r="M107" s="364">
        <f t="shared" si="27"/>
        <v>-2.3637169448958487E-3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'[43]Sch C'!D101</f>
        <v>33319</v>
      </c>
      <c r="D108" s="558">
        <f>'[43]Sch C'!F101</f>
        <v>-516</v>
      </c>
      <c r="E108" s="171">
        <f t="shared" si="24"/>
        <v>32803</v>
      </c>
      <c r="F108" s="171"/>
      <c r="G108" s="171">
        <f t="shared" si="25"/>
        <v>32803</v>
      </c>
      <c r="H108" s="172">
        <f t="shared" si="26"/>
        <v>6.6950882548276764E-3</v>
      </c>
      <c r="I108" s="336"/>
      <c r="J108" s="168"/>
      <c r="K108" s="168"/>
      <c r="M108" s="364">
        <f t="shared" si="27"/>
        <v>1.6153543113212192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'[43]Sch C'!D102</f>
        <v>6851</v>
      </c>
      <c r="D109" s="558">
        <f>'[43]Sch C'!F102</f>
        <v>0</v>
      </c>
      <c r="E109" s="171">
        <f t="shared" si="24"/>
        <v>6851</v>
      </c>
      <c r="F109" s="171"/>
      <c r="G109" s="171">
        <f t="shared" si="25"/>
        <v>6851</v>
      </c>
      <c r="H109" s="172">
        <f t="shared" si="26"/>
        <v>1.3982882551542362E-3</v>
      </c>
      <c r="I109" s="336"/>
      <c r="J109" s="168"/>
      <c r="K109" s="168"/>
      <c r="M109" s="364">
        <f t="shared" si="27"/>
        <v>0.33737134978086375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'[43]Sch C'!D103</f>
        <v>0</v>
      </c>
      <c r="D110" s="558">
        <f>'[43]Sch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40122</v>
      </c>
      <c r="D111" s="558">
        <f>SUM(D105:D110)</f>
        <v>-516</v>
      </c>
      <c r="E111" s="171">
        <f t="shared" ref="E111:F111" si="28">SUM(E105:E110)</f>
        <v>39606</v>
      </c>
      <c r="F111" s="171">
        <f t="shared" si="28"/>
        <v>0</v>
      </c>
      <c r="G111" s="171">
        <f>SUM(G105:G110)</f>
        <v>39606</v>
      </c>
      <c r="H111" s="172">
        <f t="shared" si="26"/>
        <v>8.0835797159011357E-3</v>
      </c>
      <c r="I111" s="336"/>
      <c r="J111" s="168"/>
      <c r="K111" s="168"/>
      <c r="M111" s="364">
        <f>G111/G$228</f>
        <v>1.9503619441571871</v>
      </c>
      <c r="N111" s="359">
        <f>SUMMARY!J114</f>
        <v>2.4242384372309496</v>
      </c>
      <c r="O111" s="354">
        <f>M111/N111-1</f>
        <v>-0.19547437487833952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'[43]Sch C'!D115</f>
        <v>0</v>
      </c>
      <c r="D114" s="558">
        <f>'[43]Sch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'[43]Sch C'!D116</f>
        <v>0</v>
      </c>
      <c r="D115" s="558">
        <f>'[43]Sch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'[43]Sch C'!D117</f>
        <v>10388</v>
      </c>
      <c r="D116" s="558">
        <f>'[43]Sch C'!F117</f>
        <v>0</v>
      </c>
      <c r="E116" s="171">
        <f t="shared" si="29"/>
        <v>10388</v>
      </c>
      <c r="F116" s="171"/>
      <c r="G116" s="171">
        <f>E116+F116</f>
        <v>10388</v>
      </c>
      <c r="H116" s="172">
        <f t="shared" si="30"/>
        <v>2.1201895189814925E-3</v>
      </c>
      <c r="I116" s="336"/>
      <c r="J116" s="168"/>
      <c r="K116" s="168"/>
      <c r="M116" s="364">
        <f t="shared" si="31"/>
        <v>0.51154774215787657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'[43]Sch C'!D118</f>
        <v>77040</v>
      </c>
      <c r="D117" s="558">
        <f>'[43]Sch C'!F118</f>
        <v>0</v>
      </c>
      <c r="E117" s="171">
        <f t="shared" si="29"/>
        <v>77040</v>
      </c>
      <c r="F117" s="171"/>
      <c r="G117" s="171">
        <f>E117+F117</f>
        <v>77040</v>
      </c>
      <c r="H117" s="172">
        <f t="shared" si="30"/>
        <v>1.5723854499647111E-2</v>
      </c>
      <c r="I117" s="336"/>
      <c r="J117" s="168"/>
      <c r="K117" s="168"/>
      <c r="M117" s="364">
        <f t="shared" si="31"/>
        <v>3.7937656965578372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'[43]Sch C'!D119</f>
        <v>0</v>
      </c>
      <c r="D118" s="558">
        <f>'[43]Sch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87428</v>
      </c>
      <c r="D119" s="558">
        <f>SUM(D114:D118)</f>
        <v>0</v>
      </c>
      <c r="E119" s="171">
        <f t="shared" ref="E119:F119" si="32">SUM(E114:E118)</f>
        <v>87428</v>
      </c>
      <c r="F119" s="171">
        <f t="shared" si="32"/>
        <v>0</v>
      </c>
      <c r="G119" s="171">
        <f>SUM(G114:G118)</f>
        <v>87428</v>
      </c>
      <c r="H119" s="172">
        <f t="shared" si="30"/>
        <v>1.7844044018628605E-2</v>
      </c>
      <c r="I119" s="336"/>
      <c r="J119" s="168"/>
      <c r="K119" s="168"/>
      <c r="M119" s="364">
        <f t="shared" si="31"/>
        <v>4.3053134387157135</v>
      </c>
      <c r="N119" s="359">
        <f>SUMMARY!J122</f>
        <v>6.0247597205909562</v>
      </c>
      <c r="O119" s="354">
        <f>M119/N119-1</f>
        <v>-0.28539665673282411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'[43]Sch C'!D124</f>
        <v>0</v>
      </c>
      <c r="D123" s="558">
        <f>'[43]Sch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'[43]Sch C'!D125</f>
        <v>160009</v>
      </c>
      <c r="D124" s="558">
        <f>'[43]Sch C'!F125</f>
        <v>0</v>
      </c>
      <c r="E124" s="171">
        <f t="shared" si="33"/>
        <v>160009</v>
      </c>
      <c r="F124" s="171"/>
      <c r="G124" s="171">
        <f>E124+F124</f>
        <v>160009</v>
      </c>
      <c r="H124" s="172">
        <f>IF($G$208=0,0,G124/$G$208)</f>
        <v>3.265781716814687E-2</v>
      </c>
      <c r="I124" s="336"/>
      <c r="J124" s="183">
        <v>3747</v>
      </c>
      <c r="K124" s="183">
        <v>4152</v>
      </c>
      <c r="M124" s="364">
        <f t="shared" si="34"/>
        <v>7.8794996799133301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'[43]Sch C'!D126</f>
        <v>0</v>
      </c>
      <c r="D125" s="558">
        <f>'[43]Sch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'[43]Sch C'!D127</f>
        <v>0</v>
      </c>
      <c r="D126" s="558">
        <f>'[43]Sch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'[43]Sch C'!D128</f>
        <v>42903</v>
      </c>
      <c r="D127" s="558">
        <f>'[43]Sch C'!F128</f>
        <v>0</v>
      </c>
      <c r="E127" s="171">
        <f t="shared" si="33"/>
        <v>42903</v>
      </c>
      <c r="F127" s="171"/>
      <c r="G127" s="171">
        <f>E127+F127</f>
        <v>42903</v>
      </c>
      <c r="H127" s="172">
        <f>IF($G$208=0,0,G127/$G$208)</f>
        <v>8.7564970093245067E-3</v>
      </c>
      <c r="I127" s="336"/>
      <c r="J127" s="183">
        <v>2664</v>
      </c>
      <c r="K127" s="183">
        <v>2941</v>
      </c>
      <c r="M127" s="364">
        <f t="shared" si="34"/>
        <v>2.1127197518097209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'[43]Sch C'!D130</f>
        <v>0</v>
      </c>
      <c r="D129" s="558">
        <f>'[43]Sch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'[43]Sch C'!D131</f>
        <v>30563</v>
      </c>
      <c r="D130" s="558">
        <f>'[43]Sch C'!F131</f>
        <v>0</v>
      </c>
      <c r="E130" s="171">
        <f t="shared" si="35"/>
        <v>30563</v>
      </c>
      <c r="F130" s="171"/>
      <c r="G130" s="171">
        <f>E130+F130</f>
        <v>30563</v>
      </c>
      <c r="H130" s="172">
        <f>IF($G$208=0,0,G130/$G$208)</f>
        <v>6.2379045310580819E-3</v>
      </c>
      <c r="I130" s="336"/>
      <c r="J130" s="204"/>
      <c r="K130" s="204"/>
      <c r="M130" s="364">
        <f t="shared" si="34"/>
        <v>1.5050475205594129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'[43]Sch C'!D132</f>
        <v>0</v>
      </c>
      <c r="D131" s="558">
        <f>'[43]Sch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'[43]Sch C'!D133</f>
        <v>0</v>
      </c>
      <c r="D132" s="558">
        <f>'[43]Sch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'[43]Sch C'!D134</f>
        <v>7217</v>
      </c>
      <c r="D133" s="558">
        <f>'[43]Sch C'!F134</f>
        <v>0</v>
      </c>
      <c r="E133" s="171">
        <f t="shared" si="35"/>
        <v>7217</v>
      </c>
      <c r="F133" s="171"/>
      <c r="G133" s="171">
        <f>E133+F133</f>
        <v>7217</v>
      </c>
      <c r="H133" s="172">
        <f>IF($G$208=0,0,G133/$G$208)</f>
        <v>1.4729888100201609E-3</v>
      </c>
      <c r="I133" s="336"/>
      <c r="J133" s="168"/>
      <c r="K133" s="168"/>
      <c r="M133" s="364">
        <f t="shared" si="34"/>
        <v>0.35539469148569458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'[43]Sch C'!D136</f>
        <v>455950</v>
      </c>
      <c r="D135" s="558">
        <f>'[43]Sch C'!F136</f>
        <v>0</v>
      </c>
      <c r="E135" s="171">
        <f t="shared" ref="E135:E138" si="36">C135+D135</f>
        <v>455950</v>
      </c>
      <c r="F135" s="171"/>
      <c r="G135" s="171">
        <f>E135+F135</f>
        <v>455950</v>
      </c>
      <c r="H135" s="172">
        <f>IF($G$208=0,0,G135/$G$208)</f>
        <v>9.3059338773547509E-2</v>
      </c>
      <c r="I135" s="336"/>
      <c r="J135" s="183">
        <v>14177</v>
      </c>
      <c r="K135" s="183">
        <v>15426</v>
      </c>
      <c r="M135" s="364">
        <f t="shared" si="34"/>
        <v>22.45284877135963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'[43]Sch C'!D137</f>
        <v>170296</v>
      </c>
      <c r="D136" s="558">
        <f>'[43]Sch C'!F137</f>
        <v>0</v>
      </c>
      <c r="E136" s="171">
        <f t="shared" si="36"/>
        <v>170296</v>
      </c>
      <c r="F136" s="171"/>
      <c r="G136" s="171">
        <f>E136+F136</f>
        <v>170296</v>
      </c>
      <c r="H136" s="172">
        <f>IF($G$208=0,0,G136/$G$208)</f>
        <v>3.4757392599583388E-2</v>
      </c>
      <c r="I136" s="336"/>
      <c r="J136" s="183">
        <v>8931</v>
      </c>
      <c r="K136" s="183">
        <v>9340</v>
      </c>
      <c r="M136" s="364">
        <f t="shared" si="34"/>
        <v>8.3860737676663213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'[43]Sch C'!D138</f>
        <v>587175</v>
      </c>
      <c r="D137" s="558">
        <f>'[43]Sch C'!F138</f>
        <v>14146</v>
      </c>
      <c r="E137" s="171">
        <f t="shared" si="36"/>
        <v>601321</v>
      </c>
      <c r="F137" s="171"/>
      <c r="G137" s="171">
        <f>E137+F137</f>
        <v>601321</v>
      </c>
      <c r="H137" s="172">
        <f>IF($G$208=0,0,G137/$G$208)</f>
        <v>0.12272954194681075</v>
      </c>
      <c r="I137" s="336"/>
      <c r="J137" s="183">
        <v>47488</v>
      </c>
      <c r="K137" s="183">
        <v>50462</v>
      </c>
      <c r="M137" s="364">
        <f t="shared" si="34"/>
        <v>29.611513271285762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'[43]Sch C'!D139</f>
        <v>14146</v>
      </c>
      <c r="D138" s="558">
        <f>'[43]Sch C'!F139</f>
        <v>-14146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'[43]Sch C'!D141</f>
        <v>267206</v>
      </c>
      <c r="D140" s="558">
        <f>'[43]Sch C'!F141</f>
        <v>-167959</v>
      </c>
      <c r="E140" s="171">
        <f t="shared" ref="E140:E143" si="37">C140+D140</f>
        <v>99247</v>
      </c>
      <c r="F140" s="171"/>
      <c r="G140" s="171">
        <f>E140+F140</f>
        <v>99247</v>
      </c>
      <c r="H140" s="172">
        <f>IF($G$208=0,0,G140/$G$208)</f>
        <v>2.025630046114326E-2</v>
      </c>
      <c r="I140" s="336"/>
      <c r="J140" s="168"/>
      <c r="K140" s="168"/>
      <c r="M140" s="364">
        <f t="shared" si="34"/>
        <v>4.8873294922932979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'[43]Sch C'!D142</f>
        <v>0</v>
      </c>
      <c r="D141" s="558">
        <f>'[43]Sch C'!F142</f>
        <v>37069</v>
      </c>
      <c r="E141" s="171">
        <f t="shared" si="37"/>
        <v>37069</v>
      </c>
      <c r="F141" s="171"/>
      <c r="G141" s="171">
        <f>E141+F141</f>
        <v>37069</v>
      </c>
      <c r="H141" s="172">
        <f>IF($G$208=0,0,G141/$G$208)</f>
        <v>7.5657783287567341E-3</v>
      </c>
      <c r="I141" s="336"/>
      <c r="J141" s="168"/>
      <c r="K141" s="168"/>
      <c r="M141" s="364">
        <f t="shared" si="34"/>
        <v>1.8254296547988378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'[43]Sch C'!D143</f>
        <v>0</v>
      </c>
      <c r="D142" s="558">
        <f>'[43]Sch C'!F143</f>
        <v>130890</v>
      </c>
      <c r="E142" s="171">
        <f t="shared" si="37"/>
        <v>130890</v>
      </c>
      <c r="F142" s="171"/>
      <c r="G142" s="171">
        <f>E142+F142</f>
        <v>130890</v>
      </c>
      <c r="H142" s="172">
        <f>IF($G$208=0,0,G142/$G$208)</f>
        <v>2.6714632859018827E-2</v>
      </c>
      <c r="I142" s="336"/>
      <c r="J142" s="168"/>
      <c r="K142" s="168"/>
      <c r="M142" s="364">
        <f t="shared" si="34"/>
        <v>6.4455606441128674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'[43]Sch C'!D144</f>
        <v>0</v>
      </c>
      <c r="D143" s="558">
        <f>'[43]Sch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'[43]Sch C'!D146</f>
        <v>52832</v>
      </c>
      <c r="D145" s="558">
        <f>'[43]Sch C'!F146</f>
        <v>0</v>
      </c>
      <c r="E145" s="171">
        <f t="shared" ref="E145:E153" si="38">C145+D145</f>
        <v>52832</v>
      </c>
      <c r="F145" s="171"/>
      <c r="G145" s="171">
        <f t="shared" ref="G145:G153" si="39">E145+F145</f>
        <v>52832</v>
      </c>
      <c r="H145" s="172">
        <f t="shared" ref="H145:H153" si="40">IF($G$208=0,0,G145/$G$208)</f>
        <v>1.078300468490857E-2</v>
      </c>
      <c r="I145" s="336"/>
      <c r="J145" s="183">
        <v>243</v>
      </c>
      <c r="K145" s="183">
        <v>243</v>
      </c>
      <c r="M145" s="364">
        <f t="shared" si="34"/>
        <v>2.6016644506820308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'[43]Sch C'!D147</f>
        <v>0</v>
      </c>
      <c r="D146" s="558">
        <f>'[43]Sch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'[43]Sch C'!D148</f>
        <v>0</v>
      </c>
      <c r="D147" s="558">
        <f>'[43]Sch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'[43]Sch C'!D149</f>
        <v>0</v>
      </c>
      <c r="D148" s="558">
        <f>'[43]Sch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'[43]Sch C'!D150</f>
        <v>894</v>
      </c>
      <c r="D149" s="558">
        <f>'[43]Sch C'!F150</f>
        <v>0</v>
      </c>
      <c r="E149" s="171">
        <f t="shared" si="38"/>
        <v>894</v>
      </c>
      <c r="F149" s="171"/>
      <c r="G149" s="171">
        <f t="shared" si="39"/>
        <v>894</v>
      </c>
      <c r="H149" s="172">
        <f t="shared" si="40"/>
        <v>1.8246528975447192E-4</v>
      </c>
      <c r="I149" s="336"/>
      <c r="J149" s="183">
        <v>0</v>
      </c>
      <c r="K149" s="183">
        <v>0</v>
      </c>
      <c r="M149" s="364">
        <f t="shared" si="34"/>
        <v>4.4024228098685184E-2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'[43]Sch C'!D151</f>
        <v>95716</v>
      </c>
      <c r="D150" s="558">
        <f>'[43]Sch C'!F151</f>
        <v>-478</v>
      </c>
      <c r="E150" s="171">
        <f t="shared" si="38"/>
        <v>95238</v>
      </c>
      <c r="F150" s="171"/>
      <c r="G150" s="171">
        <f t="shared" si="39"/>
        <v>95238</v>
      </c>
      <c r="H150" s="172">
        <f t="shared" si="40"/>
        <v>1.9438064055521696E-2</v>
      </c>
      <c r="I150" s="336"/>
      <c r="J150" s="168"/>
      <c r="K150" s="168"/>
      <c r="M150" s="364">
        <f t="shared" si="34"/>
        <v>4.6899098832914756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'[43]Sch C'!D152</f>
        <v>6381</v>
      </c>
      <c r="D151" s="558">
        <f>'[43]Sch C'!F152</f>
        <v>0</v>
      </c>
      <c r="E151" s="171">
        <f t="shared" si="38"/>
        <v>6381</v>
      </c>
      <c r="F151" s="171"/>
      <c r="G151" s="171">
        <f t="shared" si="39"/>
        <v>6381</v>
      </c>
      <c r="H151" s="172">
        <f t="shared" si="40"/>
        <v>1.3023613131132946E-3</v>
      </c>
      <c r="I151" s="336"/>
      <c r="J151" s="168"/>
      <c r="K151" s="168"/>
      <c r="M151" s="364">
        <f t="shared" si="34"/>
        <v>0.3142266213620919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'[43]Sch C'!D153</f>
        <v>0</v>
      </c>
      <c r="D152" s="558">
        <f>'[43]Sch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'[43]Sch C'!D154</f>
        <v>0</v>
      </c>
      <c r="D153" s="558">
        <f>'[43]Sch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'[43]Sch C'!D156</f>
        <v>0</v>
      </c>
      <c r="D155" s="558">
        <f>'[43]Sch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'[43]Sch C'!D157</f>
        <v>0</v>
      </c>
      <c r="D156" s="558">
        <f>'[43]Sch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'[43]Sch C'!D158</f>
        <v>0</v>
      </c>
      <c r="D157" s="558">
        <f>'[43]Sch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'[43]Sch C'!D159</f>
        <v>0</v>
      </c>
      <c r="D158" s="558">
        <f>'[43]Sch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'[43]Sch C'!D160</f>
        <v>0</v>
      </c>
      <c r="D159" s="558">
        <f>'[43]Sch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'[43]Sch C'!D161</f>
        <v>11504</v>
      </c>
      <c r="D160" s="558">
        <f>'[43]Sch C'!F161</f>
        <v>-108</v>
      </c>
      <c r="E160" s="171">
        <f t="shared" si="41"/>
        <v>11396</v>
      </c>
      <c r="F160" s="171"/>
      <c r="G160" s="171">
        <f t="shared" si="42"/>
        <v>11396</v>
      </c>
      <c r="H160" s="172">
        <f t="shared" si="43"/>
        <v>2.3259221946778101E-3</v>
      </c>
      <c r="I160" s="336"/>
      <c r="J160" s="168"/>
      <c r="K160" s="168"/>
      <c r="M160" s="364">
        <f t="shared" si="34"/>
        <v>0.56118579800068946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1902792</v>
      </c>
      <c r="D161" s="558">
        <f>SUM(D123:D160)</f>
        <v>-586</v>
      </c>
      <c r="E161" s="171">
        <f t="shared" ref="E161:F161" si="44">SUM(E123:E160)</f>
        <v>1902206</v>
      </c>
      <c r="F161" s="171">
        <f t="shared" si="44"/>
        <v>0</v>
      </c>
      <c r="G161" s="171">
        <f>SUM(G123:G160)</f>
        <v>1902206</v>
      </c>
      <c r="H161" s="172">
        <f t="shared" si="43"/>
        <v>0.38824001002538594</v>
      </c>
      <c r="I161" s="336"/>
      <c r="J161" s="168"/>
      <c r="K161" s="168"/>
      <c r="M161" s="364">
        <f>G161/G$228</f>
        <v>93.672428226719845</v>
      </c>
      <c r="N161" s="359">
        <f>SUMMARY!J164</f>
        <v>105.56901037202306</v>
      </c>
      <c r="O161" s="354">
        <f>M161/N161-1</f>
        <v>-0.11269009819624054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'[43]Sch C'!D175</f>
        <v>0</v>
      </c>
      <c r="D164" s="558">
        <f>'[43]Sch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'[43]Sch C'!D176</f>
        <v>0</v>
      </c>
      <c r="D165" s="558">
        <f>'[43]Sch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'[43]Sch C'!D177</f>
        <v>0</v>
      </c>
      <c r="D166" s="558">
        <f>'[43]Sch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'[43]Sch C'!D178</f>
        <v>0</v>
      </c>
      <c r="D167" s="558">
        <f>'[43]Sch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'[43]Sch C'!D179</f>
        <v>0</v>
      </c>
      <c r="D168" s="558">
        <f>'[43]Sch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'[43]Sch C'!D180</f>
        <v>0</v>
      </c>
      <c r="D169" s="558">
        <f>'[43]Sch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'[43]Sch C'!D181</f>
        <v>0</v>
      </c>
      <c r="D170" s="558">
        <f>'[43]Sch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'[43]Sch C'!D182</f>
        <v>0</v>
      </c>
      <c r="D171" s="558">
        <f>'[43]Sch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'[43]Sch C'!D183</f>
        <v>0</v>
      </c>
      <c r="D172" s="558">
        <f>'[43]Sch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'[43]Sch C'!D184</f>
        <v>0</v>
      </c>
      <c r="D173" s="558">
        <f>'[43]Sch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'[43]Sch C'!D185</f>
        <v>0</v>
      </c>
      <c r="D174" s="558">
        <f>'[43]Sch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'[43]Sch C'!D186</f>
        <v>0</v>
      </c>
      <c r="D175" s="558">
        <f>'[43]Sch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'[43]Sch C'!D187</f>
        <v>0</v>
      </c>
      <c r="D176" s="558">
        <f>'[43]Sch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'[43]Sch C'!D188</f>
        <v>0</v>
      </c>
      <c r="D177" s="558">
        <f>'[43]Sch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'[43]Sch C'!D189</f>
        <v>0</v>
      </c>
      <c r="D178" s="558">
        <f>'[43]Sch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'[43]Sch C'!D190</f>
        <v>0</v>
      </c>
      <c r="D179" s="558">
        <f>'[43]Sch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'[43]Sch C'!D191</f>
        <v>0</v>
      </c>
      <c r="D180" s="558">
        <f>'[43]Sch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'[43]Sch C'!D192</f>
        <v>0</v>
      </c>
      <c r="D181" s="558">
        <f>'[43]Sch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'[43]Sch C'!D193</f>
        <v>8641</v>
      </c>
      <c r="D182" s="558">
        <f>'[43]Sch C'!F193</f>
        <v>0</v>
      </c>
      <c r="E182" s="171">
        <f t="shared" si="45"/>
        <v>8641</v>
      </c>
      <c r="F182" s="216"/>
      <c r="G182" s="171">
        <f t="shared" si="46"/>
        <v>8641</v>
      </c>
      <c r="H182" s="172">
        <f t="shared" si="47"/>
        <v>1.7636270344165458E-3</v>
      </c>
      <c r="I182" s="336"/>
      <c r="J182" s="223"/>
      <c r="K182" s="218"/>
      <c r="L182" s="220"/>
      <c r="M182" s="364">
        <f t="shared" si="48"/>
        <v>0.42551829418427145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'[43]Sch C'!D194</f>
        <v>165236</v>
      </c>
      <c r="D183" s="558">
        <f>'[43]Sch C'!F194</f>
        <v>-2231</v>
      </c>
      <c r="E183" s="171">
        <f t="shared" si="45"/>
        <v>163005</v>
      </c>
      <c r="F183" s="216"/>
      <c r="G183" s="171">
        <f t="shared" si="46"/>
        <v>163005</v>
      </c>
      <c r="H183" s="172">
        <f t="shared" si="47"/>
        <v>3.3269300398688702E-2</v>
      </c>
      <c r="I183" s="336"/>
      <c r="J183" s="223"/>
      <c r="K183" s="218"/>
      <c r="M183" s="364">
        <f t="shared" si="48"/>
        <v>8.0270350125572456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'[43]Sch C'!D195</f>
        <v>96524</v>
      </c>
      <c r="D184" s="558">
        <f>'[43]Sch C'!F195</f>
        <v>-1303</v>
      </c>
      <c r="E184" s="171">
        <f t="shared" si="45"/>
        <v>95221</v>
      </c>
      <c r="F184" s="216"/>
      <c r="G184" s="171">
        <f t="shared" si="46"/>
        <v>95221</v>
      </c>
      <c r="H184" s="172">
        <f t="shared" si="47"/>
        <v>1.9434594357618087E-2</v>
      </c>
      <c r="I184" s="336"/>
      <c r="J184" s="223"/>
      <c r="K184" s="218"/>
      <c r="M184" s="364">
        <f t="shared" si="48"/>
        <v>4.6890727335401587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'[43]Sch C'!D196</f>
        <v>0</v>
      </c>
      <c r="D185" s="558">
        <f>'[43]Sch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'[43]Sch C'!D197</f>
        <v>137984</v>
      </c>
      <c r="D186" s="558">
        <f>'[43]Sch C'!F197</f>
        <v>-1863</v>
      </c>
      <c r="E186" s="171">
        <f t="shared" si="45"/>
        <v>136121</v>
      </c>
      <c r="F186" s="216"/>
      <c r="G186" s="171">
        <f t="shared" si="46"/>
        <v>136121</v>
      </c>
      <c r="H186" s="172">
        <f t="shared" si="47"/>
        <v>2.7782279313946837E-2</v>
      </c>
      <c r="I186" s="336"/>
      <c r="J186" s="223"/>
      <c r="K186" s="218"/>
      <c r="M186" s="364">
        <f t="shared" si="48"/>
        <v>6.7031565470034966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'[43]Sch C'!D198</f>
        <v>31560</v>
      </c>
      <c r="D187" s="558">
        <f>'[43]Sch C'!F198</f>
        <v>-201</v>
      </c>
      <c r="E187" s="171">
        <f t="shared" si="45"/>
        <v>31359</v>
      </c>
      <c r="F187" s="216"/>
      <c r="G187" s="171">
        <f t="shared" si="46"/>
        <v>31359</v>
      </c>
      <c r="H187" s="172">
        <f t="shared" si="47"/>
        <v>6.4003680328976343E-3</v>
      </c>
      <c r="I187" s="336"/>
      <c r="J187" s="223"/>
      <c r="K187" s="218"/>
      <c r="M187" s="364">
        <f t="shared" si="48"/>
        <v>1.5442458265622692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'[43]Sch C'!D199</f>
        <v>0</v>
      </c>
      <c r="D188" s="558">
        <f>'[43]Sch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'[43]Sch C'!D200</f>
        <v>0</v>
      </c>
      <c r="D189" s="558">
        <f>'[43]Sch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'[43]Sch C'!D201</f>
        <v>0</v>
      </c>
      <c r="D190" s="558">
        <f>'[43]Sch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'[43]Sch C'!D202</f>
        <v>0</v>
      </c>
      <c r="D191" s="558">
        <f>'[43]Sch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'[43]Sch C'!D203</f>
        <v>0</v>
      </c>
      <c r="D192" s="558">
        <f>'[43]Sch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'[43]Sch C'!D204</f>
        <v>0</v>
      </c>
      <c r="D193" s="558">
        <f>'[43]Sch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'[43]Sch C'!D205</f>
        <v>171741</v>
      </c>
      <c r="D194" s="558">
        <f>'[43]Sch C'!F205</f>
        <v>-2639</v>
      </c>
      <c r="E194" s="171">
        <f t="shared" si="45"/>
        <v>169102</v>
      </c>
      <c r="F194" s="216"/>
      <c r="G194" s="171">
        <f t="shared" si="46"/>
        <v>169102</v>
      </c>
      <c r="H194" s="172">
        <f t="shared" si="47"/>
        <v>3.4513697346824065E-2</v>
      </c>
      <c r="I194" s="336"/>
      <c r="J194" s="223"/>
      <c r="K194" s="218"/>
      <c r="M194" s="364">
        <f t="shared" si="48"/>
        <v>8.3272763086620376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'[43]Sch C'!D206</f>
        <v>1923</v>
      </c>
      <c r="D195" s="558">
        <f>'[43]Sch C'!F206</f>
        <v>0</v>
      </c>
      <c r="E195" s="171">
        <f t="shared" si="45"/>
        <v>1923</v>
      </c>
      <c r="F195" s="216"/>
      <c r="G195" s="171">
        <f t="shared" si="46"/>
        <v>1923</v>
      </c>
      <c r="H195" s="172">
        <f t="shared" si="47"/>
        <v>3.9248406286112924E-4</v>
      </c>
      <c r="I195" s="336"/>
      <c r="J195" s="223"/>
      <c r="K195" s="218"/>
      <c r="M195" s="364">
        <f t="shared" si="48"/>
        <v>9.4696410104889939E-2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'[43]Sch C'!D207</f>
        <v>10983</v>
      </c>
      <c r="D196" s="558">
        <f>'[43]Sch C'!F207</f>
        <v>-170</v>
      </c>
      <c r="E196" s="171">
        <f t="shared" si="45"/>
        <v>10813</v>
      </c>
      <c r="F196" s="216"/>
      <c r="G196" s="171">
        <f t="shared" si="46"/>
        <v>10813</v>
      </c>
      <c r="H196" s="172">
        <f t="shared" si="47"/>
        <v>2.206931966571706E-3</v>
      </c>
      <c r="I196" s="336"/>
      <c r="J196" s="223"/>
      <c r="K196" s="218"/>
      <c r="M196" s="364">
        <f t="shared" si="48"/>
        <v>0.53247648594080854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624592</v>
      </c>
      <c r="D197" s="558">
        <f>SUM(D164:D196)</f>
        <v>-8407</v>
      </c>
      <c r="E197" s="171">
        <f t="shared" ref="E197:F197" si="49">SUM(E164:E196)</f>
        <v>616185</v>
      </c>
      <c r="F197" s="171">
        <f t="shared" si="49"/>
        <v>0</v>
      </c>
      <c r="G197" s="171">
        <f>SUM(G164:G196)</f>
        <v>616185</v>
      </c>
      <c r="H197" s="172">
        <f>IF($G$208=0,0,G197/$G$208)</f>
        <v>0.12576328251382471</v>
      </c>
      <c r="I197" s="336"/>
      <c r="J197" s="168"/>
      <c r="K197" s="168"/>
      <c r="M197" s="364">
        <f>G197/G$228</f>
        <v>30.343477618555177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'[43]Sch C'!D211</f>
        <v>87245</v>
      </c>
      <c r="D200" s="558">
        <f>'[43]Sch C'!F211</f>
        <v>0</v>
      </c>
      <c r="E200" s="171">
        <f t="shared" ref="E200:E205" si="50">C200+D200</f>
        <v>87245</v>
      </c>
      <c r="F200" s="171"/>
      <c r="G200" s="171">
        <f t="shared" ref="G200:G205" si="51">E200+F200</f>
        <v>87245</v>
      </c>
      <c r="H200" s="172">
        <f t="shared" ref="H200:H206" si="52">IF($G$208=0,0,G200/$G$208)</f>
        <v>1.7806693741195641E-2</v>
      </c>
      <c r="I200" s="336"/>
      <c r="J200" s="183">
        <v>5065</v>
      </c>
      <c r="K200" s="183">
        <v>5700</v>
      </c>
      <c r="M200" s="364">
        <f t="shared" ref="M200:M205" si="53">G200/G$228</f>
        <v>4.296301767863298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'[43]Sch C'!D212</f>
        <v>22230</v>
      </c>
      <c r="D201" s="558">
        <f>'[43]Sch C'!F212</f>
        <v>0</v>
      </c>
      <c r="E201" s="171">
        <f t="shared" si="50"/>
        <v>22230</v>
      </c>
      <c r="F201" s="171"/>
      <c r="G201" s="171">
        <f t="shared" si="51"/>
        <v>22230</v>
      </c>
      <c r="H201" s="172">
        <f t="shared" si="52"/>
        <v>4.537140258659856E-3</v>
      </c>
      <c r="I201" s="336"/>
      <c r="J201" s="168"/>
      <c r="K201" s="168"/>
      <c r="M201" s="364">
        <f t="shared" si="53"/>
        <v>1.0946964101048899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'[43]Sch C'!D213</f>
        <v>10254</v>
      </c>
      <c r="D202" s="558">
        <f>'[43]Sch C'!F213</f>
        <v>0</v>
      </c>
      <c r="E202" s="171">
        <f t="shared" si="50"/>
        <v>10254</v>
      </c>
      <c r="F202" s="171"/>
      <c r="G202" s="171">
        <f t="shared" si="51"/>
        <v>10254</v>
      </c>
      <c r="H202" s="172">
        <f t="shared" si="52"/>
        <v>2.09284013550599E-3</v>
      </c>
      <c r="I202" s="336"/>
      <c r="J202" s="168"/>
      <c r="K202" s="168"/>
      <c r="M202" s="364">
        <f t="shared" si="53"/>
        <v>0.50494903235337574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'[43]Sch C'!D214</f>
        <v>0</v>
      </c>
      <c r="D203" s="558">
        <f>'[43]Sch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'[43]Sch C'!D215</f>
        <v>0</v>
      </c>
      <c r="D204" s="558">
        <f>'[43]Sch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'[43]Sch C'!D216</f>
        <v>2912</v>
      </c>
      <c r="D205" s="558">
        <f>'[43]Sch C'!F216</f>
        <v>0</v>
      </c>
      <c r="E205" s="171">
        <f t="shared" si="50"/>
        <v>2912</v>
      </c>
      <c r="F205" s="171"/>
      <c r="G205" s="171">
        <f t="shared" si="51"/>
        <v>2912</v>
      </c>
      <c r="H205" s="172">
        <f t="shared" si="52"/>
        <v>5.9433884090047233E-4</v>
      </c>
      <c r="I205" s="336"/>
      <c r="J205" s="168"/>
      <c r="K205" s="168"/>
      <c r="M205" s="364">
        <f t="shared" si="53"/>
        <v>0.14339882799034814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122641</v>
      </c>
      <c r="D206" s="558">
        <f>SUM(D200:D205)</f>
        <v>0</v>
      </c>
      <c r="E206" s="171">
        <f t="shared" ref="E206:F206" si="54">SUM(E200:E205)</f>
        <v>122641</v>
      </c>
      <c r="F206" s="171">
        <f t="shared" si="54"/>
        <v>0</v>
      </c>
      <c r="G206" s="171">
        <f>SUM(G200:G205)</f>
        <v>122641</v>
      </c>
      <c r="H206" s="172">
        <f t="shared" si="52"/>
        <v>2.5031012976261958E-2</v>
      </c>
      <c r="I206" s="336"/>
      <c r="J206" s="168"/>
      <c r="K206" s="168"/>
      <c r="M206" s="364">
        <f>G206/G$228</f>
        <v>6.039346038311912</v>
      </c>
      <c r="N206" s="359">
        <f>SUMMARY!J209</f>
        <v>7.1515095990067339</v>
      </c>
      <c r="O206" s="354">
        <f>M206/N206-1</f>
        <v>-0.15551451694189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4980729</v>
      </c>
      <c r="D208" s="558">
        <f>SUM(D25:D206)/2</f>
        <v>-81167</v>
      </c>
      <c r="E208" s="171">
        <f t="shared" ref="E208:F208" si="55">SUM(E25:E206)/2</f>
        <v>4899562</v>
      </c>
      <c r="F208" s="171">
        <f t="shared" si="55"/>
        <v>0</v>
      </c>
      <c r="G208" s="171">
        <f>SUM(G25:G206)/2</f>
        <v>4899562</v>
      </c>
      <c r="H208" s="172">
        <f>IF($G$208=0,0,G208/$G$208)</f>
        <v>1</v>
      </c>
      <c r="I208" s="336"/>
      <c r="J208" s="183">
        <f>SUM(J25:J200)</f>
        <v>103154</v>
      </c>
      <c r="K208" s="183">
        <f>SUM(K25:K200)</f>
        <v>111012</v>
      </c>
      <c r="M208" s="364">
        <f>G208/G$228</f>
        <v>241.27453587432905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-0.7611461558950402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'[43]Sch C'!D221</f>
        <v>4980729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-117798</v>
      </c>
      <c r="D215" s="558">
        <f>D21-D208</f>
        <v>67417</v>
      </c>
      <c r="E215" s="171">
        <f t="shared" ref="E215:F215" si="56">E21-E208</f>
        <v>-50381</v>
      </c>
      <c r="F215" s="171">
        <f t="shared" si="56"/>
        <v>0</v>
      </c>
      <c r="G215" s="171">
        <f>G21-G208</f>
        <v>-50381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'[43]Sch D'!C9</f>
        <v>11595</v>
      </c>
      <c r="D219" s="592"/>
      <c r="E219" s="235">
        <f t="shared" ref="E219:G227" si="57">C219+D219</f>
        <v>11595</v>
      </c>
      <c r="F219" s="234"/>
      <c r="G219" s="235">
        <f t="shared" si="57"/>
        <v>11595</v>
      </c>
      <c r="H219" s="172">
        <f t="shared" ref="H219:H228" si="58">IF($G$228=0,0,G219/$G$228)</f>
        <v>0.57098537450140341</v>
      </c>
      <c r="I219" s="336"/>
      <c r="J219" s="168"/>
      <c r="K219" s="168"/>
    </row>
    <row r="220" spans="1:17">
      <c r="A220" s="163"/>
      <c r="B220" s="170" t="s">
        <v>217</v>
      </c>
      <c r="C220" s="592">
        <f>'[43]Sch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'[43]Sch D'!E9</f>
        <v>2155</v>
      </c>
      <c r="D221" s="592"/>
      <c r="E221" s="235">
        <f t="shared" si="59"/>
        <v>2155</v>
      </c>
      <c r="F221" s="234"/>
      <c r="G221" s="235">
        <f t="shared" si="57"/>
        <v>2155</v>
      </c>
      <c r="H221" s="172">
        <f t="shared" si="58"/>
        <v>0.10612104200521988</v>
      </c>
      <c r="I221" s="336"/>
      <c r="J221" s="168"/>
      <c r="K221" s="168"/>
    </row>
    <row r="222" spans="1:17">
      <c r="A222" s="163"/>
      <c r="B222" s="202" t="s">
        <v>334</v>
      </c>
      <c r="C222" s="592">
        <f>'[43]Sch D'!F9</f>
        <v>956</v>
      </c>
      <c r="D222" s="592"/>
      <c r="E222" s="235">
        <f>C222+D222</f>
        <v>956</v>
      </c>
      <c r="F222" s="234"/>
      <c r="G222" s="235">
        <f>E222+F222</f>
        <v>956</v>
      </c>
      <c r="H222" s="172">
        <f t="shared" si="58"/>
        <v>4.7077362485842322E-2</v>
      </c>
      <c r="I222" s="336"/>
      <c r="J222" s="168"/>
      <c r="K222" s="168"/>
    </row>
    <row r="223" spans="1:17">
      <c r="A223" s="163"/>
      <c r="B223" s="170" t="s">
        <v>73</v>
      </c>
      <c r="C223" s="592">
        <f>'[43]Sch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'[43]Sch D'!H9</f>
        <v>4043</v>
      </c>
      <c r="D224" s="592"/>
      <c r="E224" s="235">
        <f t="shared" si="59"/>
        <v>4043</v>
      </c>
      <c r="F224" s="234"/>
      <c r="G224" s="235">
        <f t="shared" si="57"/>
        <v>4043</v>
      </c>
      <c r="H224" s="172">
        <f t="shared" si="58"/>
        <v>0.1990939085044566</v>
      </c>
      <c r="I224" s="336"/>
      <c r="J224" s="168"/>
      <c r="K224" s="168"/>
    </row>
    <row r="225" spans="1:11">
      <c r="A225" s="163"/>
      <c r="B225" s="170" t="s">
        <v>236</v>
      </c>
      <c r="C225" s="592">
        <f>'[43]Sch D'!I9</f>
        <v>1086</v>
      </c>
      <c r="D225" s="592"/>
      <c r="E225" s="235">
        <f t="shared" si="59"/>
        <v>1086</v>
      </c>
      <c r="F225" s="234"/>
      <c r="G225" s="235">
        <f t="shared" si="57"/>
        <v>1086</v>
      </c>
      <c r="H225" s="172">
        <f t="shared" si="58"/>
        <v>5.347909587826858E-2</v>
      </c>
      <c r="I225" s="336"/>
      <c r="J225" s="168"/>
      <c r="K225" s="168"/>
    </row>
    <row r="226" spans="1:11">
      <c r="A226" s="163"/>
      <c r="B226" s="170" t="s">
        <v>235</v>
      </c>
      <c r="C226" s="592">
        <f>'[43]Sch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'[43]Sch D'!K9</f>
        <v>472</v>
      </c>
      <c r="D227" s="592"/>
      <c r="E227" s="235">
        <f t="shared" si="59"/>
        <v>472</v>
      </c>
      <c r="F227" s="234"/>
      <c r="G227" s="235">
        <f t="shared" si="57"/>
        <v>472</v>
      </c>
      <c r="H227" s="172">
        <f t="shared" si="58"/>
        <v>2.3243216624809181E-2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20307</v>
      </c>
      <c r="D228" s="592">
        <f>SUM(D219:D227)</f>
        <v>0</v>
      </c>
      <c r="E228" s="237">
        <f>SUM(E219:E227)</f>
        <v>20307</v>
      </c>
      <c r="F228" s="237">
        <f>SUM(F219:F227)</f>
        <v>0</v>
      </c>
      <c r="G228" s="237">
        <f>SUM(G219:G227)</f>
        <v>20307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'[43]Sch D'!N22</f>
        <v>102</v>
      </c>
      <c r="D231" s="559"/>
      <c r="E231" s="235">
        <f>C231+D231</f>
        <v>102</v>
      </c>
      <c r="F231" s="235"/>
      <c r="G231" s="235">
        <f>E231+F231</f>
        <v>102</v>
      </c>
      <c r="H231" s="167"/>
      <c r="J231" s="168"/>
      <c r="K231" s="168"/>
    </row>
    <row r="232" spans="1:11">
      <c r="A232" s="163"/>
      <c r="B232" s="202" t="s">
        <v>290</v>
      </c>
      <c r="C232" s="593">
        <f>'[43]Sch D'!N24</f>
        <v>102</v>
      </c>
      <c r="D232" s="559"/>
      <c r="E232" s="235">
        <f>C232+D232</f>
        <v>102</v>
      </c>
      <c r="F232" s="235"/>
      <c r="G232" s="235">
        <f>E232+F232</f>
        <v>102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'[43]Sch D'!N28</f>
        <v>37332</v>
      </c>
      <c r="D235" s="483"/>
      <c r="E235" s="234">
        <f>E231*E233</f>
        <v>37332</v>
      </c>
      <c r="F235" s="239"/>
      <c r="G235" s="234">
        <f>G231*G233</f>
        <v>37332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'[43]Sch D'!N30</f>
        <v>0.54395692703310827</v>
      </c>
      <c r="D236" s="239"/>
      <c r="E236" s="244">
        <f>E228/E235</f>
        <v>0.54395692703310827</v>
      </c>
      <c r="F236" s="245"/>
      <c r="G236" s="244">
        <f>G228/G235</f>
        <v>0.54395692703310827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'[43]Sch D'!N32</f>
        <v>0.31059144969463193</v>
      </c>
      <c r="D237" s="239"/>
      <c r="E237" s="244">
        <f>(E219+E220)/E235</f>
        <v>0.31059144969463193</v>
      </c>
      <c r="F237" s="245"/>
      <c r="G237" s="244">
        <f>(G219+G220)/G235</f>
        <v>0.31059144969463193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'[43]Sch D'!N34</f>
        <v>0.57098537450140352</v>
      </c>
      <c r="D238" s="239"/>
      <c r="E238" s="244">
        <f>(E237/E236)</f>
        <v>0.57098537450140352</v>
      </c>
      <c r="F238" s="245"/>
      <c r="G238" s="244">
        <f>(G237/G236)</f>
        <v>0.57098537450140352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'[43]Sch B'!C85</f>
        <v>210.81011235955057</v>
      </c>
    </row>
    <row r="242" spans="2:7">
      <c r="F242" s="142" t="s">
        <v>341</v>
      </c>
      <c r="G242" s="558">
        <f>'[43]Sch B'!E85</f>
        <v>210.80939226519337</v>
      </c>
    </row>
    <row r="243" spans="2:7">
      <c r="B243" s="460"/>
      <c r="F243" s="142" t="s">
        <v>342</v>
      </c>
      <c r="G243" s="558">
        <f>'[43]Sch B'!G85</f>
        <v>210.80935569285083</v>
      </c>
    </row>
    <row r="244" spans="2:7">
      <c r="B244" s="460"/>
      <c r="F244" s="142" t="s">
        <v>343</v>
      </c>
      <c r="G244" s="558">
        <f>'[43]Sch B'!I85</f>
        <v>210.81049250535332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E28CAB"/>
  </sheetPr>
  <dimension ref="A1:T245"/>
  <sheetViews>
    <sheetView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404</v>
      </c>
      <c r="D2" s="144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'[44]Sch B'!E10</f>
        <v>499073</v>
      </c>
      <c r="D11" s="558">
        <f>'[44]Sch B'!G10</f>
        <v>0</v>
      </c>
      <c r="E11" s="171">
        <f>C11+D11</f>
        <v>499073</v>
      </c>
      <c r="F11" s="171"/>
      <c r="G11" s="171">
        <f t="shared" ref="G11:G20" si="0">E11+F11</f>
        <v>499073</v>
      </c>
      <c r="H11" s="172">
        <f t="shared" ref="H11:H21" si="1">IF($G$21=0,0,G11/$G$21)</f>
        <v>4.4518496290608486E-2</v>
      </c>
      <c r="I11" s="336"/>
      <c r="J11" s="368" t="s">
        <v>344</v>
      </c>
      <c r="K11" s="369">
        <f>G21</f>
        <v>11210464</v>
      </c>
      <c r="M11" s="359">
        <f>IFERROR(G11/G219,0)</f>
        <v>175.91575608036658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'[44]Sch B'!E15</f>
        <v>0</v>
      </c>
      <c r="D12" s="558">
        <f>'[44]Sch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10360984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'[44]Sch B'!E21</f>
        <v>1658850</v>
      </c>
      <c r="D13" s="558">
        <f>'[44]Sch B'!G21</f>
        <v>0</v>
      </c>
      <c r="E13" s="171">
        <f t="shared" si="2"/>
        <v>1658850</v>
      </c>
      <c r="F13" s="171"/>
      <c r="G13" s="171">
        <f t="shared" si="0"/>
        <v>1658850</v>
      </c>
      <c r="H13" s="172">
        <f t="shared" si="1"/>
        <v>0.14797335774861772</v>
      </c>
      <c r="I13" s="336"/>
      <c r="J13" s="370" t="s">
        <v>346</v>
      </c>
      <c r="K13" s="371">
        <f>G228</f>
        <v>42042</v>
      </c>
      <c r="M13" s="359">
        <f t="shared" si="3"/>
        <v>597.35325891249545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'[44]Sch B'!E27</f>
        <v>352792</v>
      </c>
      <c r="D14" s="558">
        <f>'[44]Sch B'!G27</f>
        <v>0</v>
      </c>
      <c r="E14" s="171">
        <f t="shared" si="2"/>
        <v>352792</v>
      </c>
      <c r="F14" s="175"/>
      <c r="G14" s="175">
        <f>E14+F14</f>
        <v>352792</v>
      </c>
      <c r="H14" s="176">
        <f t="shared" si="1"/>
        <v>3.1469883851373143E-2</v>
      </c>
      <c r="I14" s="337"/>
      <c r="J14" s="370" t="s">
        <v>347</v>
      </c>
      <c r="K14" s="371">
        <f>G231</f>
        <v>120</v>
      </c>
      <c r="M14" s="359">
        <f t="shared" si="3"/>
        <v>432.87361963190182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'[44]Sch B'!E32</f>
        <v>6655324</v>
      </c>
      <c r="D15" s="558">
        <f>'[44]Sch B'!G32</f>
        <v>-2706590</v>
      </c>
      <c r="E15" s="171">
        <f t="shared" si="2"/>
        <v>3948734</v>
      </c>
      <c r="F15" s="171"/>
      <c r="G15" s="171">
        <f t="shared" si="0"/>
        <v>3948734</v>
      </c>
      <c r="H15" s="172">
        <f t="shared" si="1"/>
        <v>0.35223644623451805</v>
      </c>
      <c r="I15" s="336"/>
      <c r="J15" s="370" t="s">
        <v>348</v>
      </c>
      <c r="K15" s="371">
        <f>G235</f>
        <v>43920</v>
      </c>
      <c r="M15" s="359">
        <f t="shared" si="3"/>
        <v>388.19642154935116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'[44]Sch B'!E37</f>
        <v>1905730</v>
      </c>
      <c r="D16" s="558">
        <f>'[44]Sch B'!G37</f>
        <v>2706590</v>
      </c>
      <c r="E16" s="171">
        <f t="shared" si="2"/>
        <v>4612320</v>
      </c>
      <c r="F16" s="171"/>
      <c r="G16" s="171">
        <f t="shared" si="0"/>
        <v>4612320</v>
      </c>
      <c r="H16" s="172">
        <f t="shared" si="1"/>
        <v>0.4114298926431591</v>
      </c>
      <c r="I16" s="336"/>
      <c r="J16" s="372"/>
      <c r="K16" s="371"/>
      <c r="M16" s="359">
        <f t="shared" si="3"/>
        <v>187.1959089248752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'[44]Sch B'!E42</f>
        <v>127849</v>
      </c>
      <c r="D17" s="558">
        <f>'[44]Sch B'!G42</f>
        <v>0</v>
      </c>
      <c r="E17" s="171">
        <f t="shared" si="2"/>
        <v>127849</v>
      </c>
      <c r="F17" s="171"/>
      <c r="G17" s="171">
        <f>E17+F17</f>
        <v>127849</v>
      </c>
      <c r="H17" s="172">
        <f t="shared" si="1"/>
        <v>1.1404434285681664E-2</v>
      </c>
      <c r="I17" s="336"/>
      <c r="J17" s="370" t="s">
        <v>156</v>
      </c>
      <c r="K17" s="371">
        <f>J208</f>
        <v>291222</v>
      </c>
      <c r="M17" s="359">
        <f t="shared" si="3"/>
        <v>180.32299012693935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'[44]Sch B'!E47</f>
        <v>0</v>
      </c>
      <c r="D18" s="558">
        <f>'[44]Sch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333583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'[44]Sch B'!E52</f>
        <v>17583</v>
      </c>
      <c r="D19" s="558">
        <f>'[44]Sch B'!G52</f>
        <v>0</v>
      </c>
      <c r="E19" s="171">
        <f t="shared" si="2"/>
        <v>17583</v>
      </c>
      <c r="F19" s="171"/>
      <c r="G19" s="171">
        <f t="shared" si="0"/>
        <v>17583</v>
      </c>
      <c r="H19" s="172">
        <f t="shared" si="1"/>
        <v>1.5684453382125841E-3</v>
      </c>
      <c r="I19" s="336"/>
      <c r="J19" s="168"/>
      <c r="K19" s="168"/>
      <c r="M19" s="359">
        <f t="shared" si="3"/>
        <v>189.06451612903226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'[44]Sch B'!E67</f>
        <v>20734</v>
      </c>
      <c r="D20" s="558">
        <f>'[44]Sch B'!G67</f>
        <v>-27471</v>
      </c>
      <c r="E20" s="171">
        <f t="shared" si="2"/>
        <v>-6737</v>
      </c>
      <c r="F20" s="171"/>
      <c r="G20" s="171">
        <f t="shared" si="0"/>
        <v>-6737</v>
      </c>
      <c r="H20" s="172">
        <f t="shared" si="1"/>
        <v>-6.0095639217074329E-4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11237935</v>
      </c>
      <c r="D21" s="558">
        <f>SUM(D11:D20)</f>
        <v>-27471</v>
      </c>
      <c r="E21" s="171">
        <f>SUM(E11:E20)</f>
        <v>11210464</v>
      </c>
      <c r="F21" s="171">
        <f>SUM(F11:F20)</f>
        <v>0</v>
      </c>
      <c r="G21" s="171">
        <f>SUM(G11:G20)</f>
        <v>11210464</v>
      </c>
      <c r="H21" s="172">
        <f t="shared" si="1"/>
        <v>1</v>
      </c>
      <c r="I21" s="336"/>
      <c r="J21" s="168"/>
      <c r="K21" s="168"/>
      <c r="M21" s="359">
        <f>IFERROR(G21/G228,0)</f>
        <v>266.64916036344607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'[44]Sch C'!D10</f>
        <v>0</v>
      </c>
      <c r="D25" s="558">
        <f>'[44]Sch C'!F10</f>
        <v>132958</v>
      </c>
      <c r="E25" s="171">
        <f t="shared" ref="E25:E60" si="4">C25+D25</f>
        <v>132958</v>
      </c>
      <c r="F25" s="171"/>
      <c r="G25" s="182">
        <f>E25+F25</f>
        <v>132958</v>
      </c>
      <c r="H25" s="172">
        <f>IF($G$208=0,0,G25/$G$208)</f>
        <v>1.2832564937847603E-2</v>
      </c>
      <c r="I25" s="336"/>
      <c r="J25" s="183">
        <v>1768</v>
      </c>
      <c r="K25" s="183">
        <v>2080</v>
      </c>
      <c r="M25" s="359">
        <f>G25/G$228</f>
        <v>3.1625041625041623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'[44]Sch C'!D11</f>
        <v>0</v>
      </c>
      <c r="D26" s="558">
        <f>'[44]Sch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'[44]Sch C'!D12</f>
        <v>343382</v>
      </c>
      <c r="D27" s="558">
        <f>'[44]Sch C'!F12</f>
        <v>-132958</v>
      </c>
      <c r="E27" s="171">
        <f t="shared" si="4"/>
        <v>210424</v>
      </c>
      <c r="F27" s="171"/>
      <c r="G27" s="171">
        <f t="shared" si="5"/>
        <v>210424</v>
      </c>
      <c r="H27" s="172">
        <f t="shared" si="6"/>
        <v>2.0309267922815052E-2</v>
      </c>
      <c r="I27" s="336"/>
      <c r="J27" s="185">
        <v>10365</v>
      </c>
      <c r="K27" s="185">
        <v>12281</v>
      </c>
      <c r="M27" s="359">
        <f t="shared" si="7"/>
        <v>5.0050901479472909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'[44]Sch C'!D13</f>
        <v>73747</v>
      </c>
      <c r="D28" s="558">
        <f>'[44]Sch C'!F13</f>
        <v>0</v>
      </c>
      <c r="E28" s="171">
        <f t="shared" si="4"/>
        <v>73747</v>
      </c>
      <c r="F28" s="171"/>
      <c r="G28" s="171">
        <f t="shared" si="5"/>
        <v>73747</v>
      </c>
      <c r="H28" s="172">
        <f t="shared" si="6"/>
        <v>7.1177602436216479E-3</v>
      </c>
      <c r="I28" s="336"/>
      <c r="J28" s="168"/>
      <c r="K28" s="168"/>
      <c r="M28" s="359">
        <f t="shared" si="7"/>
        <v>1.754126825555397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'[44]Sch C'!D14</f>
        <v>0</v>
      </c>
      <c r="D29" s="558">
        <f>'[44]Sch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'[44]Sch C'!D15</f>
        <v>0</v>
      </c>
      <c r="D30" s="558">
        <f>'[44]Sch C'!F15</f>
        <v>644711</v>
      </c>
      <c r="E30" s="171">
        <f t="shared" si="4"/>
        <v>644711</v>
      </c>
      <c r="F30" s="171"/>
      <c r="G30" s="171">
        <f t="shared" si="5"/>
        <v>644711</v>
      </c>
      <c r="H30" s="172">
        <f t="shared" si="6"/>
        <v>6.2224881343316427E-2</v>
      </c>
      <c r="I30" s="336"/>
      <c r="J30" s="168"/>
      <c r="K30" s="168"/>
      <c r="M30" s="359">
        <f t="shared" si="7"/>
        <v>15.334926977784122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'[44]Sch C'!D16</f>
        <v>644711</v>
      </c>
      <c r="D31" s="558">
        <f>'[44]Sch C'!F16</f>
        <v>-644711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'[44]Sch C'!D17</f>
        <v>1636</v>
      </c>
      <c r="D32" s="558">
        <f>'[44]Sch C'!F17</f>
        <v>-1636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'[44]Sch C'!D18</f>
        <v>76318</v>
      </c>
      <c r="D33" s="558">
        <f>'[44]Sch C'!F18</f>
        <v>0</v>
      </c>
      <c r="E33" s="171">
        <f t="shared" si="4"/>
        <v>76318</v>
      </c>
      <c r="F33" s="171"/>
      <c r="G33" s="171">
        <f t="shared" si="5"/>
        <v>76318</v>
      </c>
      <c r="H33" s="172">
        <f t="shared" si="6"/>
        <v>7.3659026980448959E-3</v>
      </c>
      <c r="I33" s="336"/>
      <c r="J33" s="168"/>
      <c r="K33" s="168"/>
      <c r="M33" s="359">
        <f t="shared" si="7"/>
        <v>1.8152799581371011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'[44]Sch C'!D19</f>
        <v>16504</v>
      </c>
      <c r="D34" s="558">
        <f>'[44]Sch C'!F19</f>
        <v>0</v>
      </c>
      <c r="E34" s="171">
        <f t="shared" si="4"/>
        <v>16504</v>
      </c>
      <c r="F34" s="171"/>
      <c r="G34" s="171">
        <f t="shared" si="5"/>
        <v>16504</v>
      </c>
      <c r="H34" s="172">
        <f t="shared" si="6"/>
        <v>1.5928988984057885E-3</v>
      </c>
      <c r="I34" s="336"/>
      <c r="J34" s="168"/>
      <c r="K34" s="168"/>
      <c r="M34" s="359">
        <f t="shared" si="7"/>
        <v>0.39255982113124971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'[44]Sch C'!D20</f>
        <v>42797</v>
      </c>
      <c r="D35" s="558">
        <f>'[44]Sch C'!F20</f>
        <v>0</v>
      </c>
      <c r="E35" s="171">
        <f t="shared" si="4"/>
        <v>42797</v>
      </c>
      <c r="F35" s="171"/>
      <c r="G35" s="171">
        <f t="shared" si="5"/>
        <v>42797</v>
      </c>
      <c r="H35" s="172">
        <f t="shared" si="6"/>
        <v>4.1305922294639199E-3</v>
      </c>
      <c r="I35" s="336"/>
      <c r="J35" s="168"/>
      <c r="K35" s="168"/>
      <c r="M35" s="359">
        <f t="shared" si="7"/>
        <v>1.0179582322439464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'[44]Sch C'!D21</f>
        <v>5745</v>
      </c>
      <c r="D36" s="558">
        <f>'[44]Sch C'!F21</f>
        <v>0</v>
      </c>
      <c r="E36" s="171">
        <f t="shared" si="4"/>
        <v>5745</v>
      </c>
      <c r="F36" s="171"/>
      <c r="G36" s="171">
        <f t="shared" si="5"/>
        <v>5745</v>
      </c>
      <c r="H36" s="172">
        <f t="shared" si="6"/>
        <v>5.544840142596495E-4</v>
      </c>
      <c r="I36" s="336"/>
      <c r="J36" s="168"/>
      <c r="K36" s="168"/>
      <c r="M36" s="359">
        <f t="shared" si="7"/>
        <v>0.1366490652204938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'[44]Sch C'!D22</f>
        <v>0</v>
      </c>
      <c r="D37" s="558">
        <f>'[44]Sch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'[44]Sch C'!D23</f>
        <v>25420</v>
      </c>
      <c r="D38" s="558">
        <f>'[44]Sch C'!F23</f>
        <v>0</v>
      </c>
      <c r="E38" s="171">
        <f t="shared" si="4"/>
        <v>25420</v>
      </c>
      <c r="F38" s="171"/>
      <c r="G38" s="171">
        <f t="shared" si="5"/>
        <v>25420</v>
      </c>
      <c r="H38" s="172">
        <f t="shared" si="6"/>
        <v>2.4534349247137145E-3</v>
      </c>
      <c r="I38" s="336"/>
      <c r="J38" s="168"/>
      <c r="K38" s="168"/>
      <c r="M38" s="359">
        <f t="shared" si="7"/>
        <v>0.60463346177631894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'[44]Sch C'!D24</f>
        <v>10633</v>
      </c>
      <c r="D39" s="558">
        <f>'[44]Sch C'!F24</f>
        <v>0</v>
      </c>
      <c r="E39" s="171">
        <f t="shared" si="4"/>
        <v>10633</v>
      </c>
      <c r="F39" s="171"/>
      <c r="G39" s="171">
        <f t="shared" si="5"/>
        <v>10633</v>
      </c>
      <c r="H39" s="172">
        <f t="shared" si="6"/>
        <v>1.0262538770448831E-3</v>
      </c>
      <c r="I39" s="336"/>
      <c r="J39" s="168"/>
      <c r="K39" s="168"/>
      <c r="M39" s="359">
        <f t="shared" si="7"/>
        <v>0.2529137529137529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'[44]Sch C'!D25</f>
        <v>0</v>
      </c>
      <c r="D40" s="558">
        <f>'[44]Sch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'[44]Sch C'!D26</f>
        <v>0</v>
      </c>
      <c r="D41" s="558">
        <f>'[44]Sch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6"/>
      <c r="J41" s="168"/>
      <c r="K41" s="168"/>
      <c r="M41" s="359">
        <f t="shared" si="7"/>
        <v>0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'[44]Sch C'!D27</f>
        <v>1088</v>
      </c>
      <c r="D42" s="558">
        <f>'[44]Sch C'!F27</f>
        <v>-29</v>
      </c>
      <c r="E42" s="171">
        <f t="shared" si="4"/>
        <v>1059</v>
      </c>
      <c r="F42" s="171"/>
      <c r="G42" s="171">
        <f t="shared" si="5"/>
        <v>1059</v>
      </c>
      <c r="H42" s="172">
        <f t="shared" si="6"/>
        <v>1.022103692081756E-4</v>
      </c>
      <c r="I42" s="336"/>
      <c r="J42" s="168"/>
      <c r="K42" s="168"/>
      <c r="M42" s="359">
        <f t="shared" si="7"/>
        <v>2.5189096617668046E-2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'[44]Sch C'!D28</f>
        <v>0</v>
      </c>
      <c r="D43" s="558">
        <f>'[44]Sch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'[44]Sch C'!D29</f>
        <v>21911</v>
      </c>
      <c r="D44" s="558">
        <f>'[44]Sch C'!F29</f>
        <v>-21911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'[44]Sch C'!D30</f>
        <v>400</v>
      </c>
      <c r="D45" s="558">
        <f>'[44]Sch C'!F30</f>
        <v>-400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'[44]Sch C'!D31</f>
        <v>0</v>
      </c>
      <c r="D46" s="558">
        <f>'[44]Sch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'[44]Sch C'!D32</f>
        <v>93720</v>
      </c>
      <c r="D47" s="558">
        <f>'[44]Sch C'!F32</f>
        <v>0</v>
      </c>
      <c r="E47" s="171">
        <f t="shared" si="4"/>
        <v>93720</v>
      </c>
      <c r="F47" s="171"/>
      <c r="G47" s="171">
        <f t="shared" si="5"/>
        <v>93720</v>
      </c>
      <c r="H47" s="172">
        <f t="shared" si="6"/>
        <v>9.0454729010294773E-3</v>
      </c>
      <c r="I47" s="336"/>
      <c r="J47" s="168"/>
      <c r="K47" s="168"/>
      <c r="M47" s="359">
        <f t="shared" si="7"/>
        <v>2.2291993720565149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'[44]Sch C'!D33</f>
        <v>0</v>
      </c>
      <c r="D48" s="558">
        <f>'[44]Sch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'[44]Sch C'!D34</f>
        <v>7756</v>
      </c>
      <c r="D49" s="558">
        <f>'[44]Sch C'!F34</f>
        <v>0</v>
      </c>
      <c r="E49" s="171">
        <f t="shared" si="4"/>
        <v>7756</v>
      </c>
      <c r="F49" s="171"/>
      <c r="G49" s="171">
        <f t="shared" si="5"/>
        <v>7756</v>
      </c>
      <c r="H49" s="172">
        <f t="shared" si="6"/>
        <v>7.485775482328705E-4</v>
      </c>
      <c r="I49" s="336"/>
      <c r="J49" s="168"/>
      <c r="K49" s="168"/>
      <c r="M49" s="359">
        <f t="shared" si="7"/>
        <v>0.18448218448218448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'[44]Sch C'!D35</f>
        <v>0</v>
      </c>
      <c r="D50" s="558">
        <f>'[44]Sch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'[44]Sch C'!D36</f>
        <v>44242</v>
      </c>
      <c r="D51" s="558">
        <f>'[44]Sch C'!F36</f>
        <v>0</v>
      </c>
      <c r="E51" s="171">
        <f t="shared" si="4"/>
        <v>44242</v>
      </c>
      <c r="F51" s="171"/>
      <c r="G51" s="171">
        <f t="shared" si="5"/>
        <v>44242</v>
      </c>
      <c r="H51" s="172">
        <f t="shared" si="6"/>
        <v>4.2700577474108639E-3</v>
      </c>
      <c r="I51" s="336"/>
      <c r="J51" s="183">
        <v>3076</v>
      </c>
      <c r="K51" s="183">
        <v>3411</v>
      </c>
      <c r="M51" s="359">
        <f t="shared" si="7"/>
        <v>1.0523286237571952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'[44]Sch C'!D37</f>
        <v>8421</v>
      </c>
      <c r="D52" s="558">
        <f>'[44]Sch C'!F37</f>
        <v>0</v>
      </c>
      <c r="E52" s="171">
        <f t="shared" si="4"/>
        <v>8421</v>
      </c>
      <c r="F52" s="171"/>
      <c r="G52" s="171">
        <f t="shared" si="5"/>
        <v>8421</v>
      </c>
      <c r="H52" s="172">
        <f t="shared" si="6"/>
        <v>8.1276064126727728E-4</v>
      </c>
      <c r="I52" s="336"/>
      <c r="J52" s="168"/>
      <c r="K52" s="168"/>
      <c r="M52" s="359">
        <f t="shared" si="7"/>
        <v>0.20029970029970029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'[44]Sch C'!D38</f>
        <v>24267</v>
      </c>
      <c r="D53" s="558">
        <f>'[44]Sch C'!F38</f>
        <v>-24267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'[44]Sch C'!D39</f>
        <v>9703</v>
      </c>
      <c r="D54" s="558">
        <f>'[44]Sch C'!F39</f>
        <v>0</v>
      </c>
      <c r="E54" s="171">
        <f t="shared" si="4"/>
        <v>9703</v>
      </c>
      <c r="F54" s="171"/>
      <c r="G54" s="171">
        <f t="shared" si="5"/>
        <v>9703</v>
      </c>
      <c r="H54" s="172">
        <f t="shared" si="6"/>
        <v>9.364940627260886E-4</v>
      </c>
      <c r="I54" s="336"/>
      <c r="J54" s="168"/>
      <c r="K54" s="168"/>
      <c r="M54" s="359">
        <f t="shared" si="7"/>
        <v>0.23079301650730222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'[44]Sch C'!D40</f>
        <v>25953</v>
      </c>
      <c r="D55" s="558">
        <f>'[44]Sch C'!F40</f>
        <v>-25953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'[44]Sch C'!D41</f>
        <v>64828</v>
      </c>
      <c r="D56" s="558">
        <f>'[44]Sch C'!F41</f>
        <v>0</v>
      </c>
      <c r="E56" s="171">
        <f t="shared" si="4"/>
        <v>64828</v>
      </c>
      <c r="F56" s="171"/>
      <c r="G56" s="171">
        <f t="shared" si="5"/>
        <v>64828</v>
      </c>
      <c r="H56" s="172">
        <f t="shared" si="6"/>
        <v>6.2569346695255969E-3</v>
      </c>
      <c r="I56" s="336"/>
      <c r="J56" s="168"/>
      <c r="K56" s="168"/>
      <c r="M56" s="359">
        <f t="shared" si="7"/>
        <v>1.5419818276961135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'[44]Sch C'!D42</f>
        <v>524</v>
      </c>
      <c r="D57" s="558">
        <f>'[44]Sch C'!F42</f>
        <v>0</v>
      </c>
      <c r="E57" s="171">
        <f t="shared" si="4"/>
        <v>524</v>
      </c>
      <c r="F57" s="171"/>
      <c r="G57" s="171">
        <f t="shared" si="5"/>
        <v>524</v>
      </c>
      <c r="H57" s="172">
        <f t="shared" si="6"/>
        <v>5.0574346992525032E-5</v>
      </c>
      <c r="I57" s="336"/>
      <c r="J57" s="168"/>
      <c r="K57" s="168"/>
      <c r="M57" s="359">
        <f t="shared" si="7"/>
        <v>1.2463726749441035E-2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'[44]Sch C'!D43</f>
        <v>18059</v>
      </c>
      <c r="D58" s="558">
        <f>'[44]Sch C'!F43</f>
        <v>-18059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'[44]Sch C'!D44</f>
        <v>0</v>
      </c>
      <c r="D59" s="558">
        <f>'[44]Sch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'[44]Sch C'!D45</f>
        <v>447284</v>
      </c>
      <c r="D60" s="558">
        <f>'[44]Sch C'!F45</f>
        <v>-437514</v>
      </c>
      <c r="E60" s="171">
        <f t="shared" si="4"/>
        <v>9770</v>
      </c>
      <c r="F60" s="171"/>
      <c r="G60" s="171">
        <f t="shared" si="5"/>
        <v>9770</v>
      </c>
      <c r="H60" s="172">
        <f t="shared" si="6"/>
        <v>9.429606299942168E-4</v>
      </c>
      <c r="I60" s="336"/>
      <c r="J60" s="168"/>
      <c r="K60" s="168"/>
      <c r="M60" s="359">
        <f t="shared" si="7"/>
        <v>0.23238666095808952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2009049</v>
      </c>
      <c r="D61" s="558">
        <f>SUM(D25:D60)</f>
        <v>-529769</v>
      </c>
      <c r="E61" s="171">
        <f t="shared" ref="E61:F61" si="8">SUM(E25:E60)</f>
        <v>1479280</v>
      </c>
      <c r="F61" s="171">
        <f t="shared" si="8"/>
        <v>0</v>
      </c>
      <c r="G61" s="171">
        <f>SUM(G25:G60)</f>
        <v>1479280</v>
      </c>
      <c r="H61" s="186">
        <f t="shared" si="6"/>
        <v>0.14277408400592068</v>
      </c>
      <c r="I61" s="338"/>
      <c r="J61" s="168"/>
      <c r="K61" s="168"/>
      <c r="M61" s="364">
        <f>G61/G$228</f>
        <v>35.185766614338043</v>
      </c>
      <c r="N61" s="359">
        <f>SUMMARY!J64</f>
        <v>53.728790309602623</v>
      </c>
      <c r="O61" s="354">
        <f>M61/N61-1</f>
        <v>-0.3451226723775781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'[44]Sch C'!D57</f>
        <v>0</v>
      </c>
      <c r="D64" s="558">
        <f>'[44]Sch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'[44]Sch C'!D58</f>
        <v>6302</v>
      </c>
      <c r="D65" s="558">
        <f>'[44]Sch C'!F58</f>
        <v>0</v>
      </c>
      <c r="E65" s="171">
        <f t="shared" si="9"/>
        <v>6302</v>
      </c>
      <c r="F65" s="171"/>
      <c r="G65" s="171">
        <f t="shared" si="10"/>
        <v>6302</v>
      </c>
      <c r="H65" s="172">
        <f t="shared" si="11"/>
        <v>6.0824338692155107E-4</v>
      </c>
      <c r="I65" s="336"/>
      <c r="J65" s="190"/>
      <c r="K65" s="168"/>
      <c r="M65" s="359">
        <f t="shared" si="12"/>
        <v>0.14989772132629275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'[44]Sch C'!D59</f>
        <v>0</v>
      </c>
      <c r="D66" s="558">
        <f>'[44]Sch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'[44]Sch C'!D60</f>
        <v>872</v>
      </c>
      <c r="D67" s="558">
        <f>'[44]Sch C'!F60</f>
        <v>0</v>
      </c>
      <c r="E67" s="171">
        <f t="shared" si="9"/>
        <v>872</v>
      </c>
      <c r="F67" s="171"/>
      <c r="G67" s="171">
        <f t="shared" si="10"/>
        <v>872</v>
      </c>
      <c r="H67" s="172">
        <f t="shared" si="11"/>
        <v>8.4161890415041662E-5</v>
      </c>
      <c r="I67" s="336"/>
      <c r="J67" s="193"/>
      <c r="K67" s="168"/>
      <c r="M67" s="359">
        <f t="shared" si="12"/>
        <v>2.0741163598306456E-2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'[44]Sch C'!D61</f>
        <v>22368</v>
      </c>
      <c r="D68" s="558">
        <f>'[44]Sch C'!F61</f>
        <v>0</v>
      </c>
      <c r="E68" s="171">
        <f t="shared" si="9"/>
        <v>22368</v>
      </c>
      <c r="F68" s="171"/>
      <c r="G68" s="171">
        <f t="shared" si="10"/>
        <v>22368</v>
      </c>
      <c r="H68" s="172">
        <f t="shared" si="11"/>
        <v>2.1588683082610686E-3</v>
      </c>
      <c r="I68" s="336"/>
      <c r="J68" s="193"/>
      <c r="K68" s="168"/>
      <c r="M68" s="359">
        <f t="shared" si="12"/>
        <v>0.53203938918224636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'[44]Sch C'!D62</f>
        <v>18780</v>
      </c>
      <c r="D69" s="558">
        <f>'[44]Sch C'!F62</f>
        <v>0</v>
      </c>
      <c r="E69" s="171">
        <f t="shared" si="9"/>
        <v>18780</v>
      </c>
      <c r="F69" s="171"/>
      <c r="G69" s="171">
        <f t="shared" si="10"/>
        <v>18780</v>
      </c>
      <c r="H69" s="172">
        <f t="shared" si="11"/>
        <v>1.8125691536633973E-3</v>
      </c>
      <c r="I69" s="336"/>
      <c r="J69" s="195"/>
      <c r="K69" s="168"/>
      <c r="M69" s="359">
        <f t="shared" si="12"/>
        <v>0.44669616098187526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'[44]Sch C'!D63</f>
        <v>0</v>
      </c>
      <c r="D70" s="558">
        <f>'[44]Sch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'[44]Sch C'!D64</f>
        <v>0</v>
      </c>
      <c r="D71" s="558">
        <f>'[44]Sch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'[44]Sch C'!D65</f>
        <v>7492</v>
      </c>
      <c r="D72" s="558">
        <f>'[44]Sch C'!F65</f>
        <v>0</v>
      </c>
      <c r="E72" s="171">
        <f t="shared" si="9"/>
        <v>7492</v>
      </c>
      <c r="F72" s="171"/>
      <c r="G72" s="171">
        <f t="shared" si="10"/>
        <v>7492</v>
      </c>
      <c r="H72" s="172">
        <f t="shared" si="11"/>
        <v>7.2309734287785796E-4</v>
      </c>
      <c r="I72" s="336"/>
      <c r="J72" s="195"/>
      <c r="K72" s="168"/>
      <c r="M72" s="359">
        <f t="shared" si="12"/>
        <v>0.17820274963132107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'[44]Sch C'!D66</f>
        <v>62179</v>
      </c>
      <c r="D73" s="558">
        <f>'[44]Sch C'!F66</f>
        <v>0</v>
      </c>
      <c r="E73" s="171">
        <f t="shared" si="9"/>
        <v>62179</v>
      </c>
      <c r="F73" s="171"/>
      <c r="G73" s="171">
        <f t="shared" si="10"/>
        <v>62179</v>
      </c>
      <c r="H73" s="172">
        <f t="shared" si="11"/>
        <v>6.0012639726110956E-3</v>
      </c>
      <c r="I73" s="336"/>
      <c r="J73" s="195"/>
      <c r="K73" s="168"/>
      <c r="M73" s="359">
        <f t="shared" si="12"/>
        <v>1.4789734075448362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'[44]Sch C'!D67</f>
        <v>24834</v>
      </c>
      <c r="D74" s="558">
        <f>'[44]Sch C'!F67</f>
        <v>0</v>
      </c>
      <c r="E74" s="171">
        <f t="shared" si="9"/>
        <v>24834</v>
      </c>
      <c r="F74" s="171"/>
      <c r="G74" s="171">
        <f t="shared" si="10"/>
        <v>24834</v>
      </c>
      <c r="H74" s="172">
        <f t="shared" si="11"/>
        <v>2.3968765900999364E-3</v>
      </c>
      <c r="I74" s="336"/>
      <c r="J74" s="195"/>
      <c r="K74" s="168"/>
      <c r="M74" s="359">
        <f t="shared" si="12"/>
        <v>0.59069501926644785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'[44]Sch C'!D68</f>
        <v>0</v>
      </c>
      <c r="D75" s="558">
        <f>'[44]Sch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'[44]Sch C'!D69</f>
        <v>3082</v>
      </c>
      <c r="D76" s="558">
        <f>'[44]Sch C'!F69</f>
        <v>0</v>
      </c>
      <c r="E76" s="171">
        <f t="shared" si="9"/>
        <v>3082</v>
      </c>
      <c r="F76" s="171"/>
      <c r="G76" s="171">
        <f t="shared" si="10"/>
        <v>3082</v>
      </c>
      <c r="H76" s="172">
        <f t="shared" si="11"/>
        <v>2.9746209433389727E-4</v>
      </c>
      <c r="I76" s="336"/>
      <c r="J76" s="195"/>
      <c r="K76" s="168"/>
      <c r="M76" s="359">
        <f t="shared" si="12"/>
        <v>7.3307644736216163E-2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'[44]Sch C'!D70</f>
        <v>0</v>
      </c>
      <c r="D77" s="558">
        <f>'[44]Sch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'[44]Sch C'!D71</f>
        <v>0</v>
      </c>
      <c r="D78" s="558">
        <f>'[44]Sch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145909</v>
      </c>
      <c r="D79" s="558">
        <f>SUM(D64:D78)</f>
        <v>0</v>
      </c>
      <c r="E79" s="171">
        <f t="shared" ref="E79:F79" si="13">SUM(E64:E78)</f>
        <v>145909</v>
      </c>
      <c r="F79" s="171">
        <f t="shared" si="13"/>
        <v>0</v>
      </c>
      <c r="G79" s="171">
        <f>SUM(G64:G78)</f>
        <v>145909</v>
      </c>
      <c r="H79" s="172">
        <f t="shared" si="11"/>
        <v>1.4082542739183846E-2</v>
      </c>
      <c r="I79" s="336"/>
      <c r="J79" s="195"/>
      <c r="K79" s="168"/>
      <c r="M79" s="359">
        <f t="shared" si="12"/>
        <v>3.4705532562675421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'[44]Sch C'!D75</f>
        <v>109807</v>
      </c>
      <c r="D82" s="558">
        <f>'[44]Sch C'!F75</f>
        <v>0</v>
      </c>
      <c r="E82" s="171">
        <f t="shared" ref="E82:E92" si="14">C82+D82</f>
        <v>109807</v>
      </c>
      <c r="F82" s="171"/>
      <c r="G82" s="171">
        <f t="shared" ref="G82:G92" si="15">E82+F82</f>
        <v>109807</v>
      </c>
      <c r="H82" s="172">
        <f t="shared" ref="H82:H93" si="16">IF($G$208=0,0,G82/$G$208)</f>
        <v>1.0598124656885871E-2</v>
      </c>
      <c r="I82" s="336"/>
      <c r="J82" s="183">
        <v>5884</v>
      </c>
      <c r="K82" s="183">
        <v>6593</v>
      </c>
      <c r="M82" s="359">
        <f t="shared" ref="M82:M92" si="17">G82/G$228</f>
        <v>2.6118405404119689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'[44]Sch C'!D76</f>
        <v>38943</v>
      </c>
      <c r="D83" s="558">
        <f>'[44]Sch C'!F76</f>
        <v>0</v>
      </c>
      <c r="E83" s="171">
        <f t="shared" si="14"/>
        <v>38943</v>
      </c>
      <c r="F83" s="171"/>
      <c r="G83" s="171">
        <f t="shared" si="15"/>
        <v>38943</v>
      </c>
      <c r="H83" s="172">
        <f t="shared" si="16"/>
        <v>3.7586198376524855E-3</v>
      </c>
      <c r="I83" s="336"/>
      <c r="J83" s="168"/>
      <c r="K83" s="168"/>
      <c r="M83" s="359">
        <f t="shared" si="17"/>
        <v>0.92628799771656911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'[44]Sch C'!D77</f>
        <v>31669</v>
      </c>
      <c r="D84" s="558">
        <f>'[44]Sch C'!F77</f>
        <v>0</v>
      </c>
      <c r="E84" s="171">
        <f t="shared" si="14"/>
        <v>31669</v>
      </c>
      <c r="F84" s="171"/>
      <c r="G84" s="171">
        <f t="shared" si="15"/>
        <v>31669</v>
      </c>
      <c r="H84" s="172">
        <f t="shared" si="16"/>
        <v>3.056562967378388E-3</v>
      </c>
      <c r="I84" s="336"/>
      <c r="J84" s="168"/>
      <c r="K84" s="168"/>
      <c r="M84" s="359">
        <f t="shared" si="17"/>
        <v>0.75327053898482466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'[44]Sch C'!D78</f>
        <v>0</v>
      </c>
      <c r="D85" s="558">
        <f>'[44]Sch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'[44]Sch C'!D79</f>
        <v>14121</v>
      </c>
      <c r="D86" s="558">
        <f>'[44]Sch C'!F79</f>
        <v>0</v>
      </c>
      <c r="E86" s="171">
        <f t="shared" si="14"/>
        <v>14121</v>
      </c>
      <c r="F86" s="171"/>
      <c r="G86" s="171">
        <f>E86+F86</f>
        <v>14121</v>
      </c>
      <c r="H86" s="172">
        <f t="shared" si="16"/>
        <v>1.3629014387050496E-3</v>
      </c>
      <c r="I86" s="336"/>
      <c r="J86" s="168"/>
      <c r="K86" s="168"/>
      <c r="M86" s="359">
        <f t="shared" si="17"/>
        <v>0.33587840730697871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'[44]Sch C'!D80</f>
        <v>44832</v>
      </c>
      <c r="D87" s="558">
        <f>'[44]Sch C'!F80</f>
        <v>0</v>
      </c>
      <c r="E87" s="171">
        <f t="shared" si="14"/>
        <v>44832</v>
      </c>
      <c r="F87" s="171"/>
      <c r="G87" s="171">
        <f t="shared" si="15"/>
        <v>44832</v>
      </c>
      <c r="H87" s="172">
        <f t="shared" si="16"/>
        <v>4.3270021457421422E-3</v>
      </c>
      <c r="I87" s="336"/>
      <c r="J87" s="168"/>
      <c r="K87" s="168"/>
      <c r="M87" s="359">
        <f t="shared" si="17"/>
        <v>1.0663622092193521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'[44]Sch C'!D81</f>
        <v>63180</v>
      </c>
      <c r="D88" s="558">
        <f>'[44]Sch C'!F81</f>
        <v>0</v>
      </c>
      <c r="E88" s="171">
        <f t="shared" si="14"/>
        <v>63180</v>
      </c>
      <c r="F88" s="171"/>
      <c r="G88" s="171">
        <f t="shared" si="15"/>
        <v>63180</v>
      </c>
      <c r="H88" s="172">
        <f t="shared" si="16"/>
        <v>6.0978764179155185E-3</v>
      </c>
      <c r="I88" s="336"/>
      <c r="J88" s="168"/>
      <c r="K88" s="168"/>
      <c r="M88" s="359">
        <f t="shared" si="17"/>
        <v>1.5027829313543599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'[44]Sch C'!D82</f>
        <v>55816</v>
      </c>
      <c r="D89" s="558">
        <f>'[44]Sch C'!F82</f>
        <v>0</v>
      </c>
      <c r="E89" s="171">
        <f t="shared" si="14"/>
        <v>55816</v>
      </c>
      <c r="F89" s="171"/>
      <c r="G89" s="171">
        <f t="shared" si="15"/>
        <v>55816</v>
      </c>
      <c r="H89" s="172">
        <f t="shared" si="16"/>
        <v>5.3871331139976669E-3</v>
      </c>
      <c r="I89" s="336"/>
      <c r="J89" s="168"/>
      <c r="K89" s="168"/>
      <c r="M89" s="359">
        <f t="shared" si="17"/>
        <v>1.3276247561961847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'[44]Sch C'!D83</f>
        <v>39344</v>
      </c>
      <c r="D90" s="558">
        <f>'[44]Sch C'!F83</f>
        <v>0</v>
      </c>
      <c r="E90" s="171">
        <f t="shared" si="14"/>
        <v>39344</v>
      </c>
      <c r="F90" s="171"/>
      <c r="G90" s="171">
        <f t="shared" si="15"/>
        <v>39344</v>
      </c>
      <c r="H90" s="172">
        <f t="shared" si="16"/>
        <v>3.7973227253318797E-3</v>
      </c>
      <c r="I90" s="336"/>
      <c r="J90" s="168"/>
      <c r="K90" s="168"/>
      <c r="M90" s="359">
        <f t="shared" si="17"/>
        <v>0.93582607868322154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'[44]Sch C'!D84</f>
        <v>192558</v>
      </c>
      <c r="D91" s="558">
        <f>'[44]Sch C'!F84</f>
        <v>0</v>
      </c>
      <c r="E91" s="171">
        <f t="shared" si="14"/>
        <v>192558</v>
      </c>
      <c r="F91" s="171"/>
      <c r="G91" s="171">
        <f t="shared" si="15"/>
        <v>192558</v>
      </c>
      <c r="H91" s="172">
        <f t="shared" si="16"/>
        <v>1.858491432860045E-2</v>
      </c>
      <c r="I91" s="336"/>
      <c r="J91" s="168"/>
      <c r="K91" s="168"/>
      <c r="M91" s="359">
        <f t="shared" si="17"/>
        <v>4.5801341515627234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'[44]Sch C'!D85</f>
        <v>0</v>
      </c>
      <c r="D92" s="558">
        <f>'[44]Sch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590270</v>
      </c>
      <c r="D93" s="558">
        <f>SUM(D82:D92)</f>
        <v>0</v>
      </c>
      <c r="E93" s="171">
        <f t="shared" ref="E93:F93" si="18">SUM(E82:E92)</f>
        <v>590270</v>
      </c>
      <c r="F93" s="171">
        <f t="shared" si="18"/>
        <v>0</v>
      </c>
      <c r="G93" s="171">
        <f>SUM(G82:G92)</f>
        <v>590270</v>
      </c>
      <c r="H93" s="172">
        <f t="shared" si="16"/>
        <v>5.6970457632209454E-2</v>
      </c>
      <c r="I93" s="336"/>
      <c r="J93" s="168"/>
      <c r="K93" s="168"/>
      <c r="M93" s="364">
        <f>G93/G$228</f>
        <v>14.040007611436183</v>
      </c>
      <c r="N93" s="359">
        <f>SUMMARY!J96</f>
        <v>11.458724454710746</v>
      </c>
      <c r="O93" s="354">
        <f>M93/N93-1</f>
        <v>0.2252679316033519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'[44]Sch C'!D89</f>
        <v>469020</v>
      </c>
      <c r="D96" s="558">
        <f>'[44]Sch C'!F89</f>
        <v>0</v>
      </c>
      <c r="E96" s="171">
        <f t="shared" ref="E96:E101" si="19">C96+D96</f>
        <v>469020</v>
      </c>
      <c r="F96" s="171"/>
      <c r="G96" s="171">
        <f t="shared" ref="G96:G101" si="20">E96+F96</f>
        <v>469020</v>
      </c>
      <c r="H96" s="172">
        <f t="shared" ref="H96:H102" si="21">IF($G$208=0,0,G96/$G$208)</f>
        <v>4.5267901195484905E-2</v>
      </c>
      <c r="I96" s="336"/>
      <c r="J96" s="183">
        <v>31897</v>
      </c>
      <c r="K96" s="183">
        <v>37209</v>
      </c>
      <c r="M96" s="364">
        <f t="shared" ref="M96:M101" si="22">G96/G$228</f>
        <v>11.155986870272585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'[44]Sch C'!D90</f>
        <v>89558</v>
      </c>
      <c r="D97" s="558">
        <f>'[44]Sch C'!F90</f>
        <v>0</v>
      </c>
      <c r="E97" s="171">
        <f t="shared" si="19"/>
        <v>89558</v>
      </c>
      <c r="F97" s="171"/>
      <c r="G97" s="171">
        <f t="shared" si="20"/>
        <v>89558</v>
      </c>
      <c r="H97" s="172">
        <f t="shared" si="21"/>
        <v>8.6437736029705281E-3</v>
      </c>
      <c r="I97" s="336"/>
      <c r="J97" s="168"/>
      <c r="K97" s="168"/>
      <c r="M97" s="364">
        <f t="shared" si="22"/>
        <v>2.1302031302031303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'[44]Sch C'!D91</f>
        <v>16723</v>
      </c>
      <c r="D98" s="558">
        <f>'[44]Sch C'!F91</f>
        <v>0</v>
      </c>
      <c r="E98" s="171">
        <f t="shared" si="19"/>
        <v>16723</v>
      </c>
      <c r="F98" s="171"/>
      <c r="G98" s="171">
        <f t="shared" si="20"/>
        <v>16723</v>
      </c>
      <c r="H98" s="172">
        <f t="shared" si="21"/>
        <v>1.614035886938924E-3</v>
      </c>
      <c r="I98" s="336"/>
      <c r="J98" s="168"/>
      <c r="K98" s="168"/>
      <c r="M98" s="364">
        <f t="shared" si="22"/>
        <v>0.39776889776889779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'[44]Sch C'!D92</f>
        <v>354679</v>
      </c>
      <c r="D99" s="558">
        <f>'[44]Sch C'!F92</f>
        <v>-9628</v>
      </c>
      <c r="E99" s="171">
        <f t="shared" si="19"/>
        <v>345051</v>
      </c>
      <c r="F99" s="171"/>
      <c r="G99" s="171">
        <f t="shared" si="20"/>
        <v>345051</v>
      </c>
      <c r="H99" s="172">
        <f t="shared" si="21"/>
        <v>3.3302917946789613E-2</v>
      </c>
      <c r="I99" s="336"/>
      <c r="J99" s="168"/>
      <c r="K99" s="168"/>
      <c r="M99" s="364">
        <f t="shared" si="22"/>
        <v>8.2072927072927069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'[44]Sch C'!D93</f>
        <v>48660</v>
      </c>
      <c r="D100" s="558">
        <f>'[44]Sch C'!F93</f>
        <v>0</v>
      </c>
      <c r="E100" s="171">
        <f t="shared" si="19"/>
        <v>48660</v>
      </c>
      <c r="F100" s="171"/>
      <c r="G100" s="171">
        <f t="shared" si="20"/>
        <v>48660</v>
      </c>
      <c r="H100" s="172">
        <f t="shared" si="21"/>
        <v>4.6964651233898248E-3</v>
      </c>
      <c r="I100" s="336"/>
      <c r="J100" s="168"/>
      <c r="K100" s="168"/>
      <c r="M100" s="364">
        <f t="shared" si="22"/>
        <v>1.1574140145568717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'[44]Sch C'!D94</f>
        <v>1198</v>
      </c>
      <c r="D101" s="558">
        <f>'[44]Sch C'!F94</f>
        <v>0</v>
      </c>
      <c r="E101" s="171">
        <f t="shared" si="19"/>
        <v>1198</v>
      </c>
      <c r="F101" s="171"/>
      <c r="G101" s="171">
        <f t="shared" si="20"/>
        <v>1198</v>
      </c>
      <c r="H101" s="172">
        <f t="shared" si="21"/>
        <v>1.1562608339130724E-4</v>
      </c>
      <c r="I101" s="336"/>
      <c r="J101" s="168"/>
      <c r="K101" s="168"/>
      <c r="M101" s="364">
        <f t="shared" si="22"/>
        <v>2.8495314209599925E-2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979838</v>
      </c>
      <c r="D102" s="558">
        <f>SUM(D96:D101)</f>
        <v>-9628</v>
      </c>
      <c r="E102" s="171">
        <f t="shared" ref="E102:F102" si="23">SUM(E96:E101)</f>
        <v>970210</v>
      </c>
      <c r="F102" s="171">
        <f t="shared" si="23"/>
        <v>0</v>
      </c>
      <c r="G102" s="171">
        <f>SUM(G96:G101)</f>
        <v>970210</v>
      </c>
      <c r="H102" s="172">
        <f t="shared" si="21"/>
        <v>9.3640719838965103E-2</v>
      </c>
      <c r="I102" s="336"/>
      <c r="J102" s="168"/>
      <c r="K102" s="168"/>
      <c r="M102" s="364">
        <f>G102/G$228</f>
        <v>23.077160934303791</v>
      </c>
      <c r="N102" s="359">
        <f>SUMMARY!J105</f>
        <v>19.901077037785338</v>
      </c>
      <c r="O102" s="354">
        <f>M102/N102-1</f>
        <v>0.15959356825201754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'[44]Sch C'!D98</f>
        <v>78326</v>
      </c>
      <c r="D105" s="558">
        <f>'[44]Sch C'!F98</f>
        <v>0</v>
      </c>
      <c r="E105" s="171">
        <f t="shared" ref="E105:E110" si="24">C105+D105</f>
        <v>78326</v>
      </c>
      <c r="F105" s="171"/>
      <c r="G105" s="171">
        <f t="shared" ref="G105:G110" si="25">E105+F105</f>
        <v>78326</v>
      </c>
      <c r="H105" s="172">
        <f t="shared" ref="H105:H111" si="26">IF($G$208=0,0,G105/$G$208)</f>
        <v>7.5597066842299923E-3</v>
      </c>
      <c r="I105" s="336"/>
      <c r="J105" s="183">
        <v>6432</v>
      </c>
      <c r="K105" s="183">
        <v>7125</v>
      </c>
      <c r="M105" s="364">
        <f t="shared" ref="M105:M110" si="27">G105/G$228</f>
        <v>1.8630417201845773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'[44]Sch C'!D99</f>
        <v>21343</v>
      </c>
      <c r="D106" s="558">
        <f>'[44]Sch C'!F99</f>
        <v>0</v>
      </c>
      <c r="E106" s="171">
        <f t="shared" si="24"/>
        <v>21343</v>
      </c>
      <c r="F106" s="171"/>
      <c r="G106" s="171">
        <f t="shared" si="25"/>
        <v>21343</v>
      </c>
      <c r="H106" s="172">
        <f t="shared" si="26"/>
        <v>2.0599394806516446E-3</v>
      </c>
      <c r="I106" s="336"/>
      <c r="J106" s="168"/>
      <c r="K106" s="168"/>
      <c r="M106" s="364">
        <f t="shared" si="27"/>
        <v>0.50765900765900762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'[44]Sch C'!D100</f>
        <v>3137</v>
      </c>
      <c r="D107" s="558">
        <f>'[44]Sch C'!F100</f>
        <v>0</v>
      </c>
      <c r="E107" s="171">
        <f t="shared" si="24"/>
        <v>3137</v>
      </c>
      <c r="F107" s="171"/>
      <c r="G107" s="171">
        <f t="shared" si="25"/>
        <v>3137</v>
      </c>
      <c r="H107" s="172">
        <f t="shared" si="26"/>
        <v>3.0277047044952488E-4</v>
      </c>
      <c r="I107" s="336"/>
      <c r="J107" s="168"/>
      <c r="K107" s="168"/>
      <c r="M107" s="364">
        <f t="shared" si="27"/>
        <v>7.4615860330146042E-2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'[44]Sch C'!D101</f>
        <v>0</v>
      </c>
      <c r="D108" s="558">
        <f>'[44]Sch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'[44]Sch C'!D102</f>
        <v>17629</v>
      </c>
      <c r="D109" s="558">
        <f>'[44]Sch C'!F102</f>
        <v>0</v>
      </c>
      <c r="E109" s="171">
        <f t="shared" si="24"/>
        <v>17629</v>
      </c>
      <c r="F109" s="171"/>
      <c r="G109" s="171">
        <f t="shared" si="25"/>
        <v>17629</v>
      </c>
      <c r="H109" s="172">
        <f t="shared" si="26"/>
        <v>1.7014793189527172E-3</v>
      </c>
      <c r="I109" s="336"/>
      <c r="J109" s="168"/>
      <c r="K109" s="168"/>
      <c r="M109" s="364">
        <f t="shared" si="27"/>
        <v>0.41931877646163362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'[44]Sch C'!D103</f>
        <v>0</v>
      </c>
      <c r="D110" s="558">
        <f>'[44]Sch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120435</v>
      </c>
      <c r="D111" s="558">
        <f>SUM(D105:D110)</f>
        <v>0</v>
      </c>
      <c r="E111" s="171">
        <f t="shared" ref="E111:F111" si="28">SUM(E105:E110)</f>
        <v>120435</v>
      </c>
      <c r="F111" s="171">
        <f t="shared" si="28"/>
        <v>0</v>
      </c>
      <c r="G111" s="171">
        <f>SUM(G105:G110)</f>
        <v>120435</v>
      </c>
      <c r="H111" s="172">
        <f t="shared" si="26"/>
        <v>1.1623895954283878E-2</v>
      </c>
      <c r="I111" s="336"/>
      <c r="J111" s="168"/>
      <c r="K111" s="168"/>
      <c r="M111" s="364">
        <f>G111/G$228</f>
        <v>2.8646353646353648</v>
      </c>
      <c r="N111" s="359">
        <f>SUMMARY!J114</f>
        <v>2.4242384372309496</v>
      </c>
      <c r="O111" s="354">
        <f>M111/N111-1</f>
        <v>0.18166403132665954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'[44]Sch C'!D115</f>
        <v>248600</v>
      </c>
      <c r="D114" s="558">
        <f>'[44]Sch C'!F115</f>
        <v>0</v>
      </c>
      <c r="E114" s="171">
        <f t="shared" ref="E114:E118" si="29">C114+D114</f>
        <v>248600</v>
      </c>
      <c r="F114" s="171"/>
      <c r="G114" s="171">
        <f>E114+F114</f>
        <v>248600</v>
      </c>
      <c r="H114" s="172">
        <f t="shared" ref="H114:H119" si="30">IF($G$208=0,0,G114/$G$208)</f>
        <v>2.3993860042636875E-2</v>
      </c>
      <c r="I114" s="336"/>
      <c r="J114" s="183">
        <v>19544</v>
      </c>
      <c r="K114" s="183">
        <v>21980</v>
      </c>
      <c r="M114" s="364">
        <f t="shared" ref="M114:M119" si="31">G114/G$228</f>
        <v>5.9131344845630558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'[44]Sch C'!D116</f>
        <v>75352</v>
      </c>
      <c r="D115" s="558">
        <f>'[44]Sch C'!F116</f>
        <v>0</v>
      </c>
      <c r="E115" s="171">
        <f t="shared" si="29"/>
        <v>75352</v>
      </c>
      <c r="F115" s="171"/>
      <c r="G115" s="171">
        <f>E115+F115</f>
        <v>75352</v>
      </c>
      <c r="H115" s="172">
        <f t="shared" si="30"/>
        <v>7.2726683102686002E-3</v>
      </c>
      <c r="I115" s="336"/>
      <c r="J115" s="168"/>
      <c r="K115" s="168"/>
      <c r="M115" s="364">
        <f t="shared" si="31"/>
        <v>1.7923029351600781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'[44]Sch C'!D117</f>
        <v>78895</v>
      </c>
      <c r="D116" s="558">
        <f>'[44]Sch C'!F117</f>
        <v>0</v>
      </c>
      <c r="E116" s="171">
        <f t="shared" si="29"/>
        <v>78895</v>
      </c>
      <c r="F116" s="171"/>
      <c r="G116" s="171">
        <f>E116+F116</f>
        <v>78895</v>
      </c>
      <c r="H116" s="172">
        <f t="shared" si="30"/>
        <v>7.6146242480443944E-3</v>
      </c>
      <c r="I116" s="336"/>
      <c r="J116" s="168"/>
      <c r="K116" s="168"/>
      <c r="M116" s="364">
        <f t="shared" si="31"/>
        <v>1.8765758051472337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'[44]Sch C'!D118</f>
        <v>351</v>
      </c>
      <c r="D117" s="558">
        <f>'[44]Sch C'!F118</f>
        <v>0</v>
      </c>
      <c r="E117" s="171">
        <f t="shared" si="29"/>
        <v>351</v>
      </c>
      <c r="F117" s="171"/>
      <c r="G117" s="171">
        <f>E117+F117</f>
        <v>351</v>
      </c>
      <c r="H117" s="172">
        <f t="shared" si="30"/>
        <v>3.3877091210641769E-5</v>
      </c>
      <c r="I117" s="336"/>
      <c r="J117" s="168"/>
      <c r="K117" s="168"/>
      <c r="M117" s="364">
        <f t="shared" si="31"/>
        <v>8.3487940630797772E-3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'[44]Sch C'!D119</f>
        <v>141</v>
      </c>
      <c r="D118" s="558">
        <f>'[44]Sch C'!F119</f>
        <v>0</v>
      </c>
      <c r="E118" s="171">
        <f t="shared" si="29"/>
        <v>141</v>
      </c>
      <c r="F118" s="171"/>
      <c r="G118" s="171">
        <f>E118+F118</f>
        <v>141</v>
      </c>
      <c r="H118" s="172">
        <f t="shared" si="30"/>
        <v>1.3608746041881737E-5</v>
      </c>
      <c r="I118" s="336"/>
      <c r="J118" s="168"/>
      <c r="K118" s="168"/>
      <c r="M118" s="364">
        <f t="shared" si="31"/>
        <v>3.3537890680747822E-3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403339</v>
      </c>
      <c r="D119" s="558">
        <f>SUM(D114:D118)</f>
        <v>0</v>
      </c>
      <c r="E119" s="171">
        <f t="shared" ref="E119:F119" si="32">SUM(E114:E118)</f>
        <v>403339</v>
      </c>
      <c r="F119" s="171">
        <f t="shared" si="32"/>
        <v>0</v>
      </c>
      <c r="G119" s="171">
        <f>SUM(G114:G118)</f>
        <v>403339</v>
      </c>
      <c r="H119" s="172">
        <f t="shared" si="30"/>
        <v>3.8928638438202393E-2</v>
      </c>
      <c r="I119" s="336"/>
      <c r="J119" s="168"/>
      <c r="K119" s="168"/>
      <c r="M119" s="364">
        <f t="shared" si="31"/>
        <v>9.593715808001523</v>
      </c>
      <c r="N119" s="359">
        <f>SUMMARY!J122</f>
        <v>6.0247597205909562</v>
      </c>
      <c r="O119" s="354">
        <f>M119/N119-1</f>
        <v>0.59238148124195988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'[44]Sch C'!D124</f>
        <v>0</v>
      </c>
      <c r="D123" s="558">
        <f>'[44]Sch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'[44]Sch C'!D125</f>
        <v>616481</v>
      </c>
      <c r="D124" s="558">
        <f>'[44]Sch C'!F125</f>
        <v>0</v>
      </c>
      <c r="E124" s="171">
        <f t="shared" si="33"/>
        <v>616481</v>
      </c>
      <c r="F124" s="171"/>
      <c r="G124" s="171">
        <f>E124+F124</f>
        <v>616481</v>
      </c>
      <c r="H124" s="172">
        <f>IF($G$208=0,0,G124/$G$208)</f>
        <v>5.9500236657058829E-2</v>
      </c>
      <c r="I124" s="336"/>
      <c r="J124" s="183">
        <v>21584</v>
      </c>
      <c r="K124" s="183">
        <v>24499</v>
      </c>
      <c r="M124" s="364">
        <f t="shared" si="34"/>
        <v>14.66345559202702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'[44]Sch C'!D126</f>
        <v>0</v>
      </c>
      <c r="D125" s="558">
        <f>'[44]Sch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'[44]Sch C'!D127</f>
        <v>0</v>
      </c>
      <c r="D126" s="558">
        <f>'[44]Sch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'[44]Sch C'!D128</f>
        <v>86136</v>
      </c>
      <c r="D127" s="558">
        <f>'[44]Sch C'!F128</f>
        <v>0</v>
      </c>
      <c r="E127" s="171">
        <f t="shared" si="33"/>
        <v>86136</v>
      </c>
      <c r="F127" s="171"/>
      <c r="G127" s="171">
        <f>E127+F127</f>
        <v>86136</v>
      </c>
      <c r="H127" s="172">
        <f>IF($G$208=0,0,G127/$G$208)</f>
        <v>8.3134960926491159E-3</v>
      </c>
      <c r="I127" s="336"/>
      <c r="J127" s="183">
        <v>5053</v>
      </c>
      <c r="K127" s="183">
        <v>5893</v>
      </c>
      <c r="M127" s="364">
        <f t="shared" si="34"/>
        <v>2.0488083345226205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'[44]Sch C'!D130</f>
        <v>0</v>
      </c>
      <c r="D129" s="558">
        <f>'[44]Sch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'[44]Sch C'!D131</f>
        <v>168024</v>
      </c>
      <c r="D130" s="558">
        <f>'[44]Sch C'!F131</f>
        <v>0</v>
      </c>
      <c r="E130" s="171">
        <f t="shared" si="35"/>
        <v>168024</v>
      </c>
      <c r="F130" s="171"/>
      <c r="G130" s="171">
        <f>E130+F130</f>
        <v>168024</v>
      </c>
      <c r="H130" s="172">
        <f>IF($G$208=0,0,G130/$G$208)</f>
        <v>1.6216992517313029E-2</v>
      </c>
      <c r="I130" s="336"/>
      <c r="J130" s="204"/>
      <c r="K130" s="204"/>
      <c r="M130" s="364">
        <f t="shared" si="34"/>
        <v>3.996574853717711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'[44]Sch C'!D132</f>
        <v>0</v>
      </c>
      <c r="D131" s="558">
        <f>'[44]Sch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'[44]Sch C'!D133</f>
        <v>0</v>
      </c>
      <c r="D132" s="558">
        <f>'[44]Sch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'[44]Sch C'!D134</f>
        <v>26971</v>
      </c>
      <c r="D133" s="558">
        <f>'[44]Sch C'!F134</f>
        <v>0</v>
      </c>
      <c r="E133" s="171">
        <f t="shared" si="35"/>
        <v>26971</v>
      </c>
      <c r="F133" s="171"/>
      <c r="G133" s="171">
        <f>E133+F133</f>
        <v>26971</v>
      </c>
      <c r="H133" s="172">
        <f>IF($G$208=0,0,G133/$G$208)</f>
        <v>2.6031311311744136E-3</v>
      </c>
      <c r="I133" s="336"/>
      <c r="J133" s="168"/>
      <c r="K133" s="168"/>
      <c r="M133" s="364">
        <f t="shared" si="34"/>
        <v>0.64152514152514151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'[44]Sch C'!D136</f>
        <v>861747</v>
      </c>
      <c r="D135" s="558">
        <f>'[44]Sch C'!F136</f>
        <v>0</v>
      </c>
      <c r="E135" s="171">
        <f t="shared" ref="E135:E138" si="36">C135+D135</f>
        <v>861747</v>
      </c>
      <c r="F135" s="171"/>
      <c r="G135" s="171">
        <f>E135+F135</f>
        <v>861747</v>
      </c>
      <c r="H135" s="172">
        <f>IF($G$208=0,0,G135/$G$208)</f>
        <v>8.31723125911593E-2</v>
      </c>
      <c r="I135" s="336"/>
      <c r="J135" s="183">
        <v>23473</v>
      </c>
      <c r="K135" s="183">
        <v>26629</v>
      </c>
      <c r="M135" s="364">
        <f t="shared" si="34"/>
        <v>20.497288425859853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'[44]Sch C'!D137</f>
        <v>607348</v>
      </c>
      <c r="D136" s="558">
        <f>'[44]Sch C'!F137</f>
        <v>0</v>
      </c>
      <c r="E136" s="171">
        <f t="shared" si="36"/>
        <v>607348</v>
      </c>
      <c r="F136" s="171"/>
      <c r="G136" s="171">
        <f>E136+F136</f>
        <v>607348</v>
      </c>
      <c r="H136" s="172">
        <f>IF($G$208=0,0,G136/$G$208)</f>
        <v>5.8618756674076518E-2</v>
      </c>
      <c r="I136" s="336"/>
      <c r="J136" s="183">
        <v>26758</v>
      </c>
      <c r="K136" s="183">
        <v>29477</v>
      </c>
      <c r="M136" s="364">
        <f t="shared" si="34"/>
        <v>14.446220446220446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'[44]Sch C'!D138</f>
        <v>1659159</v>
      </c>
      <c r="D137" s="558">
        <f>'[44]Sch C'!F138</f>
        <v>79775</v>
      </c>
      <c r="E137" s="171">
        <f t="shared" si="36"/>
        <v>1738934</v>
      </c>
      <c r="F137" s="171"/>
      <c r="G137" s="171">
        <f>E137+F137</f>
        <v>1738934</v>
      </c>
      <c r="H137" s="172">
        <f>IF($G$208=0,0,G137/$G$208)</f>
        <v>0.16783483113186934</v>
      </c>
      <c r="I137" s="336"/>
      <c r="J137" s="183">
        <v>119578</v>
      </c>
      <c r="K137" s="183">
        <v>138165</v>
      </c>
      <c r="M137" s="364">
        <f t="shared" si="34"/>
        <v>41.361828647542936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'[44]Sch C'!D139</f>
        <v>79775</v>
      </c>
      <c r="D138" s="558">
        <f>'[44]Sch C'!F139</f>
        <v>-79775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'[44]Sch C'!D141</f>
        <v>640289</v>
      </c>
      <c r="D140" s="558">
        <f>'[44]Sch C'!F141</f>
        <v>-468293</v>
      </c>
      <c r="E140" s="171">
        <f t="shared" ref="E140:E143" si="37">C140+D140</f>
        <v>171996</v>
      </c>
      <c r="F140" s="171"/>
      <c r="G140" s="171">
        <f>E140+F140</f>
        <v>171996</v>
      </c>
      <c r="H140" s="172">
        <f>IF($G$208=0,0,G140/$G$208)</f>
        <v>1.6600353788790718E-2</v>
      </c>
      <c r="I140" s="336"/>
      <c r="J140" s="168"/>
      <c r="K140" s="168"/>
      <c r="M140" s="364">
        <f t="shared" si="34"/>
        <v>4.0910518053375196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'[44]Sch C'!D142</f>
        <v>0</v>
      </c>
      <c r="D141" s="558">
        <f>'[44]Sch C'!F142</f>
        <v>121220</v>
      </c>
      <c r="E141" s="171">
        <f t="shared" si="37"/>
        <v>121220</v>
      </c>
      <c r="F141" s="171"/>
      <c r="G141" s="171">
        <f>E141+F141</f>
        <v>121220</v>
      </c>
      <c r="H141" s="172">
        <f>IF($G$208=0,0,G141/$G$208)</f>
        <v>1.1699660958843292E-2</v>
      </c>
      <c r="I141" s="336"/>
      <c r="J141" s="168"/>
      <c r="K141" s="168"/>
      <c r="M141" s="364">
        <f t="shared" si="34"/>
        <v>2.8833071690214549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'[44]Sch C'!D143</f>
        <v>0</v>
      </c>
      <c r="D142" s="558">
        <f>'[44]Sch C'!F143</f>
        <v>347073</v>
      </c>
      <c r="E142" s="171">
        <f t="shared" si="37"/>
        <v>347073</v>
      </c>
      <c r="F142" s="171"/>
      <c r="G142" s="171">
        <f>E142+F142</f>
        <v>347073</v>
      </c>
      <c r="H142" s="172">
        <f>IF($G$208=0,0,G142/$G$208)</f>
        <v>3.3498073155985957E-2</v>
      </c>
      <c r="I142" s="336"/>
      <c r="J142" s="168"/>
      <c r="K142" s="168"/>
      <c r="M142" s="364">
        <f t="shared" si="34"/>
        <v>8.2553874696731846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'[44]Sch C'!D144</f>
        <v>0</v>
      </c>
      <c r="D143" s="558">
        <f>'[44]Sch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'[44]Sch C'!D146</f>
        <v>52825</v>
      </c>
      <c r="D145" s="558">
        <f>'[44]Sch C'!F146</f>
        <v>0</v>
      </c>
      <c r="E145" s="171">
        <f t="shared" ref="E145:E153" si="38">C145+D145</f>
        <v>52825</v>
      </c>
      <c r="F145" s="171"/>
      <c r="G145" s="171">
        <f t="shared" ref="G145:G153" si="39">E145+F145</f>
        <v>52825</v>
      </c>
      <c r="H145" s="172">
        <f t="shared" ref="H145:H153" si="40">IF($G$208=0,0,G145/$G$208)</f>
        <v>5.0984539692368984E-3</v>
      </c>
      <c r="I145" s="336"/>
      <c r="J145" s="183">
        <v>316</v>
      </c>
      <c r="K145" s="183">
        <v>316</v>
      </c>
      <c r="M145" s="364">
        <f t="shared" si="34"/>
        <v>1.2564816136244708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'[44]Sch C'!D147</f>
        <v>0</v>
      </c>
      <c r="D146" s="558">
        <f>'[44]Sch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'[44]Sch C'!D148</f>
        <v>0</v>
      </c>
      <c r="D147" s="558">
        <f>'[44]Sch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'[44]Sch C'!D149</f>
        <v>0</v>
      </c>
      <c r="D148" s="558">
        <f>'[44]Sch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'[44]Sch C'!D150</f>
        <v>555</v>
      </c>
      <c r="D149" s="558">
        <f>'[44]Sch C'!F150</f>
        <v>0</v>
      </c>
      <c r="E149" s="171">
        <f t="shared" si="38"/>
        <v>555</v>
      </c>
      <c r="F149" s="171"/>
      <c r="G149" s="171">
        <f t="shared" si="39"/>
        <v>555</v>
      </c>
      <c r="H149" s="172">
        <f t="shared" si="40"/>
        <v>5.3566340803151516E-5</v>
      </c>
      <c r="I149" s="336"/>
      <c r="J149" s="183">
        <v>0</v>
      </c>
      <c r="K149" s="183">
        <v>0</v>
      </c>
      <c r="M149" s="364">
        <f t="shared" si="34"/>
        <v>1.3201084629656058E-2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'[44]Sch C'!D151</f>
        <v>205656</v>
      </c>
      <c r="D150" s="558">
        <f>'[44]Sch C'!F151</f>
        <v>0</v>
      </c>
      <c r="E150" s="171">
        <f t="shared" si="38"/>
        <v>205656</v>
      </c>
      <c r="F150" s="171"/>
      <c r="G150" s="171">
        <f t="shared" si="39"/>
        <v>205656</v>
      </c>
      <c r="H150" s="172">
        <f t="shared" si="40"/>
        <v>1.9849079971554825E-2</v>
      </c>
      <c r="I150" s="336"/>
      <c r="J150" s="168"/>
      <c r="K150" s="168"/>
      <c r="M150" s="364">
        <f t="shared" si="34"/>
        <v>4.8916797488226056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'[44]Sch C'!D152</f>
        <v>49323</v>
      </c>
      <c r="D151" s="558">
        <f>'[44]Sch C'!F152</f>
        <v>0</v>
      </c>
      <c r="E151" s="171">
        <f t="shared" si="38"/>
        <v>49323</v>
      </c>
      <c r="F151" s="171"/>
      <c r="G151" s="171">
        <f t="shared" si="39"/>
        <v>49323</v>
      </c>
      <c r="H151" s="172">
        <f t="shared" si="40"/>
        <v>4.7604551845654812E-3</v>
      </c>
      <c r="I151" s="336"/>
      <c r="J151" s="168"/>
      <c r="K151" s="168"/>
      <c r="M151" s="364">
        <f t="shared" si="34"/>
        <v>1.1731839588982447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'[44]Sch C'!D153</f>
        <v>0</v>
      </c>
      <c r="D152" s="558">
        <f>'[44]Sch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'[44]Sch C'!D154</f>
        <v>0</v>
      </c>
      <c r="D153" s="558">
        <f>'[44]Sch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'[44]Sch C'!D156</f>
        <v>0</v>
      </c>
      <c r="D155" s="558">
        <f>'[44]Sch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'[44]Sch C'!D157</f>
        <v>0</v>
      </c>
      <c r="D156" s="558">
        <f>'[44]Sch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'[44]Sch C'!D158</f>
        <v>0</v>
      </c>
      <c r="D157" s="558">
        <f>'[44]Sch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'[44]Sch C'!D159</f>
        <v>0</v>
      </c>
      <c r="D158" s="558">
        <f>'[44]Sch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'[44]Sch C'!D160</f>
        <v>0</v>
      </c>
      <c r="D159" s="558">
        <f>'[44]Sch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'[44]Sch C'!D161</f>
        <v>35328</v>
      </c>
      <c r="D160" s="558">
        <f>'[44]Sch C'!F161</f>
        <v>0</v>
      </c>
      <c r="E160" s="171">
        <f t="shared" si="41"/>
        <v>35328</v>
      </c>
      <c r="F160" s="171"/>
      <c r="G160" s="171">
        <f t="shared" si="42"/>
        <v>35328</v>
      </c>
      <c r="H160" s="172">
        <f t="shared" si="43"/>
        <v>3.4097147529616877E-3</v>
      </c>
      <c r="I160" s="336"/>
      <c r="J160" s="168"/>
      <c r="K160" s="168"/>
      <c r="M160" s="364">
        <f t="shared" si="34"/>
        <v>0.84030255458826886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5089617</v>
      </c>
      <c r="D161" s="558">
        <f>SUM(D123:D160)</f>
        <v>0</v>
      </c>
      <c r="E161" s="171">
        <f t="shared" ref="E161:F161" si="44">SUM(E123:E160)</f>
        <v>5089617</v>
      </c>
      <c r="F161" s="171">
        <f t="shared" si="44"/>
        <v>0</v>
      </c>
      <c r="G161" s="171">
        <f>SUM(G123:G160)</f>
        <v>5089617</v>
      </c>
      <c r="H161" s="172">
        <f t="shared" si="43"/>
        <v>0.49122911491804255</v>
      </c>
      <c r="I161" s="336"/>
      <c r="J161" s="168"/>
      <c r="K161" s="168"/>
      <c r="M161" s="364">
        <f>G161/G$228</f>
        <v>121.06029684601113</v>
      </c>
      <c r="N161" s="359">
        <f>SUMMARY!J164</f>
        <v>105.56901037202306</v>
      </c>
      <c r="O161" s="354">
        <f>M161/N161-1</f>
        <v>0.14674085149985872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'[44]Sch C'!D175</f>
        <v>0</v>
      </c>
      <c r="D164" s="558">
        <f>'[44]Sch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'[44]Sch C'!D176</f>
        <v>0</v>
      </c>
      <c r="D165" s="558">
        <f>'[44]Sch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'[44]Sch C'!D177</f>
        <v>0</v>
      </c>
      <c r="D166" s="558">
        <f>'[44]Sch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'[44]Sch C'!D178</f>
        <v>0</v>
      </c>
      <c r="D167" s="558">
        <f>'[44]Sch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'[44]Sch C'!D179</f>
        <v>0</v>
      </c>
      <c r="D168" s="558">
        <f>'[44]Sch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'[44]Sch C'!D180</f>
        <v>0</v>
      </c>
      <c r="D169" s="558">
        <f>'[44]Sch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'[44]Sch C'!D181</f>
        <v>0</v>
      </c>
      <c r="D170" s="558">
        <f>'[44]Sch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'[44]Sch C'!D182</f>
        <v>0</v>
      </c>
      <c r="D171" s="558">
        <f>'[44]Sch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'[44]Sch C'!D183</f>
        <v>0</v>
      </c>
      <c r="D172" s="558">
        <f>'[44]Sch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'[44]Sch C'!D184</f>
        <v>0</v>
      </c>
      <c r="D173" s="558">
        <f>'[44]Sch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'[44]Sch C'!D185</f>
        <v>0</v>
      </c>
      <c r="D174" s="558">
        <f>'[44]Sch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'[44]Sch C'!D186</f>
        <v>0</v>
      </c>
      <c r="D175" s="558">
        <f>'[44]Sch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'[44]Sch C'!D187</f>
        <v>0</v>
      </c>
      <c r="D176" s="558">
        <f>'[44]Sch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'[44]Sch C'!D188</f>
        <v>164</v>
      </c>
      <c r="D177" s="558">
        <f>'[44]Sch C'!F188</f>
        <v>0</v>
      </c>
      <c r="E177" s="171">
        <f t="shared" si="45"/>
        <v>164</v>
      </c>
      <c r="F177" s="216"/>
      <c r="G177" s="171">
        <f t="shared" si="46"/>
        <v>164</v>
      </c>
      <c r="H177" s="172">
        <f t="shared" si="47"/>
        <v>1.5828612417507834E-5</v>
      </c>
      <c r="I177" s="336"/>
      <c r="J177" s="223"/>
      <c r="K177" s="218"/>
      <c r="L177" s="220"/>
      <c r="M177" s="364">
        <f t="shared" si="48"/>
        <v>3.9008610437181864E-3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'[44]Sch C'!D189</f>
        <v>0</v>
      </c>
      <c r="D178" s="558">
        <f>'[44]Sch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'[44]Sch C'!D190</f>
        <v>0</v>
      </c>
      <c r="D179" s="558">
        <f>'[44]Sch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'[44]Sch C'!D191</f>
        <v>0</v>
      </c>
      <c r="D180" s="558">
        <f>'[44]Sch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'[44]Sch C'!D192</f>
        <v>0</v>
      </c>
      <c r="D181" s="558">
        <f>'[44]Sch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'[44]Sch C'!D193</f>
        <v>26953</v>
      </c>
      <c r="D182" s="558">
        <f>'[44]Sch C'!F193</f>
        <v>0</v>
      </c>
      <c r="E182" s="171">
        <f t="shared" si="45"/>
        <v>26953</v>
      </c>
      <c r="F182" s="216"/>
      <c r="G182" s="171">
        <f t="shared" si="46"/>
        <v>26953</v>
      </c>
      <c r="H182" s="172">
        <f t="shared" si="47"/>
        <v>2.6013938444456627E-3</v>
      </c>
      <c r="I182" s="336"/>
      <c r="J182" s="223"/>
      <c r="K182" s="218"/>
      <c r="L182" s="220"/>
      <c r="M182" s="364">
        <f t="shared" si="48"/>
        <v>0.64109699823985533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'[44]Sch C'!D194</f>
        <v>317268</v>
      </c>
      <c r="D183" s="558">
        <f>'[44]Sch C'!F194</f>
        <v>0</v>
      </c>
      <c r="E183" s="171">
        <f t="shared" si="45"/>
        <v>317268</v>
      </c>
      <c r="F183" s="216"/>
      <c r="G183" s="171">
        <f t="shared" si="46"/>
        <v>317268</v>
      </c>
      <c r="H183" s="172">
        <f t="shared" si="47"/>
        <v>3.0621415880962656E-2</v>
      </c>
      <c r="I183" s="336"/>
      <c r="J183" s="223"/>
      <c r="K183" s="218"/>
      <c r="M183" s="364">
        <f t="shared" si="48"/>
        <v>7.546453546453546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'[44]Sch C'!D195</f>
        <v>76065</v>
      </c>
      <c r="D184" s="558">
        <f>'[44]Sch C'!F195</f>
        <v>0</v>
      </c>
      <c r="E184" s="171">
        <f t="shared" si="45"/>
        <v>76065</v>
      </c>
      <c r="F184" s="216"/>
      <c r="G184" s="171">
        <f t="shared" si="46"/>
        <v>76065</v>
      </c>
      <c r="H184" s="172">
        <f t="shared" si="47"/>
        <v>7.3414841679130087E-3</v>
      </c>
      <c r="I184" s="336"/>
      <c r="J184" s="223"/>
      <c r="K184" s="218"/>
      <c r="M184" s="364">
        <f t="shared" si="48"/>
        <v>1.8092621664050235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'[44]Sch C'!D196</f>
        <v>0</v>
      </c>
      <c r="D185" s="558">
        <f>'[44]Sch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'[44]Sch C'!D197</f>
        <v>313787</v>
      </c>
      <c r="D186" s="558">
        <f>'[44]Sch C'!F197</f>
        <v>0</v>
      </c>
      <c r="E186" s="171">
        <f t="shared" si="45"/>
        <v>313787</v>
      </c>
      <c r="F186" s="216"/>
      <c r="G186" s="171">
        <f t="shared" si="46"/>
        <v>313787</v>
      </c>
      <c r="H186" s="172">
        <f t="shared" si="47"/>
        <v>3.0285443930808117E-2</v>
      </c>
      <c r="I186" s="336"/>
      <c r="J186" s="223"/>
      <c r="K186" s="218"/>
      <c r="M186" s="364">
        <f t="shared" si="48"/>
        <v>7.463655392226821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'[44]Sch C'!D198</f>
        <v>75986</v>
      </c>
      <c r="D187" s="558">
        <f>'[44]Sch C'!F198</f>
        <v>0</v>
      </c>
      <c r="E187" s="171">
        <f t="shared" si="45"/>
        <v>75986</v>
      </c>
      <c r="F187" s="216"/>
      <c r="G187" s="171">
        <f t="shared" si="46"/>
        <v>75986</v>
      </c>
      <c r="H187" s="172">
        <f t="shared" si="47"/>
        <v>7.33385940949238E-3</v>
      </c>
      <c r="I187" s="336"/>
      <c r="J187" s="223"/>
      <c r="K187" s="218"/>
      <c r="M187" s="364">
        <f t="shared" si="48"/>
        <v>1.8073830930973789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'[44]Sch C'!D199</f>
        <v>0</v>
      </c>
      <c r="D188" s="558">
        <f>'[44]Sch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'[44]Sch C'!D200</f>
        <v>0</v>
      </c>
      <c r="D189" s="558">
        <f>'[44]Sch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'[44]Sch C'!D201</f>
        <v>0</v>
      </c>
      <c r="D190" s="558">
        <f>'[44]Sch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'[44]Sch C'!D202</f>
        <v>0</v>
      </c>
      <c r="D191" s="558">
        <f>'[44]Sch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'[44]Sch C'!D203</f>
        <v>0</v>
      </c>
      <c r="D192" s="558">
        <f>'[44]Sch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'[44]Sch C'!D204</f>
        <v>0</v>
      </c>
      <c r="D193" s="558">
        <f>'[44]Sch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'[44]Sch C'!D205</f>
        <v>304431</v>
      </c>
      <c r="D194" s="558">
        <f>'[44]Sch C'!F205</f>
        <v>0</v>
      </c>
      <c r="E194" s="171">
        <f t="shared" si="45"/>
        <v>304431</v>
      </c>
      <c r="F194" s="216"/>
      <c r="G194" s="171">
        <f t="shared" si="46"/>
        <v>304431</v>
      </c>
      <c r="H194" s="172">
        <f t="shared" si="47"/>
        <v>2.9382440895575169E-2</v>
      </c>
      <c r="I194" s="336"/>
      <c r="J194" s="223"/>
      <c r="K194" s="218"/>
      <c r="M194" s="364">
        <f t="shared" si="48"/>
        <v>7.241116026830313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'[44]Sch C'!D206</f>
        <v>10572</v>
      </c>
      <c r="D195" s="558">
        <f>'[44]Sch C'!F206</f>
        <v>0</v>
      </c>
      <c r="E195" s="171">
        <f t="shared" si="45"/>
        <v>10572</v>
      </c>
      <c r="F195" s="216"/>
      <c r="G195" s="171">
        <f t="shared" si="46"/>
        <v>10572</v>
      </c>
      <c r="H195" s="172">
        <f t="shared" si="47"/>
        <v>1.020366405353005E-3</v>
      </c>
      <c r="I195" s="336"/>
      <c r="J195" s="223"/>
      <c r="K195" s="218"/>
      <c r="M195" s="364">
        <f t="shared" si="48"/>
        <v>0.25146282289139432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'[44]Sch C'!D207</f>
        <v>0</v>
      </c>
      <c r="D196" s="558">
        <f>'[44]Sch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1125226</v>
      </c>
      <c r="D197" s="558">
        <f>SUM(D164:D196)</f>
        <v>0</v>
      </c>
      <c r="E197" s="171">
        <f t="shared" ref="E197:F197" si="49">SUM(E164:E196)</f>
        <v>1125226</v>
      </c>
      <c r="F197" s="171">
        <f t="shared" si="49"/>
        <v>0</v>
      </c>
      <c r="G197" s="171">
        <f>SUM(G164:G196)</f>
        <v>1125226</v>
      </c>
      <c r="H197" s="172">
        <f>IF($G$208=0,0,G197/$G$208)</f>
        <v>0.10860223314696751</v>
      </c>
      <c r="I197" s="336"/>
      <c r="J197" s="168"/>
      <c r="K197" s="168"/>
      <c r="M197" s="364">
        <f>G197/G$228</f>
        <v>26.76433090718805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'[44]Sch C'!D211</f>
        <v>292425</v>
      </c>
      <c r="D200" s="558">
        <f>'[44]Sch C'!F211</f>
        <v>0</v>
      </c>
      <c r="E200" s="171">
        <f t="shared" ref="E200:E205" si="50">C200+D200</f>
        <v>292425</v>
      </c>
      <c r="F200" s="171"/>
      <c r="G200" s="171">
        <f t="shared" ref="G200:G205" si="51">E200+F200</f>
        <v>292425</v>
      </c>
      <c r="H200" s="172">
        <f t="shared" ref="H200:H206" si="52">IF($G$208=0,0,G200/$G$208)</f>
        <v>2.8223670647498346E-2</v>
      </c>
      <c r="I200" s="336"/>
      <c r="J200" s="183">
        <v>15494</v>
      </c>
      <c r="K200" s="183">
        <v>17925</v>
      </c>
      <c r="M200" s="364">
        <f t="shared" ref="M200:M205" si="53">G200/G$228</f>
        <v>6.9555444555444552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'[44]Sch C'!D212</f>
        <v>97195</v>
      </c>
      <c r="D201" s="558">
        <f>'[44]Sch C'!F212</f>
        <v>0</v>
      </c>
      <c r="E201" s="171">
        <f t="shared" si="50"/>
        <v>97195</v>
      </c>
      <c r="F201" s="171"/>
      <c r="G201" s="171">
        <f t="shared" si="51"/>
        <v>97195</v>
      </c>
      <c r="H201" s="172">
        <f t="shared" si="52"/>
        <v>9.3808657556077677E-3</v>
      </c>
      <c r="I201" s="336"/>
      <c r="J201" s="168"/>
      <c r="K201" s="168"/>
      <c r="M201" s="364">
        <f t="shared" si="53"/>
        <v>2.3118548118548117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'[44]Sch C'!D213</f>
        <v>17330</v>
      </c>
      <c r="D202" s="558">
        <f>'[44]Sch C'!F213</f>
        <v>0</v>
      </c>
      <c r="E202" s="171">
        <f t="shared" si="50"/>
        <v>17330</v>
      </c>
      <c r="F202" s="171"/>
      <c r="G202" s="171">
        <f t="shared" si="51"/>
        <v>17330</v>
      </c>
      <c r="H202" s="172">
        <f t="shared" si="52"/>
        <v>1.672621056069578E-3</v>
      </c>
      <c r="I202" s="336"/>
      <c r="J202" s="168"/>
      <c r="K202" s="168"/>
      <c r="M202" s="364">
        <f t="shared" si="53"/>
        <v>0.41220684077826936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'[44]Sch C'!D214</f>
        <v>0</v>
      </c>
      <c r="D203" s="558">
        <f>'[44]Sch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'[44]Sch C'!D215</f>
        <v>0</v>
      </c>
      <c r="D204" s="558">
        <f>'[44]Sch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'[44]Sch C'!D216</f>
        <v>29748</v>
      </c>
      <c r="D205" s="558">
        <f>'[44]Sch C'!F216</f>
        <v>0</v>
      </c>
      <c r="E205" s="171">
        <f t="shared" si="50"/>
        <v>29748</v>
      </c>
      <c r="F205" s="171"/>
      <c r="G205" s="171">
        <f t="shared" si="51"/>
        <v>29748</v>
      </c>
      <c r="H205" s="172">
        <f t="shared" si="52"/>
        <v>2.8711558670489212E-3</v>
      </c>
      <c r="I205" s="336"/>
      <c r="J205" s="168"/>
      <c r="K205" s="168"/>
      <c r="M205" s="364">
        <f t="shared" si="53"/>
        <v>0.70757813614956477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436698</v>
      </c>
      <c r="D206" s="558">
        <f>SUM(D200:D205)</f>
        <v>0</v>
      </c>
      <c r="E206" s="171">
        <f t="shared" ref="E206:F206" si="54">SUM(E200:E205)</f>
        <v>436698</v>
      </c>
      <c r="F206" s="171">
        <f t="shared" si="54"/>
        <v>0</v>
      </c>
      <c r="G206" s="171">
        <f>SUM(G200:G205)</f>
        <v>436698</v>
      </c>
      <c r="H206" s="172">
        <f t="shared" si="52"/>
        <v>4.2148313326224617E-2</v>
      </c>
      <c r="I206" s="336"/>
      <c r="J206" s="168"/>
      <c r="K206" s="168"/>
      <c r="M206" s="364">
        <f>G206/G$228</f>
        <v>10.387184244327102</v>
      </c>
      <c r="N206" s="359">
        <f>SUMMARY!J209</f>
        <v>7.1515095990067339</v>
      </c>
      <c r="O206" s="354">
        <f>M206/N206-1</f>
        <v>0.45244638219737099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10900381</v>
      </c>
      <c r="D208" s="558">
        <f>SUM(D25:D206)/2</f>
        <v>-539397</v>
      </c>
      <c r="E208" s="171">
        <f t="shared" ref="E208:F208" si="55">SUM(E25:E206)/2</f>
        <v>10360984</v>
      </c>
      <c r="F208" s="171">
        <f t="shared" si="55"/>
        <v>0</v>
      </c>
      <c r="G208" s="171">
        <f>SUM(G25:G206)/2</f>
        <v>10360984</v>
      </c>
      <c r="H208" s="172">
        <f>IF($G$208=0,0,G208/$G$208)</f>
        <v>1</v>
      </c>
      <c r="I208" s="336"/>
      <c r="J208" s="183">
        <f>SUM(J25:J200)</f>
        <v>291222</v>
      </c>
      <c r="K208" s="183">
        <f>SUM(K25:K200)</f>
        <v>333583</v>
      </c>
      <c r="M208" s="364">
        <f>G208/G$228</f>
        <v>246.44365158650874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1.4129715737436404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'[44]Sch C'!D221</f>
        <v>10900381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337554</v>
      </c>
      <c r="D215" s="558">
        <f>D21-D208</f>
        <v>511926</v>
      </c>
      <c r="E215" s="171">
        <f t="shared" ref="E215:F215" si="56">E21-E208</f>
        <v>849480</v>
      </c>
      <c r="F215" s="171">
        <f t="shared" si="56"/>
        <v>0</v>
      </c>
      <c r="G215" s="171">
        <f>G21-G208</f>
        <v>849480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'[44]Sch D'!C9</f>
        <v>2837</v>
      </c>
      <c r="D219" s="592"/>
      <c r="E219" s="235">
        <f t="shared" ref="E219:G227" si="57">C219+D219</f>
        <v>2837</v>
      </c>
      <c r="F219" s="234"/>
      <c r="G219" s="235">
        <f t="shared" si="57"/>
        <v>2837</v>
      </c>
      <c r="H219" s="172">
        <f t="shared" ref="H219:H228" si="58">IF($G$228=0,0,G219/$G$228)</f>
        <v>6.7480138908710338E-2</v>
      </c>
      <c r="I219" s="336"/>
      <c r="J219" s="168"/>
      <c r="K219" s="168"/>
    </row>
    <row r="220" spans="1:17">
      <c r="A220" s="163"/>
      <c r="B220" s="170" t="s">
        <v>217</v>
      </c>
      <c r="C220" s="592">
        <f>'[44]Sch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'[44]Sch D'!E9</f>
        <v>2777</v>
      </c>
      <c r="D221" s="592"/>
      <c r="E221" s="235">
        <f t="shared" si="59"/>
        <v>2777</v>
      </c>
      <c r="F221" s="234"/>
      <c r="G221" s="235">
        <f t="shared" si="57"/>
        <v>2777</v>
      </c>
      <c r="H221" s="172">
        <f t="shared" si="58"/>
        <v>6.6052994624423197E-2</v>
      </c>
      <c r="I221" s="336"/>
      <c r="J221" s="168"/>
      <c r="K221" s="168"/>
    </row>
    <row r="222" spans="1:17">
      <c r="A222" s="163"/>
      <c r="B222" s="202" t="s">
        <v>334</v>
      </c>
      <c r="C222" s="592">
        <f>'[44]Sch D'!F9</f>
        <v>815</v>
      </c>
      <c r="D222" s="592"/>
      <c r="E222" s="235">
        <f>C222+D222</f>
        <v>815</v>
      </c>
      <c r="F222" s="234"/>
      <c r="G222" s="235">
        <f>E222+F222</f>
        <v>815</v>
      </c>
      <c r="H222" s="172">
        <f t="shared" si="58"/>
        <v>1.9385376528233671E-2</v>
      </c>
      <c r="I222" s="336"/>
      <c r="J222" s="168"/>
      <c r="K222" s="168"/>
    </row>
    <row r="223" spans="1:17">
      <c r="A223" s="163"/>
      <c r="B223" s="170" t="s">
        <v>73</v>
      </c>
      <c r="C223" s="592">
        <f>'[44]Sch D'!G9</f>
        <v>10172</v>
      </c>
      <c r="D223" s="592"/>
      <c r="E223" s="235">
        <f t="shared" si="59"/>
        <v>10172</v>
      </c>
      <c r="F223" s="234"/>
      <c r="G223" s="235">
        <f t="shared" si="57"/>
        <v>10172</v>
      </c>
      <c r="H223" s="172">
        <f t="shared" si="58"/>
        <v>0.24194852766281338</v>
      </c>
      <c r="I223" s="336"/>
      <c r="J223" s="168"/>
      <c r="K223" s="168"/>
    </row>
    <row r="224" spans="1:17">
      <c r="A224" s="163"/>
      <c r="B224" s="170" t="s">
        <v>74</v>
      </c>
      <c r="C224" s="592">
        <f>'[44]Sch D'!H9</f>
        <v>24639</v>
      </c>
      <c r="D224" s="592"/>
      <c r="E224" s="235">
        <f t="shared" si="59"/>
        <v>24639</v>
      </c>
      <c r="F224" s="234"/>
      <c r="G224" s="235">
        <f t="shared" si="57"/>
        <v>24639</v>
      </c>
      <c r="H224" s="172">
        <f t="shared" si="58"/>
        <v>0.58605680034251462</v>
      </c>
      <c r="I224" s="336"/>
      <c r="J224" s="168"/>
      <c r="K224" s="168"/>
    </row>
    <row r="225" spans="1:11">
      <c r="A225" s="163"/>
      <c r="B225" s="170" t="s">
        <v>236</v>
      </c>
      <c r="C225" s="592">
        <f>'[44]Sch D'!I9</f>
        <v>709</v>
      </c>
      <c r="D225" s="592"/>
      <c r="E225" s="235">
        <f t="shared" si="59"/>
        <v>709</v>
      </c>
      <c r="F225" s="234"/>
      <c r="G225" s="235">
        <f t="shared" si="57"/>
        <v>709</v>
      </c>
      <c r="H225" s="172">
        <f t="shared" si="58"/>
        <v>1.6864088292659722E-2</v>
      </c>
      <c r="I225" s="336"/>
      <c r="J225" s="168"/>
      <c r="K225" s="168"/>
    </row>
    <row r="226" spans="1:11">
      <c r="A226" s="163"/>
      <c r="B226" s="170" t="s">
        <v>235</v>
      </c>
      <c r="C226" s="592">
        <f>'[44]Sch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'[44]Sch D'!K9</f>
        <v>93</v>
      </c>
      <c r="D227" s="592"/>
      <c r="E227" s="235">
        <f t="shared" si="59"/>
        <v>93</v>
      </c>
      <c r="F227" s="234"/>
      <c r="G227" s="235">
        <f t="shared" si="57"/>
        <v>93</v>
      </c>
      <c r="H227" s="172">
        <f t="shared" si="58"/>
        <v>2.2120736406450693E-3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42042</v>
      </c>
      <c r="D228" s="592">
        <f>SUM(D219:D227)</f>
        <v>0</v>
      </c>
      <c r="E228" s="237">
        <f>SUM(E219:E227)</f>
        <v>42042</v>
      </c>
      <c r="F228" s="237">
        <f>SUM(F219:F227)</f>
        <v>0</v>
      </c>
      <c r="G228" s="237">
        <f>SUM(G219:G227)</f>
        <v>42042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'[44]Sch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'[44]Sch D'!N24</f>
        <v>120</v>
      </c>
      <c r="D232" s="559"/>
      <c r="E232" s="235">
        <f>C232+D232</f>
        <v>120</v>
      </c>
      <c r="F232" s="507">
        <v>-98</v>
      </c>
      <c r="G232" s="235">
        <f>E232+F232</f>
        <v>22</v>
      </c>
      <c r="H232" s="508" t="s">
        <v>655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'[44]Sch D'!N28</f>
        <v>43920</v>
      </c>
      <c r="D235" s="483"/>
      <c r="E235" s="234">
        <f>E231*E233</f>
        <v>43920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'[44]Sch D'!N30</f>
        <v>0.95724043715846996</v>
      </c>
      <c r="D236" s="239"/>
      <c r="E236" s="244">
        <f>E228/E235</f>
        <v>0.95724043715846996</v>
      </c>
      <c r="F236" s="245"/>
      <c r="G236" s="244">
        <f>G228/G235</f>
        <v>0.95724043715846996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'[44]Sch D'!N32</f>
        <v>6.4594717668488164E-2</v>
      </c>
      <c r="D237" s="239"/>
      <c r="E237" s="244">
        <f>(E219+E220)/E235</f>
        <v>6.4594717668488164E-2</v>
      </c>
      <c r="F237" s="245"/>
      <c r="G237" s="244">
        <f>(G219+G220)/G235</f>
        <v>6.4594717668488164E-2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'[44]Sch D'!N34</f>
        <v>6.7480138908710338E-2</v>
      </c>
      <c r="D238" s="239"/>
      <c r="E238" s="244">
        <f>(E237/E236)</f>
        <v>6.7480138908710338E-2</v>
      </c>
      <c r="F238" s="245"/>
      <c r="G238" s="244">
        <f>(G237/G236)</f>
        <v>6.7480138908710338E-2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'[44]Sch B'!C85</f>
        <v>187.19593649629752</v>
      </c>
    </row>
    <row r="242" spans="2:7">
      <c r="F242" s="142" t="s">
        <v>341</v>
      </c>
      <c r="G242" s="558">
        <f>'[44]Sch B'!E85</f>
        <v>187.19584577462729</v>
      </c>
    </row>
    <row r="243" spans="2:7">
      <c r="F243" s="142" t="s">
        <v>342</v>
      </c>
      <c r="G243" s="558">
        <f>'[44]Sch B'!G85</f>
        <v>187.19599840336812</v>
      </c>
    </row>
    <row r="244" spans="2:7">
      <c r="F244" s="142" t="s">
        <v>343</v>
      </c>
      <c r="G244" s="558">
        <f>'[44]Sch B'!I85</f>
        <v>187.19585914499001</v>
      </c>
    </row>
    <row r="245" spans="2:7">
      <c r="F245" s="142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0">
    <tabColor rgb="FFE28CAB"/>
  </sheetPr>
  <dimension ref="A1:T245"/>
  <sheetViews>
    <sheetView showGridLines="0" zoomScale="125" zoomScaleNormal="125" workbookViewId="0">
      <pane xSplit="2" ySplit="9" topLeftCell="C230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539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58" t="s">
        <v>500</v>
      </c>
    </row>
    <row r="4" spans="1:17">
      <c r="A4" s="145"/>
      <c r="B4" s="148" t="s">
        <v>80</v>
      </c>
      <c r="C4" s="489">
        <v>42551</v>
      </c>
      <c r="D4" s="144"/>
      <c r="E4" s="149"/>
      <c r="F4" s="458" t="s">
        <v>630</v>
      </c>
      <c r="G4" s="150"/>
    </row>
    <row r="5" spans="1:17">
      <c r="A5" s="145"/>
      <c r="B5" s="148"/>
      <c r="C5" s="151"/>
      <c r="D5" s="144"/>
      <c r="F5" s="458" t="s">
        <v>633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5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v>446317</v>
      </c>
      <c r="D11" s="558">
        <v>0</v>
      </c>
      <c r="E11" s="171">
        <f>C11+D11</f>
        <v>446317</v>
      </c>
      <c r="F11" s="171">
        <v>647327</v>
      </c>
      <c r="G11" s="171">
        <f t="shared" ref="G11:G20" si="0">E11+F11</f>
        <v>1093644</v>
      </c>
      <c r="H11" s="172">
        <f t="shared" ref="H11:H21" si="1">IF($G$21=0,0,G11/$G$21)</f>
        <v>0.23892007924941566</v>
      </c>
      <c r="I11" s="336"/>
      <c r="J11" s="368" t="s">
        <v>344</v>
      </c>
      <c r="K11" s="369">
        <f>G21</f>
        <v>4577447</v>
      </c>
      <c r="M11" s="359">
        <f>IFERROR(G11/G219,0)</f>
        <v>166.30839416058393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v>0</v>
      </c>
      <c r="D12" s="558"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4970787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v>1135599</v>
      </c>
      <c r="D13" s="558">
        <v>0</v>
      </c>
      <c r="E13" s="171">
        <f t="shared" si="2"/>
        <v>1135599</v>
      </c>
      <c r="F13" s="171">
        <v>1013757</v>
      </c>
      <c r="G13" s="171">
        <f t="shared" si="0"/>
        <v>2149356</v>
      </c>
      <c r="H13" s="172">
        <f t="shared" si="1"/>
        <v>0.46955344321845782</v>
      </c>
      <c r="I13" s="336"/>
      <c r="J13" s="370" t="s">
        <v>346</v>
      </c>
      <c r="K13" s="371">
        <f>G228</f>
        <v>14722</v>
      </c>
      <c r="M13" s="359">
        <f t="shared" si="3"/>
        <v>530.44323790720637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v>395998</v>
      </c>
      <c r="D14" s="558">
        <v>0</v>
      </c>
      <c r="E14" s="171">
        <f t="shared" si="2"/>
        <v>395998</v>
      </c>
      <c r="F14" s="677">
        <f>200410</f>
        <v>200410</v>
      </c>
      <c r="G14" s="175">
        <f>E14+F14</f>
        <v>596408</v>
      </c>
      <c r="H14" s="176">
        <f t="shared" si="1"/>
        <v>0.13029271556830696</v>
      </c>
      <c r="I14" s="337"/>
      <c r="J14" s="370" t="s">
        <v>347</v>
      </c>
      <c r="K14" s="371">
        <f>G231</f>
        <v>89</v>
      </c>
      <c r="M14" s="359">
        <f t="shared" si="3"/>
        <v>389.55453951665578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v>0</v>
      </c>
      <c r="D15" s="558"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32574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v>207332</v>
      </c>
      <c r="D16" s="558">
        <v>0</v>
      </c>
      <c r="E16" s="171">
        <f t="shared" si="2"/>
        <v>207332</v>
      </c>
      <c r="F16" s="677">
        <f>(494361-200410)</f>
        <v>293951</v>
      </c>
      <c r="G16" s="171">
        <f t="shared" si="0"/>
        <v>501283</v>
      </c>
      <c r="H16" s="172">
        <f t="shared" si="1"/>
        <v>0.10951148096307833</v>
      </c>
      <c r="I16" s="336"/>
      <c r="J16" s="372"/>
      <c r="K16" s="371"/>
      <c r="M16" s="359">
        <f t="shared" si="3"/>
        <v>315.27232704402513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v>109395</v>
      </c>
      <c r="D17" s="558">
        <v>0</v>
      </c>
      <c r="E17" s="171">
        <f t="shared" si="2"/>
        <v>109395</v>
      </c>
      <c r="F17" s="171">
        <v>58615</v>
      </c>
      <c r="G17" s="171">
        <f>E17+F17</f>
        <v>168010</v>
      </c>
      <c r="H17" s="172">
        <f t="shared" si="1"/>
        <v>3.6703865713791986E-2</v>
      </c>
      <c r="I17" s="336"/>
      <c r="J17" s="370" t="s">
        <v>156</v>
      </c>
      <c r="K17" s="371">
        <f>J208</f>
        <v>113418</v>
      </c>
      <c r="M17" s="359">
        <f t="shared" si="3"/>
        <v>131.46322378716744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v>0</v>
      </c>
      <c r="D18" s="558"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107946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v>0</v>
      </c>
      <c r="D19" s="558"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v>12</v>
      </c>
      <c r="D20" s="558">
        <v>-12</v>
      </c>
      <c r="E20" s="171">
        <f t="shared" si="2"/>
        <v>0</v>
      </c>
      <c r="F20" s="171">
        <v>68746</v>
      </c>
      <c r="G20" s="171">
        <f t="shared" si="0"/>
        <v>68746</v>
      </c>
      <c r="H20" s="172">
        <f t="shared" si="1"/>
        <v>1.5018415286949253E-2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2294653</v>
      </c>
      <c r="D21" s="558">
        <f>SUM(D11:D20)</f>
        <v>-12</v>
      </c>
      <c r="E21" s="171">
        <f>SUM(E11:E20)</f>
        <v>2294641</v>
      </c>
      <c r="F21" s="171">
        <f>SUM(F11:F20)</f>
        <v>2282806</v>
      </c>
      <c r="G21" s="171">
        <f>SUM(G11:G20)</f>
        <v>4577447</v>
      </c>
      <c r="H21" s="172">
        <f t="shared" si="1"/>
        <v>1</v>
      </c>
      <c r="I21" s="336"/>
      <c r="J21" s="168"/>
      <c r="K21" s="168"/>
      <c r="M21" s="359">
        <f>IFERROR(G21/G228,0)</f>
        <v>310.92562151881538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0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575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v>75002</v>
      </c>
      <c r="D25" s="558">
        <v>0</v>
      </c>
      <c r="E25" s="171">
        <f t="shared" ref="E25:E60" si="4">C25+D25</f>
        <v>75002</v>
      </c>
      <c r="F25" s="171">
        <v>65000</v>
      </c>
      <c r="G25" s="182">
        <f>E25+F25</f>
        <v>140002</v>
      </c>
      <c r="H25" s="172">
        <f>IF($G$208=0,0,G25/$G$208)</f>
        <v>2.8164956575286771E-2</v>
      </c>
      <c r="I25" s="336"/>
      <c r="J25" s="183">
        <f>1040+1040</f>
        <v>2080</v>
      </c>
      <c r="K25" s="647">
        <f>0+1040</f>
        <v>1040</v>
      </c>
      <c r="M25" s="359">
        <f>G25/G$228</f>
        <v>9.5097133541638357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v>0</v>
      </c>
      <c r="D26" s="558"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v>98333</v>
      </c>
      <c r="D27" s="558">
        <v>0</v>
      </c>
      <c r="E27" s="171">
        <f t="shared" si="4"/>
        <v>98333</v>
      </c>
      <c r="F27" s="171">
        <v>71435</v>
      </c>
      <c r="G27" s="171">
        <f t="shared" si="5"/>
        <v>169768</v>
      </c>
      <c r="H27" s="172">
        <f t="shared" si="6"/>
        <v>3.4153143154192683E-2</v>
      </c>
      <c r="I27" s="336"/>
      <c r="J27" s="185">
        <f>4607+3131</f>
        <v>7738</v>
      </c>
      <c r="K27" s="646">
        <f>0+3161</f>
        <v>3161</v>
      </c>
      <c r="M27" s="359">
        <f t="shared" si="7"/>
        <v>11.531585382420866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v>-19753</v>
      </c>
      <c r="D28" s="558">
        <v>0</v>
      </c>
      <c r="E28" s="171">
        <f t="shared" si="4"/>
        <v>-19753</v>
      </c>
      <c r="F28" s="171">
        <v>22133</v>
      </c>
      <c r="G28" s="171">
        <f t="shared" si="5"/>
        <v>2380</v>
      </c>
      <c r="H28" s="172">
        <f t="shared" si="6"/>
        <v>4.7879742181670628E-4</v>
      </c>
      <c r="I28" s="336"/>
      <c r="J28" s="168"/>
      <c r="K28" s="168"/>
      <c r="M28" s="359">
        <f t="shared" si="7"/>
        <v>0.16166281755196305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v>0</v>
      </c>
      <c r="D29" s="558"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v>0</v>
      </c>
      <c r="D30" s="558"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v>0</v>
      </c>
      <c r="D31" s="558"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v>13773</v>
      </c>
      <c r="D32" s="558">
        <v>-3686</v>
      </c>
      <c r="E32" s="171">
        <f t="shared" si="4"/>
        <v>10087</v>
      </c>
      <c r="F32" s="171">
        <v>0</v>
      </c>
      <c r="G32" s="171">
        <f t="shared" si="5"/>
        <v>10087</v>
      </c>
      <c r="H32" s="172">
        <f t="shared" si="6"/>
        <v>2.0292561318760991E-3</v>
      </c>
      <c r="I32" s="336"/>
      <c r="J32" s="168"/>
      <c r="K32" s="168"/>
      <c r="M32" s="359">
        <f t="shared" si="7"/>
        <v>0.68516505909523162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v>5137</v>
      </c>
      <c r="D33" s="558">
        <v>0</v>
      </c>
      <c r="E33" s="171">
        <f t="shared" si="4"/>
        <v>5137</v>
      </c>
      <c r="F33" s="171">
        <v>7290</v>
      </c>
      <c r="G33" s="171">
        <f t="shared" si="5"/>
        <v>12427</v>
      </c>
      <c r="H33" s="172">
        <f t="shared" si="6"/>
        <v>2.5000065382000877E-3</v>
      </c>
      <c r="I33" s="336"/>
      <c r="J33" s="168"/>
      <c r="K33" s="168"/>
      <c r="M33" s="359">
        <f t="shared" si="7"/>
        <v>0.84411085450346424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v>10460</v>
      </c>
      <c r="D34" s="558">
        <v>0</v>
      </c>
      <c r="E34" s="171">
        <f t="shared" si="4"/>
        <v>10460</v>
      </c>
      <c r="F34" s="677">
        <f>(7830-1189)</f>
        <v>6641</v>
      </c>
      <c r="G34" s="171">
        <f t="shared" si="5"/>
        <v>17101</v>
      </c>
      <c r="H34" s="172">
        <f t="shared" si="6"/>
        <v>3.4403002985241571E-3</v>
      </c>
      <c r="I34" s="336"/>
      <c r="J34" s="168"/>
      <c r="K34" s="168"/>
      <c r="M34" s="359">
        <f t="shared" si="7"/>
        <v>1.1615948919983698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v>18302</v>
      </c>
      <c r="D35" s="558">
        <v>0</v>
      </c>
      <c r="E35" s="171">
        <f t="shared" si="4"/>
        <v>18302</v>
      </c>
      <c r="F35" s="171">
        <v>4948</v>
      </c>
      <c r="G35" s="171">
        <f t="shared" si="5"/>
        <v>23250</v>
      </c>
      <c r="H35" s="172">
        <f t="shared" si="6"/>
        <v>4.6773277551421938E-3</v>
      </c>
      <c r="I35" s="336"/>
      <c r="J35" s="168"/>
      <c r="K35" s="168"/>
      <c r="M35" s="359">
        <f t="shared" si="7"/>
        <v>1.5792691210433365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v>13219</v>
      </c>
      <c r="D36" s="558">
        <v>-9637</v>
      </c>
      <c r="E36" s="171">
        <f t="shared" si="4"/>
        <v>3582</v>
      </c>
      <c r="F36" s="171">
        <v>13073</v>
      </c>
      <c r="G36" s="171">
        <f t="shared" si="5"/>
        <v>16655</v>
      </c>
      <c r="H36" s="172">
        <f t="shared" si="6"/>
        <v>3.3505760757803543E-3</v>
      </c>
      <c r="I36" s="336"/>
      <c r="J36" s="168"/>
      <c r="K36" s="168"/>
      <c r="M36" s="359">
        <f t="shared" si="7"/>
        <v>1.131300095095775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v>0</v>
      </c>
      <c r="D37" s="558"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v>13395</v>
      </c>
      <c r="D38" s="558">
        <v>-5608</v>
      </c>
      <c r="E38" s="171">
        <f t="shared" si="4"/>
        <v>7787</v>
      </c>
      <c r="F38" s="171">
        <v>3464</v>
      </c>
      <c r="G38" s="171">
        <f t="shared" si="5"/>
        <v>11251</v>
      </c>
      <c r="H38" s="172">
        <f t="shared" si="6"/>
        <v>2.2634242827141858E-3</v>
      </c>
      <c r="I38" s="336"/>
      <c r="J38" s="168"/>
      <c r="K38" s="168"/>
      <c r="M38" s="359">
        <f t="shared" si="7"/>
        <v>0.76423040347778837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v>12355</v>
      </c>
      <c r="D39" s="558">
        <v>0</v>
      </c>
      <c r="E39" s="171">
        <f t="shared" si="4"/>
        <v>12355</v>
      </c>
      <c r="F39" s="171">
        <v>3921</v>
      </c>
      <c r="G39" s="171">
        <f t="shared" si="5"/>
        <v>16276</v>
      </c>
      <c r="H39" s="172">
        <f t="shared" si="6"/>
        <v>3.2743306039868538E-3</v>
      </c>
      <c r="I39" s="336"/>
      <c r="J39" s="168"/>
      <c r="K39" s="168"/>
      <c r="M39" s="359">
        <f t="shared" si="7"/>
        <v>1.1055563102839288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v>0</v>
      </c>
      <c r="D40" s="558"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v>73720</v>
      </c>
      <c r="D41" s="558">
        <v>0</v>
      </c>
      <c r="E41" s="171">
        <f t="shared" si="4"/>
        <v>73720</v>
      </c>
      <c r="F41" s="171">
        <v>91767</v>
      </c>
      <c r="G41" s="171">
        <f t="shared" si="5"/>
        <v>165487</v>
      </c>
      <c r="H41" s="172">
        <f t="shared" si="6"/>
        <v>3.3291911321084569E-2</v>
      </c>
      <c r="I41" s="336"/>
      <c r="J41" s="168"/>
      <c r="K41" s="168"/>
      <c r="M41" s="359">
        <f t="shared" si="7"/>
        <v>11.240796087488112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v>0</v>
      </c>
      <c r="D42" s="558"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v>20</v>
      </c>
      <c r="D43" s="558">
        <v>-20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v>55248</v>
      </c>
      <c r="D44" s="558">
        <v>-55248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v>0</v>
      </c>
      <c r="D45" s="558"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v>-7292</v>
      </c>
      <c r="D46" s="558">
        <v>0</v>
      </c>
      <c r="E46" s="171">
        <f t="shared" si="4"/>
        <v>-7292</v>
      </c>
      <c r="F46" s="171">
        <v>18408</v>
      </c>
      <c r="G46" s="171">
        <f t="shared" si="5"/>
        <v>11116</v>
      </c>
      <c r="H46" s="172">
        <f t="shared" si="6"/>
        <v>2.2362656054262637E-3</v>
      </c>
      <c r="I46" s="336"/>
      <c r="J46" s="168"/>
      <c r="K46" s="168"/>
      <c r="M46" s="359">
        <f t="shared" si="7"/>
        <v>0.75506045374269803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v>70152</v>
      </c>
      <c r="D47" s="558">
        <v>0</v>
      </c>
      <c r="E47" s="171">
        <f t="shared" si="4"/>
        <v>70152</v>
      </c>
      <c r="F47" s="171">
        <v>10507</v>
      </c>
      <c r="G47" s="171">
        <f t="shared" si="5"/>
        <v>80659</v>
      </c>
      <c r="H47" s="172">
        <f t="shared" si="6"/>
        <v>1.622660556567803E-2</v>
      </c>
      <c r="I47" s="336"/>
      <c r="J47" s="168"/>
      <c r="K47" s="168"/>
      <c r="M47" s="359">
        <f t="shared" si="7"/>
        <v>5.4788072272789021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v>0</v>
      </c>
      <c r="D48" s="558"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v>0</v>
      </c>
      <c r="D49" s="558"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v>2571</v>
      </c>
      <c r="D50" s="558">
        <v>-2571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v>0</v>
      </c>
      <c r="D51" s="558">
        <v>0</v>
      </c>
      <c r="E51" s="171">
        <f t="shared" si="4"/>
        <v>0</v>
      </c>
      <c r="F51" s="171">
        <v>6857</v>
      </c>
      <c r="G51" s="171">
        <f t="shared" si="5"/>
        <v>6857</v>
      </c>
      <c r="H51" s="172">
        <f t="shared" si="6"/>
        <v>1.3794596308391407E-3</v>
      </c>
      <c r="I51" s="336"/>
      <c r="J51" s="183">
        <v>428</v>
      </c>
      <c r="K51" s="183">
        <v>428</v>
      </c>
      <c r="M51" s="359">
        <f t="shared" si="7"/>
        <v>0.46576552098899604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v>0</v>
      </c>
      <c r="D52" s="558">
        <v>0</v>
      </c>
      <c r="E52" s="171">
        <f t="shared" si="4"/>
        <v>0</v>
      </c>
      <c r="F52" s="171">
        <v>1067</v>
      </c>
      <c r="G52" s="171">
        <f t="shared" si="5"/>
        <v>1067</v>
      </c>
      <c r="H52" s="172">
        <f t="shared" si="6"/>
        <v>2.1465413826824605E-4</v>
      </c>
      <c r="I52" s="336"/>
      <c r="J52" s="168"/>
      <c r="K52" s="168"/>
      <c r="M52" s="359">
        <f t="shared" si="7"/>
        <v>7.2476565684010327E-2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v>81</v>
      </c>
      <c r="D53" s="558">
        <v>0</v>
      </c>
      <c r="E53" s="171">
        <f t="shared" si="4"/>
        <v>81</v>
      </c>
      <c r="F53" s="171">
        <v>0</v>
      </c>
      <c r="G53" s="171">
        <f t="shared" si="5"/>
        <v>81</v>
      </c>
      <c r="H53" s="172">
        <f t="shared" si="6"/>
        <v>1.6295206372753449E-5</v>
      </c>
      <c r="I53" s="336"/>
      <c r="J53" s="168"/>
      <c r="K53" s="168"/>
      <c r="M53" s="359">
        <f t="shared" si="7"/>
        <v>5.5019698410542044E-3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v>3696</v>
      </c>
      <c r="D54" s="558">
        <v>-3696</v>
      </c>
      <c r="E54" s="171">
        <f t="shared" si="4"/>
        <v>0</v>
      </c>
      <c r="F54" s="171">
        <v>0</v>
      </c>
      <c r="G54" s="171">
        <f t="shared" si="5"/>
        <v>0</v>
      </c>
      <c r="H54" s="172">
        <f t="shared" si="6"/>
        <v>0</v>
      </c>
      <c r="I54" s="336"/>
      <c r="J54" s="168"/>
      <c r="K54" s="168"/>
      <c r="M54" s="359">
        <f t="shared" si="7"/>
        <v>0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v>12276</v>
      </c>
      <c r="D55" s="558">
        <v>0</v>
      </c>
      <c r="E55" s="171">
        <f t="shared" si="4"/>
        <v>12276</v>
      </c>
      <c r="F55" s="171">
        <v>0</v>
      </c>
      <c r="G55" s="171">
        <f t="shared" si="5"/>
        <v>12276</v>
      </c>
      <c r="H55" s="172">
        <f t="shared" si="6"/>
        <v>2.4696290547150785E-3</v>
      </c>
      <c r="I55" s="336"/>
      <c r="J55" s="168"/>
      <c r="K55" s="168"/>
      <c r="M55" s="359">
        <f t="shared" si="7"/>
        <v>0.83385409591088167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v>224182</v>
      </c>
      <c r="D56" s="558">
        <v>-4807</v>
      </c>
      <c r="E56" s="171">
        <f t="shared" si="4"/>
        <v>219375</v>
      </c>
      <c r="F56" s="171">
        <v>43855</v>
      </c>
      <c r="G56" s="171">
        <f t="shared" si="5"/>
        <v>263230</v>
      </c>
      <c r="H56" s="172">
        <f t="shared" si="6"/>
        <v>5.2955397203702348E-2</v>
      </c>
      <c r="I56" s="336"/>
      <c r="J56" s="168"/>
      <c r="K56" s="168"/>
      <c r="M56" s="359">
        <f t="shared" si="7"/>
        <v>17.880043472354298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v>0</v>
      </c>
      <c r="D57" s="558">
        <v>0</v>
      </c>
      <c r="E57" s="171">
        <f t="shared" si="4"/>
        <v>0</v>
      </c>
      <c r="F57" s="171">
        <v>1939</v>
      </c>
      <c r="G57" s="171">
        <f t="shared" si="5"/>
        <v>1939</v>
      </c>
      <c r="H57" s="172">
        <f t="shared" si="6"/>
        <v>3.9007907600949307E-4</v>
      </c>
      <c r="I57" s="336"/>
      <c r="J57" s="168"/>
      <c r="K57" s="168"/>
      <c r="M57" s="359">
        <f t="shared" si="7"/>
        <v>0.13170764841733459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v>7286</v>
      </c>
      <c r="D58" s="558">
        <v>0</v>
      </c>
      <c r="E58" s="171">
        <f t="shared" si="4"/>
        <v>7286</v>
      </c>
      <c r="F58" s="171">
        <v>0</v>
      </c>
      <c r="G58" s="171">
        <f t="shared" si="5"/>
        <v>7286</v>
      </c>
      <c r="H58" s="172">
        <f t="shared" si="6"/>
        <v>1.4657638719985386E-3</v>
      </c>
      <c r="I58" s="336"/>
      <c r="J58" s="168"/>
      <c r="K58" s="168"/>
      <c r="M58" s="359">
        <f t="shared" si="7"/>
        <v>0.49490558348050534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v>0</v>
      </c>
      <c r="D59" s="558"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v>6928</v>
      </c>
      <c r="D60" s="558">
        <v>-2455</v>
      </c>
      <c r="E60" s="171">
        <f t="shared" si="4"/>
        <v>4473</v>
      </c>
      <c r="F60" s="171">
        <v>2842</v>
      </c>
      <c r="G60" s="171">
        <f t="shared" si="5"/>
        <v>7315</v>
      </c>
      <c r="H60" s="172">
        <f t="shared" si="6"/>
        <v>1.4715979582307591E-3</v>
      </c>
      <c r="I60" s="336"/>
      <c r="J60" s="168"/>
      <c r="K60" s="168"/>
      <c r="M60" s="359">
        <f t="shared" si="7"/>
        <v>0.49687542453470995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689091</v>
      </c>
      <c r="D61" s="558">
        <f>SUM(D25:D60)</f>
        <v>-87728</v>
      </c>
      <c r="E61" s="171">
        <f t="shared" ref="E61:F61" si="8">SUM(E25:E60)</f>
        <v>601363</v>
      </c>
      <c r="F61" s="171">
        <f t="shared" si="8"/>
        <v>375147</v>
      </c>
      <c r="G61" s="171">
        <f>SUM(G25:G60)</f>
        <v>976510</v>
      </c>
      <c r="H61" s="186">
        <f t="shared" si="6"/>
        <v>0.19644977746984532</v>
      </c>
      <c r="I61" s="338"/>
      <c r="J61" s="168"/>
      <c r="K61" s="168"/>
      <c r="M61" s="364">
        <f>G61/G$228</f>
        <v>66.329982339356064</v>
      </c>
      <c r="N61" s="359">
        <f>SUMMARY!J64</f>
        <v>53.728790309602623</v>
      </c>
      <c r="O61" s="354">
        <f>M61/N61-1</f>
        <v>0.23453332854027242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v>214500</v>
      </c>
      <c r="D64" s="558">
        <v>-214500</v>
      </c>
      <c r="E64" s="171">
        <f t="shared" ref="E64:E78" si="9">C64+D64</f>
        <v>0</v>
      </c>
      <c r="F64" s="563">
        <f>(108000-108000)</f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v>155075</v>
      </c>
      <c r="D65" s="558">
        <v>21239</v>
      </c>
      <c r="E65" s="171">
        <f t="shared" si="9"/>
        <v>176314</v>
      </c>
      <c r="F65" s="677">
        <v>40852</v>
      </c>
      <c r="G65" s="171">
        <f t="shared" si="10"/>
        <v>217166</v>
      </c>
      <c r="H65" s="172">
        <f t="shared" si="11"/>
        <v>4.3688454162288587E-2</v>
      </c>
      <c r="I65" s="336"/>
      <c r="J65" s="190"/>
      <c r="K65" s="168"/>
      <c r="M65" s="359">
        <f t="shared" si="12"/>
        <v>14.751120771634289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v>24282</v>
      </c>
      <c r="D66" s="558">
        <v>24282</v>
      </c>
      <c r="E66" s="171">
        <f t="shared" si="9"/>
        <v>48564</v>
      </c>
      <c r="F66" s="563">
        <v>33248</v>
      </c>
      <c r="G66" s="171">
        <f t="shared" si="10"/>
        <v>81812</v>
      </c>
      <c r="H66" s="172">
        <f t="shared" si="11"/>
        <v>1.6458560787255619E-2</v>
      </c>
      <c r="I66" s="336"/>
      <c r="J66" s="190"/>
      <c r="K66" s="168"/>
      <c r="M66" s="359">
        <f t="shared" si="12"/>
        <v>5.5571253905719331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v>11650</v>
      </c>
      <c r="D67" s="558">
        <v>0</v>
      </c>
      <c r="E67" s="171">
        <f t="shared" si="9"/>
        <v>11650</v>
      </c>
      <c r="F67" s="171">
        <v>0</v>
      </c>
      <c r="G67" s="171">
        <f t="shared" si="10"/>
        <v>11650</v>
      </c>
      <c r="H67" s="172">
        <f t="shared" si="11"/>
        <v>2.3436932622540453E-3</v>
      </c>
      <c r="I67" s="336"/>
      <c r="J67" s="193"/>
      <c r="K67" s="168"/>
      <c r="M67" s="359">
        <f t="shared" si="12"/>
        <v>0.79133269936149975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v>5776</v>
      </c>
      <c r="D68" s="558">
        <v>0</v>
      </c>
      <c r="E68" s="171">
        <f t="shared" si="9"/>
        <v>5776</v>
      </c>
      <c r="F68" s="171">
        <v>0</v>
      </c>
      <c r="G68" s="171">
        <f t="shared" si="10"/>
        <v>5776</v>
      </c>
      <c r="H68" s="172">
        <f t="shared" si="11"/>
        <v>1.1619890371484436E-3</v>
      </c>
      <c r="I68" s="336"/>
      <c r="J68" s="193"/>
      <c r="K68" s="168"/>
      <c r="M68" s="359">
        <f t="shared" si="12"/>
        <v>0.39233799755468007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v>4574</v>
      </c>
      <c r="D69" s="558">
        <v>0</v>
      </c>
      <c r="E69" s="171">
        <f t="shared" si="9"/>
        <v>4574</v>
      </c>
      <c r="F69" s="171">
        <v>0</v>
      </c>
      <c r="G69" s="171">
        <f t="shared" si="10"/>
        <v>4574</v>
      </c>
      <c r="H69" s="172">
        <f t="shared" si="11"/>
        <v>9.20176221592275E-4</v>
      </c>
      <c r="I69" s="336"/>
      <c r="J69" s="195"/>
      <c r="K69" s="168"/>
      <c r="M69" s="359">
        <f t="shared" si="12"/>
        <v>0.3106914821355794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v>0</v>
      </c>
      <c r="D70" s="558"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v>0</v>
      </c>
      <c r="D71" s="558"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v>0</v>
      </c>
      <c r="D72" s="558">
        <v>0</v>
      </c>
      <c r="E72" s="171">
        <f t="shared" si="9"/>
        <v>0</v>
      </c>
      <c r="F72" s="171">
        <v>5576</v>
      </c>
      <c r="G72" s="171">
        <f t="shared" si="10"/>
        <v>5576</v>
      </c>
      <c r="H72" s="172">
        <f t="shared" si="11"/>
        <v>1.1217539596848547E-3</v>
      </c>
      <c r="I72" s="336"/>
      <c r="J72" s="195"/>
      <c r="K72" s="168"/>
      <c r="M72" s="359">
        <f t="shared" si="12"/>
        <v>0.3787528868360277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v>0</v>
      </c>
      <c r="D73" s="558">
        <v>0</v>
      </c>
      <c r="E73" s="171">
        <f t="shared" si="9"/>
        <v>0</v>
      </c>
      <c r="F73" s="563">
        <v>1189</v>
      </c>
      <c r="G73" s="171">
        <f t="shared" si="10"/>
        <v>1189</v>
      </c>
      <c r="H73" s="172">
        <f t="shared" si="11"/>
        <v>2.391975355210352E-4</v>
      </c>
      <c r="I73" s="336"/>
      <c r="J73" s="195"/>
      <c r="K73" s="168"/>
      <c r="M73" s="359">
        <f t="shared" si="12"/>
        <v>8.0763483222388258E-2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v>28866</v>
      </c>
      <c r="D74" s="558">
        <v>0</v>
      </c>
      <c r="E74" s="171">
        <f t="shared" si="9"/>
        <v>28866</v>
      </c>
      <c r="F74" s="563">
        <v>15560</v>
      </c>
      <c r="G74" s="171">
        <f t="shared" si="10"/>
        <v>44426</v>
      </c>
      <c r="H74" s="172">
        <f t="shared" si="11"/>
        <v>8.9374177569869727E-3</v>
      </c>
      <c r="I74" s="336"/>
      <c r="J74" s="195"/>
      <c r="K74" s="168"/>
      <c r="M74" s="359">
        <f t="shared" si="12"/>
        <v>3.0176606439342479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v>0</v>
      </c>
      <c r="D75" s="558"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v>1892</v>
      </c>
      <c r="D76" s="558">
        <v>0</v>
      </c>
      <c r="E76" s="171">
        <f t="shared" si="9"/>
        <v>1892</v>
      </c>
      <c r="F76" s="171">
        <v>0</v>
      </c>
      <c r="G76" s="171">
        <f t="shared" si="10"/>
        <v>1892</v>
      </c>
      <c r="H76" s="172">
        <f t="shared" si="11"/>
        <v>3.8062383280554969E-4</v>
      </c>
      <c r="I76" s="336"/>
      <c r="J76" s="195"/>
      <c r="K76" s="168"/>
      <c r="M76" s="359">
        <f t="shared" si="12"/>
        <v>0.1285151473984513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v>0</v>
      </c>
      <c r="D77" s="558"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v>0</v>
      </c>
      <c r="D78" s="558"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446615</v>
      </c>
      <c r="D79" s="558">
        <f>SUM(D64:D78)</f>
        <v>-168979</v>
      </c>
      <c r="E79" s="171">
        <f t="shared" ref="E79:F79" si="13">SUM(E64:E78)</f>
        <v>277636</v>
      </c>
      <c r="F79" s="171">
        <f t="shared" si="13"/>
        <v>96425</v>
      </c>
      <c r="G79" s="171">
        <f>SUM(G64:G78)</f>
        <v>374061</v>
      </c>
      <c r="H79" s="172">
        <f t="shared" si="11"/>
        <v>7.5251866555537381E-2</v>
      </c>
      <c r="I79" s="336"/>
      <c r="J79" s="195"/>
      <c r="K79" s="168"/>
      <c r="M79" s="359">
        <f t="shared" si="12"/>
        <v>25.408300502649098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v>40767</v>
      </c>
      <c r="D82" s="558">
        <v>0</v>
      </c>
      <c r="E82" s="171">
        <f t="shared" ref="E82:E92" si="14">C82+D82</f>
        <v>40767</v>
      </c>
      <c r="F82" s="171">
        <v>42643</v>
      </c>
      <c r="G82" s="171">
        <f t="shared" ref="G82:G92" si="15">E82+F82</f>
        <v>83410</v>
      </c>
      <c r="H82" s="172">
        <f t="shared" ref="H82:H93" si="16">IF($G$208=0,0,G82/$G$208)</f>
        <v>1.6780039056189695E-2</v>
      </c>
      <c r="I82" s="336"/>
      <c r="J82" s="183">
        <f>2418+2353</f>
        <v>4771</v>
      </c>
      <c r="K82" s="183">
        <f>2418+2498</f>
        <v>4916</v>
      </c>
      <c r="M82" s="359">
        <f t="shared" ref="M82:M92" si="17">G82/G$228</f>
        <v>5.6656704252139658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v>6940</v>
      </c>
      <c r="D83" s="558">
        <v>0</v>
      </c>
      <c r="E83" s="171">
        <f t="shared" si="14"/>
        <v>6940</v>
      </c>
      <c r="F83" s="171">
        <v>6744</v>
      </c>
      <c r="G83" s="171">
        <f t="shared" si="15"/>
        <v>13684</v>
      </c>
      <c r="H83" s="172">
        <f t="shared" si="16"/>
        <v>2.7528840000587431E-3</v>
      </c>
      <c r="I83" s="336"/>
      <c r="J83" s="168"/>
      <c r="K83" s="168"/>
      <c r="M83" s="359">
        <f t="shared" si="17"/>
        <v>0.92949327537019422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v>16698</v>
      </c>
      <c r="D84" s="558">
        <v>0</v>
      </c>
      <c r="E84" s="171">
        <f t="shared" si="14"/>
        <v>16698</v>
      </c>
      <c r="F84" s="171">
        <v>9952</v>
      </c>
      <c r="G84" s="171">
        <f t="shared" si="15"/>
        <v>26650</v>
      </c>
      <c r="H84" s="172">
        <f t="shared" si="16"/>
        <v>5.3613240720232032E-3</v>
      </c>
      <c r="I84" s="336"/>
      <c r="J84" s="168"/>
      <c r="K84" s="168"/>
      <c r="M84" s="359">
        <f t="shared" si="17"/>
        <v>1.8102160032604266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v>2632</v>
      </c>
      <c r="D85" s="558">
        <v>0</v>
      </c>
      <c r="E85" s="171">
        <f t="shared" si="14"/>
        <v>2632</v>
      </c>
      <c r="F85" s="171">
        <v>953</v>
      </c>
      <c r="G85" s="171">
        <f t="shared" si="15"/>
        <v>3585</v>
      </c>
      <c r="H85" s="172">
        <f t="shared" si="16"/>
        <v>7.2121376353482863E-4</v>
      </c>
      <c r="I85" s="336"/>
      <c r="J85" s="168"/>
      <c r="K85" s="168"/>
      <c r="M85" s="359">
        <f t="shared" si="17"/>
        <v>0.2435131096318435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v>0</v>
      </c>
      <c r="D86" s="558">
        <v>0</v>
      </c>
      <c r="E86" s="171">
        <f t="shared" si="14"/>
        <v>0</v>
      </c>
      <c r="F86" s="563">
        <v>3477</v>
      </c>
      <c r="G86" s="171">
        <f>E86+F86</f>
        <v>3477</v>
      </c>
      <c r="H86" s="172">
        <f t="shared" si="16"/>
        <v>6.9948682170449061E-4</v>
      </c>
      <c r="I86" s="336"/>
      <c r="J86" s="168"/>
      <c r="K86" s="168"/>
      <c r="M86" s="359">
        <f t="shared" si="17"/>
        <v>0.23617714984377122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v>12115</v>
      </c>
      <c r="D87" s="558">
        <v>0</v>
      </c>
      <c r="E87" s="171">
        <f t="shared" si="14"/>
        <v>12115</v>
      </c>
      <c r="F87" s="171">
        <v>0</v>
      </c>
      <c r="G87" s="171">
        <f t="shared" si="15"/>
        <v>12115</v>
      </c>
      <c r="H87" s="172">
        <f t="shared" si="16"/>
        <v>2.4372398173568895E-3</v>
      </c>
      <c r="I87" s="336"/>
      <c r="J87" s="168"/>
      <c r="K87" s="168"/>
      <c r="M87" s="359">
        <f t="shared" si="17"/>
        <v>0.82291808178236647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v>0</v>
      </c>
      <c r="D88" s="558">
        <v>0</v>
      </c>
      <c r="E88" s="171">
        <f t="shared" si="14"/>
        <v>0</v>
      </c>
      <c r="F88" s="171">
        <v>0</v>
      </c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v>0</v>
      </c>
      <c r="D89" s="558">
        <v>0</v>
      </c>
      <c r="E89" s="171">
        <f t="shared" si="14"/>
        <v>0</v>
      </c>
      <c r="F89" s="171">
        <v>0</v>
      </c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v>0</v>
      </c>
      <c r="D90" s="558"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v>25494</v>
      </c>
      <c r="D91" s="558">
        <v>0</v>
      </c>
      <c r="E91" s="171">
        <f t="shared" si="14"/>
        <v>25494</v>
      </c>
      <c r="F91" s="171">
        <v>24185</v>
      </c>
      <c r="G91" s="171">
        <f t="shared" si="15"/>
        <v>49679</v>
      </c>
      <c r="H91" s="172">
        <f t="shared" si="16"/>
        <v>9.9941920665681302E-3</v>
      </c>
      <c r="I91" s="336"/>
      <c r="J91" s="168"/>
      <c r="K91" s="168"/>
      <c r="M91" s="359">
        <f t="shared" si="17"/>
        <v>3.3744735769596521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v>0</v>
      </c>
      <c r="D92" s="558"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104646</v>
      </c>
      <c r="D93" s="558">
        <f>SUM(D82:D92)</f>
        <v>0</v>
      </c>
      <c r="E93" s="171">
        <f t="shared" ref="E93:F93" si="18">SUM(E82:E92)</f>
        <v>104646</v>
      </c>
      <c r="F93" s="171">
        <f t="shared" si="18"/>
        <v>87954</v>
      </c>
      <c r="G93" s="171">
        <f>SUM(G82:G92)</f>
        <v>192600</v>
      </c>
      <c r="H93" s="172">
        <f t="shared" si="16"/>
        <v>3.874637959743598E-2</v>
      </c>
      <c r="I93" s="336"/>
      <c r="J93" s="168"/>
      <c r="K93" s="168"/>
      <c r="M93" s="364">
        <f>G93/G$228</f>
        <v>13.082461622062219</v>
      </c>
      <c r="N93" s="359">
        <f>SUMMARY!J96</f>
        <v>11.458724454710746</v>
      </c>
      <c r="O93" s="354">
        <f>M93/N93-1</f>
        <v>0.14170313404158574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v>101343</v>
      </c>
      <c r="D96" s="558">
        <v>0</v>
      </c>
      <c r="E96" s="171">
        <f t="shared" ref="E96:E101" si="19">C96+D96</f>
        <v>101343</v>
      </c>
      <c r="F96" s="171">
        <v>88930</v>
      </c>
      <c r="G96" s="171">
        <f t="shared" ref="G96:G101" si="20">E96+F96</f>
        <v>190273</v>
      </c>
      <c r="H96" s="172">
        <f t="shared" ref="H96:H102" si="21">IF($G$208=0,0,G96/$G$208)</f>
        <v>3.8278244471147124E-2</v>
      </c>
      <c r="I96" s="336"/>
      <c r="J96" s="183">
        <f>8272+6437</f>
        <v>14709</v>
      </c>
      <c r="K96" s="183">
        <f>8272+6437</f>
        <v>14709</v>
      </c>
      <c r="M96" s="364">
        <f t="shared" ref="M96:M101" si="22">G96/G$228</f>
        <v>12.924398858850699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v>17094</v>
      </c>
      <c r="D97" s="558">
        <v>0</v>
      </c>
      <c r="E97" s="171">
        <f t="shared" si="19"/>
        <v>17094</v>
      </c>
      <c r="F97" s="171">
        <v>13934</v>
      </c>
      <c r="G97" s="171">
        <f t="shared" si="20"/>
        <v>31028</v>
      </c>
      <c r="H97" s="172">
        <f t="shared" si="21"/>
        <v>6.242069917701161E-3</v>
      </c>
      <c r="I97" s="336"/>
      <c r="J97" s="168"/>
      <c r="K97" s="168"/>
      <c r="M97" s="364">
        <f t="shared" si="22"/>
        <v>2.1075940768917265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v>14982</v>
      </c>
      <c r="D98" s="558">
        <v>0</v>
      </c>
      <c r="E98" s="171">
        <f t="shared" si="19"/>
        <v>14982</v>
      </c>
      <c r="F98" s="171">
        <v>7313</v>
      </c>
      <c r="G98" s="171">
        <f t="shared" si="20"/>
        <v>22295</v>
      </c>
      <c r="H98" s="172">
        <f t="shared" si="21"/>
        <v>4.4852052602535573E-3</v>
      </c>
      <c r="I98" s="336"/>
      <c r="J98" s="168"/>
      <c r="K98" s="168"/>
      <c r="M98" s="364">
        <f t="shared" si="22"/>
        <v>1.5144002173617714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v>56675</v>
      </c>
      <c r="D99" s="558">
        <v>0</v>
      </c>
      <c r="E99" s="171">
        <f t="shared" si="19"/>
        <v>56675</v>
      </c>
      <c r="F99" s="171">
        <v>57503</v>
      </c>
      <c r="G99" s="171">
        <f t="shared" si="20"/>
        <v>114178</v>
      </c>
      <c r="H99" s="172">
        <f t="shared" si="21"/>
        <v>2.2969803373188189E-2</v>
      </c>
      <c r="I99" s="336"/>
      <c r="J99" s="168"/>
      <c r="K99" s="168"/>
      <c r="M99" s="364">
        <f t="shared" si="22"/>
        <v>7.7556038581714439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v>11955</v>
      </c>
      <c r="D100" s="558">
        <v>0</v>
      </c>
      <c r="E100" s="171">
        <f t="shared" si="19"/>
        <v>11955</v>
      </c>
      <c r="F100" s="171">
        <v>6799</v>
      </c>
      <c r="G100" s="171">
        <f t="shared" si="20"/>
        <v>18754</v>
      </c>
      <c r="H100" s="172">
        <f t="shared" si="21"/>
        <v>3.7728432137607184E-3</v>
      </c>
      <c r="I100" s="336"/>
      <c r="J100" s="168"/>
      <c r="K100" s="168"/>
      <c r="M100" s="364">
        <f t="shared" si="22"/>
        <v>1.2738758320880315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v>0</v>
      </c>
      <c r="D101" s="558"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202049</v>
      </c>
      <c r="D102" s="558">
        <f>SUM(D96:D101)</f>
        <v>0</v>
      </c>
      <c r="E102" s="171">
        <f t="shared" ref="E102:F102" si="23">SUM(E96:E101)</f>
        <v>202049</v>
      </c>
      <c r="F102" s="171">
        <f t="shared" si="23"/>
        <v>174479</v>
      </c>
      <c r="G102" s="171">
        <f>SUM(G96:G101)</f>
        <v>376528</v>
      </c>
      <c r="H102" s="172">
        <f t="shared" si="21"/>
        <v>7.5748166236050754E-2</v>
      </c>
      <c r="I102" s="336"/>
      <c r="J102" s="168"/>
      <c r="K102" s="168"/>
      <c r="M102" s="364">
        <f>G102/G$228</f>
        <v>25.575872843363673</v>
      </c>
      <c r="N102" s="359">
        <f>SUMMARY!J105</f>
        <v>19.901077037785338</v>
      </c>
      <c r="O102" s="354">
        <f>M102/N102-1</f>
        <v>0.28515018532935876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v>0</v>
      </c>
      <c r="D105" s="558">
        <v>0</v>
      </c>
      <c r="E105" s="171">
        <f t="shared" ref="E105:E110" si="24">C105+D105</f>
        <v>0</v>
      </c>
      <c r="F105" s="171">
        <v>8579</v>
      </c>
      <c r="G105" s="171">
        <f t="shared" ref="G105:G110" si="25">E105+F105</f>
        <v>8579</v>
      </c>
      <c r="H105" s="172">
        <f t="shared" ref="H105:H111" si="26">IF($G$208=0,0,G105/$G$208)</f>
        <v>1.7258836478006401E-3</v>
      </c>
      <c r="I105" s="336"/>
      <c r="J105" s="183">
        <v>816</v>
      </c>
      <c r="K105" s="183">
        <v>816</v>
      </c>
      <c r="M105" s="364">
        <f t="shared" ref="M105:M110" si="27">G105/G$228</f>
        <v>0.58273332427659286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v>0</v>
      </c>
      <c r="D106" s="558">
        <v>0</v>
      </c>
      <c r="E106" s="171">
        <f t="shared" si="24"/>
        <v>0</v>
      </c>
      <c r="F106" s="171">
        <v>1378</v>
      </c>
      <c r="G106" s="171">
        <f t="shared" si="25"/>
        <v>1378</v>
      </c>
      <c r="H106" s="172">
        <f t="shared" si="26"/>
        <v>2.7721968372412657E-4</v>
      </c>
      <c r="I106" s="336"/>
      <c r="J106" s="168"/>
      <c r="K106" s="168"/>
      <c r="M106" s="364">
        <f t="shared" si="27"/>
        <v>9.3601412851514743E-2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v>5153</v>
      </c>
      <c r="D107" s="558">
        <v>0</v>
      </c>
      <c r="E107" s="171">
        <f t="shared" si="24"/>
        <v>5153</v>
      </c>
      <c r="F107" s="171">
        <v>678</v>
      </c>
      <c r="G107" s="171">
        <f t="shared" si="25"/>
        <v>5831</v>
      </c>
      <c r="H107" s="172">
        <f t="shared" si="26"/>
        <v>1.1730536834509305E-3</v>
      </c>
      <c r="I107" s="336"/>
      <c r="J107" s="168"/>
      <c r="K107" s="168"/>
      <c r="M107" s="364">
        <f t="shared" si="27"/>
        <v>0.39607390300230949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v>51</v>
      </c>
      <c r="D108" s="558">
        <v>0</v>
      </c>
      <c r="E108" s="171">
        <f t="shared" si="24"/>
        <v>51</v>
      </c>
      <c r="F108" s="171">
        <v>0</v>
      </c>
      <c r="G108" s="171">
        <f t="shared" si="25"/>
        <v>51</v>
      </c>
      <c r="H108" s="172">
        <f t="shared" si="26"/>
        <v>1.0259944753215134E-5</v>
      </c>
      <c r="I108" s="336"/>
      <c r="J108" s="168"/>
      <c r="K108" s="168"/>
      <c r="M108" s="364">
        <f t="shared" si="27"/>
        <v>3.4642032332563512E-3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v>24756</v>
      </c>
      <c r="D109" s="558">
        <v>0</v>
      </c>
      <c r="E109" s="171">
        <f t="shared" si="24"/>
        <v>24756</v>
      </c>
      <c r="F109" s="171">
        <v>25140</v>
      </c>
      <c r="G109" s="171">
        <f t="shared" si="25"/>
        <v>49896</v>
      </c>
      <c r="H109" s="172">
        <f t="shared" si="26"/>
        <v>1.0037847125616124E-2</v>
      </c>
      <c r="I109" s="336"/>
      <c r="J109" s="168"/>
      <c r="K109" s="168"/>
      <c r="M109" s="364">
        <f t="shared" si="27"/>
        <v>3.3892134220893899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v>1137</v>
      </c>
      <c r="D110" s="558">
        <v>0</v>
      </c>
      <c r="E110" s="171">
        <f t="shared" si="24"/>
        <v>1137</v>
      </c>
      <c r="F110" s="171">
        <v>0</v>
      </c>
      <c r="G110" s="171">
        <f t="shared" si="25"/>
        <v>1137</v>
      </c>
      <c r="H110" s="172">
        <f t="shared" si="26"/>
        <v>2.2873641538050213E-4</v>
      </c>
      <c r="I110" s="336"/>
      <c r="J110" s="168"/>
      <c r="K110" s="168"/>
      <c r="M110" s="364">
        <f t="shared" si="27"/>
        <v>7.7231354435538649E-2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31097</v>
      </c>
      <c r="D111" s="558">
        <f>SUM(D105:D110)</f>
        <v>0</v>
      </c>
      <c r="E111" s="171">
        <f t="shared" ref="E111:F111" si="28">SUM(E105:E110)</f>
        <v>31097</v>
      </c>
      <c r="F111" s="171">
        <f t="shared" si="28"/>
        <v>35775</v>
      </c>
      <c r="G111" s="171">
        <f>SUM(G105:G110)</f>
        <v>66872</v>
      </c>
      <c r="H111" s="172">
        <f t="shared" si="26"/>
        <v>1.3453000500725539E-2</v>
      </c>
      <c r="I111" s="336"/>
      <c r="J111" s="168"/>
      <c r="K111" s="168"/>
      <c r="M111" s="364">
        <f>G111/G$228</f>
        <v>4.5423176198886024</v>
      </c>
      <c r="N111" s="359">
        <f>SUMMARY!J114</f>
        <v>2.4242384372309496</v>
      </c>
      <c r="O111" s="354">
        <f>M111/N111-1</f>
        <v>0.87370909978516687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v>31438</v>
      </c>
      <c r="D114" s="558">
        <v>0</v>
      </c>
      <c r="E114" s="171">
        <f t="shared" ref="E114:E118" si="29">C114+D114</f>
        <v>31438</v>
      </c>
      <c r="F114" s="171">
        <v>21238</v>
      </c>
      <c r="G114" s="171">
        <f>E114+F114</f>
        <v>52676</v>
      </c>
      <c r="H114" s="172">
        <f t="shared" ref="H114:H119" si="30">IF($G$208=0,0,G114/$G$208)</f>
        <v>1.0597114702360008E-2</v>
      </c>
      <c r="I114" s="336"/>
      <c r="J114" s="183">
        <f>3386+2087</f>
        <v>5473</v>
      </c>
      <c r="K114" s="183">
        <f>3386+2087</f>
        <v>5473</v>
      </c>
      <c r="M114" s="364">
        <f t="shared" ref="M114:M119" si="31">G114/G$228</f>
        <v>3.578046461078658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v>5256</v>
      </c>
      <c r="D115" s="558">
        <v>0</v>
      </c>
      <c r="E115" s="171">
        <f t="shared" si="29"/>
        <v>5256</v>
      </c>
      <c r="F115" s="171">
        <v>3463</v>
      </c>
      <c r="G115" s="171">
        <f>E115+F115</f>
        <v>8719</v>
      </c>
      <c r="H115" s="172">
        <f t="shared" si="30"/>
        <v>1.7540482020251521E-3</v>
      </c>
      <c r="I115" s="336"/>
      <c r="J115" s="168"/>
      <c r="K115" s="168"/>
      <c r="M115" s="364">
        <f t="shared" si="31"/>
        <v>0.59224290177964956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v>9517</v>
      </c>
      <c r="D116" s="558">
        <v>0</v>
      </c>
      <c r="E116" s="171">
        <f t="shared" si="29"/>
        <v>9517</v>
      </c>
      <c r="F116" s="171">
        <v>6283</v>
      </c>
      <c r="G116" s="171">
        <f>E116+F116</f>
        <v>15800</v>
      </c>
      <c r="H116" s="172">
        <f t="shared" si="30"/>
        <v>3.1785711196235123E-3</v>
      </c>
      <c r="I116" s="336"/>
      <c r="J116" s="168"/>
      <c r="K116" s="168"/>
      <c r="M116" s="364">
        <f t="shared" si="31"/>
        <v>1.0732237467735362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v>0</v>
      </c>
      <c r="D117" s="558">
        <v>0</v>
      </c>
      <c r="E117" s="171">
        <f t="shared" si="29"/>
        <v>0</v>
      </c>
      <c r="F117" s="171">
        <v>0</v>
      </c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v>0</v>
      </c>
      <c r="D118" s="558"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46211</v>
      </c>
      <c r="D119" s="558">
        <f>SUM(D114:D118)</f>
        <v>0</v>
      </c>
      <c r="E119" s="171">
        <f t="shared" ref="E119:F119" si="32">SUM(E114:E118)</f>
        <v>46211</v>
      </c>
      <c r="F119" s="171">
        <f t="shared" si="32"/>
        <v>30984</v>
      </c>
      <c r="G119" s="171">
        <f>SUM(G114:G118)</f>
        <v>77195</v>
      </c>
      <c r="H119" s="172">
        <f t="shared" si="30"/>
        <v>1.5529734024008673E-2</v>
      </c>
      <c r="I119" s="336"/>
      <c r="J119" s="168"/>
      <c r="K119" s="168"/>
      <c r="M119" s="364">
        <f t="shared" si="31"/>
        <v>5.2435131096318432</v>
      </c>
      <c r="N119" s="359">
        <f>SUMMARY!J122</f>
        <v>6.0247597205909562</v>
      </c>
      <c r="O119" s="354">
        <f>M119/N119-1</f>
        <v>-0.12967265869359557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v>60098</v>
      </c>
      <c r="D123" s="558">
        <v>0</v>
      </c>
      <c r="E123" s="171">
        <f t="shared" ref="E123:E127" si="33">C123+D123</f>
        <v>60098</v>
      </c>
      <c r="F123" s="171">
        <v>0</v>
      </c>
      <c r="G123" s="171">
        <f>E123+F123</f>
        <v>60098</v>
      </c>
      <c r="H123" s="172">
        <f>IF($G$208=0,0,G123/$G$208)</f>
        <v>1.2090238427033788E-2</v>
      </c>
      <c r="I123" s="336"/>
      <c r="J123" s="183">
        <v>1016</v>
      </c>
      <c r="K123" s="183">
        <v>1016</v>
      </c>
      <c r="M123" s="364">
        <f t="shared" ref="M123:M160" si="34">G123/G$228</f>
        <v>4.0821899198478464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v>0</v>
      </c>
      <c r="D124" s="558">
        <v>0</v>
      </c>
      <c r="E124" s="171">
        <f t="shared" si="33"/>
        <v>0</v>
      </c>
      <c r="F124" s="171">
        <v>61057</v>
      </c>
      <c r="G124" s="171">
        <f>E124+F124</f>
        <v>61057</v>
      </c>
      <c r="H124" s="172">
        <f>IF($G$208=0,0,G124/$G$208)</f>
        <v>1.2283165623471697E-2</v>
      </c>
      <c r="I124" s="336"/>
      <c r="J124" s="183">
        <v>1040</v>
      </c>
      <c r="K124" s="183">
        <v>1040</v>
      </c>
      <c r="M124" s="364">
        <f t="shared" si="34"/>
        <v>4.1473305257437847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v>0</v>
      </c>
      <c r="D125" s="558"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v>0</v>
      </c>
      <c r="D126" s="558"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v>28407</v>
      </c>
      <c r="D127" s="558">
        <v>0</v>
      </c>
      <c r="E127" s="171">
        <f t="shared" si="33"/>
        <v>28407</v>
      </c>
      <c r="F127" s="171">
        <v>20309</v>
      </c>
      <c r="G127" s="171">
        <f>E127+F127</f>
        <v>48716</v>
      </c>
      <c r="H127" s="172">
        <f>IF($G$208=0,0,G127/$G$208)</f>
        <v>9.8004601685809517E-3</v>
      </c>
      <c r="I127" s="336"/>
      <c r="J127" s="183">
        <f>1551+1040</f>
        <v>2591</v>
      </c>
      <c r="K127" s="183">
        <f>1551+1040</f>
        <v>2591</v>
      </c>
      <c r="M127" s="364">
        <f t="shared" si="34"/>
        <v>3.3090612688493413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v>11109</v>
      </c>
      <c r="D129" s="558">
        <v>0</v>
      </c>
      <c r="E129" s="171">
        <f t="shared" ref="E129:E133" si="35">C129+D129</f>
        <v>11109</v>
      </c>
      <c r="F129" s="171">
        <v>0</v>
      </c>
      <c r="G129" s="171">
        <f>E129+F129</f>
        <v>11109</v>
      </c>
      <c r="H129" s="172">
        <f>IF($G$208=0,0,G129/$G$208)</f>
        <v>2.2348573777150379E-3</v>
      </c>
      <c r="I129" s="336"/>
      <c r="J129" s="204"/>
      <c r="K129" s="204"/>
      <c r="M129" s="364">
        <f t="shared" si="34"/>
        <v>0.75458497486754517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v>0</v>
      </c>
      <c r="D130" s="558">
        <v>0</v>
      </c>
      <c r="E130" s="171">
        <f t="shared" si="35"/>
        <v>0</v>
      </c>
      <c r="F130" s="171">
        <v>9503</v>
      </c>
      <c r="G130" s="171">
        <f>E130+F130</f>
        <v>9503</v>
      </c>
      <c r="H130" s="172">
        <f>IF($G$208=0,0,G130/$G$208)</f>
        <v>1.9117697056824201E-3</v>
      </c>
      <c r="I130" s="336"/>
      <c r="J130" s="204"/>
      <c r="K130" s="204"/>
      <c r="M130" s="364">
        <f t="shared" si="34"/>
        <v>0.64549653579676669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v>0</v>
      </c>
      <c r="D131" s="558"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v>0</v>
      </c>
      <c r="D132" s="558"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v>7380</v>
      </c>
      <c r="D133" s="558">
        <v>0</v>
      </c>
      <c r="E133" s="171">
        <f t="shared" si="35"/>
        <v>7380</v>
      </c>
      <c r="F133" s="171">
        <v>3161</v>
      </c>
      <c r="G133" s="171">
        <f>E133+F133</f>
        <v>10541</v>
      </c>
      <c r="H133" s="172">
        <f>IF($G$208=0,0,G133/$G$208)</f>
        <v>2.1205897577184457E-3</v>
      </c>
      <c r="I133" s="336"/>
      <c r="J133" s="168"/>
      <c r="K133" s="168"/>
      <c r="M133" s="364">
        <f t="shared" si="34"/>
        <v>0.71600326042657247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v>218718</v>
      </c>
      <c r="D135" s="558">
        <v>0</v>
      </c>
      <c r="E135" s="171">
        <f t="shared" ref="E135:E138" si="36">C135+D135</f>
        <v>218718</v>
      </c>
      <c r="F135" s="171">
        <v>195100</v>
      </c>
      <c r="G135" s="171">
        <f>E135+F135</f>
        <v>413818</v>
      </c>
      <c r="H135" s="172">
        <f>IF($G$208=0,0,G135/$G$208)</f>
        <v>8.3249996429136872E-2</v>
      </c>
      <c r="I135" s="336"/>
      <c r="J135" s="183">
        <f>7567+5780</f>
        <v>13347</v>
      </c>
      <c r="K135" s="183">
        <f>7567+5780</f>
        <v>13347</v>
      </c>
      <c r="M135" s="364">
        <f t="shared" si="34"/>
        <v>28.108816736856404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v>161439</v>
      </c>
      <c r="D136" s="558">
        <v>0</v>
      </c>
      <c r="E136" s="171">
        <f t="shared" si="36"/>
        <v>161439</v>
      </c>
      <c r="F136" s="171">
        <v>118445</v>
      </c>
      <c r="G136" s="171">
        <f>E136+F136</f>
        <v>279884</v>
      </c>
      <c r="H136" s="172">
        <f>IF($G$208=0,0,G136/$G$208)</f>
        <v>5.6305772104095389E-2</v>
      </c>
      <c r="I136" s="336"/>
      <c r="J136" s="183">
        <f>6542+5513</f>
        <v>12055</v>
      </c>
      <c r="K136" s="183">
        <f>6542+5513</f>
        <v>12055</v>
      </c>
      <c r="M136" s="364">
        <f t="shared" si="34"/>
        <v>19.011275641896482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v>207576</v>
      </c>
      <c r="D137" s="558">
        <v>0</v>
      </c>
      <c r="E137" s="171">
        <f t="shared" si="36"/>
        <v>207576</v>
      </c>
      <c r="F137" s="171">
        <v>206971</v>
      </c>
      <c r="G137" s="171">
        <f>E137+F137</f>
        <v>414547</v>
      </c>
      <c r="H137" s="172">
        <f>IF($G$208=0,0,G137/$G$208)</f>
        <v>8.3396653286491651E-2</v>
      </c>
      <c r="I137" s="336"/>
      <c r="J137" s="183">
        <f>18857+16121</f>
        <v>34978</v>
      </c>
      <c r="K137" s="183">
        <f>18857+16121</f>
        <v>34978</v>
      </c>
      <c r="M137" s="364">
        <f t="shared" si="34"/>
        <v>28.158334465425892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v>425</v>
      </c>
      <c r="D138" s="558">
        <v>0</v>
      </c>
      <c r="E138" s="171">
        <f t="shared" si="36"/>
        <v>425</v>
      </c>
      <c r="F138" s="171">
        <v>37440</v>
      </c>
      <c r="G138" s="171">
        <f>E138+F138</f>
        <v>37865</v>
      </c>
      <c r="H138" s="172">
        <f>IF($G$208=0,0,G138/$G$208)</f>
        <v>7.6175060407939425E-3</v>
      </c>
      <c r="I138" s="336"/>
      <c r="J138" s="183">
        <f>20+1083</f>
        <v>1103</v>
      </c>
      <c r="K138" s="183">
        <f>20+1083</f>
        <v>1103</v>
      </c>
      <c r="M138" s="364">
        <f t="shared" si="34"/>
        <v>2.5720010868088576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v>46495</v>
      </c>
      <c r="D140" s="558">
        <v>0</v>
      </c>
      <c r="E140" s="171">
        <f t="shared" ref="E140:E143" si="37">C140+D140</f>
        <v>46495</v>
      </c>
      <c r="F140" s="171">
        <v>30363</v>
      </c>
      <c r="G140" s="171">
        <f>E140+F140</f>
        <v>76858</v>
      </c>
      <c r="H140" s="172">
        <f>IF($G$208=0,0,G140/$G$208)</f>
        <v>1.5461937918482526E-2</v>
      </c>
      <c r="I140" s="336"/>
      <c r="J140" s="168"/>
      <c r="K140" s="168"/>
      <c r="M140" s="364">
        <f t="shared" si="34"/>
        <v>5.220622198070914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v>34318</v>
      </c>
      <c r="D141" s="558">
        <v>0</v>
      </c>
      <c r="E141" s="171">
        <f t="shared" si="37"/>
        <v>34318</v>
      </c>
      <c r="F141" s="171">
        <v>18433</v>
      </c>
      <c r="G141" s="171">
        <f>E141+F141</f>
        <v>52751</v>
      </c>
      <c r="H141" s="172">
        <f>IF($G$208=0,0,G141/$G$208)</f>
        <v>1.0612202856408855E-2</v>
      </c>
      <c r="I141" s="336"/>
      <c r="J141" s="168"/>
      <c r="K141" s="168"/>
      <c r="M141" s="364">
        <f t="shared" si="34"/>
        <v>3.5831408775981526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v>44126</v>
      </c>
      <c r="D142" s="558">
        <v>0</v>
      </c>
      <c r="E142" s="171">
        <f t="shared" si="37"/>
        <v>44126</v>
      </c>
      <c r="F142" s="171">
        <v>32908</v>
      </c>
      <c r="G142" s="171">
        <f>E142+F142</f>
        <v>77034</v>
      </c>
      <c r="H142" s="172">
        <f>IF($G$208=0,0,G142/$G$208)</f>
        <v>1.5497344786650484E-2</v>
      </c>
      <c r="I142" s="336"/>
      <c r="J142" s="168"/>
      <c r="K142" s="168"/>
      <c r="M142" s="364">
        <f t="shared" si="34"/>
        <v>5.2325770955033279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v>47</v>
      </c>
      <c r="D143" s="558">
        <v>0</v>
      </c>
      <c r="E143" s="171">
        <f t="shared" si="37"/>
        <v>47</v>
      </c>
      <c r="F143" s="171">
        <v>5827</v>
      </c>
      <c r="G143" s="171">
        <f>E143+F143</f>
        <v>5874</v>
      </c>
      <c r="H143" s="172">
        <f>IF($G$208=0,0,G143/$G$208)</f>
        <v>1.1817042251056019E-3</v>
      </c>
      <c r="I143" s="336"/>
      <c r="J143" s="168"/>
      <c r="K143" s="168"/>
      <c r="M143" s="364">
        <f t="shared" si="34"/>
        <v>0.39899470180681973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v>40290</v>
      </c>
      <c r="D145" s="558">
        <v>0</v>
      </c>
      <c r="E145" s="171">
        <f t="shared" ref="E145:E153" si="38">C145+D145</f>
        <v>40290</v>
      </c>
      <c r="F145" s="171">
        <v>21371</v>
      </c>
      <c r="G145" s="171">
        <f t="shared" ref="G145:G153" si="39">E145+F145</f>
        <v>61661</v>
      </c>
      <c r="H145" s="172">
        <f t="shared" ref="H145:H153" si="40">IF($G$208=0,0,G145/$G$208)</f>
        <v>1.2404675557411734E-2</v>
      </c>
      <c r="I145" s="336"/>
      <c r="J145" s="183">
        <v>135</v>
      </c>
      <c r="K145" s="183">
        <v>135</v>
      </c>
      <c r="M145" s="364">
        <f t="shared" si="34"/>
        <v>4.188357560114115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v>13318</v>
      </c>
      <c r="D146" s="558">
        <v>0</v>
      </c>
      <c r="E146" s="171">
        <f t="shared" si="38"/>
        <v>13318</v>
      </c>
      <c r="F146" s="171">
        <v>0</v>
      </c>
      <c r="G146" s="171">
        <f t="shared" si="39"/>
        <v>13318</v>
      </c>
      <c r="H146" s="172">
        <f t="shared" si="40"/>
        <v>2.6792538083003758E-3</v>
      </c>
      <c r="I146" s="336"/>
      <c r="J146" s="183">
        <v>0</v>
      </c>
      <c r="K146" s="183">
        <v>0</v>
      </c>
      <c r="M146" s="364">
        <f t="shared" si="34"/>
        <v>0.90463252275506045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v>0</v>
      </c>
      <c r="D147" s="558"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v>1505</v>
      </c>
      <c r="D148" s="558">
        <v>0</v>
      </c>
      <c r="E148" s="171">
        <f t="shared" si="38"/>
        <v>1505</v>
      </c>
      <c r="F148" s="171">
        <v>0</v>
      </c>
      <c r="G148" s="171">
        <f t="shared" si="39"/>
        <v>1505</v>
      </c>
      <c r="H148" s="172">
        <f t="shared" si="40"/>
        <v>3.0276895791350543E-4</v>
      </c>
      <c r="I148" s="336"/>
      <c r="J148" s="183">
        <v>0</v>
      </c>
      <c r="K148" s="183">
        <v>0</v>
      </c>
      <c r="M148" s="364">
        <f t="shared" si="34"/>
        <v>0.10222795815785898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v>25822</v>
      </c>
      <c r="D149" s="558">
        <v>0</v>
      </c>
      <c r="E149" s="171">
        <f t="shared" si="38"/>
        <v>25822</v>
      </c>
      <c r="F149" s="171">
        <v>10467</v>
      </c>
      <c r="G149" s="171">
        <f t="shared" si="39"/>
        <v>36289</v>
      </c>
      <c r="H149" s="172">
        <f t="shared" si="40"/>
        <v>7.3004536303808631E-3</v>
      </c>
      <c r="I149" s="336"/>
      <c r="J149" s="183">
        <v>0</v>
      </c>
      <c r="K149" s="183">
        <v>0</v>
      </c>
      <c r="M149" s="364">
        <f t="shared" si="34"/>
        <v>2.4649504143458771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v>61145</v>
      </c>
      <c r="D150" s="558">
        <v>0</v>
      </c>
      <c r="E150" s="171">
        <f t="shared" si="38"/>
        <v>61145</v>
      </c>
      <c r="F150" s="171">
        <v>48966</v>
      </c>
      <c r="G150" s="171">
        <f t="shared" si="39"/>
        <v>110111</v>
      </c>
      <c r="H150" s="172">
        <f t="shared" si="40"/>
        <v>2.2151623072966111E-2</v>
      </c>
      <c r="I150" s="336"/>
      <c r="J150" s="168"/>
      <c r="K150" s="168"/>
      <c r="M150" s="364">
        <f t="shared" si="34"/>
        <v>7.4793506317076481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v>5201</v>
      </c>
      <c r="D151" s="558">
        <v>0</v>
      </c>
      <c r="E151" s="171">
        <f t="shared" si="38"/>
        <v>5201</v>
      </c>
      <c r="F151" s="563">
        <f>(41576-3477)</f>
        <v>38099</v>
      </c>
      <c r="G151" s="171">
        <f t="shared" si="39"/>
        <v>43300</v>
      </c>
      <c r="H151" s="172">
        <f t="shared" si="40"/>
        <v>8.710894270866968E-3</v>
      </c>
      <c r="I151" s="336"/>
      <c r="J151" s="168"/>
      <c r="K151" s="168"/>
      <c r="M151" s="364">
        <f t="shared" si="34"/>
        <v>2.9411764705882355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v>7461</v>
      </c>
      <c r="D152" s="558">
        <v>0</v>
      </c>
      <c r="E152" s="171">
        <f t="shared" si="38"/>
        <v>7461</v>
      </c>
      <c r="F152" s="171">
        <v>3042</v>
      </c>
      <c r="G152" s="171">
        <f t="shared" si="39"/>
        <v>10503</v>
      </c>
      <c r="H152" s="172">
        <f t="shared" si="40"/>
        <v>2.1129450930003641E-3</v>
      </c>
      <c r="I152" s="336"/>
      <c r="J152" s="168"/>
      <c r="K152" s="168"/>
      <c r="M152" s="364">
        <f t="shared" si="34"/>
        <v>0.71342208939002849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v>0</v>
      </c>
      <c r="D153" s="558"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v>0</v>
      </c>
      <c r="D155" s="558"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v>0</v>
      </c>
      <c r="D156" s="558"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v>0</v>
      </c>
      <c r="D157" s="558"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v>0</v>
      </c>
      <c r="D158" s="558"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v>0</v>
      </c>
      <c r="D159" s="558"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v>0</v>
      </c>
      <c r="D160" s="558">
        <v>0</v>
      </c>
      <c r="E160" s="171">
        <f t="shared" si="41"/>
        <v>0</v>
      </c>
      <c r="F160" s="171">
        <v>10309</v>
      </c>
      <c r="G160" s="171">
        <f t="shared" si="42"/>
        <v>10309</v>
      </c>
      <c r="H160" s="172">
        <f t="shared" si="43"/>
        <v>2.073917067860683E-3</v>
      </c>
      <c r="I160" s="336"/>
      <c r="J160" s="168"/>
      <c r="K160" s="168"/>
      <c r="M160" s="364">
        <f t="shared" si="34"/>
        <v>0.70024453199293579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974880</v>
      </c>
      <c r="D161" s="558">
        <f>SUM(D123:D160)</f>
        <v>0</v>
      </c>
      <c r="E161" s="171">
        <f t="shared" ref="E161:F161" si="44">SUM(E123:E160)</f>
        <v>974880</v>
      </c>
      <c r="F161" s="171">
        <f t="shared" si="44"/>
        <v>871771</v>
      </c>
      <c r="G161" s="171">
        <f>SUM(G123:G160)</f>
        <v>1846651</v>
      </c>
      <c r="H161" s="172">
        <f t="shared" si="43"/>
        <v>0.37150073016606827</v>
      </c>
      <c r="I161" s="336"/>
      <c r="J161" s="168"/>
      <c r="K161" s="168"/>
      <c r="M161" s="364">
        <f>G161/G$228</f>
        <v>125.43479146855047</v>
      </c>
      <c r="N161" s="359">
        <f>SUMMARY!J164</f>
        <v>105.56901037202306</v>
      </c>
      <c r="O161" s="354">
        <f>M161/N161-1</f>
        <v>0.18817815025944462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v>0</v>
      </c>
      <c r="D164" s="558"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v>0</v>
      </c>
      <c r="D165" s="558"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v>225461</v>
      </c>
      <c r="D166" s="558">
        <v>0</v>
      </c>
      <c r="E166" s="171">
        <f t="shared" si="45"/>
        <v>225461</v>
      </c>
      <c r="F166" s="216">
        <v>0</v>
      </c>
      <c r="G166" s="171">
        <f t="shared" si="46"/>
        <v>225461</v>
      </c>
      <c r="H166" s="172">
        <f t="shared" si="47"/>
        <v>4.5357204000090932E-2</v>
      </c>
      <c r="I166" s="342"/>
      <c r="J166" s="217">
        <v>7587</v>
      </c>
      <c r="K166" s="217">
        <v>7587</v>
      </c>
      <c r="L166" s="218"/>
      <c r="M166" s="364">
        <f t="shared" si="48"/>
        <v>15.314563238690395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v>56241</v>
      </c>
      <c r="D167" s="558">
        <v>0</v>
      </c>
      <c r="E167" s="171">
        <f t="shared" si="45"/>
        <v>56241</v>
      </c>
      <c r="F167" s="216">
        <v>0</v>
      </c>
      <c r="G167" s="171">
        <f t="shared" si="46"/>
        <v>56241</v>
      </c>
      <c r="H167" s="172">
        <f t="shared" si="47"/>
        <v>1.1314304958148478E-2</v>
      </c>
      <c r="I167" s="343"/>
      <c r="J167" s="222"/>
      <c r="K167" s="222"/>
      <c r="L167" s="218"/>
      <c r="M167" s="364">
        <f t="shared" si="48"/>
        <v>3.8202010596386362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v>27378</v>
      </c>
      <c r="D168" s="558">
        <v>0</v>
      </c>
      <c r="E168" s="171">
        <f t="shared" si="45"/>
        <v>27378</v>
      </c>
      <c r="F168" s="216">
        <v>0</v>
      </c>
      <c r="G168" s="171">
        <f t="shared" si="46"/>
        <v>27378</v>
      </c>
      <c r="H168" s="172">
        <f t="shared" si="47"/>
        <v>5.5077797539906659E-3</v>
      </c>
      <c r="I168" s="342"/>
      <c r="J168" s="217">
        <v>852</v>
      </c>
      <c r="K168" s="217">
        <v>852</v>
      </c>
      <c r="L168" s="218"/>
      <c r="M168" s="364">
        <f t="shared" si="48"/>
        <v>1.8596658062763212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v>5768</v>
      </c>
      <c r="D169" s="558">
        <v>0</v>
      </c>
      <c r="E169" s="171">
        <f t="shared" si="45"/>
        <v>5768</v>
      </c>
      <c r="F169" s="216">
        <v>0</v>
      </c>
      <c r="G169" s="171">
        <f t="shared" si="46"/>
        <v>5768</v>
      </c>
      <c r="H169" s="172">
        <f t="shared" si="47"/>
        <v>1.1603796340499001E-3</v>
      </c>
      <c r="I169" s="343"/>
      <c r="J169" s="222"/>
      <c r="K169" s="222"/>
      <c r="L169" s="218"/>
      <c r="M169" s="364">
        <f t="shared" si="48"/>
        <v>0.39179459312593395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v>0</v>
      </c>
      <c r="D170" s="558"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v>0</v>
      </c>
      <c r="D171" s="558"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v>6622</v>
      </c>
      <c r="D172" s="558">
        <v>0</v>
      </c>
      <c r="E172" s="171">
        <f t="shared" si="45"/>
        <v>6622</v>
      </c>
      <c r="F172" s="216">
        <v>0</v>
      </c>
      <c r="G172" s="171">
        <f t="shared" si="46"/>
        <v>6622</v>
      </c>
      <c r="H172" s="172">
        <f t="shared" si="47"/>
        <v>1.3321834148194241E-3</v>
      </c>
      <c r="I172" s="342"/>
      <c r="J172" s="217">
        <v>180</v>
      </c>
      <c r="K172" s="217">
        <v>180</v>
      </c>
      <c r="L172" s="218"/>
      <c r="M172" s="364">
        <f t="shared" si="48"/>
        <v>0.44980301589457955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v>0</v>
      </c>
      <c r="D173" s="558"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v>0</v>
      </c>
      <c r="D174" s="558"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v>0</v>
      </c>
      <c r="D175" s="558"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v>0</v>
      </c>
      <c r="D176" s="558"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v>0</v>
      </c>
      <c r="D177" s="558"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v>0</v>
      </c>
      <c r="D178" s="558"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v>0</v>
      </c>
      <c r="D179" s="558"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v>0</v>
      </c>
      <c r="D180" s="558"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v>43706</v>
      </c>
      <c r="D181" s="558">
        <v>0</v>
      </c>
      <c r="E181" s="171">
        <f t="shared" si="45"/>
        <v>43706</v>
      </c>
      <c r="F181" s="216">
        <v>0</v>
      </c>
      <c r="G181" s="171">
        <f t="shared" si="46"/>
        <v>43706</v>
      </c>
      <c r="H181" s="172">
        <f t="shared" si="47"/>
        <v>8.7925714781180529E-3</v>
      </c>
      <c r="I181" s="336"/>
      <c r="J181" s="223"/>
      <c r="K181" s="218"/>
      <c r="L181" s="220"/>
      <c r="M181" s="364">
        <f t="shared" si="48"/>
        <v>2.9687542453470996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v>0</v>
      </c>
      <c r="D182" s="558"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v>0</v>
      </c>
      <c r="D183" s="558">
        <v>0</v>
      </c>
      <c r="E183" s="171">
        <f t="shared" si="45"/>
        <v>0</v>
      </c>
      <c r="F183" s="216">
        <v>181111</v>
      </c>
      <c r="G183" s="171">
        <f t="shared" si="46"/>
        <v>181111</v>
      </c>
      <c r="H183" s="172">
        <f t="shared" si="47"/>
        <v>3.6435075572540124E-2</v>
      </c>
      <c r="I183" s="336"/>
      <c r="J183" s="223"/>
      <c r="K183" s="218"/>
      <c r="M183" s="364">
        <f t="shared" si="48"/>
        <v>12.302064936829234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v>0</v>
      </c>
      <c r="D184" s="558">
        <v>0</v>
      </c>
      <c r="E184" s="171">
        <f t="shared" si="45"/>
        <v>0</v>
      </c>
      <c r="F184" s="216">
        <v>49126</v>
      </c>
      <c r="G184" s="171">
        <f t="shared" si="46"/>
        <v>49126</v>
      </c>
      <c r="H184" s="172">
        <f t="shared" si="47"/>
        <v>9.8829420773813084E-3</v>
      </c>
      <c r="I184" s="336"/>
      <c r="J184" s="223"/>
      <c r="K184" s="218"/>
      <c r="M184" s="364">
        <f t="shared" si="48"/>
        <v>3.3369107458225784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v>0</v>
      </c>
      <c r="D185" s="558"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v>0</v>
      </c>
      <c r="D186" s="558">
        <v>0</v>
      </c>
      <c r="E186" s="171">
        <f t="shared" si="45"/>
        <v>0</v>
      </c>
      <c r="F186" s="216">
        <v>102269</v>
      </c>
      <c r="G186" s="171">
        <f t="shared" si="46"/>
        <v>102269</v>
      </c>
      <c r="H186" s="172">
        <f t="shared" si="47"/>
        <v>2.0574005685618797E-2</v>
      </c>
      <c r="I186" s="336"/>
      <c r="J186" s="223"/>
      <c r="K186" s="218"/>
      <c r="M186" s="364">
        <f t="shared" si="48"/>
        <v>6.9466784404292898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v>0</v>
      </c>
      <c r="D187" s="558">
        <v>0</v>
      </c>
      <c r="E187" s="171">
        <f t="shared" si="45"/>
        <v>0</v>
      </c>
      <c r="F187" s="216">
        <v>16378</v>
      </c>
      <c r="G187" s="171">
        <f t="shared" si="46"/>
        <v>16378</v>
      </c>
      <c r="H187" s="172">
        <f t="shared" si="47"/>
        <v>3.2948504934932838E-3</v>
      </c>
      <c r="I187" s="336"/>
      <c r="J187" s="223"/>
      <c r="K187" s="218"/>
      <c r="M187" s="364">
        <f t="shared" si="48"/>
        <v>1.1124847167504415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v>0</v>
      </c>
      <c r="D188" s="558"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v>0</v>
      </c>
      <c r="D189" s="558"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v>12070</v>
      </c>
      <c r="D190" s="558">
        <v>0</v>
      </c>
      <c r="E190" s="171">
        <f t="shared" si="45"/>
        <v>12070</v>
      </c>
      <c r="F190" s="216">
        <v>0</v>
      </c>
      <c r="G190" s="171">
        <f t="shared" si="46"/>
        <v>12070</v>
      </c>
      <c r="H190" s="172">
        <f t="shared" si="47"/>
        <v>2.4281869249275817E-3</v>
      </c>
      <c r="I190" s="336"/>
      <c r="J190" s="223"/>
      <c r="K190" s="218"/>
      <c r="M190" s="364">
        <f t="shared" si="48"/>
        <v>0.81986143187066973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v>0</v>
      </c>
      <c r="D191" s="558"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v>0</v>
      </c>
      <c r="D192" s="558"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v>0</v>
      </c>
      <c r="D193" s="558"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v>123820</v>
      </c>
      <c r="D194" s="558">
        <v>0</v>
      </c>
      <c r="E194" s="171">
        <f t="shared" si="45"/>
        <v>123820</v>
      </c>
      <c r="F194" s="216">
        <v>81954</v>
      </c>
      <c r="G194" s="171">
        <f t="shared" si="46"/>
        <v>205774</v>
      </c>
      <c r="H194" s="172">
        <f t="shared" si="47"/>
        <v>4.139666414996257E-2</v>
      </c>
      <c r="I194" s="336"/>
      <c r="J194" s="223"/>
      <c r="K194" s="218"/>
      <c r="M194" s="364">
        <f t="shared" si="48"/>
        <v>13.977312865099851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v>0</v>
      </c>
      <c r="D195" s="558">
        <v>0</v>
      </c>
      <c r="E195" s="171">
        <f t="shared" si="45"/>
        <v>0</v>
      </c>
      <c r="F195" s="216">
        <v>6671</v>
      </c>
      <c r="G195" s="171">
        <f t="shared" si="46"/>
        <v>6671</v>
      </c>
      <c r="H195" s="172">
        <f t="shared" si="47"/>
        <v>1.3420410087980033E-3</v>
      </c>
      <c r="I195" s="336"/>
      <c r="J195" s="223"/>
      <c r="K195" s="218"/>
      <c r="M195" s="364">
        <f t="shared" si="48"/>
        <v>0.45313136802064935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v>19384</v>
      </c>
      <c r="D196" s="558">
        <v>0</v>
      </c>
      <c r="E196" s="171">
        <f t="shared" si="45"/>
        <v>19384</v>
      </c>
      <c r="F196" s="216">
        <v>0</v>
      </c>
      <c r="G196" s="171">
        <f t="shared" si="46"/>
        <v>19384</v>
      </c>
      <c r="H196" s="172">
        <f t="shared" si="47"/>
        <v>3.8995837077710231E-3</v>
      </c>
      <c r="I196" s="336"/>
      <c r="J196" s="223"/>
      <c r="K196" s="218"/>
      <c r="M196" s="364">
        <f t="shared" si="48"/>
        <v>1.3166689308517865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520450</v>
      </c>
      <c r="D197" s="558">
        <f>SUM(D164:D196)</f>
        <v>0</v>
      </c>
      <c r="E197" s="171">
        <f t="shared" ref="E197:F197" si="49">SUM(E164:E196)</f>
        <v>520450</v>
      </c>
      <c r="F197" s="171">
        <f t="shared" si="49"/>
        <v>437509</v>
      </c>
      <c r="G197" s="171">
        <f>SUM(G164:G196)</f>
        <v>957959</v>
      </c>
      <c r="H197" s="172">
        <f>IF($G$208=0,0,G197/$G$208)</f>
        <v>0.19271777285971015</v>
      </c>
      <c r="I197" s="336"/>
      <c r="J197" s="168"/>
      <c r="K197" s="168"/>
      <c r="M197" s="364">
        <f>G197/G$228</f>
        <v>65.06989539464746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v>33609</v>
      </c>
      <c r="D200" s="558">
        <v>0</v>
      </c>
      <c r="E200" s="171">
        <f t="shared" ref="E200:E205" si="50">C200+D200</f>
        <v>33609</v>
      </c>
      <c r="F200" s="171">
        <v>35522</v>
      </c>
      <c r="G200" s="171">
        <f t="shared" ref="G200:G205" si="51">E200+F200</f>
        <v>69131</v>
      </c>
      <c r="H200" s="172">
        <f t="shared" ref="H200:H206" si="52">IF($G$208=0,0,G200/$G$208)</f>
        <v>1.3907455700676774E-2</v>
      </c>
      <c r="I200" s="336"/>
      <c r="J200" s="183">
        <f>1673+846</f>
        <v>2519</v>
      </c>
      <c r="K200" s="183">
        <f>1673+846</f>
        <v>2519</v>
      </c>
      <c r="M200" s="364">
        <f t="shared" ref="M200:M205" si="53">G200/G$228</f>
        <v>4.6957614454557808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v>10878</v>
      </c>
      <c r="D201" s="558">
        <v>0</v>
      </c>
      <c r="E201" s="171">
        <f t="shared" si="50"/>
        <v>10878</v>
      </c>
      <c r="F201" s="171">
        <v>5648</v>
      </c>
      <c r="G201" s="171">
        <f t="shared" si="51"/>
        <v>16526</v>
      </c>
      <c r="H201" s="172">
        <f t="shared" si="52"/>
        <v>3.3246244508163395E-3</v>
      </c>
      <c r="I201" s="336"/>
      <c r="J201" s="168"/>
      <c r="K201" s="168"/>
      <c r="M201" s="364">
        <f t="shared" si="53"/>
        <v>1.1225376986822442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v>6057</v>
      </c>
      <c r="D202" s="558">
        <v>0</v>
      </c>
      <c r="E202" s="171">
        <f t="shared" si="50"/>
        <v>6057</v>
      </c>
      <c r="F202" s="171">
        <v>6290</v>
      </c>
      <c r="G202" s="171">
        <f t="shared" si="51"/>
        <v>12347</v>
      </c>
      <c r="H202" s="172">
        <f t="shared" si="52"/>
        <v>2.4839125072146522E-3</v>
      </c>
      <c r="I202" s="336"/>
      <c r="J202" s="168"/>
      <c r="K202" s="168"/>
      <c r="M202" s="364">
        <f t="shared" si="53"/>
        <v>0.83867681021600327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v>0</v>
      </c>
      <c r="D203" s="558"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v>0</v>
      </c>
      <c r="D204" s="558"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v>2466</v>
      </c>
      <c r="D205" s="558">
        <v>0</v>
      </c>
      <c r="E205" s="171">
        <f t="shared" si="50"/>
        <v>2466</v>
      </c>
      <c r="F205" s="171">
        <v>1941</v>
      </c>
      <c r="G205" s="171">
        <f t="shared" si="51"/>
        <v>4407</v>
      </c>
      <c r="H205" s="172">
        <f t="shared" si="52"/>
        <v>8.8657993191017844E-4</v>
      </c>
      <c r="I205" s="336"/>
      <c r="J205" s="168"/>
      <c r="K205" s="168"/>
      <c r="M205" s="364">
        <f t="shared" si="53"/>
        <v>0.2993479146855047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53010</v>
      </c>
      <c r="D206" s="558">
        <f>SUM(D200:D205)</f>
        <v>0</v>
      </c>
      <c r="E206" s="171">
        <f t="shared" ref="E206:F206" si="54">SUM(E200:E205)</f>
        <v>53010</v>
      </c>
      <c r="F206" s="171">
        <f t="shared" si="54"/>
        <v>49401</v>
      </c>
      <c r="G206" s="171">
        <f>SUM(G200:G205)</f>
        <v>102411</v>
      </c>
      <c r="H206" s="172">
        <f t="shared" si="52"/>
        <v>2.0602572590617943E-2</v>
      </c>
      <c r="I206" s="336"/>
      <c r="J206" s="168"/>
      <c r="K206" s="168"/>
      <c r="M206" s="364">
        <f>G206/G$228</f>
        <v>6.956323869039533</v>
      </c>
      <c r="N206" s="359">
        <f>SUMMARY!J209</f>
        <v>7.1515095990067339</v>
      </c>
      <c r="O206" s="354">
        <f>M206/N206-1</f>
        <v>-2.7292941058809417E-2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3068049</v>
      </c>
      <c r="D208" s="558">
        <f>SUM(D25:D206)/2</f>
        <v>-256707</v>
      </c>
      <c r="E208" s="171">
        <f t="shared" ref="E208:F208" si="55">SUM(E25:E206)/2</f>
        <v>2811342</v>
      </c>
      <c r="F208" s="171">
        <f t="shared" si="55"/>
        <v>2159445</v>
      </c>
      <c r="G208" s="171">
        <f>SUM(G25:G206)/2</f>
        <v>4970787</v>
      </c>
      <c r="H208" s="172">
        <f>IF($G$208=0,0,G208/$G$208)</f>
        <v>1</v>
      </c>
      <c r="I208" s="336"/>
      <c r="J208" s="183">
        <f>SUM(J25:J200)</f>
        <v>113418</v>
      </c>
      <c r="K208" s="183">
        <f>SUM(K25:K200)</f>
        <v>107946</v>
      </c>
      <c r="M208" s="364">
        <f>G208/G$228</f>
        <v>337.64345876918895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1.5663082982034233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v>3068049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-773396</v>
      </c>
      <c r="D215" s="558">
        <f>D21-D208</f>
        <v>256695</v>
      </c>
      <c r="E215" s="171">
        <f t="shared" ref="E215:F215" si="56">E21-E208</f>
        <v>-516701</v>
      </c>
      <c r="F215" s="171">
        <f t="shared" si="56"/>
        <v>123361</v>
      </c>
      <c r="G215" s="171">
        <f>G21-G208</f>
        <v>-393340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v>2618</v>
      </c>
      <c r="D219" s="592"/>
      <c r="E219" s="235">
        <f t="shared" ref="E219:G227" si="57">C219+D219</f>
        <v>2618</v>
      </c>
      <c r="F219" s="709">
        <f>(3901+57)</f>
        <v>3958</v>
      </c>
      <c r="G219" s="235">
        <f t="shared" si="57"/>
        <v>6576</v>
      </c>
      <c r="H219" s="172">
        <f t="shared" ref="H219:H228" si="58">IF($G$228=0,0,G219/$G$228)</f>
        <v>0.4466784404292895</v>
      </c>
      <c r="I219" s="336"/>
      <c r="J219" s="168"/>
      <c r="K219" s="168"/>
    </row>
    <row r="220" spans="1:17">
      <c r="A220" s="163"/>
      <c r="B220" s="170" t="s">
        <v>217</v>
      </c>
      <c r="C220" s="592"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v>2205</v>
      </c>
      <c r="D221" s="592"/>
      <c r="E221" s="235">
        <f t="shared" si="59"/>
        <v>2205</v>
      </c>
      <c r="F221" s="234">
        <v>1847</v>
      </c>
      <c r="G221" s="235">
        <f t="shared" si="57"/>
        <v>4052</v>
      </c>
      <c r="H221" s="172">
        <f t="shared" si="58"/>
        <v>0.27523434315989675</v>
      </c>
      <c r="I221" s="336"/>
      <c r="J221" s="168"/>
      <c r="K221" s="168"/>
    </row>
    <row r="222" spans="1:17">
      <c r="A222" s="163"/>
      <c r="B222" s="202" t="s">
        <v>334</v>
      </c>
      <c r="C222" s="592">
        <v>1041</v>
      </c>
      <c r="D222" s="592"/>
      <c r="E222" s="235">
        <f>C222+D222</f>
        <v>1041</v>
      </c>
      <c r="F222" s="709">
        <v>490</v>
      </c>
      <c r="G222" s="235">
        <f>E222+F222</f>
        <v>1531</v>
      </c>
      <c r="H222" s="172">
        <f t="shared" si="58"/>
        <v>0.10399402255128379</v>
      </c>
      <c r="I222" s="336"/>
      <c r="J222" s="168"/>
      <c r="K222" s="168"/>
    </row>
    <row r="223" spans="1:17">
      <c r="A223" s="163"/>
      <c r="B223" s="170" t="s">
        <v>73</v>
      </c>
      <c r="C223" s="592"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v>773</v>
      </c>
      <c r="D224" s="592"/>
      <c r="E224" s="235">
        <f t="shared" si="59"/>
        <v>773</v>
      </c>
      <c r="F224" s="709">
        <f>(1378-561)</f>
        <v>817</v>
      </c>
      <c r="G224" s="235">
        <f t="shared" si="57"/>
        <v>1590</v>
      </c>
      <c r="H224" s="172">
        <f t="shared" si="58"/>
        <v>0.10800163021328624</v>
      </c>
      <c r="I224" s="336"/>
      <c r="J224" s="168"/>
      <c r="K224" s="168"/>
    </row>
    <row r="225" spans="1:11">
      <c r="A225" s="163"/>
      <c r="B225" s="170" t="s">
        <v>236</v>
      </c>
      <c r="C225" s="592">
        <v>633</v>
      </c>
      <c r="D225" s="592"/>
      <c r="E225" s="235">
        <f t="shared" si="59"/>
        <v>633</v>
      </c>
      <c r="F225" s="234">
        <v>645</v>
      </c>
      <c r="G225" s="235">
        <f t="shared" si="57"/>
        <v>1278</v>
      </c>
      <c r="H225" s="172">
        <f t="shared" si="58"/>
        <v>8.6808857492188557E-2</v>
      </c>
      <c r="I225" s="336"/>
      <c r="J225" s="168"/>
      <c r="K225" s="168"/>
    </row>
    <row r="226" spans="1:11">
      <c r="A226" s="163"/>
      <c r="B226" s="170" t="s">
        <v>235</v>
      </c>
      <c r="C226" s="592">
        <v>0</v>
      </c>
      <c r="D226" s="592"/>
      <c r="E226" s="235">
        <f>C226+D226</f>
        <v>0</v>
      </c>
      <c r="F226" s="709">
        <v>-305</v>
      </c>
      <c r="G226" s="235">
        <f>E226+F226</f>
        <v>-305</v>
      </c>
      <c r="H226" s="172">
        <f t="shared" si="58"/>
        <v>-2.0717293845944843E-2</v>
      </c>
      <c r="I226" s="336"/>
      <c r="J226" s="168"/>
      <c r="K226" s="168"/>
    </row>
    <row r="227" spans="1:11">
      <c r="A227" s="163"/>
      <c r="B227" s="170" t="s">
        <v>179</v>
      </c>
      <c r="C227" s="592"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7270</v>
      </c>
      <c r="D228" s="592">
        <f>SUM(D219:D227)</f>
        <v>0</v>
      </c>
      <c r="E228" s="237">
        <f>SUM(E219:E227)</f>
        <v>7270</v>
      </c>
      <c r="F228" s="237">
        <f>SUM(F219:F227)</f>
        <v>7452</v>
      </c>
      <c r="G228" s="237">
        <f>SUM(G219:G227)</f>
        <v>14722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v>89</v>
      </c>
      <c r="D231" s="559"/>
      <c r="E231" s="235">
        <f>C231+D231</f>
        <v>89</v>
      </c>
      <c r="F231" s="235"/>
      <c r="G231" s="235">
        <f>E231+F231</f>
        <v>89</v>
      </c>
      <c r="H231" s="167"/>
      <c r="J231" s="168"/>
      <c r="K231" s="168"/>
    </row>
    <row r="232" spans="1:11">
      <c r="A232" s="163"/>
      <c r="B232" s="202" t="s">
        <v>290</v>
      </c>
      <c r="C232" s="593">
        <v>89</v>
      </c>
      <c r="D232" s="559"/>
      <c r="E232" s="235">
        <f>C232+D232</f>
        <v>89</v>
      </c>
      <c r="F232" s="235"/>
      <c r="G232" s="235">
        <f>E232+F232</f>
        <v>89</v>
      </c>
      <c r="H232" s="167"/>
      <c r="J232" s="168"/>
      <c r="K232" s="168"/>
    </row>
    <row r="233" spans="1:11">
      <c r="A233" s="163"/>
      <c r="B233" s="202" t="s">
        <v>76</v>
      </c>
      <c r="C233" s="593">
        <v>184</v>
      </c>
      <c r="D233" s="483"/>
      <c r="E233" s="235">
        <f>C233+D233</f>
        <v>184</v>
      </c>
      <c r="F233" s="239">
        <v>182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v>16376</v>
      </c>
      <c r="D235" s="483"/>
      <c r="E235" s="234">
        <f>E231*E233</f>
        <v>16376</v>
      </c>
      <c r="F235" s="239"/>
      <c r="G235" s="234">
        <f>G231*G233</f>
        <v>32574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v>0.44394235466536397</v>
      </c>
      <c r="D236" s="239"/>
      <c r="E236" s="244">
        <f>E228/E235</f>
        <v>0.44394235466536397</v>
      </c>
      <c r="F236" s="245"/>
      <c r="G236" s="244">
        <f>G228/G235</f>
        <v>0.45195554736906735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v>0.15986809965803614</v>
      </c>
      <c r="D237" s="239"/>
      <c r="E237" s="244">
        <f>(E219+E220)/E235</f>
        <v>0.15986809965803614</v>
      </c>
      <c r="F237" s="245"/>
      <c r="G237" s="244">
        <f>(G219+G220)/G235</f>
        <v>0.20187879904218087</v>
      </c>
      <c r="H237" s="167"/>
      <c r="J237" s="168"/>
      <c r="K237" s="168"/>
    </row>
    <row r="238" spans="1:11" ht="26.5">
      <c r="A238" s="163"/>
      <c r="B238" s="243" t="s">
        <v>338</v>
      </c>
      <c r="C238" s="594">
        <v>0.36011004126547452</v>
      </c>
      <c r="D238" s="239"/>
      <c r="E238" s="244">
        <f>(E237/E236)</f>
        <v>0.36011004126547452</v>
      </c>
      <c r="F238" s="245"/>
      <c r="G238" s="244">
        <f>(G237/G236)</f>
        <v>0.4466784404292895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236.45220708446868</v>
      </c>
    </row>
    <row r="242" spans="2:7">
      <c r="F242" s="142" t="s">
        <v>341</v>
      </c>
      <c r="G242" s="558">
        <v>296.93064039408864</v>
      </c>
    </row>
    <row r="243" spans="2:7">
      <c r="F243" s="142" t="s">
        <v>342</v>
      </c>
      <c r="G243" s="484">
        <v>382.53488372093022</v>
      </c>
    </row>
    <row r="244" spans="2:7">
      <c r="F244" s="142" t="s">
        <v>343</v>
      </c>
      <c r="G244" s="484">
        <v>324.11764705882354</v>
      </c>
    </row>
    <row r="245" spans="2:7">
      <c r="F245" s="142" t="s">
        <v>198</v>
      </c>
    </row>
  </sheetData>
  <customSheetViews>
    <customSheetView guid="{00D6F160-3E2B-11D5-8BE5-C1A1C12816BD}" showPageBreaks="1" showGridLines="0" showRuler="0" topLeftCell="A25">
      <selection activeCell="A43" sqref="A43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 topLeftCell="B1">
      <selection activeCell="B1" sqref="B1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1">
    <tabColor rgb="FFE28CAB"/>
  </sheetPr>
  <dimension ref="A1:T245"/>
  <sheetViews>
    <sheetView showGridLines="0" topLeftCell="A222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540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524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541</v>
      </c>
      <c r="G4" s="150"/>
    </row>
    <row r="5" spans="1:17">
      <c r="A5" s="145"/>
      <c r="B5" s="148"/>
      <c r="C5" s="151"/>
      <c r="D5" s="144"/>
      <c r="F5" s="460" t="s">
        <v>491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5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'[45]Sch B'!E10</f>
        <v>1623275</v>
      </c>
      <c r="D11" s="558">
        <f>'[45]Sch B'!G10</f>
        <v>0</v>
      </c>
      <c r="E11" s="672">
        <f>C11+D11-70773.6</f>
        <v>1552501.4</v>
      </c>
      <c r="F11" s="171">
        <v>394483</v>
      </c>
      <c r="G11" s="171">
        <f t="shared" ref="G11:G20" si="0">E11+F11</f>
        <v>1946984.4</v>
      </c>
      <c r="H11" s="172">
        <f t="shared" ref="H11:H21" si="1">IF($G$21=0,0,G11/$G$21)</f>
        <v>0.37147931379974508</v>
      </c>
      <c r="I11" s="555" t="s">
        <v>420</v>
      </c>
      <c r="J11" s="368" t="s">
        <v>344</v>
      </c>
      <c r="K11" s="369">
        <f>G21</f>
        <v>5241165.0600000005</v>
      </c>
      <c r="M11" s="359">
        <f>IFERROR(G11/G219,0)</f>
        <v>197.92461116193959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'[45]Sch B'!E15</f>
        <v>0</v>
      </c>
      <c r="D12" s="558">
        <f>'[45]Sch B'!G15</f>
        <v>0</v>
      </c>
      <c r="E12" s="171">
        <f t="shared" ref="E12:E19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5364205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'[45]Sch B'!E21</f>
        <v>1237195</v>
      </c>
      <c r="D13" s="558">
        <f>'[45]Sch B'!G21</f>
        <v>0</v>
      </c>
      <c r="E13" s="171">
        <f t="shared" si="2"/>
        <v>1237195</v>
      </c>
      <c r="F13" s="171">
        <v>233776</v>
      </c>
      <c r="G13" s="171">
        <f t="shared" si="0"/>
        <v>1470971</v>
      </c>
      <c r="H13" s="172">
        <f t="shared" si="1"/>
        <v>0.28065725524011637</v>
      </c>
      <c r="I13" s="336"/>
      <c r="J13" s="370" t="s">
        <v>346</v>
      </c>
      <c r="K13" s="371">
        <f>G228</f>
        <v>17806</v>
      </c>
      <c r="M13" s="359">
        <f t="shared" si="3"/>
        <v>565.97575990765677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'[45]Sch B'!E27</f>
        <v>1054291</v>
      </c>
      <c r="D14" s="558">
        <f>'[45]Sch B'!G27</f>
        <v>0</v>
      </c>
      <c r="E14" s="171">
        <f t="shared" si="2"/>
        <v>1054291</v>
      </c>
      <c r="F14" s="175">
        <v>206667</v>
      </c>
      <c r="G14" s="175">
        <f>E14+F14</f>
        <v>1260958</v>
      </c>
      <c r="H14" s="176">
        <f t="shared" si="1"/>
        <v>0.24058734757725792</v>
      </c>
      <c r="I14" s="337"/>
      <c r="J14" s="370" t="s">
        <v>347</v>
      </c>
      <c r="K14" s="371">
        <f>G231</f>
        <v>120</v>
      </c>
      <c r="M14" s="359">
        <f t="shared" si="3"/>
        <v>446.98971995746189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'[45]Sch B'!E32</f>
        <v>0</v>
      </c>
      <c r="D15" s="558">
        <f>'[45]Sch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43920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'[45]Sch B'!E37</f>
        <v>256539</v>
      </c>
      <c r="D16" s="558">
        <f>'[45]Sch B'!G37</f>
        <v>0</v>
      </c>
      <c r="E16" s="171">
        <f t="shared" si="2"/>
        <v>256539</v>
      </c>
      <c r="F16" s="171">
        <v>9678</v>
      </c>
      <c r="G16" s="171">
        <f t="shared" si="0"/>
        <v>266217</v>
      </c>
      <c r="H16" s="172">
        <f t="shared" si="1"/>
        <v>5.0793477586069377E-2</v>
      </c>
      <c r="I16" s="336"/>
      <c r="J16" s="372"/>
      <c r="K16" s="371"/>
      <c r="M16" s="359">
        <f t="shared" si="3"/>
        <v>192.49240780911063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'[45]Sch B'!E42</f>
        <v>0</v>
      </c>
      <c r="D17" s="558">
        <f>'[45]Sch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119139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'[45]Sch B'!E47</f>
        <v>157977</v>
      </c>
      <c r="D18" s="558">
        <f>'[45]Sch B'!G47</f>
        <v>0</v>
      </c>
      <c r="E18" s="171">
        <f t="shared" si="2"/>
        <v>157977</v>
      </c>
      <c r="F18" s="171">
        <v>61497</v>
      </c>
      <c r="G18" s="171">
        <f>E18+F18</f>
        <v>219474</v>
      </c>
      <c r="H18" s="172">
        <f t="shared" si="1"/>
        <v>4.1875040661283808E-2</v>
      </c>
      <c r="I18" s="336"/>
      <c r="J18" s="373" t="s">
        <v>252</v>
      </c>
      <c r="K18" s="374">
        <f>K208</f>
        <v>126540</v>
      </c>
      <c r="M18" s="359">
        <f t="shared" si="3"/>
        <v>188.22813036020582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'[45]Sch B'!E52</f>
        <v>0</v>
      </c>
      <c r="D19" s="558">
        <f>'[45]Sch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'[45]Sch B'!E67</f>
        <v>5541</v>
      </c>
      <c r="D20" s="558">
        <f>'[45]Sch B'!G67</f>
        <v>0</v>
      </c>
      <c r="E20" s="490">
        <f>C20+D20+70773.6</f>
        <v>76314.600000000006</v>
      </c>
      <c r="F20" s="171">
        <v>246.06000000005588</v>
      </c>
      <c r="G20" s="171">
        <f t="shared" si="0"/>
        <v>76560.660000000062</v>
      </c>
      <c r="H20" s="172">
        <f t="shared" si="1"/>
        <v>1.4607565135527339E-2</v>
      </c>
      <c r="I20" s="555" t="s">
        <v>696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4334818</v>
      </c>
      <c r="D21" s="558">
        <f>SUM(D11:D20)</f>
        <v>0</v>
      </c>
      <c r="E21" s="171">
        <f>SUM(E11:E20)</f>
        <v>4334818</v>
      </c>
      <c r="F21" s="171">
        <f>SUM(F11:F20)</f>
        <v>906347.06</v>
      </c>
      <c r="G21" s="171">
        <f>SUM(G11:G20)</f>
        <v>5241165.0600000005</v>
      </c>
      <c r="H21" s="172">
        <f t="shared" si="1"/>
        <v>1</v>
      </c>
      <c r="I21" s="336"/>
      <c r="J21" s="168"/>
      <c r="K21" s="168"/>
      <c r="M21" s="359">
        <f>IFERROR(G21/G228,0)</f>
        <v>294.34825676738183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'[45]Sch C'!D10</f>
        <v>71263</v>
      </c>
      <c r="D25" s="558">
        <f>'[45]Sch C'!F10</f>
        <v>4478</v>
      </c>
      <c r="E25" s="171">
        <f t="shared" ref="E25:E60" si="4">C25+D25</f>
        <v>75741</v>
      </c>
      <c r="F25" s="171">
        <v>15879</v>
      </c>
      <c r="G25" s="182">
        <f>E25+F25</f>
        <v>91620</v>
      </c>
      <c r="H25" s="172">
        <f>IF($G$208=0,0,G25/$G$208)</f>
        <v>1.7079884158043922E-2</v>
      </c>
      <c r="I25" s="336"/>
      <c r="J25" s="183">
        <f>1510+318</f>
        <v>1828</v>
      </c>
      <c r="K25" s="183">
        <f>1605+337</f>
        <v>1942</v>
      </c>
      <c r="M25" s="359">
        <f>G25/G$228</f>
        <v>5.1454565876670788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'[45]Sch C'!D11</f>
        <v>0</v>
      </c>
      <c r="D26" s="558">
        <f>'[45]Sch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'[45]Sch C'!D12</f>
        <v>150914</v>
      </c>
      <c r="D27" s="558">
        <f>'[45]Sch C'!F12</f>
        <v>9479</v>
      </c>
      <c r="E27" s="171">
        <f t="shared" si="4"/>
        <v>160393</v>
      </c>
      <c r="F27" s="171">
        <v>34267</v>
      </c>
      <c r="G27" s="171">
        <f t="shared" si="5"/>
        <v>194660</v>
      </c>
      <c r="H27" s="172">
        <f t="shared" si="6"/>
        <v>3.6288695156132179E-2</v>
      </c>
      <c r="I27" s="336"/>
      <c r="J27" s="185">
        <f>7173+1539</f>
        <v>8712</v>
      </c>
      <c r="K27" s="185">
        <f>7624+1629</f>
        <v>9253</v>
      </c>
      <c r="M27" s="359">
        <f t="shared" si="7"/>
        <v>10.932270021341122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'[45]Sch C'!D13</f>
        <v>386263</v>
      </c>
      <c r="D28" s="558">
        <f>'[45]Sch C'!F13</f>
        <v>-357066</v>
      </c>
      <c r="E28" s="171">
        <f t="shared" si="4"/>
        <v>29197</v>
      </c>
      <c r="F28" s="171">
        <v>6717</v>
      </c>
      <c r="G28" s="171">
        <f t="shared" si="5"/>
        <v>35914</v>
      </c>
      <c r="H28" s="172">
        <f t="shared" si="6"/>
        <v>6.6951207122024608E-3</v>
      </c>
      <c r="I28" s="336"/>
      <c r="J28" s="168"/>
      <c r="K28" s="168"/>
      <c r="M28" s="359">
        <f t="shared" si="7"/>
        <v>2.0169605750870492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'[45]Sch C'!D14</f>
        <v>0</v>
      </c>
      <c r="D29" s="558">
        <f>'[45]Sch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'[45]Sch C'!D15</f>
        <v>0</v>
      </c>
      <c r="D30" s="558">
        <f>'[45]Sch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'[45]Sch C'!D16</f>
        <v>214391</v>
      </c>
      <c r="D31" s="558">
        <f>'[45]Sch C'!F16</f>
        <v>109385</v>
      </c>
      <c r="E31" s="171">
        <f t="shared" si="4"/>
        <v>323776</v>
      </c>
      <c r="F31" s="171">
        <v>68109</v>
      </c>
      <c r="G31" s="171">
        <f t="shared" si="5"/>
        <v>391885</v>
      </c>
      <c r="H31" s="172">
        <f t="shared" si="6"/>
        <v>7.3055559957160468E-2</v>
      </c>
      <c r="I31" s="336"/>
      <c r="J31" s="168"/>
      <c r="K31" s="168"/>
      <c r="M31" s="359">
        <f t="shared" si="7"/>
        <v>22.008592609232842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'[45]Sch C'!D17</f>
        <v>0</v>
      </c>
      <c r="D32" s="558">
        <f>'[45]Sch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'[45]Sch C'!D18</f>
        <v>9320</v>
      </c>
      <c r="D33" s="558">
        <f>'[45]Sch C'!F18</f>
        <v>0</v>
      </c>
      <c r="E33" s="171">
        <f t="shared" si="4"/>
        <v>9320</v>
      </c>
      <c r="F33" s="171">
        <v>1095</v>
      </c>
      <c r="G33" s="171">
        <f t="shared" si="5"/>
        <v>10415</v>
      </c>
      <c r="H33" s="172">
        <f t="shared" si="6"/>
        <v>1.9415738212838621E-3</v>
      </c>
      <c r="I33" s="336"/>
      <c r="J33" s="168"/>
      <c r="K33" s="168"/>
      <c r="M33" s="359">
        <f t="shared" si="7"/>
        <v>0.58491519712456475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'[45]Sch C'!D19</f>
        <v>16194</v>
      </c>
      <c r="D34" s="558">
        <f>'[45]Sch C'!F19</f>
        <v>-3624</v>
      </c>
      <c r="E34" s="171">
        <f t="shared" si="4"/>
        <v>12570</v>
      </c>
      <c r="F34" s="171">
        <v>1865</v>
      </c>
      <c r="G34" s="171">
        <f t="shared" si="5"/>
        <v>14435</v>
      </c>
      <c r="H34" s="172">
        <f t="shared" si="6"/>
        <v>2.6909858963257371E-3</v>
      </c>
      <c r="I34" s="336"/>
      <c r="J34" s="168"/>
      <c r="K34" s="168"/>
      <c r="M34" s="359">
        <f t="shared" si="7"/>
        <v>0.81068179265416151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'[45]Sch C'!D20</f>
        <v>13239</v>
      </c>
      <c r="D35" s="558">
        <f>'[45]Sch C'!F20</f>
        <v>0</v>
      </c>
      <c r="E35" s="171">
        <f t="shared" si="4"/>
        <v>13239</v>
      </c>
      <c r="F35" s="171">
        <v>2963</v>
      </c>
      <c r="G35" s="171">
        <f t="shared" si="5"/>
        <v>16202</v>
      </c>
      <c r="H35" s="172">
        <f t="shared" si="6"/>
        <v>3.0203916516986207E-3</v>
      </c>
      <c r="I35" s="336"/>
      <c r="J35" s="168"/>
      <c r="K35" s="168"/>
      <c r="M35" s="359">
        <f t="shared" si="7"/>
        <v>0.90991800516679766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'[45]Sch C'!D21</f>
        <v>1037</v>
      </c>
      <c r="D36" s="558">
        <f>'[45]Sch C'!F21</f>
        <v>0</v>
      </c>
      <c r="E36" s="171">
        <f t="shared" si="4"/>
        <v>1037</v>
      </c>
      <c r="F36" s="171">
        <v>3373</v>
      </c>
      <c r="G36" s="171">
        <f t="shared" si="5"/>
        <v>4410</v>
      </c>
      <c r="H36" s="172">
        <f t="shared" si="6"/>
        <v>8.2211623157578807E-4</v>
      </c>
      <c r="I36" s="336"/>
      <c r="J36" s="168"/>
      <c r="K36" s="168"/>
      <c r="M36" s="359">
        <f t="shared" si="7"/>
        <v>0.2476693249466472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'[45]Sch C'!D22</f>
        <v>0</v>
      </c>
      <c r="D37" s="558">
        <f>'[45]Sch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'[45]Sch C'!D23</f>
        <v>6621</v>
      </c>
      <c r="D38" s="558">
        <f>'[45]Sch C'!F23</f>
        <v>0</v>
      </c>
      <c r="E38" s="171">
        <f t="shared" si="4"/>
        <v>6621</v>
      </c>
      <c r="F38" s="171">
        <v>270</v>
      </c>
      <c r="G38" s="171">
        <f t="shared" si="5"/>
        <v>6891</v>
      </c>
      <c r="H38" s="172">
        <f t="shared" si="6"/>
        <v>1.2846265196799899E-3</v>
      </c>
      <c r="I38" s="336"/>
      <c r="J38" s="168"/>
      <c r="K38" s="168"/>
      <c r="M38" s="359">
        <f t="shared" si="7"/>
        <v>0.38700438054588343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'[45]Sch C'!D24</f>
        <v>43320</v>
      </c>
      <c r="D39" s="558">
        <f>'[45]Sch C'!F24</f>
        <v>-11400</v>
      </c>
      <c r="E39" s="171">
        <f t="shared" si="4"/>
        <v>31920</v>
      </c>
      <c r="F39" s="171">
        <v>6458</v>
      </c>
      <c r="G39" s="171">
        <f t="shared" si="5"/>
        <v>38378</v>
      </c>
      <c r="H39" s="172">
        <f t="shared" si="6"/>
        <v>7.1544618447654407E-3</v>
      </c>
      <c r="I39" s="336"/>
      <c r="J39" s="168"/>
      <c r="K39" s="168"/>
      <c r="M39" s="359">
        <f t="shared" si="7"/>
        <v>2.1553408963270808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'[45]Sch C'!D25</f>
        <v>0</v>
      </c>
      <c r="D40" s="558">
        <f>'[45]Sch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'[45]Sch C'!D26</f>
        <v>189374</v>
      </c>
      <c r="D41" s="558">
        <f>'[45]Sch C'!F26</f>
        <v>0</v>
      </c>
      <c r="E41" s="171">
        <f t="shared" si="4"/>
        <v>189374</v>
      </c>
      <c r="F41" s="171">
        <v>37538</v>
      </c>
      <c r="G41" s="171">
        <f t="shared" si="5"/>
        <v>226912</v>
      </c>
      <c r="H41" s="172">
        <f t="shared" si="6"/>
        <v>4.2301142480572609E-2</v>
      </c>
      <c r="I41" s="336"/>
      <c r="J41" s="168"/>
      <c r="K41" s="168"/>
      <c r="M41" s="359">
        <f t="shared" si="7"/>
        <v>12.743569583286533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'[45]Sch C'!D27</f>
        <v>0</v>
      </c>
      <c r="D42" s="558">
        <f>'[45]Sch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'[45]Sch C'!D28</f>
        <v>0</v>
      </c>
      <c r="D43" s="558">
        <f>'[45]Sch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'[45]Sch C'!D29</f>
        <v>129614</v>
      </c>
      <c r="D44" s="558">
        <f>'[45]Sch C'!F29</f>
        <v>-129614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'[45]Sch C'!D30</f>
        <v>0</v>
      </c>
      <c r="D45" s="558">
        <f>'[45]Sch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'[45]Sch C'!D31</f>
        <v>61384</v>
      </c>
      <c r="D46" s="558">
        <f>'[45]Sch C'!F31</f>
        <v>0</v>
      </c>
      <c r="E46" s="171">
        <f t="shared" si="4"/>
        <v>61384</v>
      </c>
      <c r="F46" s="171">
        <v>8434</v>
      </c>
      <c r="G46" s="171">
        <f t="shared" si="5"/>
        <v>69818</v>
      </c>
      <c r="H46" s="172">
        <f t="shared" si="6"/>
        <v>1.3015535386883983E-2</v>
      </c>
      <c r="I46" s="336"/>
      <c r="J46" s="168"/>
      <c r="K46" s="168"/>
      <c r="M46" s="359">
        <f t="shared" si="7"/>
        <v>3.9210378524093001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'[45]Sch C'!D32</f>
        <v>91200</v>
      </c>
      <c r="D47" s="558">
        <f>'[45]Sch C'!F32</f>
        <v>-31172</v>
      </c>
      <c r="E47" s="171">
        <f t="shared" si="4"/>
        <v>60028</v>
      </c>
      <c r="F47" s="171">
        <v>12006</v>
      </c>
      <c r="G47" s="171">
        <f t="shared" si="5"/>
        <v>72034</v>
      </c>
      <c r="H47" s="172">
        <f t="shared" si="6"/>
        <v>1.3428644132727962E-2</v>
      </c>
      <c r="I47" s="336"/>
      <c r="J47" s="168"/>
      <c r="K47" s="168"/>
      <c r="M47" s="359">
        <f t="shared" si="7"/>
        <v>4.0454902841738738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'[45]Sch C'!D33</f>
        <v>0</v>
      </c>
      <c r="D48" s="558">
        <f>'[45]Sch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'[45]Sch C'!D34</f>
        <v>0</v>
      </c>
      <c r="D49" s="558">
        <f>'[45]Sch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'[45]Sch C'!D35</f>
        <v>23</v>
      </c>
      <c r="D50" s="558">
        <f>'[45]Sch C'!F35</f>
        <v>-23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'[45]Sch C'!D36</f>
        <v>0</v>
      </c>
      <c r="D51" s="558">
        <f>'[45]Sch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'[45]Sch C'!D37</f>
        <v>0</v>
      </c>
      <c r="D52" s="558">
        <f>'[45]Sch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'[45]Sch C'!D38</f>
        <v>0</v>
      </c>
      <c r="D53" s="558">
        <f>'[45]Sch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'[45]Sch C'!D39</f>
        <v>3162</v>
      </c>
      <c r="D54" s="558">
        <f>'[45]Sch C'!F39</f>
        <v>0</v>
      </c>
      <c r="E54" s="171">
        <f t="shared" si="4"/>
        <v>3162</v>
      </c>
      <c r="F54" s="171">
        <v>549</v>
      </c>
      <c r="G54" s="171">
        <f t="shared" si="5"/>
        <v>3711</v>
      </c>
      <c r="H54" s="172">
        <f t="shared" si="6"/>
        <v>6.9180801255731275E-4</v>
      </c>
      <c r="I54" s="336"/>
      <c r="J54" s="168"/>
      <c r="K54" s="168"/>
      <c r="M54" s="359">
        <f t="shared" si="7"/>
        <v>0.20841289452993372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'[45]Sch C'!D40</f>
        <v>5497</v>
      </c>
      <c r="D55" s="558">
        <f>'[45]Sch C'!F40</f>
        <v>0</v>
      </c>
      <c r="E55" s="171">
        <f t="shared" si="4"/>
        <v>5497</v>
      </c>
      <c r="F55" s="171">
        <v>2671</v>
      </c>
      <c r="G55" s="171">
        <f t="shared" si="5"/>
        <v>8168</v>
      </c>
      <c r="H55" s="172">
        <f t="shared" si="6"/>
        <v>1.5226860271000083E-3</v>
      </c>
      <c r="I55" s="336"/>
      <c r="J55" s="168"/>
      <c r="K55" s="168"/>
      <c r="M55" s="359">
        <f t="shared" si="7"/>
        <v>0.45872177917555879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'[45]Sch C'!D41</f>
        <v>23509</v>
      </c>
      <c r="D56" s="558">
        <f>'[45]Sch C'!F41</f>
        <v>0</v>
      </c>
      <c r="E56" s="171">
        <f t="shared" si="4"/>
        <v>23509</v>
      </c>
      <c r="F56" s="171">
        <v>2888</v>
      </c>
      <c r="G56" s="171">
        <f t="shared" si="5"/>
        <v>26397</v>
      </c>
      <c r="H56" s="172">
        <f t="shared" si="6"/>
        <v>4.9209528718607886E-3</v>
      </c>
      <c r="I56" s="336"/>
      <c r="J56" s="168"/>
      <c r="K56" s="168"/>
      <c r="M56" s="359">
        <f t="shared" si="7"/>
        <v>1.4824778164663597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'[45]Sch C'!D42</f>
        <v>9046</v>
      </c>
      <c r="D57" s="558">
        <f>'[45]Sch C'!F42</f>
        <v>0</v>
      </c>
      <c r="E57" s="171">
        <f t="shared" si="4"/>
        <v>9046</v>
      </c>
      <c r="F57" s="171">
        <v>2609</v>
      </c>
      <c r="G57" s="171">
        <f t="shared" si="5"/>
        <v>11655</v>
      </c>
      <c r="H57" s="172">
        <f t="shared" si="6"/>
        <v>2.1727357548788685E-3</v>
      </c>
      <c r="I57" s="336"/>
      <c r="J57" s="168"/>
      <c r="K57" s="168"/>
      <c r="M57" s="359">
        <f t="shared" si="7"/>
        <v>0.6545546445018533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'[45]Sch C'!D43</f>
        <v>6804</v>
      </c>
      <c r="D58" s="558">
        <f>'[45]Sch C'!F43</f>
        <v>0</v>
      </c>
      <c r="E58" s="171">
        <f t="shared" si="4"/>
        <v>6804</v>
      </c>
      <c r="F58" s="171">
        <v>1445</v>
      </c>
      <c r="G58" s="171">
        <f t="shared" si="5"/>
        <v>8249</v>
      </c>
      <c r="H58" s="172">
        <f t="shared" si="6"/>
        <v>1.5377861211493596E-3</v>
      </c>
      <c r="I58" s="336"/>
      <c r="J58" s="168"/>
      <c r="K58" s="168"/>
      <c r="M58" s="359">
        <f t="shared" si="7"/>
        <v>0.4632708075929462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'[45]Sch C'!D44</f>
        <v>0</v>
      </c>
      <c r="D59" s="558">
        <f>'[45]Sch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'[45]Sch C'!D45</f>
        <v>12739</v>
      </c>
      <c r="D60" s="558">
        <f>'[45]Sch C'!F45</f>
        <v>-5286</v>
      </c>
      <c r="E60" s="171">
        <f t="shared" si="4"/>
        <v>7453</v>
      </c>
      <c r="F60" s="171">
        <v>3105</v>
      </c>
      <c r="G60" s="171">
        <f t="shared" si="5"/>
        <v>10558</v>
      </c>
      <c r="H60" s="172">
        <f t="shared" si="6"/>
        <v>1.9682320120129639E-3</v>
      </c>
      <c r="I60" s="336"/>
      <c r="J60" s="168"/>
      <c r="K60" s="168"/>
      <c r="M60" s="359">
        <f t="shared" si="7"/>
        <v>0.5929461979108166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1444914</v>
      </c>
      <c r="D61" s="558">
        <f>SUM(D25:D60)</f>
        <v>-414843</v>
      </c>
      <c r="E61" s="171">
        <f t="shared" ref="E61:F61" si="8">SUM(E25:E60)</f>
        <v>1030071</v>
      </c>
      <c r="F61" s="171">
        <f t="shared" si="8"/>
        <v>212241</v>
      </c>
      <c r="G61" s="171">
        <f>SUM(G25:G60)</f>
        <v>1242312</v>
      </c>
      <c r="H61" s="186">
        <f t="shared" si="6"/>
        <v>0.23159293874861234</v>
      </c>
      <c r="I61" s="338"/>
      <c r="J61" s="168"/>
      <c r="K61" s="168"/>
      <c r="M61" s="364">
        <f>G61/G$228</f>
        <v>69.769291250140398</v>
      </c>
      <c r="N61" s="359">
        <f>SUMMARY!J64</f>
        <v>53.728790309602623</v>
      </c>
      <c r="O61" s="354">
        <f>M61/N61-1</f>
        <v>0.29854573028924025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'[45]Sch C'!D57</f>
        <v>595000</v>
      </c>
      <c r="D64" s="558">
        <f>'[45]Sch C'!F57</f>
        <v>0</v>
      </c>
      <c r="E64" s="171">
        <f t="shared" ref="E64:E78" si="9">C64+D64</f>
        <v>595000</v>
      </c>
      <c r="F64" s="171">
        <v>111326</v>
      </c>
      <c r="G64" s="171">
        <f t="shared" ref="G64:G78" si="10">E64+F64</f>
        <v>706326</v>
      </c>
      <c r="H64" s="172">
        <f t="shared" ref="H64:H79" si="11">IF($G$208=0,0,G64/$G$208)</f>
        <v>0.13167393863582769</v>
      </c>
      <c r="I64" s="336"/>
      <c r="J64" s="190"/>
      <c r="K64" s="168"/>
      <c r="M64" s="359">
        <f t="shared" ref="M64:M79" si="12">G64/G$228</f>
        <v>39.667864764686058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'[45]Sch C'!D58</f>
        <v>12092</v>
      </c>
      <c r="D65" s="558">
        <f>'[45]Sch C'!F58</f>
        <v>0</v>
      </c>
      <c r="E65" s="171">
        <f t="shared" si="9"/>
        <v>12092</v>
      </c>
      <c r="F65" s="171">
        <v>2575</v>
      </c>
      <c r="G65" s="171">
        <f t="shared" si="10"/>
        <v>14667</v>
      </c>
      <c r="H65" s="172">
        <f t="shared" si="11"/>
        <v>2.734235548417706E-3</v>
      </c>
      <c r="I65" s="336"/>
      <c r="J65" s="190"/>
      <c r="K65" s="168"/>
      <c r="M65" s="359">
        <f t="shared" si="12"/>
        <v>0.82371110861507357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'[45]Sch C'!D59</f>
        <v>0</v>
      </c>
      <c r="D66" s="558">
        <f>'[45]Sch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'[45]Sch C'!D60</f>
        <v>15361</v>
      </c>
      <c r="D67" s="558">
        <f>'[45]Sch C'!F60</f>
        <v>0</v>
      </c>
      <c r="E67" s="171">
        <f t="shared" si="9"/>
        <v>15361</v>
      </c>
      <c r="F67" s="171">
        <v>3093</v>
      </c>
      <c r="G67" s="171">
        <f t="shared" si="10"/>
        <v>18454</v>
      </c>
      <c r="H67" s="172">
        <f t="shared" si="11"/>
        <v>3.4402115504534223E-3</v>
      </c>
      <c r="I67" s="336"/>
      <c r="J67" s="193"/>
      <c r="K67" s="168"/>
      <c r="M67" s="359">
        <f t="shared" si="12"/>
        <v>1.0363922273390991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'[45]Sch C'!D61</f>
        <v>5393</v>
      </c>
      <c r="D68" s="558">
        <f>'[45]Sch C'!F61</f>
        <v>0</v>
      </c>
      <c r="E68" s="171">
        <f t="shared" si="9"/>
        <v>5393</v>
      </c>
      <c r="F68" s="171">
        <v>1067</v>
      </c>
      <c r="G68" s="171">
        <f t="shared" si="10"/>
        <v>6460</v>
      </c>
      <c r="H68" s="172">
        <f t="shared" si="11"/>
        <v>1.2042791056643062E-3</v>
      </c>
      <c r="I68" s="336"/>
      <c r="J68" s="193"/>
      <c r="K68" s="168"/>
      <c r="M68" s="359">
        <f t="shared" si="12"/>
        <v>0.36279905649780975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'[45]Sch C'!D62</f>
        <v>1801</v>
      </c>
      <c r="D69" s="558">
        <f>'[45]Sch C'!F62</f>
        <v>0</v>
      </c>
      <c r="E69" s="171">
        <f t="shared" si="9"/>
        <v>1801</v>
      </c>
      <c r="F69" s="171">
        <v>1558</v>
      </c>
      <c r="G69" s="171">
        <f t="shared" si="10"/>
        <v>3359</v>
      </c>
      <c r="H69" s="172">
        <f t="shared" si="11"/>
        <v>6.2618785076260137E-4</v>
      </c>
      <c r="I69" s="336"/>
      <c r="J69" s="195"/>
      <c r="K69" s="168"/>
      <c r="M69" s="359">
        <f t="shared" si="12"/>
        <v>0.18864427720992924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'[45]Sch C'!D63</f>
        <v>0</v>
      </c>
      <c r="D70" s="558">
        <f>'[45]Sch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'[45]Sch C'!D64</f>
        <v>0</v>
      </c>
      <c r="D71" s="558">
        <f>'[45]Sch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'[45]Sch C'!D65</f>
        <v>3688</v>
      </c>
      <c r="D72" s="558">
        <f>'[45]Sch C'!F65</f>
        <v>0</v>
      </c>
      <c r="E72" s="171">
        <f t="shared" si="9"/>
        <v>3688</v>
      </c>
      <c r="F72" s="171">
        <v>727</v>
      </c>
      <c r="G72" s="171">
        <f t="shared" si="10"/>
        <v>4415</v>
      </c>
      <c r="H72" s="172">
        <f t="shared" si="11"/>
        <v>8.2304833614673561E-4</v>
      </c>
      <c r="I72" s="336"/>
      <c r="J72" s="195"/>
      <c r="K72" s="168"/>
      <c r="M72" s="359">
        <f t="shared" si="12"/>
        <v>0.24795012916994272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'[45]Sch C'!D66</f>
        <v>4208</v>
      </c>
      <c r="D73" s="558">
        <f>'[45]Sch C'!F66</f>
        <v>0</v>
      </c>
      <c r="E73" s="171">
        <f t="shared" si="9"/>
        <v>4208</v>
      </c>
      <c r="F73" s="171">
        <v>1082</v>
      </c>
      <c r="G73" s="171">
        <f t="shared" si="10"/>
        <v>5290</v>
      </c>
      <c r="H73" s="172">
        <f t="shared" si="11"/>
        <v>9.8616663606256668E-4</v>
      </c>
      <c r="I73" s="336"/>
      <c r="J73" s="195"/>
      <c r="K73" s="168"/>
      <c r="M73" s="359">
        <f t="shared" si="12"/>
        <v>0.29709086824665842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'[45]Sch C'!D67</f>
        <v>62204</v>
      </c>
      <c r="D74" s="558">
        <f>'[45]Sch C'!F67</f>
        <v>0</v>
      </c>
      <c r="E74" s="171">
        <f t="shared" si="9"/>
        <v>62204</v>
      </c>
      <c r="F74" s="171">
        <v>11662</v>
      </c>
      <c r="G74" s="171">
        <f t="shared" si="10"/>
        <v>73866</v>
      </c>
      <c r="H74" s="172">
        <f t="shared" si="11"/>
        <v>1.3770167247523165E-2</v>
      </c>
      <c r="I74" s="336"/>
      <c r="J74" s="195"/>
      <c r="K74" s="168"/>
      <c r="M74" s="359">
        <f t="shared" si="12"/>
        <v>4.148376951589352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'[45]Sch C'!D68</f>
        <v>0</v>
      </c>
      <c r="D75" s="558">
        <f>'[45]Sch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'[45]Sch C'!D69</f>
        <v>5178</v>
      </c>
      <c r="D76" s="558">
        <f>'[45]Sch C'!F69</f>
        <v>0</v>
      </c>
      <c r="E76" s="171">
        <f t="shared" si="9"/>
        <v>5178</v>
      </c>
      <c r="F76" s="171">
        <v>1168</v>
      </c>
      <c r="G76" s="171">
        <f t="shared" si="10"/>
        <v>6346</v>
      </c>
      <c r="H76" s="172">
        <f t="shared" si="11"/>
        <v>1.1830271214467009E-3</v>
      </c>
      <c r="I76" s="336"/>
      <c r="J76" s="195"/>
      <c r="K76" s="168"/>
      <c r="M76" s="359">
        <f t="shared" si="12"/>
        <v>0.3563967202066719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'[45]Sch C'!D70</f>
        <v>0</v>
      </c>
      <c r="D77" s="558">
        <f>'[45]Sch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'[45]Sch C'!D71</f>
        <v>0</v>
      </c>
      <c r="D78" s="558">
        <f>'[45]Sch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704925</v>
      </c>
      <c r="D79" s="558">
        <f>SUM(D64:D78)</f>
        <v>0</v>
      </c>
      <c r="E79" s="171">
        <f t="shared" ref="E79:F79" si="13">SUM(E64:E78)</f>
        <v>704925</v>
      </c>
      <c r="F79" s="171">
        <f t="shared" si="13"/>
        <v>134258</v>
      </c>
      <c r="G79" s="171">
        <f>SUM(G64:G78)</f>
        <v>839183</v>
      </c>
      <c r="H79" s="172">
        <f t="shared" si="11"/>
        <v>0.15644126203230488</v>
      </c>
      <c r="I79" s="336"/>
      <c r="J79" s="195"/>
      <c r="K79" s="168"/>
      <c r="M79" s="359">
        <f t="shared" si="12"/>
        <v>47.129226103560597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'[45]Sch C'!D75</f>
        <v>32021</v>
      </c>
      <c r="D82" s="558">
        <f>'[45]Sch C'!F75</f>
        <v>2012</v>
      </c>
      <c r="E82" s="171">
        <f t="shared" ref="E82:E92" si="14">C82+D82</f>
        <v>34033</v>
      </c>
      <c r="F82" s="171">
        <v>8054</v>
      </c>
      <c r="G82" s="171">
        <f t="shared" ref="G82:G92" si="15">E82+F82</f>
        <v>42087</v>
      </c>
      <c r="H82" s="172">
        <f t="shared" ref="H82:H93" si="16">IF($G$208=0,0,G82/$G$208)</f>
        <v>7.8458970154943741E-3</v>
      </c>
      <c r="I82" s="336"/>
      <c r="J82" s="183">
        <f>1685+400</f>
        <v>2085</v>
      </c>
      <c r="K82" s="183">
        <f>1791+424</f>
        <v>2215</v>
      </c>
      <c r="M82" s="359">
        <f t="shared" ref="M82:M92" si="17">G82/G$228</f>
        <v>2.3636414691676961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'[45]Sch C'!D76</f>
        <v>0</v>
      </c>
      <c r="D83" s="558">
        <f>'[45]Sch C'!F76</f>
        <v>3810</v>
      </c>
      <c r="E83" s="171">
        <f t="shared" si="14"/>
        <v>3810</v>
      </c>
      <c r="F83" s="171">
        <v>1107</v>
      </c>
      <c r="G83" s="171">
        <f t="shared" si="15"/>
        <v>4917</v>
      </c>
      <c r="H83" s="172">
        <f t="shared" si="16"/>
        <v>9.1663163506987527E-4</v>
      </c>
      <c r="I83" s="336"/>
      <c r="J83" s="168"/>
      <c r="K83" s="168"/>
      <c r="M83" s="359">
        <f t="shared" si="17"/>
        <v>0.27614287318881275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'[45]Sch C'!D77</f>
        <v>10172</v>
      </c>
      <c r="D84" s="558">
        <f>'[45]Sch C'!F77</f>
        <v>0</v>
      </c>
      <c r="E84" s="171">
        <f t="shared" si="14"/>
        <v>10172</v>
      </c>
      <c r="F84" s="171">
        <v>1090</v>
      </c>
      <c r="G84" s="171">
        <f t="shared" si="15"/>
        <v>11262</v>
      </c>
      <c r="H84" s="172">
        <f t="shared" si="16"/>
        <v>2.0994723356023864E-3</v>
      </c>
      <c r="I84" s="336"/>
      <c r="J84" s="168"/>
      <c r="K84" s="168"/>
      <c r="M84" s="359">
        <f t="shared" si="17"/>
        <v>0.63248343255082562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'[45]Sch C'!D78</f>
        <v>0</v>
      </c>
      <c r="D85" s="558">
        <f>'[45]Sch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'[45]Sch C'!D79</f>
        <v>4348</v>
      </c>
      <c r="D86" s="558">
        <f>'[45]Sch C'!F79</f>
        <v>0</v>
      </c>
      <c r="E86" s="171">
        <f t="shared" si="14"/>
        <v>4348</v>
      </c>
      <c r="F86" s="171">
        <v>1858</v>
      </c>
      <c r="G86" s="171">
        <f>E86+F86</f>
        <v>6206</v>
      </c>
      <c r="H86" s="172">
        <f t="shared" si="16"/>
        <v>1.156928193460168E-3</v>
      </c>
      <c r="I86" s="336"/>
      <c r="J86" s="168"/>
      <c r="K86" s="168"/>
      <c r="M86" s="359">
        <f t="shared" si="17"/>
        <v>0.34853420195439738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'[45]Sch C'!D80</f>
        <v>24759</v>
      </c>
      <c r="D87" s="558">
        <f>'[45]Sch C'!F80</f>
        <v>0</v>
      </c>
      <c r="E87" s="171">
        <f t="shared" si="14"/>
        <v>24759</v>
      </c>
      <c r="F87" s="171">
        <v>1648</v>
      </c>
      <c r="G87" s="171">
        <f t="shared" si="15"/>
        <v>26407</v>
      </c>
      <c r="H87" s="172">
        <f t="shared" si="16"/>
        <v>4.9228170810026832E-3</v>
      </c>
      <c r="I87" s="336"/>
      <c r="J87" s="168"/>
      <c r="K87" s="168"/>
      <c r="M87" s="359">
        <f t="shared" si="17"/>
        <v>1.4830394249129506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'[45]Sch C'!D81</f>
        <v>3547</v>
      </c>
      <c r="D88" s="558">
        <f>'[45]Sch C'!F81</f>
        <v>0</v>
      </c>
      <c r="E88" s="171">
        <f t="shared" si="14"/>
        <v>3547</v>
      </c>
      <c r="F88" s="171">
        <v>7878</v>
      </c>
      <c r="G88" s="171">
        <f t="shared" si="15"/>
        <v>11425</v>
      </c>
      <c r="H88" s="172">
        <f t="shared" si="16"/>
        <v>2.1298589446152785E-3</v>
      </c>
      <c r="I88" s="336"/>
      <c r="J88" s="168"/>
      <c r="K88" s="168"/>
      <c r="M88" s="359">
        <f t="shared" si="17"/>
        <v>0.64163765023025943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'[45]Sch C'!D82</f>
        <v>402</v>
      </c>
      <c r="D89" s="558">
        <f>'[45]Sch C'!F82</f>
        <v>0</v>
      </c>
      <c r="E89" s="171">
        <f t="shared" si="14"/>
        <v>402</v>
      </c>
      <c r="F89" s="171">
        <v>0</v>
      </c>
      <c r="G89" s="171">
        <f t="shared" si="15"/>
        <v>402</v>
      </c>
      <c r="H89" s="172">
        <f t="shared" si="16"/>
        <v>7.4941207504187484E-5</v>
      </c>
      <c r="I89" s="336"/>
      <c r="J89" s="168"/>
      <c r="K89" s="168"/>
      <c r="M89" s="359">
        <f t="shared" si="17"/>
        <v>2.2576659552959677E-2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'[45]Sch C'!D83</f>
        <v>0</v>
      </c>
      <c r="D90" s="558">
        <f>'[45]Sch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'[45]Sch C'!D84</f>
        <v>65895</v>
      </c>
      <c r="D91" s="558">
        <f>'[45]Sch C'!F84</f>
        <v>0</v>
      </c>
      <c r="E91" s="171">
        <f t="shared" si="14"/>
        <v>65895</v>
      </c>
      <c r="F91" s="171">
        <v>11092</v>
      </c>
      <c r="G91" s="171">
        <f t="shared" si="15"/>
        <v>76987</v>
      </c>
      <c r="H91" s="172">
        <f t="shared" si="16"/>
        <v>1.4351986920708661E-2</v>
      </c>
      <c r="I91" s="336"/>
      <c r="J91" s="168"/>
      <c r="K91" s="168"/>
      <c r="M91" s="359">
        <f t="shared" si="17"/>
        <v>4.3236549477704145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'[45]Sch C'!D85</f>
        <v>0</v>
      </c>
      <c r="D92" s="558">
        <f>'[45]Sch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141144</v>
      </c>
      <c r="D93" s="558">
        <f>SUM(D82:D92)</f>
        <v>5822</v>
      </c>
      <c r="E93" s="171">
        <f t="shared" ref="E93:F93" si="18">SUM(E82:E92)</f>
        <v>146966</v>
      </c>
      <c r="F93" s="171">
        <f t="shared" si="18"/>
        <v>32727</v>
      </c>
      <c r="G93" s="171">
        <f>SUM(G82:G92)</f>
        <v>179693</v>
      </c>
      <c r="H93" s="172">
        <f t="shared" si="16"/>
        <v>3.3498533333457613E-2</v>
      </c>
      <c r="I93" s="336"/>
      <c r="J93" s="168"/>
      <c r="K93" s="168"/>
      <c r="M93" s="364">
        <f>G93/G$228</f>
        <v>10.091710659328315</v>
      </c>
      <c r="N93" s="359">
        <f>SUMMARY!J96</f>
        <v>11.458724454710746</v>
      </c>
      <c r="O93" s="354">
        <f>M93/N93-1</f>
        <v>-0.1192989499647531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'[45]Sch C'!D89</f>
        <v>119938</v>
      </c>
      <c r="D96" s="558">
        <f>'[45]Sch C'!F89</f>
        <v>7536</v>
      </c>
      <c r="E96" s="171">
        <f t="shared" ref="E96:E101" si="19">C96+D96</f>
        <v>127474</v>
      </c>
      <c r="F96" s="171">
        <v>26856</v>
      </c>
      <c r="G96" s="171">
        <f t="shared" ref="G96:G101" si="20">E96+F96</f>
        <v>154330</v>
      </c>
      <c r="H96" s="172">
        <f t="shared" ref="H96:H102" si="21">IF($G$208=0,0,G96/$G$208)</f>
        <v>2.877033968686879E-2</v>
      </c>
      <c r="I96" s="336"/>
      <c r="J96" s="183">
        <f>9400+1988</f>
        <v>11388</v>
      </c>
      <c r="K96" s="183">
        <f>9991+2105</f>
        <v>12096</v>
      </c>
      <c r="M96" s="364">
        <f t="shared" ref="M96:M101" si="22">G96/G$228</f>
        <v>8.6673031562394698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'[45]Sch C'!D90</f>
        <v>0</v>
      </c>
      <c r="D97" s="558">
        <f>'[45]Sch C'!F90</f>
        <v>14271</v>
      </c>
      <c r="E97" s="171">
        <f t="shared" si="19"/>
        <v>14271</v>
      </c>
      <c r="F97" s="171">
        <v>3693</v>
      </c>
      <c r="G97" s="171">
        <f t="shared" si="20"/>
        <v>17964</v>
      </c>
      <c r="H97" s="172">
        <f t="shared" si="21"/>
        <v>3.3488653025005571E-3</v>
      </c>
      <c r="I97" s="336"/>
      <c r="J97" s="168"/>
      <c r="K97" s="168"/>
      <c r="M97" s="364">
        <f t="shared" si="22"/>
        <v>1.0088734134561383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'[45]Sch C'!D91</f>
        <v>14969</v>
      </c>
      <c r="D98" s="558">
        <f>'[45]Sch C'!F91</f>
        <v>0</v>
      </c>
      <c r="E98" s="171">
        <f t="shared" si="19"/>
        <v>14969</v>
      </c>
      <c r="F98" s="171">
        <v>2739</v>
      </c>
      <c r="G98" s="171">
        <f t="shared" si="20"/>
        <v>17708</v>
      </c>
      <c r="H98" s="172">
        <f t="shared" si="21"/>
        <v>3.3011415484680397E-3</v>
      </c>
      <c r="I98" s="336"/>
      <c r="J98" s="168"/>
      <c r="K98" s="168"/>
      <c r="M98" s="364">
        <f t="shared" si="22"/>
        <v>0.99449623722340785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'[45]Sch C'!D92</f>
        <v>91036</v>
      </c>
      <c r="D99" s="558">
        <f>'[45]Sch C'!F92</f>
        <v>0</v>
      </c>
      <c r="E99" s="171">
        <f t="shared" si="19"/>
        <v>91036</v>
      </c>
      <c r="F99" s="171">
        <v>17778</v>
      </c>
      <c r="G99" s="171">
        <f t="shared" si="20"/>
        <v>108814</v>
      </c>
      <c r="H99" s="172">
        <f t="shared" si="21"/>
        <v>2.0285205356618548E-2</v>
      </c>
      <c r="I99" s="336"/>
      <c r="J99" s="168"/>
      <c r="K99" s="168"/>
      <c r="M99" s="364">
        <f t="shared" si="22"/>
        <v>6.1110861507357068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'[45]Sch C'!D93</f>
        <v>7248</v>
      </c>
      <c r="D100" s="558">
        <f>'[45]Sch C'!F93</f>
        <v>0</v>
      </c>
      <c r="E100" s="171">
        <f t="shared" si="19"/>
        <v>7248</v>
      </c>
      <c r="F100" s="171">
        <v>1029</v>
      </c>
      <c r="G100" s="171">
        <f t="shared" si="20"/>
        <v>8277</v>
      </c>
      <c r="H100" s="172">
        <f t="shared" si="21"/>
        <v>1.5430059067466661E-3</v>
      </c>
      <c r="I100" s="336"/>
      <c r="J100" s="168"/>
      <c r="K100" s="168"/>
      <c r="M100" s="364">
        <f t="shared" si="22"/>
        <v>0.46484331124340111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'[45]Sch C'!D94</f>
        <v>531</v>
      </c>
      <c r="D101" s="558">
        <f>'[45]Sch C'!F94</f>
        <v>0</v>
      </c>
      <c r="E101" s="171">
        <f t="shared" si="19"/>
        <v>531</v>
      </c>
      <c r="F101" s="171">
        <v>0</v>
      </c>
      <c r="G101" s="171">
        <f t="shared" si="20"/>
        <v>531</v>
      </c>
      <c r="H101" s="172">
        <f t="shared" si="21"/>
        <v>9.8989505434635697E-5</v>
      </c>
      <c r="I101" s="336"/>
      <c r="J101" s="168"/>
      <c r="K101" s="168"/>
      <c r="M101" s="364">
        <f t="shared" si="22"/>
        <v>2.982140851398405E-2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233722</v>
      </c>
      <c r="D102" s="558">
        <f>SUM(D96:D101)</f>
        <v>21807</v>
      </c>
      <c r="E102" s="171">
        <f t="shared" ref="E102:F102" si="23">SUM(E96:E101)</f>
        <v>255529</v>
      </c>
      <c r="F102" s="171">
        <f t="shared" si="23"/>
        <v>52095</v>
      </c>
      <c r="G102" s="171">
        <f>SUM(G96:G101)</f>
        <v>307624</v>
      </c>
      <c r="H102" s="172">
        <f t="shared" si="21"/>
        <v>5.7347547306637235E-2</v>
      </c>
      <c r="I102" s="336"/>
      <c r="J102" s="168"/>
      <c r="K102" s="168"/>
      <c r="M102" s="364">
        <f>G102/G$228</f>
        <v>17.276423677412108</v>
      </c>
      <c r="N102" s="359">
        <f>SUMMARY!J105</f>
        <v>19.901077037785338</v>
      </c>
      <c r="O102" s="354">
        <f>M102/N102-1</f>
        <v>-0.13188499071632709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'[45]Sch C'!D98</f>
        <v>11464</v>
      </c>
      <c r="D105" s="558">
        <f>'[45]Sch C'!F98</f>
        <v>720</v>
      </c>
      <c r="E105" s="171">
        <f t="shared" ref="E105:E110" si="24">C105+D105</f>
        <v>12184</v>
      </c>
      <c r="F105" s="171">
        <v>0</v>
      </c>
      <c r="G105" s="171">
        <f t="shared" ref="G105:G110" si="25">E105+F105</f>
        <v>12184</v>
      </c>
      <c r="H105" s="172">
        <f t="shared" ref="H105:H111" si="26">IF($G$208=0,0,G105/$G$208)</f>
        <v>2.2713524184851249E-3</v>
      </c>
      <c r="I105" s="336"/>
      <c r="J105" s="183">
        <f>1146</f>
        <v>1146</v>
      </c>
      <c r="K105" s="183">
        <f>1218</f>
        <v>1218</v>
      </c>
      <c r="M105" s="364">
        <f t="shared" ref="M105:M110" si="27">G105/G$228</f>
        <v>0.68426373132651919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'[45]Sch C'!D99</f>
        <v>0</v>
      </c>
      <c r="D106" s="558">
        <f>'[45]Sch C'!F99</f>
        <v>1364</v>
      </c>
      <c r="E106" s="171">
        <f t="shared" si="24"/>
        <v>1364</v>
      </c>
      <c r="F106" s="171">
        <v>0</v>
      </c>
      <c r="G106" s="171">
        <f t="shared" si="25"/>
        <v>1364</v>
      </c>
      <c r="H106" s="172">
        <f t="shared" si="26"/>
        <v>2.5427812695450678E-4</v>
      </c>
      <c r="I106" s="336"/>
      <c r="J106" s="585" t="s">
        <v>542</v>
      </c>
      <c r="K106" s="168"/>
      <c r="M106" s="364">
        <f t="shared" si="27"/>
        <v>7.6603392115017405E-2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'[45]Sch C'!D100</f>
        <v>697</v>
      </c>
      <c r="D107" s="558">
        <f>'[45]Sch C'!F100</f>
        <v>0</v>
      </c>
      <c r="E107" s="171">
        <f t="shared" si="24"/>
        <v>697</v>
      </c>
      <c r="F107" s="171">
        <v>0</v>
      </c>
      <c r="G107" s="171">
        <f t="shared" si="25"/>
        <v>697</v>
      </c>
      <c r="H107" s="172">
        <f t="shared" si="26"/>
        <v>1.2993537719009621E-4</v>
      </c>
      <c r="I107" s="336"/>
      <c r="J107" s="585" t="s">
        <v>543</v>
      </c>
      <c r="K107" s="168"/>
      <c r="M107" s="364">
        <f t="shared" si="27"/>
        <v>3.9144108727395259E-2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'[45]Sch C'!D101</f>
        <v>23912</v>
      </c>
      <c r="D108" s="558">
        <f>'[45]Sch C'!F101</f>
        <v>0</v>
      </c>
      <c r="E108" s="171">
        <f t="shared" si="24"/>
        <v>23912</v>
      </c>
      <c r="F108" s="171">
        <v>8807</v>
      </c>
      <c r="G108" s="171">
        <f t="shared" si="25"/>
        <v>32719</v>
      </c>
      <c r="H108" s="172">
        <f t="shared" si="26"/>
        <v>6.0995058913669411E-3</v>
      </c>
      <c r="I108" s="336"/>
      <c r="J108" s="585" t="s">
        <v>544</v>
      </c>
      <c r="K108" s="168"/>
      <c r="M108" s="364">
        <f t="shared" si="27"/>
        <v>1.837526676401213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'[45]Sch C'!D102</f>
        <v>3724</v>
      </c>
      <c r="D109" s="558">
        <f>'[45]Sch C'!F102</f>
        <v>0</v>
      </c>
      <c r="E109" s="171">
        <f t="shared" si="24"/>
        <v>3724</v>
      </c>
      <c r="F109" s="171">
        <v>0</v>
      </c>
      <c r="G109" s="171">
        <f t="shared" si="25"/>
        <v>3724</v>
      </c>
      <c r="H109" s="172">
        <f t="shared" si="26"/>
        <v>6.9423148444177653E-4</v>
      </c>
      <c r="I109" s="336"/>
      <c r="J109" s="585" t="s">
        <v>545</v>
      </c>
      <c r="K109" s="168"/>
      <c r="M109" s="364">
        <f t="shared" si="27"/>
        <v>0.20914298551050209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'[45]Sch C'!D103</f>
        <v>0</v>
      </c>
      <c r="D110" s="558">
        <f>'[45]Sch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336"/>
      <c r="J110" s="665" t="s">
        <v>659</v>
      </c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39797</v>
      </c>
      <c r="D111" s="558">
        <f>SUM(D105:D110)</f>
        <v>2084</v>
      </c>
      <c r="E111" s="171">
        <f t="shared" ref="E111:F111" si="28">SUM(E105:E110)</f>
        <v>41881</v>
      </c>
      <c r="F111" s="171">
        <f t="shared" si="28"/>
        <v>8807</v>
      </c>
      <c r="G111" s="171">
        <f>SUM(G105:G110)</f>
        <v>50688</v>
      </c>
      <c r="H111" s="172">
        <f t="shared" si="26"/>
        <v>9.449303298438445E-3</v>
      </c>
      <c r="I111" s="336"/>
      <c r="J111" s="665" t="s">
        <v>660</v>
      </c>
      <c r="K111" s="168"/>
      <c r="M111" s="364">
        <f>G111/G$228</f>
        <v>2.846680894080647</v>
      </c>
      <c r="N111" s="359">
        <f>SUMMARY!J114</f>
        <v>2.4242384372309496</v>
      </c>
      <c r="O111" s="354">
        <f>M111/N111-1</f>
        <v>0.17425780004223768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665" t="s">
        <v>661</v>
      </c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'[45]Sch C'!D115</f>
        <v>26177</v>
      </c>
      <c r="D114" s="558">
        <f>'[45]Sch C'!F115</f>
        <v>1645</v>
      </c>
      <c r="E114" s="171">
        <f t="shared" ref="E114:E118" si="29">C114+D114</f>
        <v>27822</v>
      </c>
      <c r="F114" s="171">
        <v>563</v>
      </c>
      <c r="G114" s="171">
        <f>E114+F114</f>
        <v>28385</v>
      </c>
      <c r="H114" s="172">
        <f t="shared" ref="H114:H119" si="30">IF($G$208=0,0,G114/$G$208)</f>
        <v>5.2915576492695562E-3</v>
      </c>
      <c r="I114" s="336"/>
      <c r="J114" s="183">
        <f>2358+48</f>
        <v>2406</v>
      </c>
      <c r="K114" s="183">
        <f>2506+51</f>
        <v>2557</v>
      </c>
      <c r="M114" s="364">
        <f t="shared" ref="M114:M119" si="31">G114/G$228</f>
        <v>1.5941255756486579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'[45]Sch C'!D116</f>
        <v>0</v>
      </c>
      <c r="D115" s="558">
        <f>'[45]Sch C'!F116</f>
        <v>3114</v>
      </c>
      <c r="E115" s="171">
        <f t="shared" si="29"/>
        <v>3114</v>
      </c>
      <c r="F115" s="171">
        <v>78</v>
      </c>
      <c r="G115" s="171">
        <f>E115+F115</f>
        <v>3192</v>
      </c>
      <c r="H115" s="172">
        <f t="shared" si="30"/>
        <v>5.9505555809295134E-4</v>
      </c>
      <c r="I115" s="336"/>
      <c r="J115" s="168"/>
      <c r="K115" s="168"/>
      <c r="M115" s="364">
        <f t="shared" si="31"/>
        <v>0.17926541615185893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'[45]Sch C'!D117</f>
        <v>5565</v>
      </c>
      <c r="D116" s="558">
        <f>'[45]Sch C'!F117</f>
        <v>0</v>
      </c>
      <c r="E116" s="171">
        <f t="shared" si="29"/>
        <v>5565</v>
      </c>
      <c r="F116" s="171">
        <v>87</v>
      </c>
      <c r="G116" s="171">
        <f>E116+F116</f>
        <v>5652</v>
      </c>
      <c r="H116" s="172">
        <f t="shared" si="30"/>
        <v>1.0536510069991732E-3</v>
      </c>
      <c r="I116" s="336"/>
      <c r="J116" s="168"/>
      <c r="K116" s="168"/>
      <c r="M116" s="364">
        <f t="shared" si="31"/>
        <v>0.31742109401325397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'[45]Sch C'!D118</f>
        <v>38344</v>
      </c>
      <c r="D117" s="558">
        <f>'[45]Sch C'!F118</f>
        <v>0</v>
      </c>
      <c r="E117" s="171">
        <f t="shared" si="29"/>
        <v>38344</v>
      </c>
      <c r="F117" s="171">
        <v>15104</v>
      </c>
      <c r="G117" s="171">
        <f>E117+F117</f>
        <v>53448</v>
      </c>
      <c r="H117" s="172">
        <f t="shared" si="30"/>
        <v>9.9638250216015235E-3</v>
      </c>
      <c r="I117" s="336"/>
      <c r="J117" s="168"/>
      <c r="K117" s="168"/>
      <c r="M117" s="364">
        <f t="shared" si="31"/>
        <v>3.001684825339773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'[45]Sch C'!D119</f>
        <v>0</v>
      </c>
      <c r="D118" s="558">
        <f>'[45]Sch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70086</v>
      </c>
      <c r="D119" s="558">
        <f>SUM(D114:D118)</f>
        <v>4759</v>
      </c>
      <c r="E119" s="171">
        <f t="shared" ref="E119:F119" si="32">SUM(E114:E118)</f>
        <v>74845</v>
      </c>
      <c r="F119" s="171">
        <f t="shared" si="32"/>
        <v>15832</v>
      </c>
      <c r="G119" s="171">
        <f>SUM(G114:G118)</f>
        <v>90677</v>
      </c>
      <c r="H119" s="172">
        <f t="shared" si="30"/>
        <v>1.6904089235963204E-2</v>
      </c>
      <c r="I119" s="336"/>
      <c r="J119" s="168"/>
      <c r="K119" s="168"/>
      <c r="M119" s="364">
        <f t="shared" si="31"/>
        <v>5.0924969111535434</v>
      </c>
      <c r="N119" s="359">
        <f>SUMMARY!J122</f>
        <v>6.0247597205909562</v>
      </c>
      <c r="O119" s="354">
        <f>M119/N119-1</f>
        <v>-0.15473858754087688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'[45]Sch C'!D124</f>
        <v>0</v>
      </c>
      <c r="D123" s="558">
        <f>'[45]Sch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'[45]Sch C'!D125</f>
        <v>136319</v>
      </c>
      <c r="D124" s="558">
        <f>'[45]Sch C'!F125</f>
        <v>8565</v>
      </c>
      <c r="E124" s="171">
        <f t="shared" si="33"/>
        <v>144884</v>
      </c>
      <c r="F124" s="171">
        <v>28372</v>
      </c>
      <c r="G124" s="171">
        <f>E124+F124</f>
        <v>173256</v>
      </c>
      <c r="H124" s="172">
        <f>IF($G$208=0,0,G124/$G$208)</f>
        <v>3.2298541908819665E-2</v>
      </c>
      <c r="I124" s="336"/>
      <c r="J124" s="183">
        <f>3730+733</f>
        <v>4463</v>
      </c>
      <c r="K124" s="183">
        <f>3964+776</f>
        <v>4740</v>
      </c>
      <c r="M124" s="364">
        <f t="shared" si="34"/>
        <v>9.7302033022576655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'[45]Sch C'!D126</f>
        <v>11984</v>
      </c>
      <c r="D125" s="558">
        <f>'[45]Sch C'!F126</f>
        <v>753</v>
      </c>
      <c r="E125" s="171">
        <f t="shared" si="33"/>
        <v>12737</v>
      </c>
      <c r="F125" s="171">
        <v>2652</v>
      </c>
      <c r="G125" s="171">
        <f>E125+F125</f>
        <v>15389</v>
      </c>
      <c r="H125" s="172">
        <f>IF($G$208=0,0,G125/$G$208)</f>
        <v>2.8688314484625402E-3</v>
      </c>
      <c r="I125" s="336"/>
      <c r="J125" s="183">
        <f>571+119</f>
        <v>690</v>
      </c>
      <c r="K125" s="183">
        <f>607+126</f>
        <v>733</v>
      </c>
      <c r="M125" s="364">
        <f t="shared" si="34"/>
        <v>0.86425923845894648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'[45]Sch C'!D127</f>
        <v>0</v>
      </c>
      <c r="D126" s="558">
        <f>'[45]Sch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'[45]Sch C'!D128</f>
        <v>44742</v>
      </c>
      <c r="D127" s="558">
        <f>'[45]Sch C'!F128</f>
        <v>2811</v>
      </c>
      <c r="E127" s="171">
        <f t="shared" si="33"/>
        <v>47553</v>
      </c>
      <c r="F127" s="171">
        <v>10334</v>
      </c>
      <c r="G127" s="171">
        <f>E127+F127</f>
        <v>57887</v>
      </c>
      <c r="H127" s="172">
        <f>IF($G$208=0,0,G127/$G$208)</f>
        <v>1.0791347459688808E-2</v>
      </c>
      <c r="I127" s="336"/>
      <c r="J127" s="183">
        <v>651</v>
      </c>
      <c r="K127" s="183">
        <v>689</v>
      </c>
      <c r="M127" s="364">
        <f t="shared" si="34"/>
        <v>3.2509828147815343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'[45]Sch C'!D130</f>
        <v>0</v>
      </c>
      <c r="D129" s="558">
        <f>'[45]Sch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'[45]Sch C'!D131</f>
        <v>0</v>
      </c>
      <c r="D130" s="558">
        <f>'[45]Sch C'!F131</f>
        <v>16220</v>
      </c>
      <c r="E130" s="171">
        <f t="shared" si="35"/>
        <v>16220</v>
      </c>
      <c r="F130" s="171">
        <v>3902</v>
      </c>
      <c r="G130" s="171">
        <f>E130+F130</f>
        <v>20122</v>
      </c>
      <c r="H130" s="172">
        <f>IF($G$208=0,0,G130/$G$208)</f>
        <v>3.7511616353215435E-3</v>
      </c>
      <c r="I130" s="336"/>
      <c r="J130" s="204"/>
      <c r="K130" s="204"/>
      <c r="M130" s="364">
        <f t="shared" si="34"/>
        <v>1.1300685162304842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'[45]Sch C'!D132</f>
        <v>0</v>
      </c>
      <c r="D131" s="558">
        <f>'[45]Sch C'!F132</f>
        <v>1426</v>
      </c>
      <c r="E131" s="171">
        <f t="shared" si="35"/>
        <v>1426</v>
      </c>
      <c r="F131" s="171">
        <v>365</v>
      </c>
      <c r="G131" s="171">
        <f>E131+F131</f>
        <v>1791</v>
      </c>
      <c r="H131" s="172">
        <f>IF($G$208=0,0,G131/$G$208)</f>
        <v>3.338798573134323E-4</v>
      </c>
      <c r="I131" s="336"/>
      <c r="J131" s="168"/>
      <c r="K131" s="168"/>
      <c r="M131" s="364">
        <f t="shared" si="34"/>
        <v>0.10058407278445468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'[45]Sch C'!D133</f>
        <v>0</v>
      </c>
      <c r="D132" s="558">
        <f>'[45]Sch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'[45]Sch C'!D134</f>
        <v>0</v>
      </c>
      <c r="D133" s="558">
        <f>'[45]Sch C'!F134</f>
        <v>5324</v>
      </c>
      <c r="E133" s="171">
        <f t="shared" si="35"/>
        <v>5324</v>
      </c>
      <c r="F133" s="171">
        <v>1421</v>
      </c>
      <c r="G133" s="171">
        <f>E133+F133</f>
        <v>6745</v>
      </c>
      <c r="H133" s="172">
        <f>IF($G$208=0,0,G133/$G$208)</f>
        <v>1.2574090662083198E-3</v>
      </c>
      <c r="I133" s="336"/>
      <c r="J133" s="168"/>
      <c r="K133" s="168"/>
      <c r="M133" s="364">
        <f t="shared" si="34"/>
        <v>0.37880489722565425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'[45]Sch C'!D136</f>
        <v>178195</v>
      </c>
      <c r="D135" s="558">
        <f>'[45]Sch C'!F136</f>
        <v>11196</v>
      </c>
      <c r="E135" s="171">
        <f t="shared" ref="E135:E138" si="36">C135+D135</f>
        <v>189391</v>
      </c>
      <c r="F135" s="171">
        <v>45508</v>
      </c>
      <c r="G135" s="171">
        <f>E135+F135</f>
        <v>234899</v>
      </c>
      <c r="H135" s="172">
        <f>IF($G$208=0,0,G135/$G$208)</f>
        <v>4.3790086322204318E-2</v>
      </c>
      <c r="I135" s="336"/>
      <c r="J135" s="183">
        <f>6627+1599</f>
        <v>8226</v>
      </c>
      <c r="K135" s="183">
        <f>7043+1692</f>
        <v>8735</v>
      </c>
      <c r="M135" s="364">
        <f t="shared" si="34"/>
        <v>13.192126249578793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'[45]Sch C'!D137</f>
        <v>216783</v>
      </c>
      <c r="D136" s="558">
        <f>'[45]Sch C'!F137</f>
        <v>13621</v>
      </c>
      <c r="E136" s="171">
        <f t="shared" si="36"/>
        <v>230404</v>
      </c>
      <c r="F136" s="171">
        <v>58133</v>
      </c>
      <c r="G136" s="171">
        <f>E136+F136</f>
        <v>288537</v>
      </c>
      <c r="H136" s="172">
        <f>IF($G$208=0,0,G136/$G$208)</f>
        <v>5.3789331317501847E-2</v>
      </c>
      <c r="I136" s="336"/>
      <c r="J136" s="183">
        <f>8937+2272</f>
        <v>11209</v>
      </c>
      <c r="K136" s="183">
        <f>9501+2405</f>
        <v>11906</v>
      </c>
      <c r="M136" s="364">
        <f t="shared" si="34"/>
        <v>16.204481635403795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'[45]Sch C'!D138</f>
        <v>349909</v>
      </c>
      <c r="D137" s="558">
        <f>'[45]Sch C'!F138</f>
        <v>21985</v>
      </c>
      <c r="E137" s="171">
        <f t="shared" si="36"/>
        <v>371894</v>
      </c>
      <c r="F137" s="171">
        <v>73917</v>
      </c>
      <c r="G137" s="171">
        <f>E137+F137</f>
        <v>445811</v>
      </c>
      <c r="H137" s="172">
        <f>IF($G$208=0,0,G137/$G$208)</f>
        <v>8.3108494175744591E-2</v>
      </c>
      <c r="I137" s="336"/>
      <c r="J137" s="183">
        <f>30911+6168</f>
        <v>37079</v>
      </c>
      <c r="K137" s="183">
        <f>32853+6530</f>
        <v>39383</v>
      </c>
      <c r="M137" s="364">
        <f t="shared" si="34"/>
        <v>25.037122318319668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'[45]Sch C'!D139</f>
        <v>63302</v>
      </c>
      <c r="D138" s="558">
        <f>'[45]Sch C'!F139</f>
        <v>3977</v>
      </c>
      <c r="E138" s="171">
        <f t="shared" si="36"/>
        <v>67279</v>
      </c>
      <c r="F138" s="171">
        <v>22067</v>
      </c>
      <c r="G138" s="171">
        <f>E138+F138</f>
        <v>89346</v>
      </c>
      <c r="H138" s="172">
        <f>IF($G$208=0,0,G138/$G$208)</f>
        <v>1.6655962999176953E-2</v>
      </c>
      <c r="I138" s="336"/>
      <c r="J138" s="183">
        <f>5602+1845</f>
        <v>7447</v>
      </c>
      <c r="K138" s="183">
        <f>5954+1953</f>
        <v>7907</v>
      </c>
      <c r="M138" s="364">
        <f t="shared" si="34"/>
        <v>5.0177468269122771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'[45]Sch C'!D141</f>
        <v>0</v>
      </c>
      <c r="D140" s="558">
        <f>'[45]Sch C'!F141</f>
        <v>21202</v>
      </c>
      <c r="E140" s="171">
        <f t="shared" ref="E140:E143" si="37">C140+D140</f>
        <v>21202</v>
      </c>
      <c r="F140" s="171">
        <v>6259</v>
      </c>
      <c r="G140" s="171">
        <f>E140+F140</f>
        <v>27461</v>
      </c>
      <c r="H140" s="172">
        <f>IF($G$208=0,0,G140/$G$208)</f>
        <v>5.1193047245584392E-3</v>
      </c>
      <c r="I140" s="336"/>
      <c r="J140" s="168"/>
      <c r="K140" s="168"/>
      <c r="M140" s="364">
        <f t="shared" si="34"/>
        <v>1.542232955183646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'[45]Sch C'!D142</f>
        <v>0</v>
      </c>
      <c r="D141" s="558">
        <f>'[45]Sch C'!F142</f>
        <v>25794</v>
      </c>
      <c r="E141" s="171">
        <f t="shared" si="37"/>
        <v>25794</v>
      </c>
      <c r="F141" s="171">
        <v>7996</v>
      </c>
      <c r="G141" s="171">
        <f>E141+F141</f>
        <v>33790</v>
      </c>
      <c r="H141" s="172">
        <f>IF($G$208=0,0,G141/$G$208)</f>
        <v>6.2991626904639175E-3</v>
      </c>
      <c r="I141" s="336"/>
      <c r="J141" s="168"/>
      <c r="K141" s="168"/>
      <c r="M141" s="364">
        <f t="shared" si="34"/>
        <v>1.8976749410311131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'[45]Sch C'!D143</f>
        <v>0</v>
      </c>
      <c r="D142" s="558">
        <f>'[45]Sch C'!F143</f>
        <v>41634</v>
      </c>
      <c r="E142" s="171">
        <f t="shared" si="37"/>
        <v>41634</v>
      </c>
      <c r="F142" s="171">
        <v>10167</v>
      </c>
      <c r="G142" s="171">
        <f>E142+F142</f>
        <v>51801</v>
      </c>
      <c r="H142" s="172">
        <f>IF($G$208=0,0,G142/$G$208)</f>
        <v>9.6567897759313823E-3</v>
      </c>
      <c r="I142" s="336"/>
      <c r="J142" s="168"/>
      <c r="K142" s="168"/>
      <c r="M142" s="364">
        <f t="shared" si="34"/>
        <v>2.9091879141862296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'[45]Sch C'!D144</f>
        <v>0</v>
      </c>
      <c r="D143" s="558">
        <f>'[45]Sch C'!F144</f>
        <v>7532</v>
      </c>
      <c r="E143" s="171">
        <f t="shared" si="37"/>
        <v>7532</v>
      </c>
      <c r="F143" s="171">
        <v>3035</v>
      </c>
      <c r="G143" s="171">
        <f>E143+F143</f>
        <v>10567</v>
      </c>
      <c r="H143" s="172">
        <f>IF($G$208=0,0,G143/$G$208)</f>
        <v>1.9699098002406695E-3</v>
      </c>
      <c r="I143" s="336"/>
      <c r="J143" s="168"/>
      <c r="K143" s="168"/>
      <c r="M143" s="364">
        <f t="shared" si="34"/>
        <v>0.59345164551274854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'[45]Sch C'!D146</f>
        <v>29500</v>
      </c>
      <c r="D145" s="558">
        <f>'[45]Sch C'!F146</f>
        <v>0</v>
      </c>
      <c r="E145" s="171">
        <f t="shared" ref="E145:E153" si="38">C145+D145</f>
        <v>29500</v>
      </c>
      <c r="F145" s="171">
        <v>5010</v>
      </c>
      <c r="G145" s="171">
        <f t="shared" ref="G145:G153" si="39">E145+F145</f>
        <v>34510</v>
      </c>
      <c r="H145" s="172">
        <f t="shared" ref="H145:H153" si="40">IF($G$208=0,0,G145/$G$208)</f>
        <v>6.4333857486803727E-3</v>
      </c>
      <c r="I145" s="336"/>
      <c r="J145" s="183">
        <v>0</v>
      </c>
      <c r="K145" s="183">
        <v>0</v>
      </c>
      <c r="M145" s="364">
        <f t="shared" si="34"/>
        <v>1.9381107491856677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'[45]Sch C'!D147</f>
        <v>971</v>
      </c>
      <c r="D146" s="558">
        <f>'[45]Sch C'!F147</f>
        <v>0</v>
      </c>
      <c r="E146" s="171">
        <f t="shared" si="38"/>
        <v>971</v>
      </c>
      <c r="F146" s="171">
        <v>9980</v>
      </c>
      <c r="G146" s="171">
        <f t="shared" si="39"/>
        <v>10951</v>
      </c>
      <c r="H146" s="172">
        <f t="shared" si="40"/>
        <v>2.0414954312894455E-3</v>
      </c>
      <c r="I146" s="336"/>
      <c r="J146" s="183">
        <v>0</v>
      </c>
      <c r="K146" s="183">
        <v>0</v>
      </c>
      <c r="M146" s="364">
        <f t="shared" si="34"/>
        <v>0.61501740986184428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'[45]Sch C'!D148</f>
        <v>0</v>
      </c>
      <c r="D147" s="558">
        <f>'[45]Sch C'!F148</f>
        <v>0</v>
      </c>
      <c r="E147" s="171">
        <f t="shared" si="38"/>
        <v>0</v>
      </c>
      <c r="F147" s="171">
        <v>2220</v>
      </c>
      <c r="G147" s="171">
        <f t="shared" si="39"/>
        <v>2220</v>
      </c>
      <c r="H147" s="172">
        <f t="shared" si="40"/>
        <v>4.1385442950073685E-4</v>
      </c>
      <c r="I147" s="336"/>
      <c r="J147" s="183">
        <v>0</v>
      </c>
      <c r="K147" s="183">
        <v>0</v>
      </c>
      <c r="M147" s="364">
        <f t="shared" si="34"/>
        <v>0.12467707514321015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'[45]Sch C'!D149</f>
        <v>0</v>
      </c>
      <c r="D148" s="558">
        <f>'[45]Sch C'!F149</f>
        <v>0</v>
      </c>
      <c r="E148" s="171">
        <f t="shared" si="38"/>
        <v>0</v>
      </c>
      <c r="F148" s="171">
        <v>1642</v>
      </c>
      <c r="G148" s="171">
        <f t="shared" si="39"/>
        <v>1642</v>
      </c>
      <c r="H148" s="172">
        <f t="shared" si="40"/>
        <v>3.0610314109919364E-4</v>
      </c>
      <c r="I148" s="336"/>
      <c r="J148" s="183">
        <v>0</v>
      </c>
      <c r="K148" s="183">
        <v>0</v>
      </c>
      <c r="M148" s="364">
        <f t="shared" si="34"/>
        <v>9.2216106930248232E-2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'[45]Sch C'!D150</f>
        <v>11107</v>
      </c>
      <c r="D149" s="558">
        <f>'[45]Sch C'!F150</f>
        <v>0</v>
      </c>
      <c r="E149" s="171">
        <f t="shared" si="38"/>
        <v>11107</v>
      </c>
      <c r="F149" s="171">
        <v>3490</v>
      </c>
      <c r="G149" s="171">
        <f t="shared" si="39"/>
        <v>14597</v>
      </c>
      <c r="H149" s="172">
        <f t="shared" si="40"/>
        <v>2.7211860844244392E-3</v>
      </c>
      <c r="I149" s="336"/>
      <c r="J149" s="183">
        <v>0</v>
      </c>
      <c r="K149" s="183">
        <v>0</v>
      </c>
      <c r="M149" s="364">
        <f t="shared" si="34"/>
        <v>0.81977984948893634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'[45]Sch C'!D151</f>
        <v>68305</v>
      </c>
      <c r="D150" s="558">
        <f>'[45]Sch C'!F151</f>
        <v>0</v>
      </c>
      <c r="E150" s="171">
        <f t="shared" si="38"/>
        <v>68305</v>
      </c>
      <c r="F150" s="171">
        <v>13078</v>
      </c>
      <c r="G150" s="171">
        <f t="shared" si="39"/>
        <v>81383</v>
      </c>
      <c r="H150" s="172">
        <f t="shared" si="40"/>
        <v>1.5171493259485795E-2</v>
      </c>
      <c r="I150" s="336"/>
      <c r="J150" s="168"/>
      <c r="K150" s="168"/>
      <c r="M150" s="364">
        <f t="shared" si="34"/>
        <v>4.570538020891834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'[45]Sch C'!D152</f>
        <v>627</v>
      </c>
      <c r="D151" s="558">
        <f>'[45]Sch C'!F152</f>
        <v>0</v>
      </c>
      <c r="E151" s="171">
        <f t="shared" si="38"/>
        <v>627</v>
      </c>
      <c r="F151" s="171">
        <v>687</v>
      </c>
      <c r="G151" s="171">
        <f t="shared" si="39"/>
        <v>1314</v>
      </c>
      <c r="H151" s="172">
        <f t="shared" si="40"/>
        <v>2.4495708124503074E-4</v>
      </c>
      <c r="I151" s="336"/>
      <c r="J151" s="168"/>
      <c r="K151" s="168"/>
      <c r="M151" s="364">
        <f t="shared" si="34"/>
        <v>7.3795349882062225E-2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'[45]Sch C'!D153</f>
        <v>0</v>
      </c>
      <c r="D152" s="558">
        <f>'[45]Sch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'[45]Sch C'!D154</f>
        <v>0</v>
      </c>
      <c r="D153" s="558">
        <f>'[45]Sch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'[45]Sch C'!D156</f>
        <v>0</v>
      </c>
      <c r="D155" s="558">
        <f>'[45]Sch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'[45]Sch C'!D157</f>
        <v>0</v>
      </c>
      <c r="D156" s="558">
        <f>'[45]Sch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'[45]Sch C'!D158</f>
        <v>0</v>
      </c>
      <c r="D157" s="558">
        <f>'[45]Sch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'[45]Sch C'!D159</f>
        <v>0</v>
      </c>
      <c r="D158" s="558">
        <f>'[45]Sch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'[45]Sch C'!D160</f>
        <v>0</v>
      </c>
      <c r="D159" s="558">
        <f>'[45]Sch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'[45]Sch C'!D161</f>
        <v>5219</v>
      </c>
      <c r="D160" s="558">
        <f>'[45]Sch C'!F161</f>
        <v>0</v>
      </c>
      <c r="E160" s="171">
        <f t="shared" si="41"/>
        <v>5219</v>
      </c>
      <c r="F160" s="171">
        <v>3362</v>
      </c>
      <c r="G160" s="171">
        <f t="shared" si="42"/>
        <v>8581</v>
      </c>
      <c r="H160" s="172">
        <f t="shared" si="43"/>
        <v>1.5996778646602805E-3</v>
      </c>
      <c r="I160" s="336"/>
      <c r="J160" s="168"/>
      <c r="K160" s="168"/>
      <c r="M160" s="364">
        <f t="shared" si="34"/>
        <v>0.48191620801976864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1116963</v>
      </c>
      <c r="D161" s="558">
        <f>SUM(D123:D160)</f>
        <v>182040</v>
      </c>
      <c r="E161" s="171">
        <f t="shared" ref="E161:F161" si="44">SUM(E123:E160)</f>
        <v>1299003</v>
      </c>
      <c r="F161" s="171">
        <f t="shared" si="44"/>
        <v>313597</v>
      </c>
      <c r="G161" s="171">
        <f>SUM(G123:G160)</f>
        <v>1612600</v>
      </c>
      <c r="H161" s="172">
        <f t="shared" si="43"/>
        <v>0.30062236622202171</v>
      </c>
      <c r="I161" s="336"/>
      <c r="J161" s="168"/>
      <c r="K161" s="168"/>
      <c r="M161" s="364">
        <f>G161/G$228</f>
        <v>90.564978097270583</v>
      </c>
      <c r="N161" s="359">
        <f>SUMMARY!J164</f>
        <v>105.56901037202306</v>
      </c>
      <c r="O161" s="354">
        <f>M161/N161-1</f>
        <v>-0.14212534740904148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'[45]Sch C'!D175</f>
        <v>0</v>
      </c>
      <c r="D164" s="558">
        <f>'[45]Sch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'[45]Sch C'!D176</f>
        <v>0</v>
      </c>
      <c r="D165" s="558">
        <f>'[45]Sch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'[45]Sch C'!D177</f>
        <v>253850</v>
      </c>
      <c r="D166" s="558">
        <f>'[45]Sch C'!F177</f>
        <v>15950</v>
      </c>
      <c r="E166" s="171">
        <f t="shared" si="45"/>
        <v>269800</v>
      </c>
      <c r="F166" s="216">
        <v>50148</v>
      </c>
      <c r="G166" s="171">
        <f t="shared" si="46"/>
        <v>319948</v>
      </c>
      <c r="H166" s="172">
        <f t="shared" si="47"/>
        <v>5.9644998653108898E-2</v>
      </c>
      <c r="I166" s="342"/>
      <c r="J166" s="217">
        <f>9066+1692</f>
        <v>10758</v>
      </c>
      <c r="K166" s="217">
        <f>9636+1791</f>
        <v>11427</v>
      </c>
      <c r="L166" s="218"/>
      <c r="M166" s="364">
        <f t="shared" si="48"/>
        <v>17.968549926990903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'[45]Sch C'!D178</f>
        <v>0</v>
      </c>
      <c r="D167" s="558">
        <f>'[45]Sch C'!F178</f>
        <v>30203</v>
      </c>
      <c r="E167" s="171">
        <f t="shared" si="45"/>
        <v>30203</v>
      </c>
      <c r="F167" s="216">
        <v>6897</v>
      </c>
      <c r="G167" s="171">
        <f t="shared" si="46"/>
        <v>37100</v>
      </c>
      <c r="H167" s="172">
        <f t="shared" si="47"/>
        <v>6.9162159164312328E-3</v>
      </c>
      <c r="I167" s="343"/>
      <c r="J167" s="222"/>
      <c r="K167" s="222"/>
      <c r="L167" s="218"/>
      <c r="M167" s="364">
        <f t="shared" si="48"/>
        <v>2.0835673368527461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'[45]Sch C'!D179</f>
        <v>31881</v>
      </c>
      <c r="D168" s="558">
        <f>'[45]Sch C'!F179</f>
        <v>2003</v>
      </c>
      <c r="E168" s="171">
        <f t="shared" si="45"/>
        <v>33884</v>
      </c>
      <c r="F168" s="216">
        <v>6036</v>
      </c>
      <c r="G168" s="171">
        <f t="shared" si="46"/>
        <v>39920</v>
      </c>
      <c r="H168" s="172">
        <f t="shared" si="47"/>
        <v>7.4419228944456817E-3</v>
      </c>
      <c r="I168" s="342"/>
      <c r="J168" s="217">
        <f>1020+182</f>
        <v>1202</v>
      </c>
      <c r="K168" s="217">
        <f>1084+193</f>
        <v>1277</v>
      </c>
      <c r="L168" s="218"/>
      <c r="M168" s="364">
        <f t="shared" si="48"/>
        <v>2.2419409187914185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'[45]Sch C'!D180</f>
        <v>0</v>
      </c>
      <c r="D169" s="558">
        <f>'[45]Sch C'!F180</f>
        <v>3793</v>
      </c>
      <c r="E169" s="171">
        <f t="shared" si="45"/>
        <v>3793</v>
      </c>
      <c r="F169" s="216">
        <v>830</v>
      </c>
      <c r="G169" s="171">
        <f t="shared" si="46"/>
        <v>4623</v>
      </c>
      <c r="H169" s="172">
        <f t="shared" si="47"/>
        <v>8.6182388629815602E-4</v>
      </c>
      <c r="I169" s="343"/>
      <c r="J169" s="222"/>
      <c r="K169" s="222"/>
      <c r="L169" s="218"/>
      <c r="M169" s="364">
        <f t="shared" si="48"/>
        <v>0.25963158485903626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'[45]Sch C'!D181</f>
        <v>0</v>
      </c>
      <c r="D170" s="558">
        <f>'[45]Sch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'[45]Sch C'!D182</f>
        <v>0</v>
      </c>
      <c r="D171" s="558">
        <f>'[45]Sch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'[45]Sch C'!D183</f>
        <v>153213</v>
      </c>
      <c r="D172" s="558">
        <f>'[45]Sch C'!F183</f>
        <v>9627</v>
      </c>
      <c r="E172" s="171">
        <f t="shared" si="45"/>
        <v>162840</v>
      </c>
      <c r="F172" s="216">
        <v>29440</v>
      </c>
      <c r="G172" s="171">
        <f t="shared" si="46"/>
        <v>192280</v>
      </c>
      <c r="H172" s="172">
        <f t="shared" si="47"/>
        <v>3.5845013380361113E-2</v>
      </c>
      <c r="I172" s="342"/>
      <c r="J172" s="217">
        <f>4915+892</f>
        <v>5807</v>
      </c>
      <c r="K172" s="217">
        <f>5224+945</f>
        <v>6169</v>
      </c>
      <c r="L172" s="218"/>
      <c r="M172" s="364">
        <f t="shared" si="48"/>
        <v>10.798607211052454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'[45]Sch C'!D184</f>
        <v>0</v>
      </c>
      <c r="D173" s="558">
        <f>'[45]Sch C'!F184</f>
        <v>18230</v>
      </c>
      <c r="E173" s="171">
        <f t="shared" si="45"/>
        <v>18230</v>
      </c>
      <c r="F173" s="216">
        <v>4049</v>
      </c>
      <c r="G173" s="171">
        <f t="shared" si="46"/>
        <v>22279</v>
      </c>
      <c r="H173" s="172">
        <f t="shared" si="47"/>
        <v>4.1532715472283408E-3</v>
      </c>
      <c r="I173" s="343"/>
      <c r="J173" s="222"/>
      <c r="K173" s="222"/>
      <c r="L173" s="218"/>
      <c r="M173" s="364">
        <f t="shared" si="48"/>
        <v>1.2512074581601706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'[45]Sch C'!D185</f>
        <v>0</v>
      </c>
      <c r="D174" s="558">
        <f>'[45]Sch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'[45]Sch C'!D186</f>
        <v>0</v>
      </c>
      <c r="D175" s="558">
        <f>'[45]Sch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'[45]Sch C'!D187</f>
        <v>0</v>
      </c>
      <c r="D176" s="558">
        <f>'[45]Sch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'[45]Sch C'!D188</f>
        <v>1146</v>
      </c>
      <c r="D177" s="558">
        <f>'[45]Sch C'!F188</f>
        <v>0</v>
      </c>
      <c r="E177" s="171">
        <f t="shared" si="45"/>
        <v>1146</v>
      </c>
      <c r="F177" s="216">
        <v>225</v>
      </c>
      <c r="G177" s="171">
        <f t="shared" si="46"/>
        <v>1371</v>
      </c>
      <c r="H177" s="172">
        <f t="shared" si="47"/>
        <v>2.5558307335383341E-4</v>
      </c>
      <c r="I177" s="336"/>
      <c r="J177" s="223"/>
      <c r="K177" s="218"/>
      <c r="L177" s="220"/>
      <c r="M177" s="364">
        <f t="shared" si="48"/>
        <v>7.6996518027631133E-2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'[45]Sch C'!D189</f>
        <v>0</v>
      </c>
      <c r="D178" s="558">
        <f>'[45]Sch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'[45]Sch C'!D190</f>
        <v>0</v>
      </c>
      <c r="D179" s="558">
        <f>'[45]Sch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'[45]Sch C'!D191</f>
        <v>0</v>
      </c>
      <c r="D180" s="558">
        <f>'[45]Sch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'[45]Sch C'!D192</f>
        <v>0</v>
      </c>
      <c r="D181" s="558">
        <f>'[45]Sch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'[45]Sch C'!D193</f>
        <v>0</v>
      </c>
      <c r="D182" s="558">
        <f>'[45]Sch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'[45]Sch C'!D194</f>
        <v>0</v>
      </c>
      <c r="D183" s="558">
        <f>'[45]Sch C'!F194</f>
        <v>0</v>
      </c>
      <c r="E183" s="171">
        <f t="shared" si="45"/>
        <v>0</v>
      </c>
      <c r="F183" s="216">
        <v>0</v>
      </c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'[45]Sch C'!D195</f>
        <v>1581</v>
      </c>
      <c r="D184" s="558">
        <f>'[45]Sch C'!F195</f>
        <v>0</v>
      </c>
      <c r="E184" s="171">
        <f t="shared" si="45"/>
        <v>1581</v>
      </c>
      <c r="F184" s="216">
        <v>1335</v>
      </c>
      <c r="G184" s="171">
        <f t="shared" si="46"/>
        <v>2916</v>
      </c>
      <c r="H184" s="172">
        <f t="shared" si="47"/>
        <v>5.4360338577664352E-4</v>
      </c>
      <c r="I184" s="336"/>
      <c r="J184" s="223"/>
      <c r="K184" s="218"/>
      <c r="M184" s="364">
        <f t="shared" si="48"/>
        <v>0.16376502302594631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'[45]Sch C'!D196</f>
        <v>0</v>
      </c>
      <c r="D185" s="558">
        <f>'[45]Sch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'[45]Sch C'!D197</f>
        <v>0</v>
      </c>
      <c r="D186" s="558">
        <f>'[45]Sch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'[45]Sch C'!D198</f>
        <v>36515</v>
      </c>
      <c r="D187" s="558">
        <f>'[45]Sch C'!F198</f>
        <v>0</v>
      </c>
      <c r="E187" s="171">
        <f t="shared" si="45"/>
        <v>36515</v>
      </c>
      <c r="F187" s="216">
        <v>6265</v>
      </c>
      <c r="G187" s="171">
        <f t="shared" si="46"/>
        <v>42780</v>
      </c>
      <c r="H187" s="172">
        <f t="shared" si="47"/>
        <v>7.9750867090277126E-3</v>
      </c>
      <c r="I187" s="336"/>
      <c r="J187" s="223"/>
      <c r="K187" s="218"/>
      <c r="M187" s="364">
        <f t="shared" si="48"/>
        <v>2.4025609345164551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'[45]Sch C'!D199</f>
        <v>0</v>
      </c>
      <c r="D188" s="558">
        <f>'[45]Sch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'[45]Sch C'!D200</f>
        <v>0</v>
      </c>
      <c r="D189" s="558">
        <f>'[45]Sch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'[45]Sch C'!D201</f>
        <v>0</v>
      </c>
      <c r="D190" s="558">
        <f>'[45]Sch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'[45]Sch C'!D202</f>
        <v>0</v>
      </c>
      <c r="D191" s="558">
        <f>'[45]Sch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'[45]Sch C'!D203</f>
        <v>0</v>
      </c>
      <c r="D192" s="558">
        <f>'[45]Sch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'[45]Sch C'!D204</f>
        <v>0</v>
      </c>
      <c r="D193" s="558">
        <f>'[45]Sch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'[45]Sch C'!D205</f>
        <v>184244</v>
      </c>
      <c r="D194" s="558">
        <f>'[45]Sch C'!F205</f>
        <v>0</v>
      </c>
      <c r="E194" s="171">
        <f t="shared" si="45"/>
        <v>184244</v>
      </c>
      <c r="F194" s="216">
        <v>32911</v>
      </c>
      <c r="G194" s="171">
        <f t="shared" si="46"/>
        <v>217155</v>
      </c>
      <c r="H194" s="172">
        <f t="shared" si="47"/>
        <v>4.0482233620825453E-2</v>
      </c>
      <c r="I194" s="336"/>
      <c r="J194" s="223"/>
      <c r="K194" s="218"/>
      <c r="M194" s="364">
        <f t="shared" si="48"/>
        <v>12.195608221947658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'[45]Sch C'!D206</f>
        <v>4621</v>
      </c>
      <c r="D195" s="558">
        <f>'[45]Sch C'!F206</f>
        <v>0</v>
      </c>
      <c r="E195" s="171">
        <f t="shared" si="45"/>
        <v>4621</v>
      </c>
      <c r="F195" s="216">
        <v>136</v>
      </c>
      <c r="G195" s="171">
        <f t="shared" si="46"/>
        <v>4757</v>
      </c>
      <c r="H195" s="172">
        <f t="shared" si="47"/>
        <v>8.8680428879955181E-4</v>
      </c>
      <c r="I195" s="336"/>
      <c r="J195" s="223"/>
      <c r="K195" s="218"/>
      <c r="M195" s="364">
        <f t="shared" si="48"/>
        <v>0.26715713804335617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'[45]Sch C'!D207</f>
        <v>60810</v>
      </c>
      <c r="D196" s="558">
        <f>'[45]Sch C'!F207</f>
        <v>-503</v>
      </c>
      <c r="E196" s="171">
        <f t="shared" si="45"/>
        <v>60307</v>
      </c>
      <c r="F196" s="216">
        <v>7650</v>
      </c>
      <c r="G196" s="171">
        <f t="shared" si="46"/>
        <v>67957</v>
      </c>
      <c r="H196" s="172">
        <f t="shared" si="47"/>
        <v>1.2668606065577286E-2</v>
      </c>
      <c r="I196" s="336"/>
      <c r="J196" s="223"/>
      <c r="K196" s="218"/>
      <c r="M196" s="364">
        <f t="shared" si="48"/>
        <v>3.8165225204987081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727861</v>
      </c>
      <c r="D197" s="558">
        <f>SUM(D164:D196)</f>
        <v>79303</v>
      </c>
      <c r="E197" s="171">
        <f t="shared" ref="E197:F197" si="49">SUM(E164:E196)</f>
        <v>807164</v>
      </c>
      <c r="F197" s="171">
        <f t="shared" si="49"/>
        <v>145922</v>
      </c>
      <c r="G197" s="171">
        <f>SUM(G164:G196)</f>
        <v>953086</v>
      </c>
      <c r="H197" s="172">
        <f>IF($G$208=0,0,G197/$G$208)</f>
        <v>0.17767516342123391</v>
      </c>
      <c r="I197" s="336"/>
      <c r="J197" s="168"/>
      <c r="K197" s="168"/>
      <c r="M197" s="364">
        <f>G197/G$228</f>
        <v>53.526114792766485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'[45]Sch C'!D211</f>
        <v>57731</v>
      </c>
      <c r="D200" s="558">
        <f>'[45]Sch C'!F211</f>
        <v>3627</v>
      </c>
      <c r="E200" s="171">
        <f t="shared" ref="E200:E205" si="50">C200+D200</f>
        <v>61358</v>
      </c>
      <c r="F200" s="171">
        <v>12908</v>
      </c>
      <c r="G200" s="171">
        <f t="shared" ref="G200:G205" si="51">E200+F200</f>
        <v>74266</v>
      </c>
      <c r="H200" s="172">
        <f t="shared" ref="H200:H206" si="52">IF($G$208=0,0,G200/$G$208)</f>
        <v>1.3844735613198973E-2</v>
      </c>
      <c r="I200" s="336"/>
      <c r="J200" s="183">
        <f>3337+705</f>
        <v>4042</v>
      </c>
      <c r="K200" s="183">
        <f>3547+746</f>
        <v>4293</v>
      </c>
      <c r="M200" s="364">
        <f t="shared" ref="M200:M205" si="53">G200/G$228</f>
        <v>4.1708412894529934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'[45]Sch C'!D212</f>
        <v>0</v>
      </c>
      <c r="D201" s="558">
        <f>'[45]Sch C'!F212</f>
        <v>6869</v>
      </c>
      <c r="E201" s="171">
        <f t="shared" si="50"/>
        <v>6869</v>
      </c>
      <c r="F201" s="171">
        <v>1775</v>
      </c>
      <c r="G201" s="171">
        <f t="shared" si="51"/>
        <v>8644</v>
      </c>
      <c r="H201" s="172">
        <f t="shared" si="52"/>
        <v>1.6114223822542204E-3</v>
      </c>
      <c r="I201" s="336"/>
      <c r="J201" s="168"/>
      <c r="K201" s="168"/>
      <c r="M201" s="364">
        <f t="shared" si="53"/>
        <v>0.48545434123329217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'[45]Sch C'!D213</f>
        <v>562</v>
      </c>
      <c r="D202" s="558">
        <f>'[45]Sch C'!F213</f>
        <v>0</v>
      </c>
      <c r="E202" s="171">
        <f t="shared" si="50"/>
        <v>562</v>
      </c>
      <c r="F202" s="171">
        <v>389</v>
      </c>
      <c r="G202" s="171">
        <f t="shared" si="51"/>
        <v>951</v>
      </c>
      <c r="H202" s="172">
        <f t="shared" si="52"/>
        <v>1.7728628939423457E-4</v>
      </c>
      <c r="I202" s="336"/>
      <c r="J202" s="168"/>
      <c r="K202" s="168"/>
      <c r="M202" s="364">
        <f t="shared" si="53"/>
        <v>5.3408963270807595E-2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'[45]Sch C'!D214</f>
        <v>0</v>
      </c>
      <c r="D203" s="558">
        <f>'[45]Sch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'[45]Sch C'!D215</f>
        <v>0</v>
      </c>
      <c r="D204" s="558">
        <f>'[45]Sch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'[45]Sch C'!D216</f>
        <v>3068</v>
      </c>
      <c r="D205" s="558">
        <f>'[45]Sch C'!F216</f>
        <v>0</v>
      </c>
      <c r="E205" s="171">
        <f t="shared" si="50"/>
        <v>3068</v>
      </c>
      <c r="F205" s="171">
        <v>1413</v>
      </c>
      <c r="G205" s="171">
        <f t="shared" si="51"/>
        <v>4481</v>
      </c>
      <c r="H205" s="172">
        <f t="shared" si="52"/>
        <v>8.3535211648324398E-4</v>
      </c>
      <c r="I205" s="336"/>
      <c r="J205" s="168"/>
      <c r="K205" s="168"/>
      <c r="M205" s="364">
        <f t="shared" si="53"/>
        <v>0.25165674491744355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61361</v>
      </c>
      <c r="D206" s="558">
        <f>SUM(D200:D205)</f>
        <v>10496</v>
      </c>
      <c r="E206" s="171">
        <f t="shared" ref="E206:F206" si="54">SUM(E200:E205)</f>
        <v>71857</v>
      </c>
      <c r="F206" s="171">
        <f t="shared" si="54"/>
        <v>16485</v>
      </c>
      <c r="G206" s="171">
        <f>SUM(G200:G205)</f>
        <v>88342</v>
      </c>
      <c r="H206" s="172">
        <f t="shared" si="52"/>
        <v>1.6468796401330671E-2</v>
      </c>
      <c r="I206" s="336"/>
      <c r="J206" s="168"/>
      <c r="K206" s="168"/>
      <c r="M206" s="364">
        <f>G206/G$228</f>
        <v>4.9613613388745366</v>
      </c>
      <c r="N206" s="359">
        <f>SUMMARY!J209</f>
        <v>7.1515095990067339</v>
      </c>
      <c r="O206" s="354">
        <f>M206/N206-1</f>
        <v>-0.30624978262441049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4540773</v>
      </c>
      <c r="D208" s="558">
        <f>SUM(D25:D206)/2</f>
        <v>-108532</v>
      </c>
      <c r="E208" s="171">
        <f t="shared" ref="E208:F208" si="55">SUM(E25:E206)/2</f>
        <v>4432241</v>
      </c>
      <c r="F208" s="171">
        <f t="shared" si="55"/>
        <v>931964</v>
      </c>
      <c r="G208" s="171">
        <f>SUM(G25:G206)/2</f>
        <v>5364205</v>
      </c>
      <c r="H208" s="172">
        <f>IF($G$208=0,0,G208/$G$208)</f>
        <v>1</v>
      </c>
      <c r="I208" s="336"/>
      <c r="J208" s="183">
        <f>SUM(J25:J200)</f>
        <v>119139</v>
      </c>
      <c r="K208" s="183">
        <f>SUM(K25:K200)</f>
        <v>126540</v>
      </c>
      <c r="M208" s="364">
        <f>G208/G$228</f>
        <v>301.25828372458722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-0.38149412792393111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'[45]Sch C'!D221</f>
        <v>4540773.4400000004</v>
      </c>
      <c r="D211" s="196"/>
      <c r="E211" s="165"/>
      <c r="F211" s="445" t="s">
        <v>524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-0.44000000040978193</v>
      </c>
      <c r="D212" s="229"/>
      <c r="E212" s="165"/>
      <c r="F212" s="445" t="s">
        <v>541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491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-205955</v>
      </c>
      <c r="D215" s="558">
        <f>D21-D208</f>
        <v>108532</v>
      </c>
      <c r="E215" s="171">
        <f t="shared" ref="E215:F215" si="56">E21-E208</f>
        <v>-97423</v>
      </c>
      <c r="F215" s="171">
        <f t="shared" si="56"/>
        <v>-25616.939999999944</v>
      </c>
      <c r="G215" s="171">
        <f>G21-G208</f>
        <v>-123039.93999999948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'[45]Sch D'!C9</f>
        <v>8168</v>
      </c>
      <c r="D219" s="592"/>
      <c r="E219" s="235">
        <f t="shared" ref="E219:G227" si="57">C219+D219</f>
        <v>8168</v>
      </c>
      <c r="F219" s="234">
        <v>1669</v>
      </c>
      <c r="G219" s="235">
        <f t="shared" si="57"/>
        <v>9837</v>
      </c>
      <c r="H219" s="172">
        <f t="shared" ref="H219:H228" si="58">IF($G$228=0,0,G219/$G$228)</f>
        <v>0.55245422891160278</v>
      </c>
      <c r="I219" s="336"/>
      <c r="J219" s="168"/>
      <c r="K219" s="168"/>
    </row>
    <row r="220" spans="1:17">
      <c r="A220" s="163"/>
      <c r="B220" s="170" t="s">
        <v>217</v>
      </c>
      <c r="C220" s="592">
        <f>'[45]Sch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'[45]Sch D'!E9</f>
        <v>2161</v>
      </c>
      <c r="D221" s="592"/>
      <c r="E221" s="235">
        <f t="shared" si="59"/>
        <v>2161</v>
      </c>
      <c r="F221" s="234">
        <v>438</v>
      </c>
      <c r="G221" s="235">
        <f t="shared" si="57"/>
        <v>2599</v>
      </c>
      <c r="H221" s="172">
        <f t="shared" si="58"/>
        <v>0.14596203526901044</v>
      </c>
      <c r="I221" s="336"/>
      <c r="J221" s="168"/>
      <c r="K221" s="168"/>
    </row>
    <row r="222" spans="1:17">
      <c r="A222" s="163"/>
      <c r="B222" s="202" t="s">
        <v>334</v>
      </c>
      <c r="C222" s="592">
        <f>'[45]Sch D'!F9</f>
        <v>2298</v>
      </c>
      <c r="D222" s="592"/>
      <c r="E222" s="235">
        <f>C222+D222</f>
        <v>2298</v>
      </c>
      <c r="F222" s="234">
        <v>523</v>
      </c>
      <c r="G222" s="235">
        <f>E222+F222</f>
        <v>2821</v>
      </c>
      <c r="H222" s="172">
        <f t="shared" si="58"/>
        <v>0.15842974278333147</v>
      </c>
      <c r="I222" s="336"/>
      <c r="J222" s="168"/>
      <c r="K222" s="168"/>
    </row>
    <row r="223" spans="1:17">
      <c r="A223" s="163"/>
      <c r="B223" s="170" t="s">
        <v>73</v>
      </c>
      <c r="C223" s="592">
        <f>'[45]Sch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'[45]Sch D'!H9</f>
        <v>1329</v>
      </c>
      <c r="D224" s="592"/>
      <c r="E224" s="235">
        <f t="shared" si="59"/>
        <v>1329</v>
      </c>
      <c r="F224" s="234">
        <v>54</v>
      </c>
      <c r="G224" s="235">
        <f t="shared" si="57"/>
        <v>1383</v>
      </c>
      <c r="H224" s="172">
        <f t="shared" si="58"/>
        <v>7.7670448163540379E-2</v>
      </c>
      <c r="I224" s="336"/>
      <c r="J224" s="168"/>
      <c r="K224" s="168"/>
    </row>
    <row r="225" spans="1:11">
      <c r="A225" s="163"/>
      <c r="B225" s="170" t="s">
        <v>236</v>
      </c>
      <c r="C225" s="592">
        <f>'[45]Sch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'[45]Sch D'!J9</f>
        <v>840</v>
      </c>
      <c r="D226" s="592"/>
      <c r="E226" s="235">
        <f>C226+D226</f>
        <v>840</v>
      </c>
      <c r="F226" s="234">
        <v>326</v>
      </c>
      <c r="G226" s="235">
        <f>E226+F226</f>
        <v>1166</v>
      </c>
      <c r="H226" s="172">
        <f t="shared" si="58"/>
        <v>6.5483544872514884E-2</v>
      </c>
      <c r="I226" s="336"/>
      <c r="J226" s="168"/>
      <c r="K226" s="168"/>
    </row>
    <row r="227" spans="1:11">
      <c r="A227" s="163"/>
      <c r="B227" s="170" t="s">
        <v>179</v>
      </c>
      <c r="C227" s="592">
        <f>'[45]Sch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14796</v>
      </c>
      <c r="D228" s="592">
        <f>SUM(D219:D227)</f>
        <v>0</v>
      </c>
      <c r="E228" s="237">
        <f>SUM(E219:E227)</f>
        <v>14796</v>
      </c>
      <c r="F228" s="237">
        <f>SUM(F219:F227)</f>
        <v>3010</v>
      </c>
      <c r="G228" s="237">
        <f>SUM(G219:G227)</f>
        <v>17806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'[45]Sch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'[45]Sch D'!N24</f>
        <v>120</v>
      </c>
      <c r="D232" s="559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'[45]Sch D'!N28</f>
        <v>36600</v>
      </c>
      <c r="D235" s="483"/>
      <c r="E235" s="234">
        <f>E231*E233</f>
        <v>36600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'[45]Sch D'!N30</f>
        <v>0.4042622950819672</v>
      </c>
      <c r="D236" s="239"/>
      <c r="E236" s="244">
        <f>E228/E235</f>
        <v>0.4042622950819672</v>
      </c>
      <c r="F236" s="245"/>
      <c r="G236" s="244">
        <f>G228/G235</f>
        <v>0.40541894353369762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'[45]Sch D'!N32</f>
        <v>0.22316939890710383</v>
      </c>
      <c r="D237" s="239"/>
      <c r="E237" s="244">
        <f>(E219+E220)/E235</f>
        <v>0.22316939890710383</v>
      </c>
      <c r="F237" s="245"/>
      <c r="G237" s="244">
        <f>(G219+G220)/G235</f>
        <v>0.22397540983606556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'[45]Sch D'!N34</f>
        <v>0.55204109218707764</v>
      </c>
      <c r="D238" s="239"/>
      <c r="E238" s="244">
        <f>(E237/E236)</f>
        <v>0.55204109218707764</v>
      </c>
      <c r="F238" s="245"/>
      <c r="G238" s="244">
        <f>(G237/G236)</f>
        <v>0.55245422891160278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'[45]Sch B'!C85</f>
        <v>215.86607142857142</v>
      </c>
    </row>
    <row r="242" spans="2:7">
      <c r="F242" s="142" t="s">
        <v>341</v>
      </c>
      <c r="G242" s="558">
        <f>'[45]Sch B'!E85</f>
        <v>186.80222841225626</v>
      </c>
    </row>
    <row r="243" spans="2:7">
      <c r="F243" s="142" t="s">
        <v>342</v>
      </c>
      <c r="G243" s="558">
        <f>'[45]Sch B'!G85</f>
        <v>190.16346153846155</v>
      </c>
    </row>
    <row r="244" spans="2:7">
      <c r="F244" s="142" t="s">
        <v>343</v>
      </c>
      <c r="G244" s="558">
        <f>'[45]Sch B'!I85*1/3+179*2/3</f>
        <v>188.68627450980392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4">
    <tabColor rgb="FFE28CAB"/>
  </sheetPr>
  <dimension ref="A1:T245"/>
  <sheetViews>
    <sheetView showGridLines="0" zoomScaleNormal="100" workbookViewId="0">
      <pane xSplit="2" ySplit="10" topLeftCell="C22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664062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546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524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547</v>
      </c>
      <c r="G4" s="150"/>
    </row>
    <row r="5" spans="1:17">
      <c r="A5" s="145"/>
      <c r="B5" s="148"/>
      <c r="C5" s="151"/>
      <c r="D5" s="144"/>
      <c r="F5" s="460" t="s">
        <v>491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84" t="s">
        <v>548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87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'[46]Sch B'!E10</f>
        <v>2299049</v>
      </c>
      <c r="D11" s="558">
        <f>'[46]Sch B'!G10</f>
        <v>0</v>
      </c>
      <c r="E11" s="171">
        <f>C11+D11</f>
        <v>2299049</v>
      </c>
      <c r="F11" s="563">
        <f>499187-58388</f>
        <v>440799</v>
      </c>
      <c r="G11" s="171">
        <f t="shared" ref="G11:G20" si="0">E11+F11</f>
        <v>2739848</v>
      </c>
      <c r="H11" s="172">
        <f t="shared" ref="H11:H21" si="1">IF($G$21=0,0,G11/$G$21)</f>
        <v>0.60359657772596254</v>
      </c>
      <c r="I11" s="336"/>
      <c r="J11" s="368" t="s">
        <v>344</v>
      </c>
      <c r="K11" s="369">
        <f>G21</f>
        <v>4539204</v>
      </c>
      <c r="M11" s="359">
        <f>IFERROR(G11/G219,0)</f>
        <v>183.99355315291115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'[46]Sch B'!E15</f>
        <v>0</v>
      </c>
      <c r="D12" s="558">
        <f>'[46]Sch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4320976.68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'[46]Sch B'!E21</f>
        <v>560545</v>
      </c>
      <c r="D13" s="558">
        <f>'[46]Sch B'!G21</f>
        <v>0</v>
      </c>
      <c r="E13" s="171">
        <f t="shared" si="2"/>
        <v>560545</v>
      </c>
      <c r="F13" s="171">
        <v>82259</v>
      </c>
      <c r="G13" s="171">
        <f t="shared" si="0"/>
        <v>642804</v>
      </c>
      <c r="H13" s="172">
        <f t="shared" si="1"/>
        <v>0.14161161296121522</v>
      </c>
      <c r="I13" s="336"/>
      <c r="J13" s="370" t="s">
        <v>346</v>
      </c>
      <c r="K13" s="371">
        <f>G228</f>
        <v>19768</v>
      </c>
      <c r="M13" s="359">
        <f t="shared" si="3"/>
        <v>595.18888888888887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'[46]Sch B'!E27</f>
        <v>516332</v>
      </c>
      <c r="D14" s="558">
        <f>'[46]Sch B'!G27</f>
        <v>0</v>
      </c>
      <c r="E14" s="171">
        <f t="shared" si="2"/>
        <v>516332</v>
      </c>
      <c r="F14" s="175">
        <v>127659</v>
      </c>
      <c r="G14" s="175">
        <f>E14+F14</f>
        <v>643991</v>
      </c>
      <c r="H14" s="176">
        <f t="shared" si="1"/>
        <v>0.141873112554536</v>
      </c>
      <c r="I14" s="337"/>
      <c r="J14" s="370" t="s">
        <v>347</v>
      </c>
      <c r="K14" s="371">
        <f>G231</f>
        <v>99</v>
      </c>
      <c r="M14" s="359">
        <f t="shared" si="3"/>
        <v>451.29011913104415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'[46]Sch B'!E32</f>
        <v>0</v>
      </c>
      <c r="D15" s="558">
        <f>'[46]Sch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36234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'[46]Sch B'!E37</f>
        <v>135407</v>
      </c>
      <c r="D16" s="558">
        <f>'[46]Sch B'!G37</f>
        <v>0</v>
      </c>
      <c r="E16" s="171">
        <f t="shared" si="2"/>
        <v>135407</v>
      </c>
      <c r="F16" s="171">
        <v>70750</v>
      </c>
      <c r="G16" s="171">
        <f t="shared" si="0"/>
        <v>206157</v>
      </c>
      <c r="H16" s="172">
        <f t="shared" si="1"/>
        <v>4.5416993816536994E-2</v>
      </c>
      <c r="I16" s="336"/>
      <c r="J16" s="372"/>
      <c r="K16" s="371"/>
      <c r="M16" s="359">
        <f t="shared" si="3"/>
        <v>214.30041580041581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'[46]Sch B'!E42</f>
        <v>0</v>
      </c>
      <c r="D17" s="558">
        <f>'[46]Sch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115679.64754901959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'[46]Sch B'!E47</f>
        <v>219590</v>
      </c>
      <c r="D18" s="558">
        <f>'[46]Sch B'!G47</f>
        <v>0</v>
      </c>
      <c r="E18" s="171">
        <f t="shared" si="2"/>
        <v>219590</v>
      </c>
      <c r="F18" s="171">
        <v>26611</v>
      </c>
      <c r="G18" s="171">
        <f>E18+F18</f>
        <v>246201</v>
      </c>
      <c r="H18" s="172">
        <f t="shared" si="1"/>
        <v>5.4238804865346435E-2</v>
      </c>
      <c r="I18" s="336"/>
      <c r="J18" s="373" t="s">
        <v>252</v>
      </c>
      <c r="K18" s="374">
        <f>K208</f>
        <v>121993.32254901959</v>
      </c>
      <c r="M18" s="359">
        <f t="shared" si="3"/>
        <v>174.85866477272728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'[46]Sch B'!E52</f>
        <v>0</v>
      </c>
      <c r="D19" s="558">
        <f>'[46]Sch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'[46]Sch B'!E67</f>
        <v>2202</v>
      </c>
      <c r="D20" s="558">
        <f>'[46]Sch B'!G67</f>
        <v>0</v>
      </c>
      <c r="E20" s="171">
        <f t="shared" si="2"/>
        <v>2202</v>
      </c>
      <c r="F20" s="563">
        <f>-387+58388</f>
        <v>58001</v>
      </c>
      <c r="G20" s="171">
        <f t="shared" si="0"/>
        <v>60203</v>
      </c>
      <c r="H20" s="172">
        <f t="shared" si="1"/>
        <v>1.3262898076402824E-2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3733125</v>
      </c>
      <c r="D21" s="558">
        <f>SUM(D11:D20)</f>
        <v>0</v>
      </c>
      <c r="E21" s="171">
        <f>SUM(E11:E20)</f>
        <v>3733125</v>
      </c>
      <c r="F21" s="171">
        <f>SUM(F11:F20)</f>
        <v>806079</v>
      </c>
      <c r="G21" s="171">
        <f>SUM(G11:G20)</f>
        <v>4539204</v>
      </c>
      <c r="H21" s="172">
        <f t="shared" si="1"/>
        <v>1</v>
      </c>
      <c r="I21" s="336"/>
      <c r="J21" s="168"/>
      <c r="K21" s="168"/>
      <c r="M21" s="359">
        <f>IFERROR(G21/G228,0)</f>
        <v>229.62383650343989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L24" s="622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'[46]Sch C'!D10</f>
        <v>85148</v>
      </c>
      <c r="D25" s="558">
        <f>'[46]Sch C'!F10</f>
        <v>4857</v>
      </c>
      <c r="E25" s="171">
        <f t="shared" ref="E25:E60" si="4">C25+D25</f>
        <v>90005</v>
      </c>
      <c r="F25" s="171">
        <v>20182</v>
      </c>
      <c r="G25" s="182">
        <f>E25+F25</f>
        <v>110187</v>
      </c>
      <c r="H25" s="172">
        <f>IF($G$208=0,0,G25/$G$208)</f>
        <v>2.5500484765402624E-2</v>
      </c>
      <c r="I25" s="608"/>
      <c r="J25" s="183">
        <f>1949+440</f>
        <v>2389</v>
      </c>
      <c r="K25" s="183">
        <f>2060+462</f>
        <v>2522</v>
      </c>
      <c r="L25" s="623"/>
      <c r="M25" s="359">
        <f>G25/G$228</f>
        <v>5.5740084985835692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'[46]Sch C'!D11</f>
        <v>0</v>
      </c>
      <c r="D26" s="558">
        <f>'[46]Sch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608"/>
      <c r="J26" s="183">
        <v>0</v>
      </c>
      <c r="K26" s="183">
        <v>0</v>
      </c>
      <c r="L26" s="623"/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'[46]Sch C'!D12</f>
        <v>162073</v>
      </c>
      <c r="D27" s="558">
        <f>'[46]Sch C'!F12</f>
        <v>9242</v>
      </c>
      <c r="E27" s="171">
        <f t="shared" si="4"/>
        <v>171315</v>
      </c>
      <c r="F27" s="171">
        <v>44249</v>
      </c>
      <c r="G27" s="171">
        <f t="shared" si="5"/>
        <v>215564</v>
      </c>
      <c r="H27" s="172">
        <f t="shared" si="6"/>
        <v>4.9887795275025647E-2</v>
      </c>
      <c r="I27" s="608"/>
      <c r="J27" s="185">
        <f>7239+1881</f>
        <v>9120</v>
      </c>
      <c r="K27" s="185">
        <f>7652+1976</f>
        <v>9628</v>
      </c>
      <c r="L27" s="623"/>
      <c r="M27" s="359">
        <f t="shared" si="7"/>
        <v>10.904694455685958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'[46]Sch C'!D13</f>
        <v>385145</v>
      </c>
      <c r="D28" s="558">
        <f>'[46]Sch C'!F13</f>
        <v>-352206</v>
      </c>
      <c r="E28" s="171">
        <f t="shared" si="4"/>
        <v>32939</v>
      </c>
      <c r="F28" s="171">
        <v>7509</v>
      </c>
      <c r="G28" s="171">
        <f t="shared" si="5"/>
        <v>40448</v>
      </c>
      <c r="H28" s="172">
        <f t="shared" si="6"/>
        <v>9.3608466315536799E-3</v>
      </c>
      <c r="I28" s="608"/>
      <c r="J28" s="168"/>
      <c r="K28" s="168"/>
      <c r="L28" s="623"/>
      <c r="M28" s="359">
        <f t="shared" si="7"/>
        <v>2.0461351679481989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'[46]Sch C'!D14</f>
        <v>0</v>
      </c>
      <c r="D29" s="558">
        <f>'[46]Sch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608"/>
      <c r="J29" s="168"/>
      <c r="K29" s="168"/>
      <c r="L29" s="623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'[46]Sch C'!D15</f>
        <v>0</v>
      </c>
      <c r="D30" s="558">
        <f>'[46]Sch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608"/>
      <c r="J30" s="168"/>
      <c r="K30" s="168"/>
      <c r="L30" s="623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'[46]Sch C'!D16</f>
        <v>185593</v>
      </c>
      <c r="D31" s="558">
        <f>'[46]Sch C'!F16</f>
        <v>86250</v>
      </c>
      <c r="E31" s="171">
        <f t="shared" si="4"/>
        <v>271843</v>
      </c>
      <c r="F31" s="171">
        <v>58547</v>
      </c>
      <c r="G31" s="171">
        <f t="shared" si="5"/>
        <v>330390</v>
      </c>
      <c r="H31" s="172">
        <f t="shared" si="6"/>
        <v>7.6461879909983696E-2</v>
      </c>
      <c r="I31" s="608"/>
      <c r="J31" s="168"/>
      <c r="K31" s="168"/>
      <c r="L31" s="623"/>
      <c r="M31" s="359">
        <f t="shared" si="7"/>
        <v>16.71337515176042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'[46]Sch C'!D17</f>
        <v>0</v>
      </c>
      <c r="D32" s="558">
        <f>'[46]Sch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608"/>
      <c r="J32" s="168"/>
      <c r="K32" s="168"/>
      <c r="L32" s="623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'[46]Sch C'!D18</f>
        <v>9449</v>
      </c>
      <c r="D33" s="558">
        <f>'[46]Sch C'!F18</f>
        <v>0</v>
      </c>
      <c r="E33" s="171">
        <f t="shared" si="4"/>
        <v>9449</v>
      </c>
      <c r="F33" s="171">
        <v>1955</v>
      </c>
      <c r="G33" s="171">
        <f t="shared" si="5"/>
        <v>11404</v>
      </c>
      <c r="H33" s="172">
        <f t="shared" si="6"/>
        <v>2.639218131582233E-3</v>
      </c>
      <c r="I33" s="608"/>
      <c r="J33" s="168"/>
      <c r="K33" s="168"/>
      <c r="L33" s="623"/>
      <c r="M33" s="359">
        <f t="shared" si="7"/>
        <v>0.57689194658033183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'[46]Sch C'!D19</f>
        <v>10714</v>
      </c>
      <c r="D34" s="558">
        <f>'[46]Sch C'!F19</f>
        <v>-2211</v>
      </c>
      <c r="E34" s="171">
        <f t="shared" si="4"/>
        <v>8503</v>
      </c>
      <c r="F34" s="171">
        <v>2151</v>
      </c>
      <c r="G34" s="171">
        <f t="shared" si="5"/>
        <v>10654</v>
      </c>
      <c r="H34" s="172">
        <f t="shared" si="6"/>
        <v>2.4656462621779297E-3</v>
      </c>
      <c r="I34" s="608"/>
      <c r="J34" s="168"/>
      <c r="K34" s="168"/>
      <c r="L34" s="623"/>
      <c r="M34" s="359">
        <f t="shared" si="7"/>
        <v>0.53895184135977336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'[46]Sch C'!D20</f>
        <v>11323</v>
      </c>
      <c r="D35" s="558">
        <f>'[46]Sch C'!F20</f>
        <v>0</v>
      </c>
      <c r="E35" s="171">
        <f t="shared" si="4"/>
        <v>11323</v>
      </c>
      <c r="F35" s="171">
        <v>2385</v>
      </c>
      <c r="G35" s="171">
        <f t="shared" si="5"/>
        <v>13708</v>
      </c>
      <c r="H35" s="172">
        <f t="shared" si="6"/>
        <v>3.1724309143922528E-3</v>
      </c>
      <c r="I35" s="608"/>
      <c r="J35" s="168"/>
      <c r="K35" s="168"/>
      <c r="L35" s="623"/>
      <c r="M35" s="359">
        <f t="shared" si="7"/>
        <v>0.69344394981788748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'[46]Sch C'!D21</f>
        <v>1279</v>
      </c>
      <c r="D36" s="558">
        <f>'[46]Sch C'!F21</f>
        <v>0</v>
      </c>
      <c r="E36" s="171">
        <f t="shared" si="4"/>
        <v>1279</v>
      </c>
      <c r="F36" s="171">
        <v>2547</v>
      </c>
      <c r="G36" s="171">
        <f t="shared" si="5"/>
        <v>3826</v>
      </c>
      <c r="H36" s="172">
        <f t="shared" si="6"/>
        <v>8.8544796312115253E-4</v>
      </c>
      <c r="I36" s="608"/>
      <c r="J36" s="168"/>
      <c r="K36" s="168"/>
      <c r="L36" s="623"/>
      <c r="M36" s="359">
        <f t="shared" si="7"/>
        <v>0.19354512343180899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'[46]Sch C'!D22</f>
        <v>0</v>
      </c>
      <c r="D37" s="558">
        <f>'[46]Sch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608"/>
      <c r="J37" s="168"/>
      <c r="K37" s="168"/>
      <c r="L37" s="623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'[46]Sch C'!D23</f>
        <v>6940</v>
      </c>
      <c r="D38" s="558">
        <f>'[46]Sch C'!F23</f>
        <v>0</v>
      </c>
      <c r="E38" s="171">
        <f t="shared" si="4"/>
        <v>6940</v>
      </c>
      <c r="F38" s="171">
        <v>639</v>
      </c>
      <c r="G38" s="171">
        <f t="shared" si="5"/>
        <v>7579</v>
      </c>
      <c r="H38" s="172">
        <f t="shared" si="6"/>
        <v>1.7540015976202862E-3</v>
      </c>
      <c r="I38" s="608"/>
      <c r="J38" s="168"/>
      <c r="K38" s="168"/>
      <c r="L38" s="623"/>
      <c r="M38" s="359">
        <f t="shared" si="7"/>
        <v>0.3833974099554836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'[46]Sch C'!D24</f>
        <v>38714</v>
      </c>
      <c r="D39" s="558">
        <f>'[46]Sch C'!F24</f>
        <v>-8500</v>
      </c>
      <c r="E39" s="171">
        <f t="shared" si="4"/>
        <v>30214</v>
      </c>
      <c r="F39" s="563">
        <f>5279-2113-899</f>
        <v>2267</v>
      </c>
      <c r="G39" s="171">
        <f t="shared" si="5"/>
        <v>32481</v>
      </c>
      <c r="H39" s="172">
        <f t="shared" si="6"/>
        <v>7.5170505201615674E-3</v>
      </c>
      <c r="I39" s="608"/>
      <c r="J39" s="168"/>
      <c r="K39" s="168"/>
      <c r="L39" s="623"/>
      <c r="M39" s="359">
        <f t="shared" si="7"/>
        <v>1.6431100768919467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'[46]Sch C'!D25</f>
        <v>0</v>
      </c>
      <c r="D40" s="558">
        <f>'[46]Sch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608"/>
      <c r="J40" s="168"/>
      <c r="K40" s="168"/>
      <c r="L40" s="623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'[46]Sch C'!D26</f>
        <v>268358</v>
      </c>
      <c r="D41" s="558">
        <f>'[46]Sch C'!F26</f>
        <v>0</v>
      </c>
      <c r="E41" s="171">
        <f t="shared" si="4"/>
        <v>268358</v>
      </c>
      <c r="F41" s="171">
        <v>48752</v>
      </c>
      <c r="G41" s="171">
        <f t="shared" si="5"/>
        <v>317110</v>
      </c>
      <c r="H41" s="172">
        <f t="shared" si="6"/>
        <v>7.3388500675731494E-2</v>
      </c>
      <c r="I41" s="608"/>
      <c r="J41" s="168"/>
      <c r="K41" s="168"/>
      <c r="L41" s="623"/>
      <c r="M41" s="359">
        <f t="shared" si="7"/>
        <v>16.041582355321733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'[46]Sch C'!D27</f>
        <v>0</v>
      </c>
      <c r="D42" s="558">
        <f>'[46]Sch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608"/>
      <c r="J42" s="168"/>
      <c r="K42" s="168"/>
      <c r="L42" s="623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'[46]Sch C'!D28</f>
        <v>0</v>
      </c>
      <c r="D43" s="558">
        <f>'[46]Sch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608"/>
      <c r="J43" s="168"/>
      <c r="K43" s="168"/>
      <c r="L43" s="623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'[46]Sch C'!D29</f>
        <v>28977</v>
      </c>
      <c r="D44" s="558">
        <f>'[46]Sch C'!F29</f>
        <v>-28977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608"/>
      <c r="J44" s="168"/>
      <c r="K44" s="168"/>
      <c r="L44" s="623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'[46]Sch C'!D30</f>
        <v>0</v>
      </c>
      <c r="D45" s="558">
        <f>'[46]Sch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608"/>
      <c r="J45" s="168"/>
      <c r="K45" s="168"/>
      <c r="L45" s="623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'[46]Sch C'!D31</f>
        <v>33572</v>
      </c>
      <c r="D46" s="558">
        <f>'[46]Sch C'!F31</f>
        <v>0</v>
      </c>
      <c r="E46" s="171">
        <f t="shared" si="4"/>
        <v>33572</v>
      </c>
      <c r="F46" s="563">
        <f>6573-12708-2488</f>
        <v>-8623</v>
      </c>
      <c r="G46" s="171">
        <f t="shared" si="5"/>
        <v>24949</v>
      </c>
      <c r="H46" s="172">
        <f t="shared" si="6"/>
        <v>5.7739260930239509E-3</v>
      </c>
      <c r="I46" s="608"/>
      <c r="J46" s="168"/>
      <c r="K46" s="168"/>
      <c r="L46" s="623"/>
      <c r="M46" s="359">
        <f t="shared" si="7"/>
        <v>1.2620902468636179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'[46]Sch C'!D32</f>
        <v>71754</v>
      </c>
      <c r="D47" s="558">
        <f>'[46]Sch C'!F32</f>
        <v>-24525</v>
      </c>
      <c r="E47" s="171">
        <f t="shared" si="4"/>
        <v>47229</v>
      </c>
      <c r="F47" s="171">
        <v>9446</v>
      </c>
      <c r="G47" s="171">
        <f t="shared" si="5"/>
        <v>56675</v>
      </c>
      <c r="H47" s="172">
        <f t="shared" si="6"/>
        <v>1.3116247597985187E-2</v>
      </c>
      <c r="I47" s="608"/>
      <c r="J47" s="168"/>
      <c r="K47" s="168"/>
      <c r="L47" s="623"/>
      <c r="M47" s="359">
        <f t="shared" si="7"/>
        <v>2.8670072845002021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'[46]Sch C'!D33</f>
        <v>0</v>
      </c>
      <c r="D48" s="558">
        <f>'[46]Sch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608"/>
      <c r="J48" s="168"/>
      <c r="K48" s="168"/>
      <c r="L48" s="623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'[46]Sch C'!D34</f>
        <v>0</v>
      </c>
      <c r="D49" s="558">
        <f>'[46]Sch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608"/>
      <c r="J49" s="168"/>
      <c r="K49" s="168"/>
      <c r="L49" s="623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'[46]Sch C'!D35</f>
        <v>1622</v>
      </c>
      <c r="D50" s="558">
        <f>'[46]Sch C'!F35</f>
        <v>-1622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608"/>
      <c r="J50" s="168"/>
      <c r="K50" s="168"/>
      <c r="L50" s="623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'[46]Sch C'!D36</f>
        <v>0</v>
      </c>
      <c r="D51" s="558">
        <f>'[46]Sch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608"/>
      <c r="J51" s="183">
        <v>0</v>
      </c>
      <c r="K51" s="183">
        <v>0</v>
      </c>
      <c r="L51" s="623"/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'[46]Sch C'!D37</f>
        <v>0</v>
      </c>
      <c r="D52" s="558">
        <f>'[46]Sch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608"/>
      <c r="J52" s="168"/>
      <c r="K52" s="168"/>
      <c r="L52" s="623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'[46]Sch C'!D38</f>
        <v>0</v>
      </c>
      <c r="D53" s="558">
        <f>'[46]Sch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608"/>
      <c r="J53" s="168"/>
      <c r="K53" s="168"/>
      <c r="L53" s="623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'[46]Sch C'!D39</f>
        <v>4710</v>
      </c>
      <c r="D54" s="558">
        <f>'[46]Sch C'!F39</f>
        <v>0</v>
      </c>
      <c r="E54" s="171">
        <f t="shared" si="4"/>
        <v>4710</v>
      </c>
      <c r="F54" s="171">
        <v>1165</v>
      </c>
      <c r="G54" s="171">
        <f t="shared" si="5"/>
        <v>5875</v>
      </c>
      <c r="H54" s="172">
        <f t="shared" si="6"/>
        <v>1.3596463103337092E-3</v>
      </c>
      <c r="I54" s="608"/>
      <c r="J54" s="168"/>
      <c r="K54" s="168"/>
      <c r="L54" s="623"/>
      <c r="M54" s="359">
        <f t="shared" si="7"/>
        <v>0.29719749089437475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'[46]Sch C'!D40</f>
        <v>5149</v>
      </c>
      <c r="D55" s="558">
        <f>'[46]Sch C'!F40</f>
        <v>0</v>
      </c>
      <c r="E55" s="171">
        <f t="shared" si="4"/>
        <v>5149</v>
      </c>
      <c r="F55" s="171">
        <v>2054</v>
      </c>
      <c r="G55" s="171">
        <f t="shared" si="5"/>
        <v>7203</v>
      </c>
      <c r="H55" s="172">
        <f t="shared" si="6"/>
        <v>1.6669842337589289E-3</v>
      </c>
      <c r="I55" s="608"/>
      <c r="J55" s="168"/>
      <c r="K55" s="168"/>
      <c r="L55" s="623"/>
      <c r="M55" s="359">
        <f t="shared" si="7"/>
        <v>0.36437677053824363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'[46]Sch C'!D41</f>
        <v>15367</v>
      </c>
      <c r="D56" s="558">
        <f>'[46]Sch C'!F41</f>
        <v>0</v>
      </c>
      <c r="E56" s="171">
        <f t="shared" si="4"/>
        <v>15367</v>
      </c>
      <c r="F56" s="171">
        <v>3699</v>
      </c>
      <c r="G56" s="171">
        <f t="shared" si="5"/>
        <v>19066</v>
      </c>
      <c r="H56" s="172">
        <f t="shared" si="6"/>
        <v>4.4124283494165958E-3</v>
      </c>
      <c r="I56" s="608"/>
      <c r="J56" s="168"/>
      <c r="K56" s="168"/>
      <c r="L56" s="623"/>
      <c r="M56" s="359">
        <f t="shared" si="7"/>
        <v>0.96448806151355726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'[46]Sch C'!D42</f>
        <v>5029</v>
      </c>
      <c r="D57" s="558">
        <f>'[46]Sch C'!F42</f>
        <v>0</v>
      </c>
      <c r="E57" s="171">
        <f t="shared" si="4"/>
        <v>5029</v>
      </c>
      <c r="F57" s="171">
        <v>910</v>
      </c>
      <c r="G57" s="171">
        <f t="shared" si="5"/>
        <v>5939</v>
      </c>
      <c r="H57" s="172">
        <f t="shared" si="6"/>
        <v>1.3744577765228763E-3</v>
      </c>
      <c r="I57" s="608"/>
      <c r="J57" s="168"/>
      <c r="K57" s="168"/>
      <c r="L57" s="623"/>
      <c r="M57" s="359">
        <f t="shared" si="7"/>
        <v>0.30043504653986242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'[46]Sch C'!D43</f>
        <v>4268</v>
      </c>
      <c r="D58" s="558">
        <f>'[46]Sch C'!F43</f>
        <v>0</v>
      </c>
      <c r="E58" s="171">
        <f t="shared" si="4"/>
        <v>4268</v>
      </c>
      <c r="F58" s="171">
        <v>932</v>
      </c>
      <c r="G58" s="171">
        <f t="shared" si="5"/>
        <v>5200</v>
      </c>
      <c r="H58" s="172">
        <f t="shared" si="6"/>
        <v>1.2034316278698362E-3</v>
      </c>
      <c r="I58" s="608"/>
      <c r="J58" s="168"/>
      <c r="K58" s="168"/>
      <c r="L58" s="623"/>
      <c r="M58" s="359">
        <f t="shared" si="7"/>
        <v>0.26305139619587209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'[46]Sch C'!D44</f>
        <v>0</v>
      </c>
      <c r="D59" s="558">
        <f>'[46]Sch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608"/>
      <c r="J59" s="168"/>
      <c r="K59" s="168"/>
      <c r="L59" s="623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'[46]Sch C'!D45</f>
        <v>16263</v>
      </c>
      <c r="D60" s="558">
        <f>'[46]Sch C'!F45</f>
        <v>-2172</v>
      </c>
      <c r="E60" s="171">
        <f t="shared" si="4"/>
        <v>14091</v>
      </c>
      <c r="F60" s="171">
        <v>2165</v>
      </c>
      <c r="G60" s="171">
        <f t="shared" si="5"/>
        <v>16256</v>
      </c>
      <c r="H60" s="172">
        <f t="shared" si="6"/>
        <v>3.7621124120484728E-3</v>
      </c>
      <c r="I60" s="608"/>
      <c r="J60" s="168"/>
      <c r="K60" s="168"/>
      <c r="L60" s="623"/>
      <c r="M60" s="359">
        <f t="shared" si="7"/>
        <v>0.82233913395386482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1351447</v>
      </c>
      <c r="D61" s="558">
        <f>SUM(D25:D60)</f>
        <v>-319864</v>
      </c>
      <c r="E61" s="171">
        <f t="shared" ref="E61:F61" si="8">SUM(E25:E60)</f>
        <v>1031583</v>
      </c>
      <c r="F61" s="171">
        <f t="shared" si="8"/>
        <v>202931</v>
      </c>
      <c r="G61" s="171">
        <f>SUM(G25:G60)</f>
        <v>1234514</v>
      </c>
      <c r="H61" s="186">
        <f t="shared" si="6"/>
        <v>0.28570253704771209</v>
      </c>
      <c r="I61" s="609"/>
      <c r="J61" s="168"/>
      <c r="K61" s="168"/>
      <c r="L61" s="623"/>
      <c r="M61" s="364">
        <f>G61/G$228</f>
        <v>62.450121408336706</v>
      </c>
      <c r="N61" s="359">
        <f>SUMMARY!J64</f>
        <v>53.728790309602623</v>
      </c>
      <c r="O61" s="354">
        <f>M61/N61-1</f>
        <v>0.1623213746015677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610"/>
      <c r="J62" s="168"/>
      <c r="K62" s="168"/>
      <c r="L62" s="623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610"/>
      <c r="J63" s="168"/>
      <c r="K63" s="168"/>
      <c r="L63" s="623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'[46]Sch C'!D57</f>
        <v>230000</v>
      </c>
      <c r="D64" s="558">
        <f>'[46]Sch C'!F57</f>
        <v>0</v>
      </c>
      <c r="E64" s="171">
        <f t="shared" ref="E64:E78" si="9">C64+D64</f>
        <v>230000</v>
      </c>
      <c r="F64" s="563">
        <f>22857.68-230000-22858</f>
        <v>-230000.32</v>
      </c>
      <c r="G64" s="171">
        <f t="shared" ref="G64:G78" si="10">E64+F64</f>
        <v>-0.32000000000698492</v>
      </c>
      <c r="H64" s="172">
        <f t="shared" ref="H64:H79" si="11">IF($G$208=0,0,G64/$G$208)</f>
        <v>-7.4057330947452586E-8</v>
      </c>
      <c r="I64" s="608"/>
      <c r="J64" s="190"/>
      <c r="K64" s="168"/>
      <c r="L64" s="623"/>
      <c r="M64" s="359">
        <f t="shared" ref="M64:M79" si="12">G64/G$228</f>
        <v>-1.618777822779163E-5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'[46]Sch C'!D58</f>
        <v>548</v>
      </c>
      <c r="D65" s="558">
        <f>'[46]Sch C'!F58</f>
        <v>0</v>
      </c>
      <c r="E65" s="171">
        <f t="shared" si="9"/>
        <v>548</v>
      </c>
      <c r="F65" s="563">
        <f>115+112054+22410</f>
        <v>134579</v>
      </c>
      <c r="G65" s="171">
        <f t="shared" si="10"/>
        <v>135127</v>
      </c>
      <c r="H65" s="172">
        <f t="shared" si="11"/>
        <v>3.1272327995993721E-2</v>
      </c>
      <c r="I65" s="608"/>
      <c r="J65" s="190"/>
      <c r="K65" s="168"/>
      <c r="L65" s="623"/>
      <c r="M65" s="359">
        <f t="shared" si="12"/>
        <v>6.8356434641845407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'[46]Sch C'!D59</f>
        <v>0</v>
      </c>
      <c r="D66" s="558">
        <f>'[46]Sch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608"/>
      <c r="J66" s="190"/>
      <c r="K66" s="168"/>
      <c r="L66" s="623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'[46]Sch C'!D60</f>
        <v>18612</v>
      </c>
      <c r="D67" s="558">
        <f>'[46]Sch C'!F60</f>
        <v>0</v>
      </c>
      <c r="E67" s="171">
        <f t="shared" si="9"/>
        <v>18612</v>
      </c>
      <c r="F67" s="171">
        <v>3746</v>
      </c>
      <c r="G67" s="171">
        <f t="shared" si="10"/>
        <v>22358</v>
      </c>
      <c r="H67" s="172">
        <f t="shared" si="11"/>
        <v>5.1742931415218844E-3</v>
      </c>
      <c r="I67" s="608"/>
      <c r="J67" s="193"/>
      <c r="K67" s="168"/>
      <c r="L67" s="623"/>
      <c r="M67" s="359">
        <f t="shared" si="12"/>
        <v>1.1310198300283285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'[46]Sch C'!D61</f>
        <v>4803</v>
      </c>
      <c r="D68" s="558">
        <f>'[46]Sch C'!F61</f>
        <v>0</v>
      </c>
      <c r="E68" s="171">
        <f t="shared" si="9"/>
        <v>4803</v>
      </c>
      <c r="F68" s="171">
        <v>893</v>
      </c>
      <c r="G68" s="171">
        <f t="shared" si="10"/>
        <v>5696</v>
      </c>
      <c r="H68" s="172">
        <f t="shared" si="11"/>
        <v>1.3182204908358821E-3</v>
      </c>
      <c r="I68" s="608"/>
      <c r="J68" s="193"/>
      <c r="K68" s="168"/>
      <c r="L68" s="623"/>
      <c r="M68" s="359">
        <f t="shared" si="12"/>
        <v>0.28814245244840148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'[46]Sch C'!D62</f>
        <v>632</v>
      </c>
      <c r="D69" s="558">
        <f>'[46]Sch C'!F62</f>
        <v>0</v>
      </c>
      <c r="E69" s="171">
        <f t="shared" si="9"/>
        <v>632</v>
      </c>
      <c r="F69" s="171">
        <v>0</v>
      </c>
      <c r="G69" s="171">
        <f t="shared" si="10"/>
        <v>632</v>
      </c>
      <c r="H69" s="172">
        <f t="shared" si="11"/>
        <v>1.4626322861802625E-4</v>
      </c>
      <c r="I69" s="608"/>
      <c r="J69" s="195"/>
      <c r="K69" s="168"/>
      <c r="L69" s="623"/>
      <c r="M69" s="359">
        <f t="shared" si="12"/>
        <v>3.1970861999190608E-2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'[46]Sch C'!D63</f>
        <v>0</v>
      </c>
      <c r="D70" s="558">
        <f>'[46]Sch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608"/>
      <c r="J70" s="195"/>
      <c r="K70" s="168"/>
      <c r="L70" s="623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'[46]Sch C'!D64</f>
        <v>0</v>
      </c>
      <c r="D71" s="558">
        <f>'[46]Sch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608"/>
      <c r="J71" s="195"/>
      <c r="K71" s="168"/>
      <c r="L71" s="623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'[46]Sch C'!D65</f>
        <v>6886</v>
      </c>
      <c r="D72" s="558">
        <f>'[46]Sch C'!F65</f>
        <v>0</v>
      </c>
      <c r="E72" s="171">
        <f t="shared" si="9"/>
        <v>6886</v>
      </c>
      <c r="F72" s="171">
        <v>1395</v>
      </c>
      <c r="G72" s="171">
        <f t="shared" si="10"/>
        <v>8281</v>
      </c>
      <c r="H72" s="172">
        <f t="shared" si="11"/>
        <v>1.9164648673827141E-3</v>
      </c>
      <c r="I72" s="608"/>
      <c r="J72" s="195"/>
      <c r="K72" s="168"/>
      <c r="L72" s="623"/>
      <c r="M72" s="359">
        <f t="shared" si="12"/>
        <v>0.41890934844192634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'[46]Sch C'!D66</f>
        <v>3642</v>
      </c>
      <c r="D73" s="558">
        <f>'[46]Sch C'!F66</f>
        <v>0</v>
      </c>
      <c r="E73" s="171">
        <f t="shared" si="9"/>
        <v>3642</v>
      </c>
      <c r="F73" s="171">
        <v>782</v>
      </c>
      <c r="G73" s="171">
        <f t="shared" si="10"/>
        <v>4424</v>
      </c>
      <c r="H73" s="172">
        <f t="shared" si="11"/>
        <v>1.0238426003261838E-3</v>
      </c>
      <c r="I73" s="608"/>
      <c r="J73" s="195"/>
      <c r="K73" s="168"/>
      <c r="L73" s="623"/>
      <c r="M73" s="359">
        <f t="shared" si="12"/>
        <v>0.22379603399433429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'[46]Sch C'!D67</f>
        <v>49181</v>
      </c>
      <c r="D74" s="558">
        <f>'[46]Sch C'!F67</f>
        <v>0</v>
      </c>
      <c r="E74" s="171">
        <f t="shared" si="9"/>
        <v>49181</v>
      </c>
      <c r="F74" s="171">
        <v>8484</v>
      </c>
      <c r="G74" s="171">
        <f t="shared" si="10"/>
        <v>57665</v>
      </c>
      <c r="H74" s="172">
        <f t="shared" si="11"/>
        <v>1.3345362465598866E-2</v>
      </c>
      <c r="I74" s="608"/>
      <c r="J74" s="195"/>
      <c r="K74" s="168"/>
      <c r="L74" s="623"/>
      <c r="M74" s="359">
        <f t="shared" si="12"/>
        <v>2.9170882233913393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'[46]Sch C'!D68</f>
        <v>0</v>
      </c>
      <c r="D75" s="558">
        <f>'[46]Sch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608"/>
      <c r="J75" s="195"/>
      <c r="K75" s="168"/>
      <c r="L75" s="623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'[46]Sch C'!D69</f>
        <v>7686</v>
      </c>
      <c r="D76" s="558">
        <f>'[46]Sch C'!F69</f>
        <v>0</v>
      </c>
      <c r="E76" s="171">
        <f t="shared" si="9"/>
        <v>7686</v>
      </c>
      <c r="F76" s="171">
        <v>1219</v>
      </c>
      <c r="G76" s="171">
        <f t="shared" si="10"/>
        <v>8905</v>
      </c>
      <c r="H76" s="172">
        <f t="shared" si="11"/>
        <v>2.0608766627270947E-3</v>
      </c>
      <c r="I76" s="608"/>
      <c r="J76" s="195"/>
      <c r="K76" s="168"/>
      <c r="L76" s="623"/>
      <c r="M76" s="359">
        <f t="shared" si="12"/>
        <v>0.45047551598543101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'[46]Sch C'!D70</f>
        <v>0</v>
      </c>
      <c r="D77" s="558">
        <f>'[46]Sch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608"/>
      <c r="J77" s="195"/>
      <c r="K77" s="168"/>
      <c r="L77" s="623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'[46]Sch C'!D71</f>
        <v>0</v>
      </c>
      <c r="D78" s="558">
        <f>'[46]Sch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608"/>
      <c r="J78" s="195"/>
      <c r="K78" s="168"/>
      <c r="L78" s="623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321990</v>
      </c>
      <c r="D79" s="558">
        <f>SUM(D64:D78)</f>
        <v>0</v>
      </c>
      <c r="E79" s="171">
        <f t="shared" ref="E79:F79" si="13">SUM(E64:E78)</f>
        <v>321990</v>
      </c>
      <c r="F79" s="171">
        <f t="shared" si="13"/>
        <v>-78902.320000000007</v>
      </c>
      <c r="G79" s="171">
        <f>SUM(G64:G78)</f>
        <v>243087.68</v>
      </c>
      <c r="H79" s="172">
        <f t="shared" si="11"/>
        <v>5.6257577395673428E-2</v>
      </c>
      <c r="I79" s="608"/>
      <c r="J79" s="195"/>
      <c r="K79" s="168"/>
      <c r="L79" s="623"/>
      <c r="M79" s="359">
        <f t="shared" si="12"/>
        <v>12.297029542695265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608"/>
      <c r="J80" s="168"/>
      <c r="K80" s="168"/>
      <c r="L80" s="623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93"/>
      <c r="J81" s="168"/>
      <c r="K81" s="168"/>
      <c r="L81" s="623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'[46]Sch C'!D75</f>
        <v>30733</v>
      </c>
      <c r="D82" s="558">
        <f>'[46]Sch C'!F75</f>
        <v>1753</v>
      </c>
      <c r="E82" s="171">
        <f t="shared" ref="E82:E92" si="14">C82+D82</f>
        <v>32486</v>
      </c>
      <c r="F82" s="171">
        <v>8082</v>
      </c>
      <c r="G82" s="171">
        <f t="shared" ref="G82:G92" si="15">E82+F82</f>
        <v>40568</v>
      </c>
      <c r="H82" s="172">
        <f t="shared" ref="H82:H93" si="16">IF($G$208=0,0,G82/$G$208)</f>
        <v>9.3886181306583692E-3</v>
      </c>
      <c r="I82" s="608"/>
      <c r="J82" s="183">
        <f>1348+337</f>
        <v>1685</v>
      </c>
      <c r="K82" s="183">
        <f>1425+354</f>
        <v>1779</v>
      </c>
      <c r="L82" s="623"/>
      <c r="M82" s="359">
        <f t="shared" ref="M82:M92" si="17">G82/G$228</f>
        <v>2.0522055847834886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'[46]Sch C'!D76</f>
        <v>0</v>
      </c>
      <c r="D83" s="558">
        <f>'[46]Sch C'!F76</f>
        <v>4089</v>
      </c>
      <c r="E83" s="171">
        <f t="shared" si="14"/>
        <v>4089</v>
      </c>
      <c r="F83" s="171">
        <v>942</v>
      </c>
      <c r="G83" s="171">
        <f t="shared" si="15"/>
        <v>5031</v>
      </c>
      <c r="H83" s="172">
        <f t="shared" si="16"/>
        <v>1.1643200999640665E-3</v>
      </c>
      <c r="I83" s="608"/>
      <c r="J83" s="168"/>
      <c r="K83" s="168"/>
      <c r="L83" s="623"/>
      <c r="M83" s="359">
        <f t="shared" si="17"/>
        <v>0.25450222581950627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'[46]Sch C'!D77</f>
        <v>6162</v>
      </c>
      <c r="D84" s="558">
        <f>'[46]Sch C'!F77</f>
        <v>0</v>
      </c>
      <c r="E84" s="171">
        <f t="shared" si="14"/>
        <v>6162</v>
      </c>
      <c r="F84" s="171">
        <v>1829</v>
      </c>
      <c r="G84" s="171">
        <f t="shared" si="15"/>
        <v>7991</v>
      </c>
      <c r="H84" s="172">
        <f t="shared" si="16"/>
        <v>1.8493504112130502E-3</v>
      </c>
      <c r="I84" s="608"/>
      <c r="J84" s="168"/>
      <c r="K84" s="168"/>
      <c r="L84" s="623"/>
      <c r="M84" s="359">
        <f t="shared" si="17"/>
        <v>0.40423917442331042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'[46]Sch C'!D78</f>
        <v>0</v>
      </c>
      <c r="D85" s="558">
        <f>'[46]Sch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608"/>
      <c r="J85" s="168"/>
      <c r="K85" s="168"/>
      <c r="L85" s="623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'[46]Sch C'!D79</f>
        <v>2539</v>
      </c>
      <c r="D86" s="558">
        <f>'[46]Sch C'!F79</f>
        <v>0</v>
      </c>
      <c r="E86" s="171">
        <f t="shared" si="14"/>
        <v>2539</v>
      </c>
      <c r="F86" s="171">
        <v>657</v>
      </c>
      <c r="G86" s="171">
        <f>E86+F86</f>
        <v>3196</v>
      </c>
      <c r="H86" s="172">
        <f t="shared" si="16"/>
        <v>7.3964759282153781E-4</v>
      </c>
      <c r="I86" s="608"/>
      <c r="J86" s="168"/>
      <c r="K86" s="168"/>
      <c r="L86" s="623"/>
      <c r="M86" s="359">
        <f t="shared" si="17"/>
        <v>0.16167543504653986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'[46]Sch C'!D80</f>
        <v>17960</v>
      </c>
      <c r="D87" s="558">
        <f>'[46]Sch C'!F80</f>
        <v>0</v>
      </c>
      <c r="E87" s="171">
        <f t="shared" si="14"/>
        <v>17960</v>
      </c>
      <c r="F87" s="171">
        <v>5592</v>
      </c>
      <c r="G87" s="171">
        <f t="shared" si="15"/>
        <v>23552</v>
      </c>
      <c r="H87" s="172">
        <f t="shared" si="16"/>
        <v>5.4506195576135355E-3</v>
      </c>
      <c r="I87" s="608"/>
      <c r="J87" s="168"/>
      <c r="K87" s="168"/>
      <c r="L87" s="623"/>
      <c r="M87" s="359">
        <f t="shared" si="17"/>
        <v>1.1914204775394577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'[46]Sch C'!D81</f>
        <v>6956</v>
      </c>
      <c r="D88" s="558">
        <f>'[46]Sch C'!F81</f>
        <v>0</v>
      </c>
      <c r="E88" s="171">
        <f t="shared" si="14"/>
        <v>6956</v>
      </c>
      <c r="F88" s="171">
        <v>346</v>
      </c>
      <c r="G88" s="171">
        <f t="shared" si="15"/>
        <v>7302</v>
      </c>
      <c r="H88" s="172">
        <f t="shared" si="16"/>
        <v>1.6898957205202969E-3</v>
      </c>
      <c r="I88" s="608"/>
      <c r="J88" s="168"/>
      <c r="K88" s="168"/>
      <c r="L88" s="623"/>
      <c r="M88" s="359">
        <f t="shared" si="17"/>
        <v>0.36938486442735735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'[46]Sch C'!D82</f>
        <v>1114</v>
      </c>
      <c r="D89" s="558">
        <f>'[46]Sch C'!F82</f>
        <v>0</v>
      </c>
      <c r="E89" s="171">
        <f t="shared" si="14"/>
        <v>1114</v>
      </c>
      <c r="F89" s="171">
        <v>136</v>
      </c>
      <c r="G89" s="171">
        <f t="shared" si="15"/>
        <v>1250</v>
      </c>
      <c r="H89" s="172">
        <f t="shared" si="16"/>
        <v>2.8928644900717219E-4</v>
      </c>
      <c r="I89" s="608"/>
      <c r="J89" s="168"/>
      <c r="K89" s="168"/>
      <c r="L89" s="623"/>
      <c r="M89" s="359">
        <f t="shared" si="17"/>
        <v>6.3233508700930793E-2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'[46]Sch C'!D83</f>
        <v>0</v>
      </c>
      <c r="D90" s="558">
        <f>'[46]Sch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608"/>
      <c r="J90" s="168"/>
      <c r="K90" s="168"/>
      <c r="L90" s="623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'[46]Sch C'!D84</f>
        <v>44595</v>
      </c>
      <c r="D91" s="558">
        <f>'[46]Sch C'!F84</f>
        <v>0</v>
      </c>
      <c r="E91" s="171">
        <f t="shared" si="14"/>
        <v>44595</v>
      </c>
      <c r="F91" s="171">
        <v>7673</v>
      </c>
      <c r="G91" s="171">
        <f t="shared" si="15"/>
        <v>52268</v>
      </c>
      <c r="H91" s="172">
        <f t="shared" si="16"/>
        <v>1.20963392933655E-2</v>
      </c>
      <c r="I91" s="608"/>
      <c r="J91" s="168"/>
      <c r="K91" s="168"/>
      <c r="L91" s="623"/>
      <c r="M91" s="359">
        <f t="shared" si="17"/>
        <v>2.6440712262242005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'[46]Sch C'!D85</f>
        <v>0</v>
      </c>
      <c r="D92" s="558">
        <f>'[46]Sch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608"/>
      <c r="J92" s="168"/>
      <c r="K92" s="168"/>
      <c r="L92" s="623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110059</v>
      </c>
      <c r="D93" s="558">
        <f>SUM(D82:D92)</f>
        <v>5842</v>
      </c>
      <c r="E93" s="171">
        <f t="shared" ref="E93:F93" si="18">SUM(E82:E92)</f>
        <v>115901</v>
      </c>
      <c r="F93" s="171">
        <f t="shared" si="18"/>
        <v>25257</v>
      </c>
      <c r="G93" s="171">
        <f>SUM(G82:G92)</f>
        <v>141158</v>
      </c>
      <c r="H93" s="172">
        <f t="shared" si="16"/>
        <v>3.2668077255163526E-2</v>
      </c>
      <c r="I93" s="608"/>
      <c r="J93" s="168"/>
      <c r="K93" s="168"/>
      <c r="L93" s="623"/>
      <c r="M93" s="364">
        <f>G93/G$228</f>
        <v>7.1407324969647918</v>
      </c>
      <c r="N93" s="359">
        <f>SUMMARY!J96</f>
        <v>11.458724454710746</v>
      </c>
      <c r="O93" s="354">
        <f>M93/N93-1</f>
        <v>-0.37683007169011762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493"/>
      <c r="J94" s="168"/>
      <c r="K94" s="168"/>
      <c r="L94" s="623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93"/>
      <c r="J95" s="168"/>
      <c r="K95" s="168"/>
      <c r="L95" s="623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'[46]Sch C'!D89</f>
        <v>113050</v>
      </c>
      <c r="D96" s="558">
        <f>'[46]Sch C'!F89</f>
        <v>6449</v>
      </c>
      <c r="E96" s="171">
        <f t="shared" ref="E96:E101" si="19">C96+D96</f>
        <v>119499</v>
      </c>
      <c r="F96" s="171">
        <v>23942</v>
      </c>
      <c r="G96" s="171">
        <f t="shared" ref="G96:G101" si="20">E96+F96</f>
        <v>143441</v>
      </c>
      <c r="H96" s="172">
        <f t="shared" ref="H96:H102" si="21">IF($G$208=0,0,G96/$G$208)</f>
        <v>3.3196430025630226E-2</v>
      </c>
      <c r="I96" s="608"/>
      <c r="J96" s="183">
        <f>9589+1932</f>
        <v>11521</v>
      </c>
      <c r="K96" s="183">
        <f>10136+2031</f>
        <v>12167</v>
      </c>
      <c r="L96" s="623"/>
      <c r="M96" s="364">
        <f t="shared" ref="M96:M101" si="22">G96/G$228</f>
        <v>7.2562221772561717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'[46]Sch C'!D90</f>
        <v>0</v>
      </c>
      <c r="D97" s="558">
        <f>'[46]Sch C'!F90</f>
        <v>15038</v>
      </c>
      <c r="E97" s="171">
        <f t="shared" si="19"/>
        <v>15038</v>
      </c>
      <c r="F97" s="171">
        <v>2789</v>
      </c>
      <c r="G97" s="171">
        <f t="shared" si="20"/>
        <v>17827</v>
      </c>
      <c r="H97" s="172">
        <f t="shared" si="21"/>
        <v>4.1256876211606865E-3</v>
      </c>
      <c r="I97" s="608"/>
      <c r="J97" s="168"/>
      <c r="K97" s="168"/>
      <c r="L97" s="623"/>
      <c r="M97" s="364">
        <f t="shared" si="22"/>
        <v>0.90181100768919464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'[46]Sch C'!D91</f>
        <v>9109</v>
      </c>
      <c r="D98" s="558">
        <f>'[46]Sch C'!F91</f>
        <v>0</v>
      </c>
      <c r="E98" s="171">
        <f t="shared" si="19"/>
        <v>9109</v>
      </c>
      <c r="F98" s="171">
        <v>2345</v>
      </c>
      <c r="G98" s="171">
        <f t="shared" si="20"/>
        <v>11454</v>
      </c>
      <c r="H98" s="172">
        <f t="shared" si="21"/>
        <v>2.65078958954252E-3</v>
      </c>
      <c r="I98" s="608"/>
      <c r="J98" s="168"/>
      <c r="K98" s="168"/>
      <c r="L98" s="623"/>
      <c r="M98" s="364">
        <f t="shared" si="22"/>
        <v>0.57942128692836903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'[46]Sch C'!D92</f>
        <v>104982</v>
      </c>
      <c r="D99" s="558">
        <f>'[46]Sch C'!F92</f>
        <v>0</v>
      </c>
      <c r="E99" s="171">
        <f t="shared" si="19"/>
        <v>104982</v>
      </c>
      <c r="F99" s="171">
        <v>16877</v>
      </c>
      <c r="G99" s="171">
        <f t="shared" si="20"/>
        <v>121859</v>
      </c>
      <c r="H99" s="172">
        <f t="shared" si="21"/>
        <v>2.8201725911651994E-2</v>
      </c>
      <c r="I99" s="608"/>
      <c r="J99" s="168"/>
      <c r="K99" s="168"/>
      <c r="L99" s="623"/>
      <c r="M99" s="364">
        <f t="shared" si="22"/>
        <v>6.1644577094293806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'[46]Sch C'!D93</f>
        <v>10339</v>
      </c>
      <c r="D100" s="558">
        <f>'[46]Sch C'!F93</f>
        <v>0</v>
      </c>
      <c r="E100" s="171">
        <f t="shared" si="19"/>
        <v>10339</v>
      </c>
      <c r="F100" s="171">
        <v>2095</v>
      </c>
      <c r="G100" s="171">
        <f t="shared" si="20"/>
        <v>12434</v>
      </c>
      <c r="H100" s="172">
        <f t="shared" si="21"/>
        <v>2.8775901655641429E-3</v>
      </c>
      <c r="I100" s="608"/>
      <c r="J100" s="168"/>
      <c r="K100" s="168"/>
      <c r="L100" s="623"/>
      <c r="M100" s="364">
        <f t="shared" si="22"/>
        <v>0.62899635774989882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'[46]Sch C'!D94</f>
        <v>0</v>
      </c>
      <c r="D101" s="558">
        <f>'[46]Sch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608"/>
      <c r="J101" s="168"/>
      <c r="K101" s="168"/>
      <c r="L101" s="623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237480</v>
      </c>
      <c r="D102" s="558">
        <f>SUM(D96:D101)</f>
        <v>21487</v>
      </c>
      <c r="E102" s="171">
        <f t="shared" ref="E102:F102" si="23">SUM(E96:E101)</f>
        <v>258967</v>
      </c>
      <c r="F102" s="171">
        <f t="shared" si="23"/>
        <v>48048</v>
      </c>
      <c r="G102" s="171">
        <f>SUM(G96:G101)</f>
        <v>307015</v>
      </c>
      <c r="H102" s="172">
        <f t="shared" si="21"/>
        <v>7.1052223313549573E-2</v>
      </c>
      <c r="I102" s="608"/>
      <c r="J102" s="168"/>
      <c r="K102" s="168"/>
      <c r="L102" s="623"/>
      <c r="M102" s="364">
        <f>G102/G$228</f>
        <v>15.530908539053016</v>
      </c>
      <c r="N102" s="359">
        <f>SUMMARY!J105</f>
        <v>19.901077037785338</v>
      </c>
      <c r="O102" s="354">
        <f>M102/N102-1</f>
        <v>-0.21959457221510514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493"/>
      <c r="J103" s="168"/>
      <c r="K103" s="168"/>
      <c r="L103" s="623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93"/>
      <c r="J104" s="168"/>
      <c r="K104" s="168"/>
      <c r="L104" s="623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'[46]Sch C'!D98</f>
        <v>18447</v>
      </c>
      <c r="D105" s="558">
        <f>'[46]Sch C'!F98</f>
        <v>1052</v>
      </c>
      <c r="E105" s="171">
        <f t="shared" ref="E105:E110" si="24">C105+D105</f>
        <v>19499</v>
      </c>
      <c r="F105" s="171">
        <v>4307</v>
      </c>
      <c r="G105" s="171">
        <f t="shared" ref="G105:G110" si="25">E105+F105</f>
        <v>23806</v>
      </c>
      <c r="H105" s="172">
        <f t="shared" ref="H105:H111" si="26">IF($G$208=0,0,G105/$G$208)</f>
        <v>5.5094025640517923E-3</v>
      </c>
      <c r="I105" s="608"/>
      <c r="J105" s="183">
        <f>1677+373</f>
        <v>2050</v>
      </c>
      <c r="K105" s="183">
        <f>1773+392</f>
        <v>2165</v>
      </c>
      <c r="L105" s="623"/>
      <c r="M105" s="364">
        <f t="shared" ref="M105:M110" si="27">G105/G$228</f>
        <v>1.2042695265074868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'[46]Sch C'!D99</f>
        <v>0</v>
      </c>
      <c r="D106" s="558">
        <f>'[46]Sch C'!F99</f>
        <v>2454</v>
      </c>
      <c r="E106" s="171">
        <f t="shared" si="24"/>
        <v>2454</v>
      </c>
      <c r="F106" s="171">
        <v>502</v>
      </c>
      <c r="G106" s="171">
        <f t="shared" si="25"/>
        <v>2956</v>
      </c>
      <c r="H106" s="172">
        <f t="shared" si="26"/>
        <v>6.8410459461216077E-4</v>
      </c>
      <c r="I106" s="608"/>
      <c r="J106" s="168"/>
      <c r="K106" s="168"/>
      <c r="L106" s="623"/>
      <c r="M106" s="364">
        <f t="shared" si="27"/>
        <v>0.14953460137596114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'[46]Sch C'!D100</f>
        <v>1859</v>
      </c>
      <c r="D107" s="558">
        <f>'[46]Sch C'!F100</f>
        <v>0</v>
      </c>
      <c r="E107" s="171">
        <f t="shared" si="24"/>
        <v>1859</v>
      </c>
      <c r="F107" s="171">
        <v>0</v>
      </c>
      <c r="G107" s="171">
        <f t="shared" si="25"/>
        <v>1859</v>
      </c>
      <c r="H107" s="172">
        <f t="shared" si="26"/>
        <v>4.3022680696346645E-4</v>
      </c>
      <c r="I107" s="608"/>
      <c r="J107" s="168"/>
      <c r="K107" s="168"/>
      <c r="L107" s="623"/>
      <c r="M107" s="364">
        <f t="shared" si="27"/>
        <v>9.404087414002428E-2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'[46]Sch C'!D101</f>
        <v>1994</v>
      </c>
      <c r="D108" s="558">
        <f>'[46]Sch C'!F101</f>
        <v>0</v>
      </c>
      <c r="E108" s="171">
        <f t="shared" si="24"/>
        <v>1994</v>
      </c>
      <c r="F108" s="171">
        <v>624</v>
      </c>
      <c r="G108" s="171">
        <f t="shared" si="25"/>
        <v>2618</v>
      </c>
      <c r="H108" s="172">
        <f t="shared" si="26"/>
        <v>6.0588153880062137E-4</v>
      </c>
      <c r="I108" s="608"/>
      <c r="J108" s="168"/>
      <c r="K108" s="168"/>
      <c r="L108" s="623"/>
      <c r="M108" s="364">
        <f t="shared" si="27"/>
        <v>0.13243626062322947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'[46]Sch C'!D102</f>
        <v>2281</v>
      </c>
      <c r="D109" s="558">
        <f>'[46]Sch C'!F102</f>
        <v>0</v>
      </c>
      <c r="E109" s="171">
        <f t="shared" si="24"/>
        <v>2281</v>
      </c>
      <c r="F109" s="171">
        <v>740</v>
      </c>
      <c r="G109" s="171">
        <f t="shared" si="25"/>
        <v>3021</v>
      </c>
      <c r="H109" s="172">
        <f t="shared" si="26"/>
        <v>6.9914748996053374E-4</v>
      </c>
      <c r="I109" s="608"/>
      <c r="J109" s="168"/>
      <c r="K109" s="168"/>
      <c r="L109" s="623"/>
      <c r="M109" s="364">
        <f t="shared" si="27"/>
        <v>0.15282274382840955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'[46]Sch C'!D103</f>
        <v>0</v>
      </c>
      <c r="D110" s="558">
        <f>'[46]Sch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608"/>
      <c r="J110" s="168"/>
      <c r="K110" s="168"/>
      <c r="L110" s="623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24581</v>
      </c>
      <c r="D111" s="558">
        <f>SUM(D105:D110)</f>
        <v>3506</v>
      </c>
      <c r="E111" s="171">
        <f t="shared" ref="E111:F111" si="28">SUM(E105:E110)</f>
        <v>28087</v>
      </c>
      <c r="F111" s="171">
        <f t="shared" si="28"/>
        <v>6173</v>
      </c>
      <c r="G111" s="171">
        <f>SUM(G105:G110)</f>
        <v>34260</v>
      </c>
      <c r="H111" s="172">
        <f t="shared" si="26"/>
        <v>7.9287629943885756E-3</v>
      </c>
      <c r="I111" s="608"/>
      <c r="J111" s="168"/>
      <c r="K111" s="168"/>
      <c r="L111" s="623"/>
      <c r="M111" s="364">
        <f>G111/G$228</f>
        <v>1.7331040064751113</v>
      </c>
      <c r="N111" s="359">
        <f>SUMMARY!J114</f>
        <v>2.4242384372309496</v>
      </c>
      <c r="O111" s="354">
        <f>M111/N111-1</f>
        <v>-0.28509342156346484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493"/>
      <c r="J112" s="168"/>
      <c r="K112" s="168"/>
      <c r="L112" s="623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93"/>
      <c r="J113" s="168"/>
      <c r="K113" s="168"/>
      <c r="L113" s="623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'[46]Sch C'!D115</f>
        <v>60729</v>
      </c>
      <c r="D114" s="558">
        <f>'[46]Sch C'!F115</f>
        <v>3464</v>
      </c>
      <c r="E114" s="171">
        <f t="shared" ref="E114:E118" si="29">C114+D114</f>
        <v>64193</v>
      </c>
      <c r="F114" s="171">
        <v>12739</v>
      </c>
      <c r="G114" s="171">
        <f>E114+F114</f>
        <v>76932</v>
      </c>
      <c r="H114" s="172">
        <f t="shared" ref="H114:H119" si="30">IF($G$208=0,0,G114/$G$208)</f>
        <v>1.7804308076015816E-2</v>
      </c>
      <c r="I114" s="608"/>
      <c r="J114" s="183">
        <f>5384+1075</f>
        <v>6459</v>
      </c>
      <c r="K114" s="183">
        <f>5691+1129</f>
        <v>6820</v>
      </c>
      <c r="L114" s="623"/>
      <c r="M114" s="364">
        <f t="shared" ref="M114:M119" si="31">G114/G$228</f>
        <v>3.8917442331040064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'[46]Sch C'!D116</f>
        <v>0</v>
      </c>
      <c r="D115" s="558">
        <f>'[46]Sch C'!F116</f>
        <v>8079</v>
      </c>
      <c r="E115" s="171">
        <f t="shared" si="29"/>
        <v>8079</v>
      </c>
      <c r="F115" s="171">
        <v>1485</v>
      </c>
      <c r="G115" s="171">
        <f>E115+F115</f>
        <v>9564</v>
      </c>
      <c r="H115" s="172">
        <f t="shared" si="30"/>
        <v>2.2133884786436756E-3</v>
      </c>
      <c r="I115" s="608"/>
      <c r="J115" s="168"/>
      <c r="K115" s="168"/>
      <c r="L115" s="623"/>
      <c r="M115" s="364">
        <f t="shared" si="31"/>
        <v>0.48381222177256172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'[46]Sch C'!D117</f>
        <v>15405</v>
      </c>
      <c r="D116" s="558">
        <f>'[46]Sch C'!F117</f>
        <v>0</v>
      </c>
      <c r="E116" s="171">
        <f t="shared" si="29"/>
        <v>15405</v>
      </c>
      <c r="F116" s="171">
        <v>2718</v>
      </c>
      <c r="G116" s="171">
        <f>E116+F116</f>
        <v>18123</v>
      </c>
      <c r="H116" s="172">
        <f t="shared" si="30"/>
        <v>4.1941906522855853E-3</v>
      </c>
      <c r="I116" s="608"/>
      <c r="J116" s="168"/>
      <c r="K116" s="168"/>
      <c r="L116" s="623"/>
      <c r="M116" s="364">
        <f t="shared" si="31"/>
        <v>0.91678470254957511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'[46]Sch C'!D118</f>
        <v>120</v>
      </c>
      <c r="D117" s="558">
        <f>'[46]Sch C'!F118</f>
        <v>0</v>
      </c>
      <c r="E117" s="171">
        <f t="shared" si="29"/>
        <v>120</v>
      </c>
      <c r="F117" s="171">
        <v>0</v>
      </c>
      <c r="G117" s="171">
        <f>E117+F117</f>
        <v>120</v>
      </c>
      <c r="H117" s="172">
        <f t="shared" si="30"/>
        <v>2.7771499104688529E-5</v>
      </c>
      <c r="I117" s="608"/>
      <c r="J117" s="168"/>
      <c r="K117" s="168"/>
      <c r="L117" s="623"/>
      <c r="M117" s="364">
        <f t="shared" si="31"/>
        <v>6.0704168352893563E-3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'[46]Sch C'!D119</f>
        <v>0</v>
      </c>
      <c r="D118" s="558">
        <f>'[46]Sch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608"/>
      <c r="J118" s="168"/>
      <c r="K118" s="168"/>
      <c r="L118" s="623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76254</v>
      </c>
      <c r="D119" s="558">
        <f>SUM(D114:D118)</f>
        <v>11543</v>
      </c>
      <c r="E119" s="171">
        <f t="shared" ref="E119:F119" si="32">SUM(E114:E118)</f>
        <v>87797</v>
      </c>
      <c r="F119" s="171">
        <f t="shared" si="32"/>
        <v>16942</v>
      </c>
      <c r="G119" s="171">
        <f>SUM(G114:G118)</f>
        <v>104739</v>
      </c>
      <c r="H119" s="172">
        <f t="shared" si="30"/>
        <v>2.4239658706049765E-2</v>
      </c>
      <c r="I119" s="608"/>
      <c r="J119" s="168"/>
      <c r="K119" s="168"/>
      <c r="L119" s="623"/>
      <c r="M119" s="364">
        <f t="shared" si="31"/>
        <v>5.2984115742614328</v>
      </c>
      <c r="N119" s="359">
        <f>SUMMARY!J122</f>
        <v>6.0247597205909562</v>
      </c>
      <c r="O119" s="354">
        <f>M119/N119-1</f>
        <v>-0.12056051693598124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608"/>
      <c r="J120" s="203"/>
      <c r="K120" s="203"/>
      <c r="L120" s="62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93"/>
      <c r="J121" s="204"/>
      <c r="K121" s="204"/>
      <c r="L121" s="623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93"/>
      <c r="J122" s="204"/>
      <c r="K122" s="204"/>
      <c r="L122" s="623"/>
      <c r="M122" s="359"/>
      <c r="N122" s="359"/>
      <c r="P122"/>
      <c r="Q122"/>
    </row>
    <row r="123" spans="1:17" s="167" customFormat="1">
      <c r="B123" s="163" t="s">
        <v>232</v>
      </c>
      <c r="C123" s="558">
        <f>'[46]Sch C'!D124</f>
        <v>0</v>
      </c>
      <c r="D123" s="558">
        <f>'[46]Sch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608"/>
      <c r="J123" s="183">
        <v>0</v>
      </c>
      <c r="K123" s="183">
        <v>0</v>
      </c>
      <c r="L123" s="623"/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'[46]Sch C'!D125</f>
        <v>124175</v>
      </c>
      <c r="D124" s="558">
        <f>'[46]Sch C'!F125</f>
        <v>7084</v>
      </c>
      <c r="E124" s="171">
        <f t="shared" si="33"/>
        <v>131259</v>
      </c>
      <c r="F124" s="171">
        <v>23360</v>
      </c>
      <c r="G124" s="171">
        <f>E124+F124</f>
        <v>154619</v>
      </c>
      <c r="H124" s="172">
        <f>IF($G$208=0,0,G124/$G$208)</f>
        <v>3.5783345167231966E-2</v>
      </c>
      <c r="I124" s="608"/>
      <c r="J124" s="183">
        <f>3376+ 604</f>
        <v>3980</v>
      </c>
      <c r="K124" s="183">
        <f>3569+635</f>
        <v>4204</v>
      </c>
      <c r="L124" s="623"/>
      <c r="M124" s="364">
        <f t="shared" si="34"/>
        <v>7.821681505463375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'[46]Sch C'!D126</f>
        <v>54434</v>
      </c>
      <c r="D125" s="558">
        <f>'[46]Sch C'!F126</f>
        <v>3105</v>
      </c>
      <c r="E125" s="171">
        <f t="shared" si="33"/>
        <v>57539</v>
      </c>
      <c r="F125" s="171">
        <v>12100</v>
      </c>
      <c r="G125" s="171">
        <f>E125+F125</f>
        <v>69639</v>
      </c>
      <c r="H125" s="172">
        <f>IF($G$208=0,0,G125/$G$208)</f>
        <v>1.6116495217928371E-2</v>
      </c>
      <c r="I125" s="608"/>
      <c r="J125" s="183">
        <f>1681+356</f>
        <v>2037</v>
      </c>
      <c r="K125" s="183">
        <f>1777+374</f>
        <v>2151</v>
      </c>
      <c r="L125" s="623"/>
      <c r="M125" s="364">
        <f t="shared" si="34"/>
        <v>3.5228146499392961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'[46]Sch C'!D127</f>
        <v>0</v>
      </c>
      <c r="D126" s="558">
        <f>'[46]Sch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608"/>
      <c r="J126" s="183">
        <v>0</v>
      </c>
      <c r="K126" s="183">
        <v>0</v>
      </c>
      <c r="L126" s="623"/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'[46]Sch C'!D128</f>
        <v>26457</v>
      </c>
      <c r="D127" s="558">
        <f>'[46]Sch C'!F128</f>
        <v>1509</v>
      </c>
      <c r="E127" s="171">
        <f t="shared" si="33"/>
        <v>27966</v>
      </c>
      <c r="F127" s="171">
        <v>5166</v>
      </c>
      <c r="G127" s="171">
        <f>E127+F127</f>
        <v>33132</v>
      </c>
      <c r="H127" s="172">
        <f>IF($G$208=0,0,G127/$G$208)</f>
        <v>7.6677109028045025E-3</v>
      </c>
      <c r="I127" s="608"/>
      <c r="J127" s="183">
        <f>1763.8+328</f>
        <v>2091.8000000000002</v>
      </c>
      <c r="K127" s="183">
        <f>1864.4+344</f>
        <v>2208.4</v>
      </c>
      <c r="L127" s="623"/>
      <c r="M127" s="364">
        <f t="shared" si="34"/>
        <v>1.6760420882233913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611"/>
      <c r="J128" s="207"/>
      <c r="K128" s="207"/>
      <c r="L128" s="623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'[46]Sch C'!D130</f>
        <v>0</v>
      </c>
      <c r="D129" s="558">
        <f>'[46]Sch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608"/>
      <c r="J129" s="204"/>
      <c r="K129" s="204"/>
      <c r="L129" s="623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'[46]Sch C'!D131</f>
        <v>0</v>
      </c>
      <c r="D130" s="558">
        <f>'[46]Sch C'!F131</f>
        <v>16518</v>
      </c>
      <c r="E130" s="171">
        <f t="shared" si="35"/>
        <v>16518</v>
      </c>
      <c r="F130" s="171">
        <v>2722</v>
      </c>
      <c r="G130" s="171">
        <f>E130+F130</f>
        <v>19240</v>
      </c>
      <c r="H130" s="172">
        <f>IF($G$208=0,0,G130/$G$208)</f>
        <v>4.4526970231183937E-3</v>
      </c>
      <c r="I130" s="608"/>
      <c r="J130" s="204"/>
      <c r="K130" s="204"/>
      <c r="L130" s="623"/>
      <c r="M130" s="364">
        <f t="shared" si="34"/>
        <v>0.97329016592472684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'[46]Sch C'!D132</f>
        <v>0</v>
      </c>
      <c r="D131" s="558">
        <f>'[46]Sch C'!F132</f>
        <v>7241</v>
      </c>
      <c r="E131" s="171">
        <f t="shared" si="35"/>
        <v>7241</v>
      </c>
      <c r="F131" s="171">
        <v>1410</v>
      </c>
      <c r="G131" s="171">
        <f>E131+F131</f>
        <v>8651</v>
      </c>
      <c r="H131" s="172">
        <f>IF($G$208=0,0,G131/$G$208)</f>
        <v>2.002093656288837E-3</v>
      </c>
      <c r="I131" s="608"/>
      <c r="J131" s="168"/>
      <c r="K131" s="168"/>
      <c r="L131" s="623"/>
      <c r="M131" s="364">
        <f t="shared" si="34"/>
        <v>0.43762646701740188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'[46]Sch C'!D133</f>
        <v>0</v>
      </c>
      <c r="D132" s="558">
        <f>'[46]Sch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608"/>
      <c r="J132" s="168"/>
      <c r="K132" s="168"/>
      <c r="L132" s="623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'[46]Sch C'!D134</f>
        <v>0</v>
      </c>
      <c r="D133" s="558">
        <f>'[46]Sch C'!F134</f>
        <v>3519</v>
      </c>
      <c r="E133" s="171">
        <f t="shared" si="35"/>
        <v>3519</v>
      </c>
      <c r="F133" s="171">
        <v>602</v>
      </c>
      <c r="G133" s="171">
        <f>E133+F133</f>
        <v>4121</v>
      </c>
      <c r="H133" s="172">
        <f>IF($G$208=0,0,G133/$G$208)</f>
        <v>9.5371956508684516E-4</v>
      </c>
      <c r="I133" s="608"/>
      <c r="J133" s="168"/>
      <c r="K133" s="168"/>
      <c r="L133" s="623"/>
      <c r="M133" s="364">
        <f t="shared" si="34"/>
        <v>0.20846823148522864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08"/>
      <c r="J134" s="204"/>
      <c r="K134" s="204"/>
      <c r="L134" s="623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'[46]Sch C'!D136</f>
        <v>338737</v>
      </c>
      <c r="D135" s="558">
        <f>'[46]Sch C'!F136</f>
        <v>19323</v>
      </c>
      <c r="E135" s="171">
        <f t="shared" ref="E135:E138" si="36">C135+D135</f>
        <v>358060</v>
      </c>
      <c r="F135" s="171">
        <v>72238</v>
      </c>
      <c r="G135" s="171">
        <f>E135+F135</f>
        <v>430298</v>
      </c>
      <c r="H135" s="172">
        <f>IF($G$208=0,0,G135/$G$208)</f>
        <v>9.9583504347910537E-2</v>
      </c>
      <c r="I135" s="608"/>
      <c r="J135" s="183">
        <f>11856+2406</f>
        <v>14262</v>
      </c>
      <c r="K135" s="183">
        <f>12532+2528</f>
        <v>15060</v>
      </c>
      <c r="L135" s="623"/>
      <c r="M135" s="364">
        <f t="shared" si="34"/>
        <v>21.767401861594497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'[46]Sch C'!D137</f>
        <v>113000</v>
      </c>
      <c r="D136" s="558">
        <f>'[46]Sch C'!F137</f>
        <v>6446</v>
      </c>
      <c r="E136" s="171">
        <f t="shared" si="36"/>
        <v>119446</v>
      </c>
      <c r="F136" s="171">
        <v>20500</v>
      </c>
      <c r="G136" s="171">
        <f>E136+F136</f>
        <v>139946</v>
      </c>
      <c r="H136" s="172">
        <f>IF($G$208=0,0,G136/$G$208)</f>
        <v>3.2387585114206176E-2</v>
      </c>
      <c r="I136" s="608"/>
      <c r="J136" s="183">
        <f>4728+816</f>
        <v>5544</v>
      </c>
      <c r="K136" s="183">
        <f>4998+858</f>
        <v>5856</v>
      </c>
      <c r="L136" s="623"/>
      <c r="M136" s="364">
        <f t="shared" si="34"/>
        <v>7.079421286928369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'[46]Sch C'!D138</f>
        <v>371188</v>
      </c>
      <c r="D137" s="558">
        <f>'[46]Sch C'!F138</f>
        <v>21174</v>
      </c>
      <c r="E137" s="171">
        <f t="shared" si="36"/>
        <v>392362</v>
      </c>
      <c r="F137" s="171">
        <v>78557</v>
      </c>
      <c r="G137" s="171">
        <f>E137+F137</f>
        <v>470919</v>
      </c>
      <c r="H137" s="172">
        <f>IF($G$208=0,0,G137/$G$208)</f>
        <v>0.10898438822400681</v>
      </c>
      <c r="I137" s="608"/>
      <c r="J137" s="183">
        <f>29838+6009</f>
        <v>35847</v>
      </c>
      <c r="K137" s="183">
        <f>31540+6315</f>
        <v>37855</v>
      </c>
      <c r="L137" s="623"/>
      <c r="M137" s="364">
        <f t="shared" si="34"/>
        <v>23.822288547146904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'[46]Sch C'!D139</f>
        <v>25931</v>
      </c>
      <c r="D138" s="558">
        <f>'[46]Sch C'!F139</f>
        <v>1479</v>
      </c>
      <c r="E138" s="171">
        <f t="shared" si="36"/>
        <v>27410</v>
      </c>
      <c r="F138" s="171">
        <v>6344</v>
      </c>
      <c r="G138" s="171">
        <f>E138+F138</f>
        <v>33754</v>
      </c>
      <c r="H138" s="172">
        <f>IF($G$208=0,0,G138/$G$208)</f>
        <v>7.8116598398304711E-3</v>
      </c>
      <c r="I138" s="608"/>
      <c r="J138" s="183">
        <f>1728.73333333333+467</f>
        <v>2195.7333333333299</v>
      </c>
      <c r="K138" s="183">
        <f>1827.33333333333+491</f>
        <v>2318.3333333333303</v>
      </c>
      <c r="L138" s="623"/>
      <c r="M138" s="364">
        <f t="shared" si="34"/>
        <v>1.7075070821529745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08"/>
      <c r="J139" s="404"/>
      <c r="K139" s="404"/>
      <c r="L139" s="623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'[46]Sch C'!D141</f>
        <v>0</v>
      </c>
      <c r="D140" s="558">
        <f>'[46]Sch C'!F141</f>
        <v>45059</v>
      </c>
      <c r="E140" s="171">
        <f t="shared" ref="E140:E143" si="37">C140+D140</f>
        <v>45059</v>
      </c>
      <c r="F140" s="171">
        <v>8417</v>
      </c>
      <c r="G140" s="171">
        <f>E140+F140</f>
        <v>53476</v>
      </c>
      <c r="H140" s="172">
        <f>IF($G$208=0,0,G140/$G$208)</f>
        <v>1.2375905717686032E-2</v>
      </c>
      <c r="I140" s="608"/>
      <c r="J140" s="168"/>
      <c r="K140" s="168"/>
      <c r="L140" s="623"/>
      <c r="M140" s="364">
        <f t="shared" si="34"/>
        <v>2.7051800890327802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'[46]Sch C'!D142</f>
        <v>0</v>
      </c>
      <c r="D141" s="558">
        <f>'[46]Sch C'!F142</f>
        <v>15031</v>
      </c>
      <c r="E141" s="171">
        <f t="shared" si="37"/>
        <v>15031</v>
      </c>
      <c r="F141" s="171">
        <v>2389</v>
      </c>
      <c r="G141" s="171">
        <f>E141+F141</f>
        <v>17420</v>
      </c>
      <c r="H141" s="172">
        <f>IF($G$208=0,0,G141/$G$208)</f>
        <v>4.0314959533639515E-3</v>
      </c>
      <c r="I141" s="608"/>
      <c r="J141" s="168"/>
      <c r="K141" s="168"/>
      <c r="L141" s="623"/>
      <c r="M141" s="364">
        <f t="shared" si="34"/>
        <v>0.88122217725617158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'[46]Sch C'!D143</f>
        <v>0</v>
      </c>
      <c r="D142" s="558">
        <f>'[46]Sch C'!F143</f>
        <v>49376</v>
      </c>
      <c r="E142" s="171">
        <f t="shared" si="37"/>
        <v>49376</v>
      </c>
      <c r="F142" s="171">
        <v>9154</v>
      </c>
      <c r="G142" s="171">
        <f>E142+F142</f>
        <v>58530</v>
      </c>
      <c r="H142" s="172">
        <f>IF($G$208=0,0,G142/$G$208)</f>
        <v>1.354554868831183E-2</v>
      </c>
      <c r="I142" s="608"/>
      <c r="J142" s="168"/>
      <c r="K142" s="168"/>
      <c r="L142" s="623"/>
      <c r="M142" s="364">
        <f t="shared" si="34"/>
        <v>2.9608458114123835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'[46]Sch C'!D144</f>
        <v>0</v>
      </c>
      <c r="D143" s="558">
        <f>'[46]Sch C'!F144</f>
        <v>3449</v>
      </c>
      <c r="E143" s="171">
        <f t="shared" si="37"/>
        <v>3449</v>
      </c>
      <c r="F143" s="171">
        <v>739</v>
      </c>
      <c r="G143" s="171">
        <f>E143+F143</f>
        <v>4188</v>
      </c>
      <c r="H143" s="172">
        <f>IF($G$208=0,0,G143/$G$208)</f>
        <v>9.692253187536296E-4</v>
      </c>
      <c r="I143" s="608"/>
      <c r="J143" s="168"/>
      <c r="K143" s="168"/>
      <c r="L143" s="623"/>
      <c r="M143" s="364">
        <f t="shared" si="34"/>
        <v>0.21185754755159855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08"/>
      <c r="J144" s="204"/>
      <c r="K144" s="204"/>
      <c r="L144" s="623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'[46]Sch C'!D146</f>
        <v>12500</v>
      </c>
      <c r="D145" s="558">
        <f>'[46]Sch C'!F146</f>
        <v>0</v>
      </c>
      <c r="E145" s="171">
        <f t="shared" ref="E145:E153" si="38">C145+D145</f>
        <v>12500</v>
      </c>
      <c r="F145" s="171">
        <v>8250</v>
      </c>
      <c r="G145" s="171">
        <f t="shared" ref="G145:G153" si="39">E145+F145</f>
        <v>20750</v>
      </c>
      <c r="H145" s="172">
        <f t="shared" ref="H145:H153" si="40">IF($G$208=0,0,G145/$G$208)</f>
        <v>4.8021550535190579E-3</v>
      </c>
      <c r="I145" s="608"/>
      <c r="J145" s="183">
        <v>0</v>
      </c>
      <c r="K145" s="183">
        <v>0</v>
      </c>
      <c r="L145" s="623"/>
      <c r="M145" s="364">
        <f t="shared" si="34"/>
        <v>1.0496762444354513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'[46]Sch C'!D147</f>
        <v>8343</v>
      </c>
      <c r="D146" s="558">
        <f>'[46]Sch C'!F147</f>
        <v>0</v>
      </c>
      <c r="E146" s="171">
        <f t="shared" si="38"/>
        <v>8343</v>
      </c>
      <c r="F146" s="171">
        <v>11579</v>
      </c>
      <c r="G146" s="171">
        <f t="shared" si="39"/>
        <v>19922</v>
      </c>
      <c r="H146" s="172">
        <f t="shared" si="40"/>
        <v>4.610531709696707E-3</v>
      </c>
      <c r="I146" s="608"/>
      <c r="J146" s="183">
        <f>208.575+289</f>
        <v>497.57499999999999</v>
      </c>
      <c r="K146" s="588">
        <f>208.575+289.475</f>
        <v>498.05</v>
      </c>
      <c r="L146" s="623"/>
      <c r="M146" s="364">
        <f t="shared" si="34"/>
        <v>1.0077903682719547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'[46]Sch C'!D148</f>
        <v>1779</v>
      </c>
      <c r="D147" s="558">
        <f>'[46]Sch C'!F148</f>
        <v>0</v>
      </c>
      <c r="E147" s="171">
        <f t="shared" si="38"/>
        <v>1779</v>
      </c>
      <c r="F147" s="171">
        <v>484</v>
      </c>
      <c r="G147" s="171">
        <f t="shared" si="39"/>
        <v>2263</v>
      </c>
      <c r="H147" s="172">
        <f t="shared" si="40"/>
        <v>5.2372418728258445E-4</v>
      </c>
      <c r="I147" s="608"/>
      <c r="J147" s="183">
        <f>59.3+16</f>
        <v>75.3</v>
      </c>
      <c r="K147" s="588">
        <f>59.3+16</f>
        <v>75.3</v>
      </c>
      <c r="L147" s="623"/>
      <c r="M147" s="364">
        <f t="shared" si="34"/>
        <v>0.11447794415216511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'[46]Sch C'!D149</f>
        <v>7475</v>
      </c>
      <c r="D148" s="558">
        <f>'[46]Sch C'!F149</f>
        <v>0</v>
      </c>
      <c r="E148" s="171">
        <f t="shared" si="38"/>
        <v>7475</v>
      </c>
      <c r="F148" s="171">
        <v>3075</v>
      </c>
      <c r="G148" s="171">
        <f t="shared" si="39"/>
        <v>10550</v>
      </c>
      <c r="H148" s="172">
        <f t="shared" si="40"/>
        <v>2.4415776296205331E-3</v>
      </c>
      <c r="I148" s="608"/>
      <c r="J148" s="183">
        <f>439.705882352941+181</f>
        <v>620.70588235294099</v>
      </c>
      <c r="K148" s="588">
        <f>439.705882352941+181</f>
        <v>620.70588235294099</v>
      </c>
      <c r="L148" s="623"/>
      <c r="M148" s="364">
        <f t="shared" si="34"/>
        <v>0.53369081343585589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'[46]Sch C'!D150</f>
        <v>23708</v>
      </c>
      <c r="D149" s="558">
        <f>'[46]Sch C'!F150</f>
        <v>0</v>
      </c>
      <c r="E149" s="171">
        <f t="shared" si="38"/>
        <v>23708</v>
      </c>
      <c r="F149" s="563">
        <f>2688+899</f>
        <v>3587</v>
      </c>
      <c r="G149" s="171">
        <f t="shared" si="39"/>
        <v>27295</v>
      </c>
      <c r="H149" s="172">
        <f t="shared" si="40"/>
        <v>6.3168589005206111E-3</v>
      </c>
      <c r="I149" s="608"/>
      <c r="J149" s="183">
        <f>1580.53333333333+158</f>
        <v>1738.5333333333299</v>
      </c>
      <c r="K149" s="588">
        <f>1580.53333333333+158</f>
        <v>1738.5333333333299</v>
      </c>
      <c r="L149" s="623"/>
      <c r="M149" s="364">
        <f t="shared" si="34"/>
        <v>1.3807668959935249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'[46]Sch C'!D151</f>
        <v>61670</v>
      </c>
      <c r="D150" s="558">
        <f>'[46]Sch C'!F151</f>
        <v>0</v>
      </c>
      <c r="E150" s="171">
        <f t="shared" si="38"/>
        <v>61670</v>
      </c>
      <c r="F150" s="171">
        <v>11561</v>
      </c>
      <c r="G150" s="171">
        <f t="shared" si="39"/>
        <v>73231</v>
      </c>
      <c r="H150" s="172">
        <f t="shared" si="40"/>
        <v>1.694778875779538E-2</v>
      </c>
      <c r="I150" s="608"/>
      <c r="J150" s="168"/>
      <c r="K150" s="168"/>
      <c r="L150" s="623"/>
      <c r="M150" s="364">
        <f t="shared" si="34"/>
        <v>3.7045224605422904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'[46]Sch C'!D152</f>
        <v>3680</v>
      </c>
      <c r="D151" s="558">
        <f>'[46]Sch C'!F152</f>
        <v>0</v>
      </c>
      <c r="E151" s="171">
        <f t="shared" si="38"/>
        <v>3680</v>
      </c>
      <c r="F151" s="171">
        <v>581</v>
      </c>
      <c r="G151" s="171">
        <f t="shared" si="39"/>
        <v>4261</v>
      </c>
      <c r="H151" s="172">
        <f t="shared" si="40"/>
        <v>9.8611964737564846E-4</v>
      </c>
      <c r="I151" s="608"/>
      <c r="J151" s="168"/>
      <c r="K151" s="168"/>
      <c r="L151" s="623"/>
      <c r="M151" s="364">
        <f t="shared" si="34"/>
        <v>0.2155503844597329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'[46]Sch C'!D153</f>
        <v>0</v>
      </c>
      <c r="D152" s="558">
        <f>'[46]Sch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608"/>
      <c r="J152" s="168"/>
      <c r="K152" s="168"/>
      <c r="L152" s="623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'[46]Sch C'!D154</f>
        <v>0</v>
      </c>
      <c r="D153" s="558">
        <f>'[46]Sch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608"/>
      <c r="J153" s="168"/>
      <c r="K153" s="168"/>
      <c r="L153" s="623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608"/>
      <c r="J154" s="168"/>
      <c r="K154" s="168"/>
      <c r="L154" s="623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'[46]Sch C'!D156</f>
        <v>0</v>
      </c>
      <c r="D155" s="558">
        <f>'[46]Sch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608"/>
      <c r="J155" s="168"/>
      <c r="K155" s="168"/>
      <c r="L155" s="623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'[46]Sch C'!D157</f>
        <v>0</v>
      </c>
      <c r="D156" s="558">
        <f>'[46]Sch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608"/>
      <c r="J156" s="168"/>
      <c r="K156" s="168"/>
      <c r="L156" s="623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'[46]Sch C'!D158</f>
        <v>0</v>
      </c>
      <c r="D157" s="558">
        <f>'[46]Sch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608"/>
      <c r="J157" s="168"/>
      <c r="K157" s="168"/>
      <c r="L157" s="623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'[46]Sch C'!D159</f>
        <v>0</v>
      </c>
      <c r="D158" s="558">
        <f>'[46]Sch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608"/>
      <c r="J158" s="168"/>
      <c r="K158" s="168"/>
      <c r="L158" s="623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'[46]Sch C'!D160</f>
        <v>0</v>
      </c>
      <c r="D159" s="558">
        <f>'[46]Sch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608"/>
      <c r="J159" s="168"/>
      <c r="K159" s="168"/>
      <c r="L159" s="623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'[46]Sch C'!D161</f>
        <v>668</v>
      </c>
      <c r="D160" s="558">
        <f>'[46]Sch C'!F161</f>
        <v>0</v>
      </c>
      <c r="E160" s="171">
        <f t="shared" si="41"/>
        <v>668</v>
      </c>
      <c r="F160" s="171">
        <v>994</v>
      </c>
      <c r="G160" s="171">
        <f t="shared" si="42"/>
        <v>1662</v>
      </c>
      <c r="H160" s="172">
        <f t="shared" si="43"/>
        <v>3.8463526259993613E-4</v>
      </c>
      <c r="I160" s="608"/>
      <c r="J160" s="168"/>
      <c r="K160" s="168"/>
      <c r="L160" s="623"/>
      <c r="M160" s="364">
        <f t="shared" si="34"/>
        <v>8.4075273168757583E-2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1173745</v>
      </c>
      <c r="D161" s="558">
        <f>SUM(D123:D160)</f>
        <v>200313</v>
      </c>
      <c r="E161" s="171">
        <f t="shared" ref="E161:F161" si="44">SUM(E123:E160)</f>
        <v>1374058</v>
      </c>
      <c r="F161" s="171">
        <f t="shared" si="44"/>
        <v>283809</v>
      </c>
      <c r="G161" s="171">
        <f>SUM(G123:G160)</f>
        <v>1657867</v>
      </c>
      <c r="H161" s="172">
        <f t="shared" si="43"/>
        <v>0.38367876588493882</v>
      </c>
      <c r="I161" s="608"/>
      <c r="J161" s="168"/>
      <c r="K161" s="168"/>
      <c r="L161" s="623"/>
      <c r="M161" s="364">
        <f>G161/G$228</f>
        <v>83.866197895588826</v>
      </c>
      <c r="N161" s="359">
        <f>SUMMARY!J164</f>
        <v>105.56901037202306</v>
      </c>
      <c r="O161" s="354">
        <f>M161/N161-1</f>
        <v>-0.20557938735954762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608"/>
      <c r="J162" s="168"/>
      <c r="K162" s="168"/>
      <c r="L162" s="623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608"/>
      <c r="J163" s="168"/>
      <c r="K163" s="168"/>
      <c r="L163" s="623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'[46]Sch C'!D175</f>
        <v>0</v>
      </c>
      <c r="D164" s="558">
        <f>'[46]Sch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612"/>
      <c r="J164" s="217">
        <v>0</v>
      </c>
      <c r="K164" s="217">
        <v>0</v>
      </c>
      <c r="L164" s="624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'[46]Sch C'!D176</f>
        <v>0</v>
      </c>
      <c r="D165" s="558">
        <f>'[46]Sch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613"/>
      <c r="J165" s="222"/>
      <c r="K165" s="222"/>
      <c r="L165" s="624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'[46]Sch C'!D177</f>
        <v>102173</v>
      </c>
      <c r="D166" s="558">
        <f>'[46]Sch C'!F177</f>
        <v>5828</v>
      </c>
      <c r="E166" s="171">
        <f t="shared" si="45"/>
        <v>108001</v>
      </c>
      <c r="F166" s="216">
        <v>21160</v>
      </c>
      <c r="G166" s="171">
        <f t="shared" si="46"/>
        <v>129161</v>
      </c>
      <c r="H166" s="172">
        <f t="shared" si="47"/>
        <v>2.989162163217229E-2</v>
      </c>
      <c r="I166" s="612"/>
      <c r="J166" s="217">
        <f>3065+604</f>
        <v>3669</v>
      </c>
      <c r="K166" s="217">
        <f>3240+635</f>
        <v>3875</v>
      </c>
      <c r="L166" s="624"/>
      <c r="M166" s="364">
        <f t="shared" si="48"/>
        <v>6.5338425738567381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'[46]Sch C'!D178</f>
        <v>0</v>
      </c>
      <c r="D167" s="558">
        <f>'[46]Sch C'!F178</f>
        <v>13591</v>
      </c>
      <c r="E167" s="171">
        <f t="shared" si="45"/>
        <v>13591</v>
      </c>
      <c r="F167" s="216">
        <v>2466</v>
      </c>
      <c r="G167" s="171">
        <f t="shared" si="46"/>
        <v>16057</v>
      </c>
      <c r="H167" s="172">
        <f t="shared" si="47"/>
        <v>3.7160580093665309E-3</v>
      </c>
      <c r="I167" s="613"/>
      <c r="J167" s="222"/>
      <c r="K167" s="222"/>
      <c r="L167" s="624"/>
      <c r="M167" s="364">
        <f t="shared" si="48"/>
        <v>0.8122723593686767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'[46]Sch C'!D179</f>
        <v>19312</v>
      </c>
      <c r="D168" s="558">
        <f>'[46]Sch C'!F179</f>
        <v>1102</v>
      </c>
      <c r="E168" s="171">
        <f t="shared" si="45"/>
        <v>20414</v>
      </c>
      <c r="F168" s="216">
        <v>4168</v>
      </c>
      <c r="G168" s="171">
        <f t="shared" si="46"/>
        <v>24582</v>
      </c>
      <c r="H168" s="172">
        <f t="shared" si="47"/>
        <v>5.6889915915954454E-3</v>
      </c>
      <c r="I168" s="612"/>
      <c r="J168" s="217">
        <f>1379+283</f>
        <v>1662</v>
      </c>
      <c r="K168" s="217">
        <f>1458+298</f>
        <v>1756</v>
      </c>
      <c r="L168" s="624"/>
      <c r="M168" s="364">
        <f t="shared" si="48"/>
        <v>1.2435248887090247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'[46]Sch C'!D180</f>
        <v>0</v>
      </c>
      <c r="D169" s="558">
        <f>'[46]Sch C'!F180</f>
        <v>2569</v>
      </c>
      <c r="E169" s="171">
        <f t="shared" si="45"/>
        <v>2569</v>
      </c>
      <c r="F169" s="216">
        <v>486</v>
      </c>
      <c r="G169" s="171">
        <f t="shared" si="46"/>
        <v>3055</v>
      </c>
      <c r="H169" s="172">
        <f t="shared" si="47"/>
        <v>7.0701608137352877E-4</v>
      </c>
      <c r="I169" s="613"/>
      <c r="J169" s="222"/>
      <c r="K169" s="222"/>
      <c r="L169" s="624"/>
      <c r="M169" s="364">
        <f t="shared" si="48"/>
        <v>0.15454269526507486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'[46]Sch C'!D181</f>
        <v>0</v>
      </c>
      <c r="D170" s="558">
        <f>'[46]Sch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612"/>
      <c r="J170" s="217">
        <v>0</v>
      </c>
      <c r="K170" s="217">
        <v>0</v>
      </c>
      <c r="L170" s="624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'[46]Sch C'!D182</f>
        <v>0</v>
      </c>
      <c r="D171" s="558">
        <f>'[46]Sch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613"/>
      <c r="J171" s="222"/>
      <c r="K171" s="222"/>
      <c r="L171" s="624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'[46]Sch C'!D183</f>
        <v>99552</v>
      </c>
      <c r="D172" s="558">
        <f>'[46]Sch C'!F183</f>
        <v>5679</v>
      </c>
      <c r="E172" s="171">
        <f t="shared" si="45"/>
        <v>105231</v>
      </c>
      <c r="F172" s="216">
        <v>21418</v>
      </c>
      <c r="G172" s="171">
        <f t="shared" si="46"/>
        <v>126649</v>
      </c>
      <c r="H172" s="172">
        <f t="shared" si="47"/>
        <v>2.9310271584247479E-2</v>
      </c>
      <c r="I172" s="612"/>
      <c r="J172" s="217">
        <f>2782+569</f>
        <v>3351</v>
      </c>
      <c r="K172" s="217">
        <f>2941+598</f>
        <v>3539</v>
      </c>
      <c r="L172" s="624"/>
      <c r="M172" s="364">
        <f t="shared" si="48"/>
        <v>6.4067685147713478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'[46]Sch C'!D184</f>
        <v>0</v>
      </c>
      <c r="D173" s="558">
        <f>'[46]Sch C'!F184</f>
        <v>13243</v>
      </c>
      <c r="E173" s="171">
        <f t="shared" si="45"/>
        <v>13243</v>
      </c>
      <c r="F173" s="216">
        <v>2496</v>
      </c>
      <c r="G173" s="171">
        <f t="shared" si="46"/>
        <v>15739</v>
      </c>
      <c r="H173" s="172">
        <f t="shared" si="47"/>
        <v>3.6424635367391061E-3</v>
      </c>
      <c r="I173" s="613"/>
      <c r="J173" s="222"/>
      <c r="K173" s="222"/>
      <c r="L173" s="624"/>
      <c r="M173" s="364">
        <f t="shared" si="48"/>
        <v>0.79618575475515985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'[46]Sch C'!D185</f>
        <v>0</v>
      </c>
      <c r="D174" s="558">
        <f>'[46]Sch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612"/>
      <c r="J174" s="217">
        <v>0</v>
      </c>
      <c r="K174" s="217">
        <v>0</v>
      </c>
      <c r="L174" s="624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'[46]Sch C'!D186</f>
        <v>0</v>
      </c>
      <c r="D175" s="558">
        <f>'[46]Sch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608"/>
      <c r="J175" s="223"/>
      <c r="K175" s="218"/>
      <c r="L175" s="625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'[46]Sch C'!D187</f>
        <v>0</v>
      </c>
      <c r="D176" s="558">
        <f>'[46]Sch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608"/>
      <c r="J176" s="223"/>
      <c r="K176" s="218"/>
      <c r="L176" s="625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'[46]Sch C'!D188</f>
        <v>1075</v>
      </c>
      <c r="D177" s="558">
        <f>'[46]Sch C'!F188</f>
        <v>0</v>
      </c>
      <c r="E177" s="171">
        <f t="shared" si="45"/>
        <v>1075</v>
      </c>
      <c r="F177" s="216">
        <v>326</v>
      </c>
      <c r="G177" s="171">
        <f t="shared" si="46"/>
        <v>1401</v>
      </c>
      <c r="H177" s="172">
        <f t="shared" si="47"/>
        <v>3.2423225204723858E-4</v>
      </c>
      <c r="I177" s="608"/>
      <c r="J177" s="223"/>
      <c r="K177" s="218"/>
      <c r="L177" s="625"/>
      <c r="M177" s="364">
        <f t="shared" si="48"/>
        <v>7.0872116552003234E-2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'[46]Sch C'!D189</f>
        <v>0</v>
      </c>
      <c r="D178" s="558">
        <f>'[46]Sch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608"/>
      <c r="J178" s="223"/>
      <c r="K178" s="218"/>
      <c r="L178" s="625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'[46]Sch C'!D190</f>
        <v>0</v>
      </c>
      <c r="D179" s="558">
        <f>'[46]Sch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608"/>
      <c r="J179" s="223"/>
      <c r="K179" s="218"/>
      <c r="L179" s="625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'[46]Sch C'!D191</f>
        <v>0</v>
      </c>
      <c r="D180" s="558">
        <f>'[46]Sch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608"/>
      <c r="J180" s="223"/>
      <c r="K180" s="218"/>
      <c r="L180" s="625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'[46]Sch C'!D192</f>
        <v>0</v>
      </c>
      <c r="D181" s="558">
        <f>'[46]Sch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608"/>
      <c r="J181" s="223"/>
      <c r="K181" s="218"/>
      <c r="L181" s="625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'[46]Sch C'!D193</f>
        <v>0</v>
      </c>
      <c r="D182" s="558">
        <f>'[46]Sch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608"/>
      <c r="J182" s="223"/>
      <c r="K182" s="218"/>
      <c r="L182" s="625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'[46]Sch C'!D194</f>
        <v>0</v>
      </c>
      <c r="D183" s="558">
        <f>'[46]Sch C'!F194</f>
        <v>0</v>
      </c>
      <c r="E183" s="171">
        <f t="shared" si="45"/>
        <v>0</v>
      </c>
      <c r="F183" s="216">
        <v>0</v>
      </c>
      <c r="G183" s="171">
        <f t="shared" si="46"/>
        <v>0</v>
      </c>
      <c r="H183" s="172">
        <f t="shared" si="47"/>
        <v>0</v>
      </c>
      <c r="I183" s="608"/>
      <c r="J183" s="223"/>
      <c r="K183" s="218"/>
      <c r="L183" s="626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'[46]Sch C'!D195</f>
        <v>0</v>
      </c>
      <c r="D184" s="558">
        <f>'[46]Sch C'!F195</f>
        <v>0</v>
      </c>
      <c r="E184" s="171">
        <f t="shared" si="45"/>
        <v>0</v>
      </c>
      <c r="F184" s="216">
        <v>0</v>
      </c>
      <c r="G184" s="171">
        <f t="shared" si="46"/>
        <v>0</v>
      </c>
      <c r="H184" s="172">
        <f t="shared" si="47"/>
        <v>0</v>
      </c>
      <c r="I184" s="608"/>
      <c r="J184" s="223"/>
      <c r="K184" s="218"/>
      <c r="L184" s="626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'[46]Sch C'!D196</f>
        <v>0</v>
      </c>
      <c r="D185" s="558">
        <f>'[46]Sch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608"/>
      <c r="J185" s="223"/>
      <c r="K185" s="218"/>
      <c r="L185" s="626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'[46]Sch C'!D197</f>
        <v>0</v>
      </c>
      <c r="D186" s="558">
        <f>'[46]Sch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608"/>
      <c r="J186" s="223"/>
      <c r="K186" s="218"/>
      <c r="L186" s="626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'[46]Sch C'!D198</f>
        <v>18451</v>
      </c>
      <c r="D187" s="558">
        <f>'[46]Sch C'!F198</f>
        <v>0</v>
      </c>
      <c r="E187" s="171">
        <f t="shared" si="45"/>
        <v>18451</v>
      </c>
      <c r="F187" s="216">
        <v>1726</v>
      </c>
      <c r="G187" s="171">
        <f t="shared" si="46"/>
        <v>20177</v>
      </c>
      <c r="H187" s="172">
        <f t="shared" si="47"/>
        <v>4.66954614529417E-3</v>
      </c>
      <c r="I187" s="608"/>
      <c r="J187" s="223"/>
      <c r="K187" s="218"/>
      <c r="L187" s="626"/>
      <c r="M187" s="364">
        <f t="shared" si="48"/>
        <v>1.0206900040469447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'[46]Sch C'!D199</f>
        <v>0</v>
      </c>
      <c r="D188" s="558">
        <f>'[46]Sch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608"/>
      <c r="J188" s="223"/>
      <c r="K188" s="218"/>
      <c r="L188" s="626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'[46]Sch C'!D200</f>
        <v>0</v>
      </c>
      <c r="D189" s="558">
        <f>'[46]Sch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608"/>
      <c r="J189" s="223"/>
      <c r="K189" s="218"/>
      <c r="L189" s="626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'[46]Sch C'!D201</f>
        <v>0</v>
      </c>
      <c r="D190" s="558">
        <f>'[46]Sch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608"/>
      <c r="J190" s="223"/>
      <c r="K190" s="218"/>
      <c r="L190" s="626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'[46]Sch C'!D202</f>
        <v>0</v>
      </c>
      <c r="D191" s="558">
        <f>'[46]Sch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608"/>
      <c r="J191" s="223"/>
      <c r="K191" s="218"/>
      <c r="L191" s="626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'[46]Sch C'!D203</f>
        <v>0</v>
      </c>
      <c r="D192" s="558">
        <f>'[46]Sch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608"/>
      <c r="J192" s="223"/>
      <c r="K192" s="218"/>
      <c r="L192" s="626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'[46]Sch C'!D204</f>
        <v>0</v>
      </c>
      <c r="D193" s="558">
        <f>'[46]Sch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608"/>
      <c r="J193" s="223"/>
      <c r="K193" s="218"/>
      <c r="L193" s="626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'[46]Sch C'!D205</f>
        <v>83084</v>
      </c>
      <c r="D194" s="558">
        <f>'[46]Sch C'!F205</f>
        <v>0</v>
      </c>
      <c r="E194" s="171">
        <f t="shared" si="45"/>
        <v>83084</v>
      </c>
      <c r="F194" s="216">
        <v>15582</v>
      </c>
      <c r="G194" s="171">
        <f t="shared" si="46"/>
        <v>98666</v>
      </c>
      <c r="H194" s="172">
        <f t="shared" si="47"/>
        <v>2.283418942219332E-2</v>
      </c>
      <c r="I194" s="608"/>
      <c r="J194" s="223"/>
      <c r="K194" s="218"/>
      <c r="L194" s="626"/>
      <c r="M194" s="364">
        <f t="shared" si="48"/>
        <v>4.9911978955888303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'[46]Sch C'!D206</f>
        <v>303</v>
      </c>
      <c r="D195" s="558">
        <f>'[46]Sch C'!F206</f>
        <v>0</v>
      </c>
      <c r="E195" s="171">
        <f t="shared" si="45"/>
        <v>303</v>
      </c>
      <c r="F195" s="216">
        <v>102</v>
      </c>
      <c r="G195" s="171">
        <f t="shared" si="46"/>
        <v>405</v>
      </c>
      <c r="H195" s="172">
        <f t="shared" si="47"/>
        <v>9.3728809478323789E-5</v>
      </c>
      <c r="I195" s="608"/>
      <c r="J195" s="223"/>
      <c r="K195" s="218"/>
      <c r="L195" s="626"/>
      <c r="M195" s="364">
        <f t="shared" si="48"/>
        <v>2.0487656819101578E-2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'[46]Sch C'!D207</f>
        <v>28559</v>
      </c>
      <c r="D196" s="558">
        <f>'[46]Sch C'!F207</f>
        <v>-461</v>
      </c>
      <c r="E196" s="171">
        <f t="shared" si="45"/>
        <v>28098</v>
      </c>
      <c r="F196" s="216">
        <v>-325</v>
      </c>
      <c r="G196" s="171">
        <f t="shared" si="46"/>
        <v>27773</v>
      </c>
      <c r="H196" s="172">
        <f t="shared" si="47"/>
        <v>6.4274820386209536E-3</v>
      </c>
      <c r="I196" s="608"/>
      <c r="J196" s="223"/>
      <c r="K196" s="218"/>
      <c r="L196" s="626"/>
      <c r="M196" s="364">
        <f t="shared" si="48"/>
        <v>1.4049473897207607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352509</v>
      </c>
      <c r="D197" s="558">
        <f>SUM(D164:D196)</f>
        <v>41551</v>
      </c>
      <c r="E197" s="171">
        <f t="shared" ref="E197:F197" si="49">SUM(E164:E196)</f>
        <v>394060</v>
      </c>
      <c r="F197" s="171">
        <f t="shared" si="49"/>
        <v>69605</v>
      </c>
      <c r="G197" s="171">
        <f>SUM(G164:G196)</f>
        <v>463665</v>
      </c>
      <c r="H197" s="172">
        <f>IF($G$208=0,0,G197/$G$208)</f>
        <v>0.10730560110312838</v>
      </c>
      <c r="I197" s="608"/>
      <c r="J197" s="168"/>
      <c r="K197" s="168"/>
      <c r="L197" s="623"/>
      <c r="M197" s="364">
        <f>G197/G$228</f>
        <v>23.455331849453664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493"/>
      <c r="J198" s="168"/>
      <c r="K198" s="168"/>
      <c r="L198" s="623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93"/>
      <c r="J199" s="168"/>
      <c r="K199" s="168"/>
      <c r="L199" s="623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'[46]Sch C'!D211</f>
        <v>92129</v>
      </c>
      <c r="D200" s="558">
        <f>'[46]Sch C'!F211</f>
        <v>5255</v>
      </c>
      <c r="E200" s="171">
        <f t="shared" ref="E200:E205" si="50">C200+D200</f>
        <v>97384</v>
      </c>
      <c r="F200" s="171">
        <v>18814</v>
      </c>
      <c r="G200" s="171">
        <f t="shared" ref="G200:G205" si="51">E200+F200</f>
        <v>116198</v>
      </c>
      <c r="H200" s="172">
        <f t="shared" ref="H200:H206" si="52">IF($G$208=0,0,G200/$G$208)</f>
        <v>2.6891605441388314E-2</v>
      </c>
      <c r="I200" s="608"/>
      <c r="J200" s="183">
        <f>4089+795</f>
        <v>4884</v>
      </c>
      <c r="K200" s="183">
        <f>4322+835</f>
        <v>5157</v>
      </c>
      <c r="L200" s="623"/>
      <c r="M200" s="364">
        <f t="shared" ref="M200:M205" si="53">G200/G$228</f>
        <v>5.8780857952246057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'[46]Sch C'!D212</f>
        <v>0</v>
      </c>
      <c r="D201" s="558">
        <f>'[46]Sch C'!F212</f>
        <v>12255</v>
      </c>
      <c r="E201" s="171">
        <f t="shared" si="50"/>
        <v>12255</v>
      </c>
      <c r="F201" s="171">
        <v>2192</v>
      </c>
      <c r="G201" s="171">
        <f t="shared" si="51"/>
        <v>14447</v>
      </c>
      <c r="H201" s="172">
        <f t="shared" si="52"/>
        <v>3.3434570630452931E-3</v>
      </c>
      <c r="I201" s="608"/>
      <c r="J201" s="168"/>
      <c r="K201" s="168"/>
      <c r="L201" s="623"/>
      <c r="M201" s="364">
        <f t="shared" si="53"/>
        <v>0.73082760016187776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'[46]Sch C'!D213</f>
        <v>1765</v>
      </c>
      <c r="D202" s="558">
        <f>'[46]Sch C'!F213</f>
        <v>0</v>
      </c>
      <c r="E202" s="171">
        <f t="shared" si="50"/>
        <v>1765</v>
      </c>
      <c r="F202" s="171">
        <v>410</v>
      </c>
      <c r="G202" s="171">
        <f t="shared" si="51"/>
        <v>2175</v>
      </c>
      <c r="H202" s="172">
        <f t="shared" si="52"/>
        <v>5.0335842127247955E-4</v>
      </c>
      <c r="I202" s="608"/>
      <c r="J202" s="168"/>
      <c r="K202" s="168"/>
      <c r="L202" s="623"/>
      <c r="M202" s="364">
        <f t="shared" si="53"/>
        <v>0.11002630513961958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'[46]Sch C'!D214</f>
        <v>0</v>
      </c>
      <c r="D203" s="558">
        <f>'[46]Sch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608"/>
      <c r="J203" s="168"/>
      <c r="K203" s="168"/>
      <c r="L203" s="623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'[46]Sch C'!D215</f>
        <v>0</v>
      </c>
      <c r="D204" s="558">
        <f>'[46]Sch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608"/>
      <c r="J204" s="168"/>
      <c r="K204" s="168"/>
      <c r="L204" s="623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'[46]Sch C'!D216</f>
        <v>1755</v>
      </c>
      <c r="D205" s="558">
        <f>'[46]Sch C'!F216</f>
        <v>0</v>
      </c>
      <c r="E205" s="171">
        <f t="shared" si="50"/>
        <v>1755</v>
      </c>
      <c r="F205" s="171">
        <v>96</v>
      </c>
      <c r="G205" s="171">
        <f t="shared" si="51"/>
        <v>1851</v>
      </c>
      <c r="H205" s="172">
        <f t="shared" si="52"/>
        <v>4.2837537368982056E-4</v>
      </c>
      <c r="I205" s="608"/>
      <c r="J205" s="168"/>
      <c r="K205" s="168"/>
      <c r="L205" s="623"/>
      <c r="M205" s="364">
        <f t="shared" si="53"/>
        <v>9.3636179684338322E-2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95649</v>
      </c>
      <c r="D206" s="558">
        <f>SUM(D200:D205)</f>
        <v>17510</v>
      </c>
      <c r="E206" s="171">
        <f t="shared" ref="E206:F206" si="54">SUM(E200:E205)</f>
        <v>113159</v>
      </c>
      <c r="F206" s="171">
        <f t="shared" si="54"/>
        <v>21512</v>
      </c>
      <c r="G206" s="171">
        <f>SUM(G200:G205)</f>
        <v>134671</v>
      </c>
      <c r="H206" s="172">
        <f t="shared" si="52"/>
        <v>3.1166796299395907E-2</v>
      </c>
      <c r="I206" s="608"/>
      <c r="J206" s="168"/>
      <c r="K206" s="168"/>
      <c r="L206" s="623"/>
      <c r="M206" s="364">
        <f>G206/G$228</f>
        <v>6.8125758802104412</v>
      </c>
      <c r="N206" s="359">
        <f>SUMMARY!J209</f>
        <v>7.1515095990067339</v>
      </c>
      <c r="O206" s="354">
        <f>M206/N206-1</f>
        <v>-4.7393311035108798E-2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493"/>
      <c r="J207" s="168"/>
      <c r="K207" s="168"/>
      <c r="L207" s="623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3743714</v>
      </c>
      <c r="D208" s="558">
        <f>SUM(D25:D206)/2</f>
        <v>-18112</v>
      </c>
      <c r="E208" s="171">
        <f t="shared" ref="E208:F208" si="55">SUM(E25:E206)/2</f>
        <v>3725602</v>
      </c>
      <c r="F208" s="171">
        <f t="shared" si="55"/>
        <v>595374.67999999993</v>
      </c>
      <c r="G208" s="171">
        <f>SUM(G25:G206)/2</f>
        <v>4320976.68</v>
      </c>
      <c r="H208" s="172">
        <f>IF($G$208=0,0,G208/$G$208)</f>
        <v>1</v>
      </c>
      <c r="I208" s="608"/>
      <c r="J208" s="183">
        <f>SUM(J25:J200)</f>
        <v>115679.64754901959</v>
      </c>
      <c r="K208" s="183">
        <f>SUM(K25:K200)</f>
        <v>121993.32254901959</v>
      </c>
      <c r="L208" s="623"/>
      <c r="M208" s="364">
        <f>G208/G$228</f>
        <v>218.58441319303924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493"/>
      <c r="J209" s="168"/>
      <c r="K209" s="168"/>
      <c r="L209" s="623"/>
      <c r="O209" s="553">
        <f>SUM(O61:O206)</f>
        <v>-1.0927299061977576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493"/>
      <c r="J210" s="168"/>
      <c r="K210" s="168"/>
      <c r="L210" s="623"/>
      <c r="P210"/>
      <c r="Q210"/>
    </row>
    <row r="211" spans="1:17" s="167" customFormat="1">
      <c r="A211" s="163"/>
      <c r="B211" s="228" t="s">
        <v>181</v>
      </c>
      <c r="C211" s="558">
        <f>'[46]Sch C'!D221</f>
        <v>3743713.99</v>
      </c>
      <c r="D211" s="196"/>
      <c r="E211" s="165"/>
      <c r="F211" s="445" t="s">
        <v>524</v>
      </c>
      <c r="G211"/>
      <c r="I211" s="493"/>
      <c r="J211" s="168"/>
      <c r="K211" s="168"/>
      <c r="L211" s="623"/>
      <c r="P211"/>
      <c r="Q211"/>
    </row>
    <row r="212" spans="1:17" s="167" customFormat="1">
      <c r="A212" s="163"/>
      <c r="B212" s="170" t="s">
        <v>147</v>
      </c>
      <c r="C212" s="558">
        <f>C208-C211</f>
        <v>9.9999997764825821E-3</v>
      </c>
      <c r="D212" s="229"/>
      <c r="E212" s="165"/>
      <c r="F212" s="445" t="s">
        <v>547</v>
      </c>
      <c r="G212"/>
      <c r="I212" s="493"/>
      <c r="J212" s="168"/>
      <c r="K212" s="168"/>
      <c r="L212" s="623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491</v>
      </c>
      <c r="G213" s="232"/>
      <c r="H213" s="166"/>
      <c r="I213" s="617"/>
      <c r="J213" s="168"/>
      <c r="K213" s="168"/>
      <c r="L213" s="623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493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-10589</v>
      </c>
      <c r="D215" s="558">
        <f>D21-D208</f>
        <v>18112</v>
      </c>
      <c r="E215" s="171">
        <f t="shared" ref="E215:F215" si="56">E21-E208</f>
        <v>7523</v>
      </c>
      <c r="F215" s="171">
        <f t="shared" si="56"/>
        <v>210704.32000000007</v>
      </c>
      <c r="G215" s="171">
        <f>G21-G208</f>
        <v>218227.3200000003</v>
      </c>
      <c r="I215" s="493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493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493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617"/>
      <c r="J218" s="168"/>
      <c r="K218" s="168"/>
    </row>
    <row r="219" spans="1:17">
      <c r="A219" s="163"/>
      <c r="B219" s="170" t="s">
        <v>218</v>
      </c>
      <c r="C219" s="592">
        <f>'[46]Sch D'!C9</f>
        <v>12722</v>
      </c>
      <c r="D219" s="592"/>
      <c r="E219" s="235">
        <f t="shared" ref="E219:G227" si="57">C219+D219</f>
        <v>12722</v>
      </c>
      <c r="F219" s="234">
        <v>2169</v>
      </c>
      <c r="G219" s="235">
        <f t="shared" si="57"/>
        <v>14891</v>
      </c>
      <c r="H219" s="172">
        <f t="shared" ref="H219:H228" si="58">IF($G$228=0,0,G219/$G$228)</f>
        <v>0.75328814245244835</v>
      </c>
      <c r="I219" s="608"/>
      <c r="J219" s="168"/>
      <c r="K219" s="168"/>
    </row>
    <row r="220" spans="1:17">
      <c r="A220" s="163"/>
      <c r="B220" s="170" t="s">
        <v>217</v>
      </c>
      <c r="C220" s="592">
        <f>'[46]Sch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608"/>
      <c r="J220" s="168"/>
      <c r="K220" s="168"/>
    </row>
    <row r="221" spans="1:17">
      <c r="A221" s="163"/>
      <c r="B221" s="170" t="s">
        <v>72</v>
      </c>
      <c r="C221" s="592">
        <f>'[46]Sch D'!E9</f>
        <v>927</v>
      </c>
      <c r="D221" s="592"/>
      <c r="E221" s="235">
        <f t="shared" si="59"/>
        <v>927</v>
      </c>
      <c r="F221" s="234">
        <v>153</v>
      </c>
      <c r="G221" s="235">
        <f t="shared" si="57"/>
        <v>1080</v>
      </c>
      <c r="H221" s="172">
        <f t="shared" si="58"/>
        <v>5.4633751517604211E-2</v>
      </c>
      <c r="I221" s="608"/>
      <c r="J221" s="168"/>
      <c r="K221" s="168"/>
    </row>
    <row r="222" spans="1:17">
      <c r="A222" s="163"/>
      <c r="B222" s="202" t="s">
        <v>334</v>
      </c>
      <c r="C222" s="592">
        <f>'[46]Sch D'!F9</f>
        <v>1162</v>
      </c>
      <c r="D222" s="592"/>
      <c r="E222" s="235">
        <f>C222+D222</f>
        <v>1162</v>
      </c>
      <c r="F222" s="234">
        <v>265</v>
      </c>
      <c r="G222" s="235">
        <f>E222+F222</f>
        <v>1427</v>
      </c>
      <c r="H222" s="172">
        <f t="shared" si="58"/>
        <v>7.2187373532982602E-2</v>
      </c>
      <c r="I222" s="608"/>
      <c r="J222" s="168"/>
      <c r="K222" s="168"/>
    </row>
    <row r="223" spans="1:17">
      <c r="A223" s="163"/>
      <c r="B223" s="170" t="s">
        <v>73</v>
      </c>
      <c r="C223" s="592">
        <f>'[46]Sch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608"/>
      <c r="J223" s="168"/>
      <c r="K223" s="168"/>
    </row>
    <row r="224" spans="1:17">
      <c r="A224" s="163"/>
      <c r="B224" s="170" t="s">
        <v>74</v>
      </c>
      <c r="C224" s="592">
        <f>'[46]Sch D'!H9</f>
        <v>625</v>
      </c>
      <c r="D224" s="592"/>
      <c r="E224" s="235">
        <f t="shared" si="59"/>
        <v>625</v>
      </c>
      <c r="F224" s="234">
        <v>337</v>
      </c>
      <c r="G224" s="235">
        <f t="shared" si="57"/>
        <v>962</v>
      </c>
      <c r="H224" s="172">
        <f t="shared" si="58"/>
        <v>4.8664508296236343E-2</v>
      </c>
      <c r="I224" s="608"/>
      <c r="J224" s="168"/>
      <c r="K224" s="168"/>
    </row>
    <row r="225" spans="1:11">
      <c r="A225" s="163"/>
      <c r="B225" s="170" t="s">
        <v>236</v>
      </c>
      <c r="C225" s="592">
        <f>'[46]Sch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608"/>
      <c r="J225" s="168"/>
      <c r="K225" s="168"/>
    </row>
    <row r="226" spans="1:11">
      <c r="A226" s="163"/>
      <c r="B226" s="170" t="s">
        <v>235</v>
      </c>
      <c r="C226" s="592">
        <f>'[46]Sch D'!J9</f>
        <v>1257</v>
      </c>
      <c r="D226" s="592"/>
      <c r="E226" s="235">
        <f>C226+D226</f>
        <v>1257</v>
      </c>
      <c r="F226" s="234">
        <v>151</v>
      </c>
      <c r="G226" s="235">
        <f>E226+F226</f>
        <v>1408</v>
      </c>
      <c r="H226" s="172">
        <f t="shared" si="58"/>
        <v>7.1226224200728452E-2</v>
      </c>
      <c r="I226" s="608"/>
      <c r="J226" s="168"/>
      <c r="K226" s="168"/>
    </row>
    <row r="227" spans="1:11">
      <c r="A227" s="163"/>
      <c r="B227" s="170" t="s">
        <v>179</v>
      </c>
      <c r="C227" s="592">
        <f>'[46]Sch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608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16693</v>
      </c>
      <c r="D228" s="592">
        <f>SUM(D219:D227)</f>
        <v>0</v>
      </c>
      <c r="E228" s="237">
        <f>SUM(E219:E227)</f>
        <v>16693</v>
      </c>
      <c r="F228" s="237">
        <f>SUM(F219:F227)</f>
        <v>3075</v>
      </c>
      <c r="G228" s="237">
        <f>SUM(G219:G227)</f>
        <v>19768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'[46]Sch D'!N22</f>
        <v>99</v>
      </c>
      <c r="D231" s="559"/>
      <c r="E231" s="235">
        <f>C231+D231</f>
        <v>99</v>
      </c>
      <c r="F231" s="235"/>
      <c r="G231" s="235">
        <f>E231+F231</f>
        <v>99</v>
      </c>
      <c r="H231" s="167"/>
      <c r="J231" s="168"/>
      <c r="K231" s="168"/>
    </row>
    <row r="232" spans="1:11">
      <c r="A232" s="163"/>
      <c r="B232" s="202" t="s">
        <v>290</v>
      </c>
      <c r="C232" s="593">
        <f>'[46]Sch D'!N24</f>
        <v>99</v>
      </c>
      <c r="D232" s="559"/>
      <c r="E232" s="235">
        <f>C232+D232</f>
        <v>99</v>
      </c>
      <c r="F232" s="235"/>
      <c r="G232" s="235">
        <f>E232+F232</f>
        <v>99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$C$4-$C$3+1-31-30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'[46]Sch D'!N28</f>
        <v>30195</v>
      </c>
      <c r="D235" s="483"/>
      <c r="E235" s="234">
        <f>E231*E233</f>
        <v>30195</v>
      </c>
      <c r="F235" s="239"/>
      <c r="G235" s="234">
        <f>G231*G233</f>
        <v>36234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'[46]Sch D'!N30</f>
        <v>0.55283987415134961</v>
      </c>
      <c r="D236" s="239"/>
      <c r="E236" s="244">
        <f>E228/E235</f>
        <v>0.55283987415134961</v>
      </c>
      <c r="F236" s="245"/>
      <c r="G236" s="244">
        <f>G228/G235</f>
        <v>0.54556493900756198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'[46]Sch D'!N32</f>
        <v>0.42132803444278855</v>
      </c>
      <c r="D237" s="239"/>
      <c r="E237" s="244">
        <f>(E219+E220)/E235</f>
        <v>0.42132803444278855</v>
      </c>
      <c r="F237" s="245"/>
      <c r="G237" s="244">
        <f>(G219+G220)/G235</f>
        <v>0.41096759949218964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'[46]Sch D'!N34</f>
        <v>0.76211585694602524</v>
      </c>
      <c r="D238" s="239"/>
      <c r="E238" s="244">
        <f>(E237/E236)</f>
        <v>0.76211585694602524</v>
      </c>
      <c r="F238" s="245"/>
      <c r="G238" s="244">
        <f>(G237/G236)</f>
        <v>0.75328814245244835</v>
      </c>
      <c r="H238" s="167"/>
      <c r="J238" s="168"/>
      <c r="K238" s="168"/>
    </row>
    <row r="240" spans="1:11">
      <c r="D240"/>
      <c r="E240"/>
    </row>
    <row r="241" spans="2:7">
      <c r="B241" s="148" t="s">
        <v>339</v>
      </c>
      <c r="D241"/>
      <c r="E241"/>
      <c r="F241" s="142" t="s">
        <v>340</v>
      </c>
      <c r="G241" s="558">
        <v>213.9128205128205</v>
      </c>
    </row>
    <row r="242" spans="2:7">
      <c r="D242"/>
      <c r="E242"/>
      <c r="F242" s="142" t="s">
        <v>341</v>
      </c>
      <c r="G242" s="558">
        <v>189.02068965517242</v>
      </c>
    </row>
    <row r="243" spans="2:7">
      <c r="D243"/>
      <c r="E243"/>
      <c r="F243" s="142" t="s">
        <v>342</v>
      </c>
      <c r="G243" s="558">
        <v>247.18181818181819</v>
      </c>
    </row>
    <row r="244" spans="2:7">
      <c r="D244"/>
      <c r="E244"/>
      <c r="F244" s="142" t="s">
        <v>343</v>
      </c>
      <c r="G244" s="558">
        <f>213*1/3 + 210*2/3</f>
        <v>211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2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27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6"/>
      <c r="G1" s="472"/>
      <c r="H1" s="470" t="s">
        <v>549</v>
      </c>
      <c r="I1" s="473"/>
    </row>
    <row r="2" spans="1:17" ht="23">
      <c r="B2" s="143" t="s">
        <v>189</v>
      </c>
      <c r="C2" s="246" t="s">
        <v>592</v>
      </c>
      <c r="D2" s="246"/>
      <c r="E2" s="144"/>
      <c r="F2" s="447"/>
      <c r="G2"/>
      <c r="H2"/>
    </row>
    <row r="3" spans="1:17" ht="15" customHeight="1">
      <c r="A3" s="145"/>
      <c r="B3" s="140" t="s">
        <v>79</v>
      </c>
      <c r="C3" s="489">
        <v>42186</v>
      </c>
      <c r="D3" s="144"/>
      <c r="E3" s="147"/>
      <c r="F3" s="589"/>
      <c r="G3"/>
      <c r="H3"/>
    </row>
    <row r="4" spans="1:17">
      <c r="A4" s="145"/>
      <c r="B4" s="148" t="s">
        <v>80</v>
      </c>
      <c r="C4" s="489">
        <v>42551</v>
      </c>
      <c r="D4" s="144"/>
      <c r="E4" s="149"/>
      <c r="F4"/>
      <c r="G4"/>
      <c r="H4"/>
    </row>
    <row r="5" spans="1:17">
      <c r="A5" s="145"/>
      <c r="B5" s="148"/>
      <c r="C5" s="151"/>
      <c r="D5" s="144"/>
      <c r="F5"/>
      <c r="G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416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417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418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'[47]Sch B'!E10</f>
        <v>1796207.5899999999</v>
      </c>
      <c r="D11" s="558">
        <f>'[47]Sch B'!G10</f>
        <v>0</v>
      </c>
      <c r="E11" s="171">
        <f>C11+D11</f>
        <v>1796207.5899999999</v>
      </c>
      <c r="F11" s="415"/>
      <c r="G11" s="171">
        <f t="shared" ref="G11:G20" si="0">E11+F11</f>
        <v>1796207.5899999999</v>
      </c>
      <c r="H11" s="172">
        <f t="shared" ref="H11:H21" si="1">IF($G$21=0,0,G11/$G$21)</f>
        <v>0.47353777835847122</v>
      </c>
      <c r="I11" s="336"/>
      <c r="J11" s="368" t="s">
        <v>344</v>
      </c>
      <c r="K11" s="369">
        <f>G21</f>
        <v>3793166.3999999994</v>
      </c>
      <c r="M11" s="359">
        <f>IFERROR(G11/G219,0)</f>
        <v>271.00295564272778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'[47]Sch B'!E15</f>
        <v>0</v>
      </c>
      <c r="D12" s="558">
        <f>'[47]Sch B'!G15</f>
        <v>0</v>
      </c>
      <c r="E12" s="171">
        <f t="shared" ref="E12:E20" si="2">C12+D12</f>
        <v>0</v>
      </c>
      <c r="F12" s="415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3306617.9535416677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'[47]Sch B'!E21</f>
        <v>1634658.7699999998</v>
      </c>
      <c r="D13" s="558">
        <f>'[47]Sch B'!G21</f>
        <v>0</v>
      </c>
      <c r="E13" s="171">
        <f t="shared" si="2"/>
        <v>1634658.7699999998</v>
      </c>
      <c r="F13" s="415"/>
      <c r="G13" s="171">
        <f t="shared" si="0"/>
        <v>1634658.7699999998</v>
      </c>
      <c r="H13" s="172">
        <f t="shared" si="1"/>
        <v>0.430948341733703</v>
      </c>
      <c r="I13" s="336"/>
      <c r="J13" s="370" t="s">
        <v>346</v>
      </c>
      <c r="K13" s="371">
        <f>G228</f>
        <v>12040</v>
      </c>
      <c r="M13" s="359">
        <f t="shared" si="3"/>
        <v>533.15680691454656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'[47]Sch B'!E27</f>
        <v>66421.289999999994</v>
      </c>
      <c r="D14" s="558">
        <f>'[47]Sch B'!G27</f>
        <v>0</v>
      </c>
      <c r="E14" s="171">
        <f t="shared" si="2"/>
        <v>66421.289999999994</v>
      </c>
      <c r="F14" s="415"/>
      <c r="G14" s="175">
        <f>E14+F14</f>
        <v>66421.289999999994</v>
      </c>
      <c r="H14" s="176">
        <f t="shared" si="1"/>
        <v>1.7510776748417892E-2</v>
      </c>
      <c r="I14" s="337"/>
      <c r="J14" s="370" t="s">
        <v>347</v>
      </c>
      <c r="K14" s="371">
        <f>G231</f>
        <v>58</v>
      </c>
      <c r="M14" s="359">
        <f t="shared" si="3"/>
        <v>381.73155172413789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'[47]Sch B'!E32</f>
        <v>0</v>
      </c>
      <c r="D15" s="558">
        <f>'[47]Sch B'!G32</f>
        <v>0</v>
      </c>
      <c r="E15" s="171">
        <f t="shared" si="2"/>
        <v>0</v>
      </c>
      <c r="F15" s="415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21228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'[47]Sch B'!E37</f>
        <v>177196.27000000002</v>
      </c>
      <c r="D16" s="558">
        <f>'[47]Sch B'!G37</f>
        <v>0</v>
      </c>
      <c r="E16" s="171">
        <f t="shared" si="2"/>
        <v>177196.27000000002</v>
      </c>
      <c r="F16" s="415"/>
      <c r="G16" s="171">
        <f t="shared" si="0"/>
        <v>177196.27000000002</v>
      </c>
      <c r="H16" s="172">
        <f t="shared" si="1"/>
        <v>4.6714604980155908E-2</v>
      </c>
      <c r="I16" s="336"/>
      <c r="J16" s="372"/>
      <c r="K16" s="371"/>
      <c r="M16" s="359">
        <f t="shared" si="3"/>
        <v>112.07860215053765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'[47]Sch B'!E42</f>
        <v>104674.87</v>
      </c>
      <c r="D17" s="558">
        <f>'[47]Sch B'!G42</f>
        <v>0</v>
      </c>
      <c r="E17" s="171">
        <f t="shared" si="2"/>
        <v>104674.87</v>
      </c>
      <c r="F17" s="415"/>
      <c r="G17" s="171">
        <f>E17+F17</f>
        <v>104674.87</v>
      </c>
      <c r="H17" s="172">
        <f t="shared" si="1"/>
        <v>2.759564410356477E-2</v>
      </c>
      <c r="I17" s="336"/>
      <c r="J17" s="370" t="s">
        <v>156</v>
      </c>
      <c r="K17" s="371">
        <f>J208</f>
        <v>86293.46</v>
      </c>
      <c r="M17" s="359">
        <f t="shared" si="3"/>
        <v>183.64012280701755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'[47]Sch B'!E47</f>
        <v>2881.23</v>
      </c>
      <c r="D18" s="558">
        <f>'[47]Sch B'!G47</f>
        <v>0</v>
      </c>
      <c r="E18" s="171">
        <f t="shared" si="2"/>
        <v>2881.23</v>
      </c>
      <c r="F18" s="415"/>
      <c r="G18" s="171">
        <f>E18+F18</f>
        <v>2881.23</v>
      </c>
      <c r="H18" s="172">
        <f t="shared" si="1"/>
        <v>7.5958439366119045E-4</v>
      </c>
      <c r="I18" s="336"/>
      <c r="J18" s="373" t="s">
        <v>252</v>
      </c>
      <c r="K18" s="374">
        <f>K208</f>
        <v>89993.087999999989</v>
      </c>
      <c r="M18" s="359">
        <f t="shared" si="3"/>
        <v>137.20142857142858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'[47]Sch B'!E52</f>
        <v>0</v>
      </c>
      <c r="D19" s="558">
        <f>'[47]Sch B'!G52</f>
        <v>0</v>
      </c>
      <c r="E19" s="171">
        <f t="shared" si="2"/>
        <v>0</v>
      </c>
      <c r="F19" s="415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'[47]Sch B'!E67</f>
        <v>11680.5</v>
      </c>
      <c r="D20" s="558">
        <f>'[47]Sch B'!G67</f>
        <v>-554.12</v>
      </c>
      <c r="E20" s="171">
        <f t="shared" si="2"/>
        <v>11126.38</v>
      </c>
      <c r="F20" s="415"/>
      <c r="G20" s="171">
        <f t="shared" si="0"/>
        <v>11126.38</v>
      </c>
      <c r="H20" s="172">
        <f t="shared" si="1"/>
        <v>2.9332696820260776E-3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3793720.5199999996</v>
      </c>
      <c r="D21" s="558">
        <f>SUM(D11:D20)</f>
        <v>-554.12</v>
      </c>
      <c r="E21" s="171">
        <f>SUM(E11:E20)</f>
        <v>3793166.3999999994</v>
      </c>
      <c r="F21" s="415">
        <f>SUM(F11:F20)</f>
        <v>0</v>
      </c>
      <c r="G21" s="171">
        <f>SUM(G11:G20)</f>
        <v>3793166.3999999994</v>
      </c>
      <c r="H21" s="172">
        <f t="shared" si="1"/>
        <v>1</v>
      </c>
      <c r="I21" s="336"/>
      <c r="J21" s="168"/>
      <c r="K21" s="168"/>
      <c r="M21" s="359">
        <f>IFERROR(G21/G228,0)</f>
        <v>315.04704318936871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431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'[47]Sch C'!D10</f>
        <v>144351.85999999999</v>
      </c>
      <c r="D25" s="558">
        <f>'[47]Sch C'!F10</f>
        <v>0</v>
      </c>
      <c r="E25" s="171">
        <f t="shared" ref="E25:E60" si="4">C25+D25</f>
        <v>144351.85999999999</v>
      </c>
      <c r="F25" s="415"/>
      <c r="G25" s="182">
        <f>E25+F25</f>
        <v>144351.85999999999</v>
      </c>
      <c r="H25" s="172">
        <f>IF($G$208=0,0,G25/$G$208)</f>
        <v>4.3655439493814799E-2</v>
      </c>
      <c r="I25" s="336"/>
      <c r="J25" s="183">
        <v>2080.0799999999995</v>
      </c>
      <c r="K25" s="183">
        <v>2080.0799999999995</v>
      </c>
      <c r="M25" s="359">
        <f>G25/G$228</f>
        <v>11.989357142857141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'[47]Sch C'!D11</f>
        <v>0</v>
      </c>
      <c r="D26" s="558">
        <f>'[47]Sch C'!F11</f>
        <v>0</v>
      </c>
      <c r="E26" s="171">
        <f t="shared" si="4"/>
        <v>0</v>
      </c>
      <c r="F26" s="415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'[47]Sch C'!D12</f>
        <v>57128.44</v>
      </c>
      <c r="D27" s="558">
        <f>'[47]Sch C'!F12</f>
        <v>0</v>
      </c>
      <c r="E27" s="171">
        <f t="shared" si="4"/>
        <v>57128.44</v>
      </c>
      <c r="F27" s="415"/>
      <c r="G27" s="171">
        <f t="shared" si="5"/>
        <v>57128.44</v>
      </c>
      <c r="H27" s="172">
        <f t="shared" si="6"/>
        <v>1.7277000488916661E-2</v>
      </c>
      <c r="I27" s="336"/>
      <c r="J27" s="185">
        <v>3868.69</v>
      </c>
      <c r="K27" s="185">
        <v>4069.69</v>
      </c>
      <c r="M27" s="359">
        <f t="shared" si="7"/>
        <v>4.7448870431893688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'[47]Sch C'!D13</f>
        <v>56439.859999999993</v>
      </c>
      <c r="D28" s="558">
        <f>'[47]Sch C'!F13</f>
        <v>0</v>
      </c>
      <c r="E28" s="171">
        <f t="shared" si="4"/>
        <v>56439.859999999993</v>
      </c>
      <c r="F28" s="415"/>
      <c r="G28" s="171">
        <f t="shared" si="5"/>
        <v>56439.859999999993</v>
      </c>
      <c r="H28" s="172">
        <f t="shared" si="6"/>
        <v>1.7068757501769484E-2</v>
      </c>
      <c r="I28" s="336"/>
      <c r="J28" s="168"/>
      <c r="K28" s="168"/>
      <c r="M28" s="359">
        <f t="shared" si="7"/>
        <v>4.6876960132890364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'[47]Sch C'!D14</f>
        <v>0</v>
      </c>
      <c r="D29" s="558">
        <f>'[47]Sch C'!F14</f>
        <v>0</v>
      </c>
      <c r="E29" s="171">
        <f t="shared" si="4"/>
        <v>0</v>
      </c>
      <c r="F29" s="415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'[47]Sch C'!D15</f>
        <v>311543.59000000003</v>
      </c>
      <c r="D30" s="558">
        <f>'[47]Sch C'!F15</f>
        <v>-311543.59000000003</v>
      </c>
      <c r="E30" s="171">
        <f t="shared" si="4"/>
        <v>0</v>
      </c>
      <c r="F30" s="415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'[47]Sch C'!D16</f>
        <v>0</v>
      </c>
      <c r="D31" s="558">
        <f>'[47]Sch C'!F16</f>
        <v>135514</v>
      </c>
      <c r="E31" s="171">
        <f t="shared" si="4"/>
        <v>135514</v>
      </c>
      <c r="F31" s="415"/>
      <c r="G31" s="171">
        <f t="shared" si="5"/>
        <v>135514</v>
      </c>
      <c r="H31" s="172">
        <f t="shared" si="6"/>
        <v>4.098266019963178E-2</v>
      </c>
      <c r="I31" s="336"/>
      <c r="J31" s="168"/>
      <c r="K31" s="168"/>
      <c r="M31" s="359">
        <f t="shared" si="7"/>
        <v>11.25531561461794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'[47]Sch C'!D17</f>
        <v>0</v>
      </c>
      <c r="D32" s="558">
        <f>'[47]Sch C'!F17</f>
        <v>0</v>
      </c>
      <c r="E32" s="171">
        <f t="shared" si="4"/>
        <v>0</v>
      </c>
      <c r="F32" s="415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'[47]Sch C'!D18</f>
        <v>19448.8</v>
      </c>
      <c r="D33" s="558">
        <f>'[47]Sch C'!F18</f>
        <v>0</v>
      </c>
      <c r="E33" s="171">
        <f t="shared" si="4"/>
        <v>19448.8</v>
      </c>
      <c r="F33" s="415"/>
      <c r="G33" s="171">
        <f t="shared" si="5"/>
        <v>19448.8</v>
      </c>
      <c r="H33" s="172">
        <f t="shared" si="6"/>
        <v>5.8817801975485822E-3</v>
      </c>
      <c r="I33" s="336"/>
      <c r="J33" s="168"/>
      <c r="K33" s="168"/>
      <c r="M33" s="359">
        <f t="shared" si="7"/>
        <v>1.6153488372093023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'[47]Sch C'!D19</f>
        <v>8721.24</v>
      </c>
      <c r="D34" s="558">
        <f>'[47]Sch C'!F19</f>
        <v>776</v>
      </c>
      <c r="E34" s="171">
        <f t="shared" si="4"/>
        <v>9497.24</v>
      </c>
      <c r="F34" s="415"/>
      <c r="G34" s="171">
        <f t="shared" si="5"/>
        <v>9497.24</v>
      </c>
      <c r="H34" s="172">
        <f t="shared" si="6"/>
        <v>2.872191506075763E-3</v>
      </c>
      <c r="I34" s="336"/>
      <c r="J34" s="168"/>
      <c r="K34" s="168"/>
      <c r="M34" s="359">
        <f t="shared" si="7"/>
        <v>0.78880730897009965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'[47]Sch C'!D20</f>
        <v>10959.82</v>
      </c>
      <c r="D35" s="558">
        <f>'[47]Sch C'!F20</f>
        <v>0</v>
      </c>
      <c r="E35" s="171">
        <f t="shared" si="4"/>
        <v>10959.82</v>
      </c>
      <c r="F35" s="415"/>
      <c r="G35" s="171">
        <f t="shared" si="5"/>
        <v>10959.82</v>
      </c>
      <c r="H35" s="172">
        <f t="shared" si="6"/>
        <v>3.3145105222274333E-3</v>
      </c>
      <c r="I35" s="336"/>
      <c r="J35" s="168"/>
      <c r="K35" s="168"/>
      <c r="M35" s="359">
        <f t="shared" si="7"/>
        <v>0.91028405315614613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'[47]Sch C'!D21</f>
        <v>44819.72</v>
      </c>
      <c r="D36" s="558">
        <f>'[47]Sch C'!F21</f>
        <v>23040</v>
      </c>
      <c r="E36" s="171">
        <f t="shared" si="4"/>
        <v>67859.72</v>
      </c>
      <c r="F36" s="415"/>
      <c r="G36" s="171">
        <f t="shared" si="5"/>
        <v>67859.72</v>
      </c>
      <c r="H36" s="172">
        <f t="shared" si="6"/>
        <v>2.0522395073587652E-2</v>
      </c>
      <c r="I36" s="336"/>
      <c r="J36" s="168"/>
      <c r="K36" s="168"/>
      <c r="M36" s="359">
        <f t="shared" si="7"/>
        <v>5.636189368770764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'[47]Sch C'!D22</f>
        <v>0</v>
      </c>
      <c r="D37" s="558">
        <f>'[47]Sch C'!F22</f>
        <v>0</v>
      </c>
      <c r="E37" s="171">
        <f t="shared" si="4"/>
        <v>0</v>
      </c>
      <c r="F37" s="415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'[47]Sch C'!D23</f>
        <v>16118.45</v>
      </c>
      <c r="D38" s="558">
        <f>'[47]Sch C'!F23</f>
        <v>20854</v>
      </c>
      <c r="E38" s="171">
        <f t="shared" si="4"/>
        <v>36972.449999999997</v>
      </c>
      <c r="F38" s="415"/>
      <c r="G38" s="171">
        <f t="shared" si="5"/>
        <v>36972.449999999997</v>
      </c>
      <c r="H38" s="172">
        <f t="shared" si="6"/>
        <v>1.118134919711525E-2</v>
      </c>
      <c r="I38" s="336"/>
      <c r="J38" s="168"/>
      <c r="K38" s="168"/>
      <c r="M38" s="359">
        <f t="shared" si="7"/>
        <v>3.0708014950166111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'[47]Sch C'!D24</f>
        <v>42740.520000000004</v>
      </c>
      <c r="D39" s="558">
        <f>'[47]Sch C'!F24</f>
        <v>0</v>
      </c>
      <c r="E39" s="171">
        <f t="shared" si="4"/>
        <v>42740.520000000004</v>
      </c>
      <c r="F39" s="415"/>
      <c r="G39" s="171">
        <f t="shared" si="5"/>
        <v>42740.520000000004</v>
      </c>
      <c r="H39" s="172">
        <f t="shared" si="6"/>
        <v>1.2925750903342579E-2</v>
      </c>
      <c r="I39" s="336"/>
      <c r="J39" s="168"/>
      <c r="K39" s="168"/>
      <c r="M39" s="359">
        <f t="shared" si="7"/>
        <v>3.5498770764119603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'[47]Sch C'!D25</f>
        <v>0</v>
      </c>
      <c r="D40" s="558">
        <f>'[47]Sch C'!F25</f>
        <v>0</v>
      </c>
      <c r="E40" s="171">
        <f t="shared" si="4"/>
        <v>0</v>
      </c>
      <c r="F40" s="415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'[47]Sch C'!D26</f>
        <v>160381.24</v>
      </c>
      <c r="D41" s="558">
        <f>'[47]Sch C'!F26</f>
        <v>138.6</v>
      </c>
      <c r="E41" s="171">
        <f t="shared" si="4"/>
        <v>160519.84</v>
      </c>
      <c r="F41" s="415"/>
      <c r="G41" s="171">
        <f t="shared" si="5"/>
        <v>160519.84</v>
      </c>
      <c r="H41" s="172">
        <f t="shared" si="6"/>
        <v>4.8545021606765805E-2</v>
      </c>
      <c r="I41" s="336"/>
      <c r="J41" s="168"/>
      <c r="K41" s="168"/>
      <c r="M41" s="359">
        <f t="shared" si="7"/>
        <v>13.332212624584717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'[47]Sch C'!D27</f>
        <v>2186.33</v>
      </c>
      <c r="D42" s="558">
        <f>'[47]Sch C'!F27</f>
        <v>5619.53</v>
      </c>
      <c r="E42" s="171">
        <f t="shared" si="4"/>
        <v>7805.86</v>
      </c>
      <c r="F42" s="415"/>
      <c r="G42" s="171">
        <f t="shared" si="5"/>
        <v>7805.86</v>
      </c>
      <c r="H42" s="172">
        <f t="shared" si="6"/>
        <v>2.3606779221770277E-3</v>
      </c>
      <c r="I42" s="336"/>
      <c r="J42" s="168"/>
      <c r="K42" s="168"/>
      <c r="M42" s="359">
        <f t="shared" si="7"/>
        <v>0.64832724252491691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'[47]Sch C'!D28</f>
        <v>0</v>
      </c>
      <c r="D43" s="558">
        <f>'[47]Sch C'!F28</f>
        <v>0</v>
      </c>
      <c r="E43" s="171">
        <f t="shared" si="4"/>
        <v>0</v>
      </c>
      <c r="F43" s="415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'[47]Sch C'!D29</f>
        <v>-9340.0199999999932</v>
      </c>
      <c r="D44" s="558">
        <f>'[47]Sch C'!F29</f>
        <v>9340.0199999999932</v>
      </c>
      <c r="E44" s="171">
        <f t="shared" si="4"/>
        <v>0</v>
      </c>
      <c r="F44" s="415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'[47]Sch C'!D30</f>
        <v>535.49</v>
      </c>
      <c r="D45" s="558">
        <f>'[47]Sch C'!F30</f>
        <v>-535.49</v>
      </c>
      <c r="E45" s="171">
        <f t="shared" si="4"/>
        <v>0</v>
      </c>
      <c r="F45" s="415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'[47]Sch C'!D31</f>
        <v>0</v>
      </c>
      <c r="D46" s="558">
        <f>'[47]Sch C'!F31</f>
        <v>0</v>
      </c>
      <c r="E46" s="171">
        <f t="shared" si="4"/>
        <v>0</v>
      </c>
      <c r="F46" s="415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'[47]Sch C'!D32</f>
        <v>71368.5</v>
      </c>
      <c r="D47" s="558">
        <f>'[47]Sch C'!F32</f>
        <v>3132</v>
      </c>
      <c r="E47" s="171">
        <f t="shared" si="4"/>
        <v>74500.5</v>
      </c>
      <c r="F47" s="415"/>
      <c r="G47" s="171">
        <f t="shared" si="5"/>
        <v>74500.5</v>
      </c>
      <c r="H47" s="172">
        <f t="shared" si="6"/>
        <v>2.2530725063112798E-2</v>
      </c>
      <c r="I47" s="336"/>
      <c r="J47" s="168"/>
      <c r="K47" s="168"/>
      <c r="M47" s="359">
        <f t="shared" si="7"/>
        <v>6.1877491694352162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'[47]Sch C'!D33</f>
        <v>0</v>
      </c>
      <c r="D48" s="558">
        <f>'[47]Sch C'!F33</f>
        <v>0</v>
      </c>
      <c r="E48" s="171">
        <f t="shared" si="4"/>
        <v>0</v>
      </c>
      <c r="F48" s="415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'[47]Sch C'!D34</f>
        <v>0</v>
      </c>
      <c r="D49" s="558">
        <f>'[47]Sch C'!F34</f>
        <v>0</v>
      </c>
      <c r="E49" s="171">
        <f t="shared" si="4"/>
        <v>0</v>
      </c>
      <c r="F49" s="415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'[47]Sch C'!D35</f>
        <v>13700</v>
      </c>
      <c r="D50" s="558">
        <f>'[47]Sch C'!F35</f>
        <v>-13700</v>
      </c>
      <c r="E50" s="171">
        <f t="shared" si="4"/>
        <v>0</v>
      </c>
      <c r="F50" s="415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'[47]Sch C'!D36</f>
        <v>0</v>
      </c>
      <c r="D51" s="558">
        <f>'[47]Sch C'!F36</f>
        <v>0</v>
      </c>
      <c r="E51" s="171">
        <f t="shared" si="4"/>
        <v>0</v>
      </c>
      <c r="F51" s="415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'[47]Sch C'!D37</f>
        <v>0</v>
      </c>
      <c r="D52" s="558">
        <f>'[47]Sch C'!F37</f>
        <v>0</v>
      </c>
      <c r="E52" s="171">
        <f t="shared" si="4"/>
        <v>0</v>
      </c>
      <c r="F52" s="415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'[47]Sch C'!D38</f>
        <v>0</v>
      </c>
      <c r="D53" s="558">
        <f>'[47]Sch C'!F38</f>
        <v>0</v>
      </c>
      <c r="E53" s="171">
        <f t="shared" si="4"/>
        <v>0</v>
      </c>
      <c r="F53" s="415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'[47]Sch C'!D39</f>
        <v>18503.919999999998</v>
      </c>
      <c r="D54" s="558">
        <f>'[47]Sch C'!F39</f>
        <v>2553</v>
      </c>
      <c r="E54" s="171">
        <f t="shared" si="4"/>
        <v>21056.92</v>
      </c>
      <c r="F54" s="415"/>
      <c r="G54" s="171">
        <f t="shared" si="5"/>
        <v>21056.92</v>
      </c>
      <c r="H54" s="172">
        <f t="shared" si="6"/>
        <v>6.3681139750197792E-3</v>
      </c>
      <c r="I54" s="336"/>
      <c r="J54" s="168"/>
      <c r="K54" s="168"/>
      <c r="M54" s="359">
        <f t="shared" si="7"/>
        <v>1.7489136212624583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'[47]Sch C'!D40</f>
        <v>17799.18</v>
      </c>
      <c r="D55" s="558">
        <f>'[47]Sch C'!F40</f>
        <v>-17799.18</v>
      </c>
      <c r="E55" s="171">
        <f t="shared" si="4"/>
        <v>0</v>
      </c>
      <c r="F55" s="415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'[47]Sch C'!D41</f>
        <v>20848.34</v>
      </c>
      <c r="D56" s="558">
        <f>'[47]Sch C'!F41</f>
        <v>14257</v>
      </c>
      <c r="E56" s="171">
        <f t="shared" si="4"/>
        <v>35105.339999999997</v>
      </c>
      <c r="F56" s="415"/>
      <c r="G56" s="171">
        <f t="shared" si="5"/>
        <v>35105.339999999997</v>
      </c>
      <c r="H56" s="172">
        <f t="shared" si="6"/>
        <v>1.0616690677070571E-2</v>
      </c>
      <c r="I56" s="336"/>
      <c r="J56" s="168"/>
      <c r="K56" s="168"/>
      <c r="M56" s="359">
        <f t="shared" si="7"/>
        <v>2.9157259136212623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'[47]Sch C'!D42</f>
        <v>737</v>
      </c>
      <c r="D57" s="558">
        <f>'[47]Sch C'!F42</f>
        <v>2276</v>
      </c>
      <c r="E57" s="171">
        <f t="shared" si="4"/>
        <v>3013</v>
      </c>
      <c r="F57" s="415"/>
      <c r="G57" s="171">
        <f t="shared" si="5"/>
        <v>3013</v>
      </c>
      <c r="H57" s="172">
        <f t="shared" si="6"/>
        <v>9.1120293978106E-4</v>
      </c>
      <c r="I57" s="336"/>
      <c r="J57" s="168"/>
      <c r="K57" s="168"/>
      <c r="M57" s="359">
        <f t="shared" si="7"/>
        <v>0.25024916943521597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'[47]Sch C'!D43</f>
        <v>0</v>
      </c>
      <c r="D58" s="558">
        <f>'[47]Sch C'!F43</f>
        <v>0</v>
      </c>
      <c r="E58" s="171">
        <f t="shared" si="4"/>
        <v>0</v>
      </c>
      <c r="F58" s="415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'[47]Sch C'!D44</f>
        <v>16</v>
      </c>
      <c r="D59" s="558">
        <f>'[47]Sch C'!F44</f>
        <v>0</v>
      </c>
      <c r="E59" s="171">
        <f t="shared" si="4"/>
        <v>16</v>
      </c>
      <c r="F59" s="415"/>
      <c r="G59" s="171">
        <f t="shared" si="5"/>
        <v>16</v>
      </c>
      <c r="H59" s="172">
        <f t="shared" si="6"/>
        <v>4.8387809613332092E-6</v>
      </c>
      <c r="I59" s="336"/>
      <c r="J59" s="168"/>
      <c r="K59" s="168"/>
      <c r="M59" s="359">
        <f t="shared" si="7"/>
        <v>1.3289036544850499E-3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'[47]Sch C'!D45</f>
        <v>717.51</v>
      </c>
      <c r="D60" s="558">
        <f>'[47]Sch C'!F45</f>
        <v>98</v>
      </c>
      <c r="E60" s="171">
        <f t="shared" si="4"/>
        <v>815.51</v>
      </c>
      <c r="F60" s="415"/>
      <c r="G60" s="171">
        <f t="shared" si="5"/>
        <v>815.51</v>
      </c>
      <c r="H60" s="172">
        <f t="shared" si="6"/>
        <v>2.4662964136105286E-4</v>
      </c>
      <c r="I60" s="336"/>
      <c r="J60" s="168"/>
      <c r="K60" s="168"/>
      <c r="M60" s="359">
        <f t="shared" si="7"/>
        <v>6.7733388704318942E-2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1009725.7899999999</v>
      </c>
      <c r="D61" s="558">
        <f>SUM(D25:D60)</f>
        <v>-125980.11000000004</v>
      </c>
      <c r="E61" s="171">
        <f t="shared" ref="E61:F61" si="8">SUM(E25:E60)</f>
        <v>883745.67999999993</v>
      </c>
      <c r="F61" s="171">
        <f t="shared" si="8"/>
        <v>0</v>
      </c>
      <c r="G61" s="171">
        <f>SUM(G25:G60)</f>
        <v>883745.67999999993</v>
      </c>
      <c r="H61" s="186">
        <f t="shared" si="6"/>
        <v>0.26726573569027939</v>
      </c>
      <c r="I61" s="338"/>
      <c r="J61" s="168"/>
      <c r="K61" s="168"/>
      <c r="M61" s="364">
        <f>G61/G$228</f>
        <v>73.400803986710955</v>
      </c>
      <c r="N61" s="359">
        <f>SUMMARY!J64</f>
        <v>53.728790309602623</v>
      </c>
      <c r="O61" s="354">
        <f>M61/N61-1</f>
        <v>0.3661354287664369</v>
      </c>
      <c r="P61"/>
      <c r="Q61"/>
    </row>
    <row r="62" spans="1:17" s="167" customFormat="1">
      <c r="A62" s="163"/>
      <c r="C62" s="165"/>
      <c r="D62" s="165"/>
      <c r="E62" s="165"/>
      <c r="F62" s="589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590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'[47]Sch C'!D57</f>
        <v>381060</v>
      </c>
      <c r="D64" s="558">
        <f>'[47]Sch C'!F57</f>
        <v>-381060</v>
      </c>
      <c r="E64" s="171">
        <f t="shared" ref="E64:E78" si="9">C64+D64</f>
        <v>0</v>
      </c>
      <c r="F64" s="415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'[47]Sch C'!D58</f>
        <v>1026.6599999999999</v>
      </c>
      <c r="D65" s="558">
        <f>'[47]Sch C'!F58</f>
        <v>27924</v>
      </c>
      <c r="E65" s="171">
        <f t="shared" si="9"/>
        <v>28950.66</v>
      </c>
      <c r="F65" s="415"/>
      <c r="G65" s="171">
        <f t="shared" si="10"/>
        <v>28950.66</v>
      </c>
      <c r="H65" s="172">
        <f t="shared" si="11"/>
        <v>8.7553689016269306E-3</v>
      </c>
      <c r="I65" s="336"/>
      <c r="J65" s="190"/>
      <c r="K65" s="168"/>
      <c r="M65" s="359">
        <f t="shared" si="12"/>
        <v>2.4045398671096345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'[47]Sch C'!D59</f>
        <v>0</v>
      </c>
      <c r="D66" s="558">
        <f>'[47]Sch C'!F59</f>
        <v>66803.92</v>
      </c>
      <c r="E66" s="171">
        <f t="shared" si="9"/>
        <v>66803.92</v>
      </c>
      <c r="F66" s="415"/>
      <c r="G66" s="171">
        <f t="shared" si="10"/>
        <v>66803.92</v>
      </c>
      <c r="H66" s="172">
        <f t="shared" si="11"/>
        <v>2.0203096014901674E-2</v>
      </c>
      <c r="I66" s="336"/>
      <c r="J66" s="190"/>
      <c r="K66" s="168"/>
      <c r="M66" s="359">
        <f t="shared" si="12"/>
        <v>5.5484983388704316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'[47]Sch C'!D60</f>
        <v>17025.310000000001</v>
      </c>
      <c r="D67" s="558">
        <f>'[47]Sch C'!F60</f>
        <v>-3921.79</v>
      </c>
      <c r="E67" s="171">
        <f t="shared" si="9"/>
        <v>13103.52</v>
      </c>
      <c r="F67" s="415"/>
      <c r="G67" s="171">
        <f t="shared" si="10"/>
        <v>13103.52</v>
      </c>
      <c r="H67" s="172">
        <f t="shared" si="11"/>
        <v>3.9628164439030585E-3</v>
      </c>
      <c r="I67" s="336"/>
      <c r="J67" s="193"/>
      <c r="K67" s="168"/>
      <c r="M67" s="359">
        <f t="shared" si="12"/>
        <v>1.0883322259136212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'[47]Sch C'!D61</f>
        <v>10677.36</v>
      </c>
      <c r="D68" s="558">
        <f>'[47]Sch C'!F61</f>
        <v>428</v>
      </c>
      <c r="E68" s="171">
        <f t="shared" si="9"/>
        <v>11105.36</v>
      </c>
      <c r="F68" s="415"/>
      <c r="G68" s="171">
        <f t="shared" si="10"/>
        <v>11105.36</v>
      </c>
      <c r="H68" s="172">
        <f t="shared" si="11"/>
        <v>3.3585252835469609E-3</v>
      </c>
      <c r="I68" s="336"/>
      <c r="J68" s="193"/>
      <c r="K68" s="168"/>
      <c r="M68" s="359">
        <f t="shared" si="12"/>
        <v>0.92237209302325585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'[47]Sch C'!D62</f>
        <v>0</v>
      </c>
      <c r="D69" s="558">
        <f>'[47]Sch C'!F62</f>
        <v>0</v>
      </c>
      <c r="E69" s="171">
        <f t="shared" si="9"/>
        <v>0</v>
      </c>
      <c r="F69" s="415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'[47]Sch C'!D63</f>
        <v>0</v>
      </c>
      <c r="D70" s="558">
        <f>'[47]Sch C'!F63</f>
        <v>0</v>
      </c>
      <c r="E70" s="171">
        <f t="shared" si="9"/>
        <v>0</v>
      </c>
      <c r="F70" s="415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'[47]Sch C'!D64</f>
        <v>0</v>
      </c>
      <c r="D71" s="558">
        <f>'[47]Sch C'!F64</f>
        <v>0</v>
      </c>
      <c r="E71" s="171">
        <f t="shared" si="9"/>
        <v>0</v>
      </c>
      <c r="F71" s="415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'[47]Sch C'!D65</f>
        <v>0</v>
      </c>
      <c r="D72" s="558">
        <f>'[47]Sch C'!F65</f>
        <v>0</v>
      </c>
      <c r="E72" s="171">
        <f t="shared" si="9"/>
        <v>0</v>
      </c>
      <c r="F72" s="415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'[47]Sch C'!D66</f>
        <v>0</v>
      </c>
      <c r="D73" s="558">
        <f>'[47]Sch C'!F66</f>
        <v>0</v>
      </c>
      <c r="E73" s="171">
        <f t="shared" si="9"/>
        <v>0</v>
      </c>
      <c r="F73" s="415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'[47]Sch C'!D67</f>
        <v>831.58</v>
      </c>
      <c r="D74" s="558">
        <f>'[47]Sch C'!F67</f>
        <v>28316.093541666665</v>
      </c>
      <c r="E74" s="171">
        <f t="shared" si="9"/>
        <v>29147.673541666667</v>
      </c>
      <c r="F74" s="415"/>
      <c r="G74" s="171">
        <f t="shared" si="10"/>
        <v>29147.673541666667</v>
      </c>
      <c r="H74" s="172">
        <f t="shared" si="11"/>
        <v>8.8149504875357741E-3</v>
      </c>
      <c r="I74" s="336"/>
      <c r="J74" s="195"/>
      <c r="K74" s="168"/>
      <c r="M74" s="359">
        <f t="shared" si="12"/>
        <v>2.4209031180786269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'[47]Sch C'!D68</f>
        <v>0</v>
      </c>
      <c r="D75" s="558">
        <f>'[47]Sch C'!F68</f>
        <v>0</v>
      </c>
      <c r="E75" s="171">
        <f t="shared" si="9"/>
        <v>0</v>
      </c>
      <c r="F75" s="415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'[47]Sch C'!D69</f>
        <v>0</v>
      </c>
      <c r="D76" s="558">
        <f>'[47]Sch C'!F69</f>
        <v>2762.13</v>
      </c>
      <c r="E76" s="171">
        <f t="shared" si="9"/>
        <v>2762.13</v>
      </c>
      <c r="F76" s="415"/>
      <c r="G76" s="171">
        <f t="shared" si="10"/>
        <v>2762.13</v>
      </c>
      <c r="H76" s="172">
        <f t="shared" si="11"/>
        <v>8.3533387854545617E-4</v>
      </c>
      <c r="I76" s="336"/>
      <c r="J76" s="195"/>
      <c r="K76" s="168"/>
      <c r="M76" s="359">
        <f t="shared" si="12"/>
        <v>0.22941279069767442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'[47]Sch C'!D70</f>
        <v>0</v>
      </c>
      <c r="D77" s="558">
        <f>'[47]Sch C'!F70</f>
        <v>0</v>
      </c>
      <c r="E77" s="171">
        <f t="shared" si="9"/>
        <v>0</v>
      </c>
      <c r="F77" s="415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'[47]Sch C'!D71</f>
        <v>0</v>
      </c>
      <c r="D78" s="558">
        <f>'[47]Sch C'!F71</f>
        <v>0</v>
      </c>
      <c r="E78" s="171">
        <f t="shared" si="9"/>
        <v>0</v>
      </c>
      <c r="F78" s="415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410620.91</v>
      </c>
      <c r="D79" s="558">
        <f>SUM(D64:D78)</f>
        <v>-258747.64645833333</v>
      </c>
      <c r="E79" s="171">
        <f t="shared" ref="E79:F79" si="13">SUM(E64:E78)</f>
        <v>151873.26354166667</v>
      </c>
      <c r="F79" s="171">
        <f t="shared" si="13"/>
        <v>0</v>
      </c>
      <c r="G79" s="171">
        <f>SUM(G64:G78)</f>
        <v>151873.26354166667</v>
      </c>
      <c r="H79" s="172">
        <f t="shared" si="11"/>
        <v>4.5930091010059855E-2</v>
      </c>
      <c r="I79" s="336"/>
      <c r="J79" s="195"/>
      <c r="K79" s="168"/>
      <c r="M79" s="359">
        <f t="shared" si="12"/>
        <v>12.614058433693245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419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422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'[47]Sch C'!D75</f>
        <v>34241.020000000004</v>
      </c>
      <c r="D82" s="558">
        <f>'[47]Sch C'!F75</f>
        <v>0</v>
      </c>
      <c r="E82" s="171">
        <f t="shared" ref="E82:E92" si="14">C82+D82</f>
        <v>34241.020000000004</v>
      </c>
      <c r="F82" s="415"/>
      <c r="G82" s="171">
        <f t="shared" ref="G82:G92" si="15">E82+F82</f>
        <v>34241.020000000004</v>
      </c>
      <c r="H82" s="172">
        <f t="shared" ref="H82:H93" si="16">IF($G$208=0,0,G82/$G$208)</f>
        <v>1.0355299729539354E-2</v>
      </c>
      <c r="I82" s="336"/>
      <c r="J82" s="183">
        <v>2606.5000000000005</v>
      </c>
      <c r="K82" s="183">
        <v>2758.5000000000005</v>
      </c>
      <c r="M82" s="359">
        <f t="shared" ref="M82:M92" si="17">G82/G$228</f>
        <v>2.8439385382059803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'[47]Sch C'!D76</f>
        <v>10146.93</v>
      </c>
      <c r="D83" s="558">
        <f>'[47]Sch C'!F76</f>
        <v>0</v>
      </c>
      <c r="E83" s="171">
        <f t="shared" si="14"/>
        <v>10146.93</v>
      </c>
      <c r="F83" s="415"/>
      <c r="G83" s="171">
        <f t="shared" si="15"/>
        <v>10146.93</v>
      </c>
      <c r="H83" s="172">
        <f t="shared" si="16"/>
        <v>3.0686732312487988E-3</v>
      </c>
      <c r="I83" s="336"/>
      <c r="J83" s="168"/>
      <c r="K83" s="168"/>
      <c r="M83" s="359">
        <f t="shared" si="17"/>
        <v>0.84276827242524921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'[47]Sch C'!D77</f>
        <v>21225.79</v>
      </c>
      <c r="D84" s="558">
        <f>'[47]Sch C'!F77</f>
        <v>0</v>
      </c>
      <c r="E84" s="171">
        <f t="shared" si="14"/>
        <v>21225.79</v>
      </c>
      <c r="F84" s="415"/>
      <c r="G84" s="171">
        <f t="shared" si="15"/>
        <v>21225.79</v>
      </c>
      <c r="H84" s="172">
        <f t="shared" si="16"/>
        <v>6.4191842838285515E-3</v>
      </c>
      <c r="I84" s="336"/>
      <c r="J84" s="168"/>
      <c r="K84" s="168"/>
      <c r="M84" s="359">
        <f t="shared" si="17"/>
        <v>1.7629393687707642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'[47]Sch C'!D78</f>
        <v>11220.08</v>
      </c>
      <c r="D85" s="558">
        <f>'[47]Sch C'!F78</f>
        <v>1108</v>
      </c>
      <c r="E85" s="171">
        <f t="shared" si="14"/>
        <v>12328.08</v>
      </c>
      <c r="F85" s="415"/>
      <c r="G85" s="171">
        <f t="shared" si="15"/>
        <v>12328.08</v>
      </c>
      <c r="H85" s="172">
        <f t="shared" si="16"/>
        <v>3.7283049246120445E-3</v>
      </c>
      <c r="I85" s="336"/>
      <c r="J85" s="168"/>
      <c r="K85" s="168"/>
      <c r="M85" s="359">
        <f t="shared" si="17"/>
        <v>1.0239269102990034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'[47]Sch C'!D79</f>
        <v>14790.7</v>
      </c>
      <c r="D86" s="558">
        <f>'[47]Sch C'!F79</f>
        <v>0</v>
      </c>
      <c r="E86" s="171">
        <f t="shared" si="14"/>
        <v>14790.7</v>
      </c>
      <c r="F86" s="415"/>
      <c r="G86" s="171">
        <f>E86+F86</f>
        <v>14790.7</v>
      </c>
      <c r="H86" s="172">
        <f t="shared" si="16"/>
        <v>4.4730598477994441E-3</v>
      </c>
      <c r="I86" s="336"/>
      <c r="J86" s="168"/>
      <c r="K86" s="168"/>
      <c r="M86" s="359">
        <f t="shared" si="17"/>
        <v>1.2284634551495017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'[47]Sch C'!D80</f>
        <v>25522.63</v>
      </c>
      <c r="D87" s="558">
        <f>'[47]Sch C'!F80</f>
        <v>0</v>
      </c>
      <c r="E87" s="171">
        <f t="shared" si="14"/>
        <v>25522.63</v>
      </c>
      <c r="F87" s="415"/>
      <c r="G87" s="171">
        <f t="shared" si="15"/>
        <v>25522.63</v>
      </c>
      <c r="H87" s="172">
        <f t="shared" si="16"/>
        <v>7.7186510079469885E-3</v>
      </c>
      <c r="I87" s="336"/>
      <c r="J87" s="168"/>
      <c r="K87" s="168"/>
      <c r="M87" s="359">
        <f t="shared" si="17"/>
        <v>2.1198197674418604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'[47]Sch C'!D81</f>
        <v>8771.81</v>
      </c>
      <c r="D88" s="558">
        <f>'[47]Sch C'!F81</f>
        <v>0</v>
      </c>
      <c r="E88" s="171">
        <f t="shared" si="14"/>
        <v>8771.81</v>
      </c>
      <c r="F88" s="415"/>
      <c r="G88" s="171">
        <f t="shared" si="15"/>
        <v>8771.81</v>
      </c>
      <c r="H88" s="172">
        <f t="shared" si="16"/>
        <v>2.6528042015270159E-3</v>
      </c>
      <c r="I88" s="336"/>
      <c r="J88" s="168"/>
      <c r="K88" s="168"/>
      <c r="M88" s="359">
        <f t="shared" si="17"/>
        <v>0.72855564784053151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'[47]Sch C'!D82</f>
        <v>0</v>
      </c>
      <c r="D89" s="558">
        <f>'[47]Sch C'!F82</f>
        <v>0</v>
      </c>
      <c r="E89" s="171">
        <f t="shared" si="14"/>
        <v>0</v>
      </c>
      <c r="F89" s="415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'[47]Sch C'!D83</f>
        <v>0</v>
      </c>
      <c r="D90" s="558">
        <f>'[47]Sch C'!F83</f>
        <v>0</v>
      </c>
      <c r="E90" s="171">
        <f t="shared" si="14"/>
        <v>0</v>
      </c>
      <c r="F90" s="415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'[47]Sch C'!D84</f>
        <v>65942.13</v>
      </c>
      <c r="D91" s="558">
        <f>'[47]Sch C'!F84</f>
        <v>625</v>
      </c>
      <c r="E91" s="171">
        <f t="shared" si="14"/>
        <v>66567.13</v>
      </c>
      <c r="F91" s="415"/>
      <c r="G91" s="171">
        <f t="shared" si="15"/>
        <v>66567.13</v>
      </c>
      <c r="H91" s="172">
        <f t="shared" si="16"/>
        <v>2.0131485080912045E-2</v>
      </c>
      <c r="I91" s="336"/>
      <c r="J91" s="168"/>
      <c r="K91" s="168"/>
      <c r="M91" s="359">
        <f t="shared" si="17"/>
        <v>5.5288313953488375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'[47]Sch C'!D85</f>
        <v>1224.21</v>
      </c>
      <c r="D92" s="558">
        <f>'[47]Sch C'!F85</f>
        <v>0</v>
      </c>
      <c r="E92" s="171">
        <f t="shared" si="14"/>
        <v>1224.21</v>
      </c>
      <c r="F92" s="415"/>
      <c r="G92" s="171">
        <f t="shared" si="15"/>
        <v>1224.21</v>
      </c>
      <c r="H92" s="172">
        <f t="shared" si="16"/>
        <v>3.7023025254210803E-4</v>
      </c>
      <c r="I92" s="336"/>
      <c r="J92" s="168"/>
      <c r="K92" s="168"/>
      <c r="M92" s="359">
        <f t="shared" si="17"/>
        <v>0.10167857142857144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193085.30000000002</v>
      </c>
      <c r="D93" s="558">
        <f>SUM(D82:D92)</f>
        <v>1733</v>
      </c>
      <c r="E93" s="171">
        <f t="shared" ref="E93:F93" si="18">SUM(E82:E92)</f>
        <v>194818.30000000002</v>
      </c>
      <c r="F93" s="171">
        <f t="shared" si="18"/>
        <v>0</v>
      </c>
      <c r="G93" s="171">
        <f>SUM(G82:G92)</f>
        <v>194818.30000000002</v>
      </c>
      <c r="H93" s="172">
        <f t="shared" si="16"/>
        <v>5.8917692559956353E-2</v>
      </c>
      <c r="I93" s="336"/>
      <c r="J93" s="168"/>
      <c r="K93" s="168"/>
      <c r="M93" s="364">
        <f>G93/G$228</f>
        <v>16.180921926910301</v>
      </c>
      <c r="N93" s="359">
        <f>SUMMARY!J96</f>
        <v>11.458724454710746</v>
      </c>
      <c r="O93" s="354">
        <f>M93/N93-1</f>
        <v>0.41210498523317174</v>
      </c>
      <c r="P93"/>
      <c r="Q93"/>
    </row>
    <row r="94" spans="1:17" s="167" customFormat="1">
      <c r="A94" s="163"/>
      <c r="C94" s="165"/>
      <c r="D94" s="165"/>
      <c r="E94" s="165"/>
      <c r="F94" s="422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422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'[47]Sch C'!D89</f>
        <v>101246.62</v>
      </c>
      <c r="D96" s="558">
        <f>'[47]Sch C'!F89</f>
        <v>0</v>
      </c>
      <c r="E96" s="171">
        <f t="shared" ref="E96:E101" si="19">C96+D96</f>
        <v>101246.62</v>
      </c>
      <c r="F96" s="415"/>
      <c r="G96" s="171">
        <f t="shared" ref="G96:G101" si="20">E96+F96</f>
        <v>101246.62</v>
      </c>
      <c r="H96" s="172">
        <f t="shared" ref="H96:H102" si="21">IF($G$208=0,0,G96/$G$208)</f>
        <v>3.0619388578458633E-2</v>
      </c>
      <c r="I96" s="336"/>
      <c r="J96" s="183">
        <v>10289.359999999999</v>
      </c>
      <c r="K96" s="183">
        <v>10682.759999999998</v>
      </c>
      <c r="M96" s="364">
        <f t="shared" ref="M96:M101" si="22">G96/G$228</f>
        <v>8.4091877076411965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'[47]Sch C'!D90</f>
        <v>32286.970000000005</v>
      </c>
      <c r="D97" s="558">
        <f>'[47]Sch C'!F90</f>
        <v>0</v>
      </c>
      <c r="E97" s="171">
        <f t="shared" si="19"/>
        <v>32286.970000000005</v>
      </c>
      <c r="F97" s="415"/>
      <c r="G97" s="171">
        <f t="shared" si="20"/>
        <v>32286.970000000005</v>
      </c>
      <c r="H97" s="172">
        <f t="shared" si="21"/>
        <v>9.7643484834460323E-3</v>
      </c>
      <c r="I97" s="336"/>
      <c r="J97" s="168"/>
      <c r="K97" s="168"/>
      <c r="M97" s="364">
        <f t="shared" si="22"/>
        <v>2.6816420265780736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'[47]Sch C'!D91</f>
        <v>14357.050000000001</v>
      </c>
      <c r="D98" s="558">
        <f>'[47]Sch C'!F91</f>
        <v>0</v>
      </c>
      <c r="E98" s="171">
        <f t="shared" si="19"/>
        <v>14357.050000000001</v>
      </c>
      <c r="F98" s="415"/>
      <c r="G98" s="171">
        <f t="shared" si="20"/>
        <v>14357.050000000001</v>
      </c>
      <c r="H98" s="172">
        <f t="shared" si="21"/>
        <v>4.3419137625568096E-3</v>
      </c>
      <c r="I98" s="336"/>
      <c r="J98" s="168"/>
      <c r="K98" s="168"/>
      <c r="M98" s="364">
        <f t="shared" si="22"/>
        <v>1.1924460132890367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'[47]Sch C'!D92</f>
        <v>90757.93</v>
      </c>
      <c r="D99" s="558">
        <f>'[47]Sch C'!F92</f>
        <v>-533.65</v>
      </c>
      <c r="E99" s="171">
        <f t="shared" si="19"/>
        <v>90224.28</v>
      </c>
      <c r="F99" s="415"/>
      <c r="G99" s="171">
        <f t="shared" si="20"/>
        <v>90224.28</v>
      </c>
      <c r="H99" s="172">
        <f t="shared" si="21"/>
        <v>2.7285970519624791E-2</v>
      </c>
      <c r="I99" s="336"/>
      <c r="J99" s="168"/>
      <c r="K99" s="168"/>
      <c r="M99" s="364">
        <f t="shared" si="22"/>
        <v>7.4937109634551495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'[47]Sch C'!D93</f>
        <v>3439.52</v>
      </c>
      <c r="D100" s="558">
        <f>'[47]Sch C'!F93</f>
        <v>0</v>
      </c>
      <c r="E100" s="171">
        <f t="shared" si="19"/>
        <v>3439.52</v>
      </c>
      <c r="F100" s="415"/>
      <c r="G100" s="171">
        <f t="shared" si="20"/>
        <v>3439.52</v>
      </c>
      <c r="H100" s="172">
        <f t="shared" si="21"/>
        <v>1.0401927432578E-3</v>
      </c>
      <c r="I100" s="336"/>
      <c r="J100" s="168"/>
      <c r="K100" s="168"/>
      <c r="M100" s="364">
        <f t="shared" si="22"/>
        <v>0.28567441860465115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'[47]Sch C'!D94</f>
        <v>6080.85</v>
      </c>
      <c r="D101" s="558">
        <f>'[47]Sch C'!F94</f>
        <v>0</v>
      </c>
      <c r="E101" s="171">
        <f t="shared" si="19"/>
        <v>6080.85</v>
      </c>
      <c r="F101" s="415"/>
      <c r="G101" s="171">
        <f t="shared" si="20"/>
        <v>6080.85</v>
      </c>
      <c r="H101" s="172">
        <f t="shared" si="21"/>
        <v>1.8389938255451905E-3</v>
      </c>
      <c r="I101" s="336"/>
      <c r="J101" s="168"/>
      <c r="K101" s="168"/>
      <c r="M101" s="364">
        <f t="shared" si="22"/>
        <v>0.50505398671096347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248168.93999999997</v>
      </c>
      <c r="D102" s="558">
        <f>SUM(D96:D101)</f>
        <v>-533.65</v>
      </c>
      <c r="E102" s="171">
        <f t="shared" ref="E102:F102" si="23">SUM(E96:E101)</f>
        <v>247635.28999999998</v>
      </c>
      <c r="F102" s="171">
        <f t="shared" si="23"/>
        <v>0</v>
      </c>
      <c r="G102" s="171">
        <f>SUM(G96:G101)</f>
        <v>247635.28999999998</v>
      </c>
      <c r="H102" s="172">
        <f t="shared" si="21"/>
        <v>7.4890807912889254E-2</v>
      </c>
      <c r="I102" s="336"/>
      <c r="J102" s="168"/>
      <c r="K102" s="168"/>
      <c r="M102" s="364">
        <f>G102/G$228</f>
        <v>20.567715116279068</v>
      </c>
      <c r="N102" s="359">
        <f>SUMMARY!J105</f>
        <v>19.901077037785338</v>
      </c>
      <c r="O102" s="354">
        <f>M102/N102-1</f>
        <v>3.3497587956069497E-2</v>
      </c>
      <c r="P102"/>
      <c r="Q102"/>
    </row>
    <row r="103" spans="1:17" s="167" customFormat="1">
      <c r="A103" s="163"/>
      <c r="C103" s="165"/>
      <c r="D103" s="165"/>
      <c r="E103" s="165"/>
      <c r="F103" s="422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422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'[47]Sch C'!D98</f>
        <v>27879.500000000004</v>
      </c>
      <c r="D105" s="558">
        <f>'[47]Sch C'!F98</f>
        <v>0</v>
      </c>
      <c r="E105" s="171">
        <f t="shared" ref="E105:E110" si="24">C105+D105</f>
        <v>27879.500000000004</v>
      </c>
      <c r="F105" s="415"/>
      <c r="G105" s="171">
        <f t="shared" ref="G105:G110" si="25">E105+F105</f>
        <v>27879.500000000004</v>
      </c>
      <c r="H105" s="172">
        <f t="shared" ref="H105:H111" si="26">IF($G$208=0,0,G105/$G$208)</f>
        <v>8.4314246132180769E-3</v>
      </c>
      <c r="I105" s="336"/>
      <c r="J105" s="183">
        <v>3372.11</v>
      </c>
      <c r="K105" s="183">
        <v>3436.11</v>
      </c>
      <c r="M105" s="364">
        <f t="shared" ref="M105:M110" si="27">G105/G$228</f>
        <v>2.315573089700997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'[47]Sch C'!D99</f>
        <v>8658.76</v>
      </c>
      <c r="D106" s="558">
        <f>'[47]Sch C'!F99</f>
        <v>0</v>
      </c>
      <c r="E106" s="171">
        <f t="shared" si="24"/>
        <v>8658.76</v>
      </c>
      <c r="F106" s="415"/>
      <c r="G106" s="171">
        <f t="shared" si="25"/>
        <v>8658.76</v>
      </c>
      <c r="H106" s="172">
        <f t="shared" si="26"/>
        <v>2.6186151897970964E-3</v>
      </c>
      <c r="I106" s="336"/>
      <c r="J106" s="168"/>
      <c r="K106" s="168"/>
      <c r="M106" s="364">
        <f t="shared" si="27"/>
        <v>0.71916611295681065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'[47]Sch C'!D100</f>
        <v>1410.92</v>
      </c>
      <c r="D107" s="558">
        <f>'[47]Sch C'!F100</f>
        <v>0</v>
      </c>
      <c r="E107" s="171">
        <f t="shared" si="24"/>
        <v>1410.92</v>
      </c>
      <c r="F107" s="415"/>
      <c r="G107" s="171">
        <f t="shared" si="25"/>
        <v>1410.92</v>
      </c>
      <c r="H107" s="172">
        <f t="shared" si="26"/>
        <v>4.2669580212276577E-4</v>
      </c>
      <c r="I107" s="336"/>
      <c r="J107" s="168"/>
      <c r="K107" s="168"/>
      <c r="M107" s="364">
        <f t="shared" si="27"/>
        <v>0.11718604651162791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'[47]Sch C'!D101</f>
        <v>3577.6400000000003</v>
      </c>
      <c r="D108" s="558">
        <f>'[47]Sch C'!F101</f>
        <v>0</v>
      </c>
      <c r="E108" s="171">
        <f t="shared" si="24"/>
        <v>3577.6400000000003</v>
      </c>
      <c r="F108" s="415"/>
      <c r="G108" s="171">
        <f t="shared" si="25"/>
        <v>3577.6400000000003</v>
      </c>
      <c r="H108" s="172">
        <f t="shared" si="26"/>
        <v>1.0819635199065091E-3</v>
      </c>
      <c r="I108" s="336"/>
      <c r="J108" s="168"/>
      <c r="K108" s="168"/>
      <c r="M108" s="364">
        <f t="shared" si="27"/>
        <v>0.29714617940199339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'[47]Sch C'!D102</f>
        <v>932.15000000000009</v>
      </c>
      <c r="D109" s="558">
        <f>'[47]Sch C'!F102</f>
        <v>0</v>
      </c>
      <c r="E109" s="171">
        <f t="shared" si="24"/>
        <v>932.15000000000009</v>
      </c>
      <c r="F109" s="415"/>
      <c r="G109" s="171">
        <f t="shared" si="25"/>
        <v>932.15000000000009</v>
      </c>
      <c r="H109" s="172">
        <f t="shared" si="26"/>
        <v>2.8190435456917196E-4</v>
      </c>
      <c r="I109" s="336"/>
      <c r="J109" s="168"/>
      <c r="K109" s="168"/>
      <c r="M109" s="364">
        <f t="shared" si="27"/>
        <v>7.7421096345514959E-2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'[47]Sch C'!D103</f>
        <v>54.75</v>
      </c>
      <c r="D110" s="558">
        <f>'[47]Sch C'!F103</f>
        <v>0</v>
      </c>
      <c r="E110" s="171">
        <f t="shared" si="24"/>
        <v>54.75</v>
      </c>
      <c r="F110" s="415"/>
      <c r="G110" s="171">
        <f t="shared" si="25"/>
        <v>54.75</v>
      </c>
      <c r="H110" s="172">
        <f t="shared" si="26"/>
        <v>1.6557703602062075E-5</v>
      </c>
      <c r="I110" s="336"/>
      <c r="J110" s="168"/>
      <c r="K110" s="168"/>
      <c r="M110" s="364">
        <f t="shared" si="27"/>
        <v>4.54734219269103E-3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42513.72</v>
      </c>
      <c r="D111" s="558">
        <f>SUM(D105:D110)</f>
        <v>0</v>
      </c>
      <c r="E111" s="171">
        <f t="shared" ref="E111:F111" si="28">SUM(E105:E110)</f>
        <v>42513.72</v>
      </c>
      <c r="F111" s="171">
        <f t="shared" si="28"/>
        <v>0</v>
      </c>
      <c r="G111" s="171">
        <f>SUM(G105:G110)</f>
        <v>42513.72</v>
      </c>
      <c r="H111" s="172">
        <f t="shared" si="26"/>
        <v>1.2857161183215681E-2</v>
      </c>
      <c r="I111" s="336"/>
      <c r="J111" s="168"/>
      <c r="K111" s="168"/>
      <c r="M111" s="364">
        <f>G111/G$228</f>
        <v>3.5310398671096346</v>
      </c>
      <c r="N111" s="359">
        <f>SUMMARY!J114</f>
        <v>2.4242384372309496</v>
      </c>
      <c r="O111" s="354">
        <f>M111/N111-1</f>
        <v>0.4565563406967974</v>
      </c>
      <c r="P111"/>
      <c r="Q111"/>
    </row>
    <row r="112" spans="1:17" s="167" customFormat="1">
      <c r="A112" s="163"/>
      <c r="C112" s="165"/>
      <c r="D112" s="165"/>
      <c r="E112" s="165"/>
      <c r="F112" s="422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422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'[47]Sch C'!D115</f>
        <v>28769.339999999997</v>
      </c>
      <c r="D114" s="558">
        <f>'[47]Sch C'!F115</f>
        <v>0</v>
      </c>
      <c r="E114" s="171">
        <f t="shared" ref="E114:E118" si="29">C114+D114</f>
        <v>28769.339999999997</v>
      </c>
      <c r="F114" s="415"/>
      <c r="G114" s="171">
        <f>E114+F114</f>
        <v>28769.339999999997</v>
      </c>
      <c r="H114" s="172">
        <f t="shared" ref="H114:H119" si="30">IF($G$208=0,0,G114/$G$208)</f>
        <v>8.700533416382621E-3</v>
      </c>
      <c r="I114" s="336"/>
      <c r="J114" s="183">
        <v>3009.1000000000004</v>
      </c>
      <c r="K114" s="183">
        <v>3152.1000000000004</v>
      </c>
      <c r="M114" s="364">
        <f t="shared" ref="M114:M119" si="31">G114/G$228</f>
        <v>2.3894800664451825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'[47]Sch C'!D116</f>
        <v>8738.99</v>
      </c>
      <c r="D115" s="558">
        <f>'[47]Sch C'!F116</f>
        <v>0</v>
      </c>
      <c r="E115" s="171">
        <f t="shared" si="29"/>
        <v>8738.99</v>
      </c>
      <c r="F115" s="415"/>
      <c r="G115" s="171">
        <f>E115+F115</f>
        <v>8738.99</v>
      </c>
      <c r="H115" s="172">
        <f t="shared" si="30"/>
        <v>2.6428786520800813E-3</v>
      </c>
      <c r="I115" s="336"/>
      <c r="J115" s="168"/>
      <c r="K115" s="168"/>
      <c r="M115" s="364">
        <f t="shared" si="31"/>
        <v>0.72582973421926911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'[47]Sch C'!D117</f>
        <v>9491.01</v>
      </c>
      <c r="D116" s="558">
        <f>'[47]Sch C'!F117</f>
        <v>0</v>
      </c>
      <c r="E116" s="171">
        <f t="shared" si="29"/>
        <v>9491.01</v>
      </c>
      <c r="F116" s="415"/>
      <c r="G116" s="171">
        <f>E116+F116</f>
        <v>9491.01</v>
      </c>
      <c r="H116" s="172">
        <f t="shared" si="30"/>
        <v>2.8703074057389441E-3</v>
      </c>
      <c r="I116" s="336"/>
      <c r="J116" s="168"/>
      <c r="K116" s="168"/>
      <c r="M116" s="364">
        <f t="shared" si="31"/>
        <v>0.78828986710963456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'[47]Sch C'!D118</f>
        <v>299.05</v>
      </c>
      <c r="D117" s="558">
        <f>'[47]Sch C'!F118</f>
        <v>0</v>
      </c>
      <c r="E117" s="171">
        <f t="shared" si="29"/>
        <v>299.05</v>
      </c>
      <c r="F117" s="415"/>
      <c r="G117" s="171">
        <f>E117+F117</f>
        <v>299.05</v>
      </c>
      <c r="H117" s="172">
        <f t="shared" si="30"/>
        <v>9.0439840405418521E-5</v>
      </c>
      <c r="I117" s="336"/>
      <c r="J117" s="168"/>
      <c r="K117" s="168"/>
      <c r="M117" s="364">
        <f t="shared" si="31"/>
        <v>2.4838039867109637E-2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'[47]Sch C'!D119</f>
        <v>689.5</v>
      </c>
      <c r="D118" s="558">
        <f>'[47]Sch C'!F119</f>
        <v>0</v>
      </c>
      <c r="E118" s="171">
        <f t="shared" si="29"/>
        <v>689.5</v>
      </c>
      <c r="F118" s="415"/>
      <c r="G118" s="171">
        <f>E118+F118</f>
        <v>689.5</v>
      </c>
      <c r="H118" s="172">
        <f t="shared" si="30"/>
        <v>2.08521217052453E-4</v>
      </c>
      <c r="I118" s="336"/>
      <c r="J118" s="168"/>
      <c r="K118" s="168"/>
      <c r="M118" s="364">
        <f t="shared" si="31"/>
        <v>5.7267441860465118E-2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47987.89</v>
      </c>
      <c r="D119" s="558">
        <f>SUM(D114:D118)</f>
        <v>0</v>
      </c>
      <c r="E119" s="171">
        <f t="shared" ref="E119:F119" si="32">SUM(E114:E118)</f>
        <v>47987.89</v>
      </c>
      <c r="F119" s="171">
        <f t="shared" si="32"/>
        <v>0</v>
      </c>
      <c r="G119" s="171">
        <f>SUM(G114:G118)</f>
        <v>47987.89</v>
      </c>
      <c r="H119" s="172">
        <f t="shared" si="30"/>
        <v>1.4512680531659519E-2</v>
      </c>
      <c r="I119" s="336"/>
      <c r="J119" s="168"/>
      <c r="K119" s="168"/>
      <c r="M119" s="364">
        <f t="shared" si="31"/>
        <v>3.9857051495016611</v>
      </c>
      <c r="N119" s="359">
        <f>SUMMARY!J122</f>
        <v>6.0247597205909562</v>
      </c>
      <c r="O119" s="354">
        <f>M119/N119-1</f>
        <v>-0.33844579131021157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419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'[47]Sch C'!D124</f>
        <v>66794.64</v>
      </c>
      <c r="D123" s="558">
        <f>'[47]Sch C'!F124</f>
        <v>0</v>
      </c>
      <c r="E123" s="171">
        <f t="shared" ref="E123:E127" si="33">C123+D123</f>
        <v>66794.64</v>
      </c>
      <c r="F123" s="415"/>
      <c r="G123" s="171">
        <f>E123+F123</f>
        <v>66794.64</v>
      </c>
      <c r="H123" s="172">
        <f>IF($G$208=0,0,G123/$G$208)</f>
        <v>2.0200289521944102E-2</v>
      </c>
      <c r="I123" s="336"/>
      <c r="J123" s="183">
        <v>2018.0799999999997</v>
      </c>
      <c r="K123" s="183">
        <v>2086.08</v>
      </c>
      <c r="M123" s="364">
        <f t="shared" ref="M123:M160" si="34">G123/G$228</f>
        <v>5.5477275747508301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'[47]Sch C'!D125</f>
        <v>63281.720000000008</v>
      </c>
      <c r="D124" s="558">
        <f>'[47]Sch C'!F125</f>
        <v>0</v>
      </c>
      <c r="E124" s="171">
        <f t="shared" si="33"/>
        <v>63281.720000000008</v>
      </c>
      <c r="F124" s="415"/>
      <c r="G124" s="171">
        <f>E124+F124</f>
        <v>63281.720000000008</v>
      </c>
      <c r="H124" s="172">
        <f>IF($G$208=0,0,G124/$G$208)</f>
        <v>1.9137898871026189E-2</v>
      </c>
      <c r="I124" s="336"/>
      <c r="J124" s="183">
        <v>2330.2799999999997</v>
      </c>
      <c r="K124" s="183">
        <v>2417.2799999999997</v>
      </c>
      <c r="M124" s="364">
        <f t="shared" si="34"/>
        <v>5.25595681063123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'[47]Sch C'!D126</f>
        <v>0</v>
      </c>
      <c r="D125" s="558">
        <f>'[47]Sch C'!F126</f>
        <v>0</v>
      </c>
      <c r="E125" s="171">
        <f t="shared" si="33"/>
        <v>0</v>
      </c>
      <c r="F125" s="415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'[47]Sch C'!D127</f>
        <v>0</v>
      </c>
      <c r="D126" s="558">
        <f>'[47]Sch C'!F127</f>
        <v>0</v>
      </c>
      <c r="E126" s="171">
        <f t="shared" si="33"/>
        <v>0</v>
      </c>
      <c r="F126" s="415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'[47]Sch C'!D128</f>
        <v>28873.199999999997</v>
      </c>
      <c r="D127" s="558">
        <f>'[47]Sch C'!F128</f>
        <v>21263</v>
      </c>
      <c r="E127" s="171">
        <f t="shared" si="33"/>
        <v>50136.2</v>
      </c>
      <c r="F127" s="415"/>
      <c r="G127" s="171">
        <f>E127+F127</f>
        <v>50136.2</v>
      </c>
      <c r="H127" s="172">
        <f>IF($G$208=0,0,G127/$G$208)</f>
        <v>1.5162380627099627E-2</v>
      </c>
      <c r="I127" s="336"/>
      <c r="J127" s="183">
        <v>2023.9899999999998</v>
      </c>
      <c r="K127" s="183">
        <v>2178.5899999999997</v>
      </c>
      <c r="M127" s="364">
        <f t="shared" si="34"/>
        <v>4.1641362126245847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419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'[47]Sch C'!D130</f>
        <v>17098.949266300177</v>
      </c>
      <c r="D129" s="558">
        <f>'[47]Sch C'!F130</f>
        <v>0</v>
      </c>
      <c r="E129" s="171">
        <f t="shared" ref="E129:E133" si="35">C129+D129</f>
        <v>17098.949266300177</v>
      </c>
      <c r="F129" s="415"/>
      <c r="G129" s="171">
        <f>E129+F129</f>
        <v>17098.949266300177</v>
      </c>
      <c r="H129" s="172">
        <f>IF($G$208=0,0,G129/$G$208)</f>
        <v>5.1711293855359842E-3</v>
      </c>
      <c r="I129" s="336"/>
      <c r="J129" s="204"/>
      <c r="K129" s="204"/>
      <c r="M129" s="364">
        <f t="shared" si="34"/>
        <v>1.420178510490048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'[47]Sch C'!D131</f>
        <v>16199.666915851532</v>
      </c>
      <c r="D130" s="558">
        <f>'[47]Sch C'!F131</f>
        <v>0</v>
      </c>
      <c r="E130" s="171">
        <f t="shared" si="35"/>
        <v>16199.666915851532</v>
      </c>
      <c r="F130" s="415"/>
      <c r="G130" s="171">
        <f>E130+F130</f>
        <v>16199.666915851532</v>
      </c>
      <c r="H130" s="172">
        <f>IF($G$208=0,0,G130/$G$208)</f>
        <v>4.8991649907726168E-3</v>
      </c>
      <c r="I130" s="336"/>
      <c r="J130" s="204"/>
      <c r="K130" s="204"/>
      <c r="M130" s="364">
        <f t="shared" si="34"/>
        <v>1.3454872853697286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'[47]Sch C'!D132</f>
        <v>0</v>
      </c>
      <c r="D131" s="558">
        <f>'[47]Sch C'!F132</f>
        <v>0</v>
      </c>
      <c r="E131" s="171">
        <f t="shared" si="35"/>
        <v>0</v>
      </c>
      <c r="F131" s="415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'[47]Sch C'!D133</f>
        <v>0</v>
      </c>
      <c r="D132" s="558">
        <f>'[47]Sch C'!F133</f>
        <v>0</v>
      </c>
      <c r="E132" s="171">
        <f t="shared" si="35"/>
        <v>0</v>
      </c>
      <c r="F132" s="415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'[47]Sch C'!D134</f>
        <v>6157.369999999999</v>
      </c>
      <c r="D133" s="558">
        <f>'[47]Sch C'!F134</f>
        <v>0</v>
      </c>
      <c r="E133" s="171">
        <f t="shared" si="35"/>
        <v>6157.369999999999</v>
      </c>
      <c r="F133" s="415"/>
      <c r="G133" s="171">
        <f>E133+F133</f>
        <v>6157.369999999999</v>
      </c>
      <c r="H133" s="172">
        <f>IF($G$208=0,0,G133/$G$208)</f>
        <v>1.8621352954927661E-3</v>
      </c>
      <c r="I133" s="336"/>
      <c r="J133" s="168"/>
      <c r="K133" s="168"/>
      <c r="M133" s="364">
        <f t="shared" si="34"/>
        <v>0.51140946843853807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419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'[47]Sch C'!D136</f>
        <v>257583.26000000004</v>
      </c>
      <c r="D135" s="558">
        <f>'[47]Sch C'!F136</f>
        <v>0</v>
      </c>
      <c r="E135" s="171">
        <f t="shared" ref="E135:E138" si="36">C135+D135</f>
        <v>257583.26000000004</v>
      </c>
      <c r="F135" s="415"/>
      <c r="G135" s="171">
        <f>E135+F135</f>
        <v>257583.26000000004</v>
      </c>
      <c r="H135" s="172">
        <f>IF($G$208=0,0,G135/$G$208)</f>
        <v>7.7899310902883892E-2</v>
      </c>
      <c r="I135" s="336"/>
      <c r="J135" s="183">
        <v>10548.229999999998</v>
      </c>
      <c r="K135" s="183">
        <v>11016.229999999998</v>
      </c>
      <c r="M135" s="364">
        <f t="shared" si="34"/>
        <v>21.393958471760801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'[47]Sch C'!D137</f>
        <v>92091.02</v>
      </c>
      <c r="D136" s="558">
        <f>'[47]Sch C'!F137</f>
        <v>0</v>
      </c>
      <c r="E136" s="171">
        <f t="shared" si="36"/>
        <v>92091.02</v>
      </c>
      <c r="F136" s="415"/>
      <c r="G136" s="171">
        <f>E136+F136</f>
        <v>92091.02</v>
      </c>
      <c r="H136" s="172">
        <f>IF($G$208=0,0,G136/$G$208)</f>
        <v>2.785051714285974E-2</v>
      </c>
      <c r="I136" s="336"/>
      <c r="J136" s="183">
        <v>5327.8700000000008</v>
      </c>
      <c r="K136" s="183">
        <v>5431.8700000000008</v>
      </c>
      <c r="M136" s="364">
        <f t="shared" si="34"/>
        <v>7.648755813953489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'[47]Sch C'!D138</f>
        <v>189599.47000000003</v>
      </c>
      <c r="D137" s="558">
        <f>'[47]Sch C'!F138</f>
        <v>0</v>
      </c>
      <c r="E137" s="171">
        <f t="shared" si="36"/>
        <v>189599.47000000003</v>
      </c>
      <c r="F137" s="415"/>
      <c r="G137" s="171">
        <f>E137+F137</f>
        <v>189599.47000000003</v>
      </c>
      <c r="H137" s="172">
        <f>IF($G$208=0,0,G137/$G$208)</f>
        <v>5.7339394107179198E-2</v>
      </c>
      <c r="I137" s="336"/>
      <c r="J137" s="183">
        <v>17317.730000000003</v>
      </c>
      <c r="K137" s="183">
        <v>18106.730000000003</v>
      </c>
      <c r="M137" s="364">
        <f t="shared" si="34"/>
        <v>15.747464285714289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'[47]Sch C'!D139</f>
        <v>93239.279999999984</v>
      </c>
      <c r="D138" s="558">
        <f>'[47]Sch C'!F139</f>
        <v>0</v>
      </c>
      <c r="E138" s="171">
        <f t="shared" si="36"/>
        <v>93239.279999999984</v>
      </c>
      <c r="F138" s="415"/>
      <c r="G138" s="171">
        <f>E138+F138</f>
        <v>93239.279999999984</v>
      </c>
      <c r="H138" s="172">
        <f>IF($G$208=0,0,G138/$G$208)</f>
        <v>2.8197778307026012E-2</v>
      </c>
      <c r="I138" s="336"/>
      <c r="J138" s="183">
        <v>7382.54</v>
      </c>
      <c r="K138" s="183">
        <v>7606.54</v>
      </c>
      <c r="M138" s="364">
        <f t="shared" si="34"/>
        <v>7.7441262458471751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419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'[47]Sch C'!D141</f>
        <v>65939.469014103655</v>
      </c>
      <c r="D140" s="558">
        <f>'[47]Sch C'!F141</f>
        <v>0</v>
      </c>
      <c r="E140" s="171">
        <f t="shared" ref="E140:E143" si="37">C140+D140</f>
        <v>65939.469014103655</v>
      </c>
      <c r="F140" s="415"/>
      <c r="G140" s="171">
        <f>E140+F140</f>
        <v>65939.469014103655</v>
      </c>
      <c r="H140" s="172">
        <f>IF($G$208=0,0,G140/$G$208)</f>
        <v>1.9941665454116617E-2</v>
      </c>
      <c r="I140" s="336"/>
      <c r="J140" s="168"/>
      <c r="K140" s="168"/>
      <c r="M140" s="364">
        <f t="shared" si="34"/>
        <v>5.4767000842278781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'[47]Sch C'!D142</f>
        <v>23574.64130148519</v>
      </c>
      <c r="D141" s="558">
        <f>'[47]Sch C'!F142</f>
        <v>0</v>
      </c>
      <c r="E141" s="171">
        <f t="shared" si="37"/>
        <v>23574.64130148519</v>
      </c>
      <c r="F141" s="415"/>
      <c r="G141" s="171">
        <f>E141+F141</f>
        <v>23574.64130148519</v>
      </c>
      <c r="H141" s="172">
        <f>IF($G$208=0,0,G141/$G$208)</f>
        <v>7.1295328437428803E-3</v>
      </c>
      <c r="I141" s="336"/>
      <c r="J141" s="168"/>
      <c r="K141" s="168"/>
      <c r="M141" s="364">
        <f t="shared" si="34"/>
        <v>1.9580266861698663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'[47]Sch C'!D143</f>
        <v>48536.105867887047</v>
      </c>
      <c r="D142" s="558">
        <f>'[47]Sch C'!F143</f>
        <v>0</v>
      </c>
      <c r="E142" s="171">
        <f t="shared" si="37"/>
        <v>48536.105867887047</v>
      </c>
      <c r="F142" s="415"/>
      <c r="G142" s="171">
        <f>E142+F142</f>
        <v>48536.105867887047</v>
      </c>
      <c r="H142" s="172">
        <f>IF($G$208=0,0,G142/$G$208)</f>
        <v>1.4678474063174057E-2</v>
      </c>
      <c r="I142" s="336"/>
      <c r="J142" s="168"/>
      <c r="K142" s="168"/>
      <c r="M142" s="364">
        <f t="shared" si="34"/>
        <v>4.0312380288942729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'[47]Sch C'!D144</f>
        <v>23868.587634372405</v>
      </c>
      <c r="D143" s="558">
        <f>'[47]Sch C'!F144</f>
        <v>0</v>
      </c>
      <c r="E143" s="171">
        <f t="shared" si="37"/>
        <v>23868.587634372405</v>
      </c>
      <c r="F143" s="415"/>
      <c r="G143" s="171">
        <f>E143+F143</f>
        <v>23868.587634372405</v>
      </c>
      <c r="H143" s="172">
        <f>IF($G$208=0,0,G143/$G$208)</f>
        <v>7.2184292136946533E-3</v>
      </c>
      <c r="I143" s="336"/>
      <c r="J143" s="168"/>
      <c r="K143" s="168"/>
      <c r="M143" s="364">
        <f t="shared" si="34"/>
        <v>1.9824408334196351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419"/>
      <c r="G144" s="196"/>
      <c r="H144" s="197"/>
      <c r="I144" s="336"/>
      <c r="J144" s="204"/>
      <c r="K144" s="204"/>
      <c r="M144" s="364"/>
      <c r="N144" s="359"/>
      <c r="O144" s="167" t="s">
        <v>464</v>
      </c>
      <c r="P144"/>
      <c r="Q144"/>
    </row>
    <row r="145" spans="1:17" s="167" customFormat="1">
      <c r="A145" s="169"/>
      <c r="B145" s="163" t="s">
        <v>232</v>
      </c>
      <c r="C145" s="558">
        <f>'[47]Sch C'!D146</f>
        <v>24967.760000000002</v>
      </c>
      <c r="D145" s="558">
        <f>'[47]Sch C'!F146</f>
        <v>0</v>
      </c>
      <c r="E145" s="171">
        <f t="shared" ref="E145:E153" si="38">C145+D145</f>
        <v>24967.760000000002</v>
      </c>
      <c r="F145" s="415"/>
      <c r="G145" s="171">
        <f t="shared" ref="G145:G153" si="39">E145+F145</f>
        <v>24967.760000000002</v>
      </c>
      <c r="H145" s="172">
        <f t="shared" ref="H145:H153" si="40">IF($G$208=0,0,G145/$G$208)</f>
        <v>7.5508451084460538E-3</v>
      </c>
      <c r="I145" s="336"/>
      <c r="J145" s="183" t="s">
        <v>395</v>
      </c>
      <c r="K145" s="183" t="s">
        <v>395</v>
      </c>
      <c r="M145" s="364">
        <f t="shared" si="34"/>
        <v>2.0737342192691033</v>
      </c>
      <c r="N145" s="359">
        <f>SUMMARY!J148</f>
        <v>1.6451259729597054</v>
      </c>
      <c r="O145" s="486">
        <v>0</v>
      </c>
      <c r="P145"/>
      <c r="Q145"/>
    </row>
    <row r="146" spans="1:17" s="167" customFormat="1">
      <c r="A146" s="169"/>
      <c r="B146" s="163" t="s">
        <v>194</v>
      </c>
      <c r="C146" s="558">
        <f>'[47]Sch C'!D147</f>
        <v>0</v>
      </c>
      <c r="D146" s="558">
        <f>'[47]Sch C'!F147</f>
        <v>0</v>
      </c>
      <c r="E146" s="171">
        <f t="shared" si="38"/>
        <v>0</v>
      </c>
      <c r="F146" s="415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O146" s="486">
        <v>0</v>
      </c>
      <c r="P146"/>
      <c r="Q146"/>
    </row>
    <row r="147" spans="1:17" s="167" customFormat="1">
      <c r="A147" s="169"/>
      <c r="B147" s="163" t="s">
        <v>195</v>
      </c>
      <c r="C147" s="558">
        <f>'[47]Sch C'!D148</f>
        <v>0</v>
      </c>
      <c r="D147" s="558">
        <f>'[47]Sch C'!F148</f>
        <v>0</v>
      </c>
      <c r="E147" s="171">
        <f t="shared" si="38"/>
        <v>0</v>
      </c>
      <c r="F147" s="415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O147" s="486">
        <v>0</v>
      </c>
      <c r="P147"/>
      <c r="Q147"/>
    </row>
    <row r="148" spans="1:17" s="167" customFormat="1">
      <c r="A148" s="169"/>
      <c r="B148" s="163" t="s">
        <v>196</v>
      </c>
      <c r="C148" s="558">
        <f>'[47]Sch C'!D149</f>
        <v>0</v>
      </c>
      <c r="D148" s="558">
        <f>'[47]Sch C'!F149</f>
        <v>0</v>
      </c>
      <c r="E148" s="171">
        <f t="shared" si="38"/>
        <v>0</v>
      </c>
      <c r="F148" s="415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O148" s="486">
        <v>0</v>
      </c>
      <c r="P148"/>
      <c r="Q148"/>
    </row>
    <row r="149" spans="1:17" s="167" customFormat="1">
      <c r="A149" s="169"/>
      <c r="B149" s="163" t="s">
        <v>197</v>
      </c>
      <c r="C149" s="558">
        <f>'[47]Sch C'!D150</f>
        <v>1259.7</v>
      </c>
      <c r="D149" s="558">
        <f>'[47]Sch C'!F150</f>
        <v>0</v>
      </c>
      <c r="E149" s="171">
        <f t="shared" si="38"/>
        <v>1259.7</v>
      </c>
      <c r="F149" s="415"/>
      <c r="G149" s="171">
        <f t="shared" si="39"/>
        <v>1259.7</v>
      </c>
      <c r="H149" s="172">
        <f t="shared" si="40"/>
        <v>3.8096327356196524E-4</v>
      </c>
      <c r="I149" s="336"/>
      <c r="J149" s="183" t="s">
        <v>499</v>
      </c>
      <c r="K149" s="183" t="s">
        <v>499</v>
      </c>
      <c r="M149" s="364">
        <f t="shared" si="34"/>
        <v>0.10462624584717609</v>
      </c>
      <c r="N149" s="359">
        <f>SUMMARY!J152</f>
        <v>0.63962211863516594</v>
      </c>
      <c r="O149" s="486">
        <v>0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'[47]Sch C'!D151</f>
        <v>77154.64</v>
      </c>
      <c r="D150" s="558">
        <f>'[47]Sch C'!F151</f>
        <v>0</v>
      </c>
      <c r="E150" s="171">
        <f t="shared" si="38"/>
        <v>77154.64</v>
      </c>
      <c r="F150" s="415"/>
      <c r="G150" s="171">
        <f t="shared" si="39"/>
        <v>77154.64</v>
      </c>
      <c r="H150" s="172">
        <f t="shared" si="40"/>
        <v>2.3333400194407355E-2</v>
      </c>
      <c r="I150" s="336"/>
      <c r="J150" s="168"/>
      <c r="K150" s="168"/>
      <c r="M150" s="364">
        <f t="shared" si="34"/>
        <v>6.4081926910299005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'[47]Sch C'!D152</f>
        <v>558.38</v>
      </c>
      <c r="D151" s="558">
        <f>'[47]Sch C'!F152</f>
        <v>0</v>
      </c>
      <c r="E151" s="171">
        <f t="shared" si="38"/>
        <v>558.38</v>
      </c>
      <c r="F151" s="415"/>
      <c r="G151" s="171">
        <f t="shared" si="39"/>
        <v>558.38</v>
      </c>
      <c r="H151" s="172">
        <f t="shared" si="40"/>
        <v>1.6886740707432733E-4</v>
      </c>
      <c r="I151" s="336"/>
      <c r="J151" s="168"/>
      <c r="K151" s="168"/>
      <c r="M151" s="364">
        <f t="shared" si="34"/>
        <v>4.6377076411960136E-2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'[47]Sch C'!D153</f>
        <v>0</v>
      </c>
      <c r="D152" s="558">
        <f>'[47]Sch C'!F153</f>
        <v>0</v>
      </c>
      <c r="E152" s="171">
        <f t="shared" si="38"/>
        <v>0</v>
      </c>
      <c r="F152" s="415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'[47]Sch C'!D154</f>
        <v>0</v>
      </c>
      <c r="D153" s="558">
        <f>'[47]Sch C'!F154</f>
        <v>0</v>
      </c>
      <c r="E153" s="171">
        <f t="shared" si="38"/>
        <v>0</v>
      </c>
      <c r="F153" s="415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42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'[47]Sch C'!D156</f>
        <v>0</v>
      </c>
      <c r="D155" s="558">
        <f>'[47]Sch C'!F156</f>
        <v>0</v>
      </c>
      <c r="E155" s="171">
        <f t="shared" ref="E155:E160" si="41">C155+D155</f>
        <v>0</v>
      </c>
      <c r="F155" s="415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'[47]Sch C'!D157</f>
        <v>0</v>
      </c>
      <c r="D156" s="558">
        <f>'[47]Sch C'!F157</f>
        <v>0</v>
      </c>
      <c r="E156" s="171">
        <f t="shared" si="41"/>
        <v>0</v>
      </c>
      <c r="F156" s="415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'[47]Sch C'!D158</f>
        <v>0</v>
      </c>
      <c r="D157" s="558">
        <f>'[47]Sch C'!F158</f>
        <v>0</v>
      </c>
      <c r="E157" s="171">
        <f t="shared" si="41"/>
        <v>0</v>
      </c>
      <c r="F157" s="415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'[47]Sch C'!D159</f>
        <v>0</v>
      </c>
      <c r="D158" s="558">
        <f>'[47]Sch C'!F159</f>
        <v>0</v>
      </c>
      <c r="E158" s="171">
        <f t="shared" si="41"/>
        <v>0</v>
      </c>
      <c r="F158" s="415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'[47]Sch C'!D160</f>
        <v>20.78</v>
      </c>
      <c r="D159" s="558">
        <f>'[47]Sch C'!F160</f>
        <v>0</v>
      </c>
      <c r="E159" s="171">
        <f t="shared" si="41"/>
        <v>20.78</v>
      </c>
      <c r="F159" s="415"/>
      <c r="G159" s="171">
        <f t="shared" si="42"/>
        <v>20.78</v>
      </c>
      <c r="H159" s="172">
        <f>IF($G$208=0,0,G159/$G$208)</f>
        <v>6.2843667735315064E-6</v>
      </c>
      <c r="I159" s="336"/>
      <c r="J159" s="168"/>
      <c r="K159" s="168"/>
      <c r="M159" s="364">
        <f t="shared" si="34"/>
        <v>1.7259136212624585E-3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'[47]Sch C'!D161</f>
        <v>5127.18</v>
      </c>
      <c r="D160" s="558">
        <f>'[47]Sch C'!F161</f>
        <v>0</v>
      </c>
      <c r="E160" s="171">
        <f t="shared" si="41"/>
        <v>5127.18</v>
      </c>
      <c r="F160" s="415"/>
      <c r="G160" s="171">
        <f t="shared" si="42"/>
        <v>5127.18</v>
      </c>
      <c r="H160" s="172">
        <f t="shared" si="43"/>
        <v>1.5505813105830253E-3</v>
      </c>
      <c r="I160" s="336"/>
      <c r="J160" s="168"/>
      <c r="K160" s="168"/>
      <c r="M160" s="364">
        <f t="shared" si="34"/>
        <v>0.42584551495016615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1101925.82</v>
      </c>
      <c r="D161" s="558">
        <f>SUM(D123:D160)</f>
        <v>21263</v>
      </c>
      <c r="E161" s="171">
        <f t="shared" ref="E161:F161" si="44">SUM(E123:E160)</f>
        <v>1123188.82</v>
      </c>
      <c r="F161" s="171">
        <f t="shared" si="44"/>
        <v>0</v>
      </c>
      <c r="G161" s="171">
        <f>SUM(G123:G160)</f>
        <v>1123188.82</v>
      </c>
      <c r="H161" s="172">
        <f t="shared" si="43"/>
        <v>0.3396790423873946</v>
      </c>
      <c r="I161" s="336"/>
      <c r="J161" s="168"/>
      <c r="K161" s="168"/>
      <c r="M161" s="364">
        <f>G161/G$228</f>
        <v>93.28810797342193</v>
      </c>
      <c r="N161" s="359">
        <f>SUMMARY!J164</f>
        <v>105.56901037202306</v>
      </c>
      <c r="O161" s="354">
        <f>M161/N161-1</f>
        <v>-0.11633056287373988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419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432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'[47]Sch C'!D175</f>
        <v>0</v>
      </c>
      <c r="D164" s="558">
        <f>'[47]Sch C'!F175</f>
        <v>0</v>
      </c>
      <c r="E164" s="171">
        <f t="shared" ref="E164:E196" si="45">C164+D164</f>
        <v>0</v>
      </c>
      <c r="F164" s="421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'[47]Sch C'!D176</f>
        <v>0</v>
      </c>
      <c r="D165" s="558">
        <f>'[47]Sch C'!F176</f>
        <v>0</v>
      </c>
      <c r="E165" s="171">
        <f t="shared" si="45"/>
        <v>0</v>
      </c>
      <c r="F165" s="421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'[47]Sch C'!D177</f>
        <v>202279.17</v>
      </c>
      <c r="D166" s="558">
        <f>'[47]Sch C'!F177</f>
        <v>6912</v>
      </c>
      <c r="E166" s="171">
        <f t="shared" si="45"/>
        <v>209191.17</v>
      </c>
      <c r="F166" s="421"/>
      <c r="G166" s="171">
        <f t="shared" si="46"/>
        <v>209191.17</v>
      </c>
      <c r="H166" s="172">
        <f t="shared" si="47"/>
        <v>6.3264390667188683E-2</v>
      </c>
      <c r="I166" s="342"/>
      <c r="J166" s="217">
        <v>4991.88</v>
      </c>
      <c r="K166" s="217">
        <v>5278.18</v>
      </c>
      <c r="L166" s="218"/>
      <c r="M166" s="364">
        <f t="shared" si="48"/>
        <v>17.374681893687708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'[47]Sch C'!D178</f>
        <v>54269.45</v>
      </c>
      <c r="D167" s="558">
        <f>'[47]Sch C'!F178</f>
        <v>0</v>
      </c>
      <c r="E167" s="171">
        <f t="shared" si="45"/>
        <v>54269.45</v>
      </c>
      <c r="F167" s="421"/>
      <c r="G167" s="171">
        <f t="shared" si="46"/>
        <v>54269.45</v>
      </c>
      <c r="H167" s="172">
        <f t="shared" si="47"/>
        <v>1.6412373840126532E-2</v>
      </c>
      <c r="I167" s="343"/>
      <c r="J167" s="222"/>
      <c r="K167" s="222"/>
      <c r="L167" s="218"/>
      <c r="M167" s="364">
        <f t="shared" si="48"/>
        <v>4.5074294019933552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'[47]Sch C'!D179</f>
        <v>0</v>
      </c>
      <c r="D168" s="558">
        <f>'[47]Sch C'!F179</f>
        <v>0</v>
      </c>
      <c r="E168" s="171">
        <f t="shared" si="45"/>
        <v>0</v>
      </c>
      <c r="F168" s="421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'[47]Sch C'!D180</f>
        <v>0</v>
      </c>
      <c r="D169" s="558">
        <f>'[47]Sch C'!F180</f>
        <v>0</v>
      </c>
      <c r="E169" s="171">
        <f t="shared" si="45"/>
        <v>0</v>
      </c>
      <c r="F169" s="421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'[47]Sch C'!D181</f>
        <v>0</v>
      </c>
      <c r="D170" s="558">
        <f>'[47]Sch C'!F181</f>
        <v>0</v>
      </c>
      <c r="E170" s="171">
        <f t="shared" si="45"/>
        <v>0</v>
      </c>
      <c r="F170" s="421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'[47]Sch C'!D182</f>
        <v>0</v>
      </c>
      <c r="D171" s="558">
        <f>'[47]Sch C'!F182</f>
        <v>0</v>
      </c>
      <c r="E171" s="171">
        <f t="shared" si="45"/>
        <v>0</v>
      </c>
      <c r="F171" s="421"/>
      <c r="G171" s="171">
        <f t="shared" si="46"/>
        <v>0</v>
      </c>
      <c r="H171" s="172">
        <f>IF($G$208=0,0,G171/$G$208)</f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'[47]Sch C'!D183</f>
        <v>58878.2</v>
      </c>
      <c r="D172" s="558">
        <f>'[47]Sch C'!F183</f>
        <v>0</v>
      </c>
      <c r="E172" s="171">
        <f t="shared" si="45"/>
        <v>58878.2</v>
      </c>
      <c r="F172" s="421"/>
      <c r="G172" s="171">
        <f t="shared" si="46"/>
        <v>58878.2</v>
      </c>
      <c r="H172" s="172">
        <f t="shared" si="47"/>
        <v>1.7806169574848058E-2</v>
      </c>
      <c r="I172" s="342"/>
      <c r="J172" s="217">
        <v>1530</v>
      </c>
      <c r="K172" s="217">
        <v>1660.078</v>
      </c>
      <c r="L172" s="218"/>
      <c r="M172" s="364">
        <f t="shared" si="48"/>
        <v>4.8902159468438535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'[47]Sch C'!D184</f>
        <v>12497.63</v>
      </c>
      <c r="D173" s="558">
        <f>'[47]Sch C'!F184</f>
        <v>0</v>
      </c>
      <c r="E173" s="171">
        <f t="shared" si="45"/>
        <v>12497.63</v>
      </c>
      <c r="F173" s="421"/>
      <c r="G173" s="171">
        <f t="shared" si="46"/>
        <v>12497.63</v>
      </c>
      <c r="H173" s="172">
        <f t="shared" si="47"/>
        <v>3.779580881611672E-3</v>
      </c>
      <c r="I173" s="343"/>
      <c r="J173" s="222"/>
      <c r="K173" s="222"/>
      <c r="L173" s="218"/>
      <c r="M173" s="364">
        <f t="shared" si="48"/>
        <v>1.0380091362126245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'[47]Sch C'!D185</f>
        <v>0</v>
      </c>
      <c r="D174" s="558">
        <f>'[47]Sch C'!F185</f>
        <v>0</v>
      </c>
      <c r="E174" s="171">
        <f t="shared" si="45"/>
        <v>0</v>
      </c>
      <c r="F174" s="421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'[47]Sch C'!D186</f>
        <v>0</v>
      </c>
      <c r="D175" s="558">
        <f>'[47]Sch C'!F186</f>
        <v>0</v>
      </c>
      <c r="E175" s="171">
        <f t="shared" si="45"/>
        <v>0</v>
      </c>
      <c r="F175" s="421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'[47]Sch C'!D187</f>
        <v>0</v>
      </c>
      <c r="D176" s="558">
        <f>'[47]Sch C'!F187</f>
        <v>0</v>
      </c>
      <c r="E176" s="171">
        <f t="shared" si="45"/>
        <v>0</v>
      </c>
      <c r="F176" s="421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'[47]Sch C'!D188</f>
        <v>0</v>
      </c>
      <c r="D177" s="558">
        <f>'[47]Sch C'!F188</f>
        <v>0</v>
      </c>
      <c r="E177" s="171">
        <f t="shared" si="45"/>
        <v>0</v>
      </c>
      <c r="F177" s="421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'[47]Sch C'!D189</f>
        <v>0</v>
      </c>
      <c r="D178" s="558">
        <f>'[47]Sch C'!F189</f>
        <v>0</v>
      </c>
      <c r="E178" s="171">
        <f t="shared" si="45"/>
        <v>0</v>
      </c>
      <c r="F178" s="421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'[47]Sch C'!D190</f>
        <v>0</v>
      </c>
      <c r="D179" s="558">
        <f>'[47]Sch C'!F190</f>
        <v>0</v>
      </c>
      <c r="E179" s="171">
        <f t="shared" si="45"/>
        <v>0</v>
      </c>
      <c r="F179" s="421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'[47]Sch C'!D191</f>
        <v>0</v>
      </c>
      <c r="D180" s="558">
        <f>'[47]Sch C'!F191</f>
        <v>0</v>
      </c>
      <c r="E180" s="171">
        <f t="shared" si="45"/>
        <v>0</v>
      </c>
      <c r="F180" s="421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'[47]Sch C'!D192</f>
        <v>17836.12</v>
      </c>
      <c r="D181" s="558">
        <f>'[47]Sch C'!F192</f>
        <v>0</v>
      </c>
      <c r="E181" s="171">
        <f t="shared" si="45"/>
        <v>17836.12</v>
      </c>
      <c r="F181" s="421"/>
      <c r="G181" s="171">
        <f t="shared" si="46"/>
        <v>17836.12</v>
      </c>
      <c r="H181" s="172">
        <f t="shared" si="47"/>
        <v>5.3940673675034051E-3</v>
      </c>
      <c r="I181" s="336"/>
      <c r="J181" s="223"/>
      <c r="K181" s="218"/>
      <c r="L181" s="220"/>
      <c r="M181" s="364">
        <f t="shared" si="48"/>
        <v>1.4814053156146179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'[47]Sch C'!D193</f>
        <v>0</v>
      </c>
      <c r="D182" s="558">
        <f>'[47]Sch C'!F193</f>
        <v>0</v>
      </c>
      <c r="E182" s="171">
        <f t="shared" si="45"/>
        <v>0</v>
      </c>
      <c r="F182" s="421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'[47]Sch C'!D194</f>
        <v>16681.5</v>
      </c>
      <c r="D183" s="558">
        <f>'[47]Sch C'!F194</f>
        <v>0</v>
      </c>
      <c r="E183" s="171">
        <f t="shared" si="45"/>
        <v>16681.5</v>
      </c>
      <c r="F183" s="421"/>
      <c r="G183" s="171">
        <f t="shared" si="46"/>
        <v>16681.5</v>
      </c>
      <c r="H183" s="172">
        <f t="shared" si="47"/>
        <v>5.0448827879049961E-3</v>
      </c>
      <c r="I183" s="336"/>
      <c r="J183" s="223"/>
      <c r="K183" s="218"/>
      <c r="M183" s="364">
        <f t="shared" si="48"/>
        <v>1.3855066445182724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'[47]Sch C'!D195</f>
        <v>6419</v>
      </c>
      <c r="D184" s="558">
        <f>'[47]Sch C'!F195</f>
        <v>0</v>
      </c>
      <c r="E184" s="171">
        <f t="shared" si="45"/>
        <v>6419</v>
      </c>
      <c r="F184" s="421"/>
      <c r="G184" s="171">
        <f t="shared" si="46"/>
        <v>6419</v>
      </c>
      <c r="H184" s="172">
        <f t="shared" si="47"/>
        <v>1.9412584369248669E-3</v>
      </c>
      <c r="I184" s="336"/>
      <c r="J184" s="223"/>
      <c r="K184" s="218"/>
      <c r="M184" s="364">
        <f t="shared" si="48"/>
        <v>0.5331395348837209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'[47]Sch C'!D196</f>
        <v>0</v>
      </c>
      <c r="D185" s="558">
        <f>'[47]Sch C'!F196</f>
        <v>0</v>
      </c>
      <c r="E185" s="171">
        <f t="shared" si="45"/>
        <v>0</v>
      </c>
      <c r="F185" s="421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'[47]Sch C'!D197</f>
        <v>112.5</v>
      </c>
      <c r="D186" s="558">
        <f>'[47]Sch C'!F197</f>
        <v>0</v>
      </c>
      <c r="E186" s="171">
        <f t="shared" si="45"/>
        <v>112.5</v>
      </c>
      <c r="F186" s="421"/>
      <c r="G186" s="171">
        <f t="shared" si="46"/>
        <v>112.5</v>
      </c>
      <c r="H186" s="172">
        <f t="shared" si="47"/>
        <v>3.4022678634374127E-5</v>
      </c>
      <c r="I186" s="336"/>
      <c r="J186" s="223"/>
      <c r="K186" s="218"/>
      <c r="M186" s="364">
        <f t="shared" si="48"/>
        <v>9.3438538205980071E-3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'[47]Sch C'!D198</f>
        <v>0</v>
      </c>
      <c r="D187" s="558">
        <f>'[47]Sch C'!F198</f>
        <v>0</v>
      </c>
      <c r="E187" s="171">
        <f t="shared" si="45"/>
        <v>0</v>
      </c>
      <c r="F187" s="421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'[47]Sch C'!D199</f>
        <v>0</v>
      </c>
      <c r="D188" s="558">
        <f>'[47]Sch C'!F199</f>
        <v>0</v>
      </c>
      <c r="E188" s="171">
        <f t="shared" si="45"/>
        <v>0</v>
      </c>
      <c r="F188" s="421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'[47]Sch C'!D200</f>
        <v>0</v>
      </c>
      <c r="D189" s="558">
        <f>'[47]Sch C'!F200</f>
        <v>0</v>
      </c>
      <c r="E189" s="171">
        <f t="shared" si="45"/>
        <v>0</v>
      </c>
      <c r="F189" s="421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'[47]Sch C'!D201</f>
        <v>0</v>
      </c>
      <c r="D190" s="558">
        <f>'[47]Sch C'!F201</f>
        <v>0</v>
      </c>
      <c r="E190" s="171">
        <f t="shared" si="45"/>
        <v>0</v>
      </c>
      <c r="F190" s="421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'[47]Sch C'!D202</f>
        <v>0</v>
      </c>
      <c r="D191" s="558">
        <f>'[47]Sch C'!F202</f>
        <v>0</v>
      </c>
      <c r="E191" s="171">
        <f t="shared" si="45"/>
        <v>0</v>
      </c>
      <c r="F191" s="421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'[47]Sch C'!D203</f>
        <v>13709.44</v>
      </c>
      <c r="D192" s="558">
        <f>'[47]Sch C'!F203</f>
        <v>0</v>
      </c>
      <c r="E192" s="171">
        <f t="shared" si="45"/>
        <v>13709.44</v>
      </c>
      <c r="F192" s="421"/>
      <c r="G192" s="171">
        <f t="shared" si="46"/>
        <v>13709.44</v>
      </c>
      <c r="H192" s="172">
        <f t="shared" si="47"/>
        <v>4.1460610789087471E-3</v>
      </c>
      <c r="I192" s="336"/>
      <c r="J192" s="223"/>
      <c r="K192" s="218"/>
      <c r="M192" s="364">
        <f t="shared" si="48"/>
        <v>1.1386578073089701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'[47]Sch C'!D204</f>
        <v>0</v>
      </c>
      <c r="D193" s="558">
        <f>'[47]Sch C'!F204</f>
        <v>0</v>
      </c>
      <c r="E193" s="171">
        <f t="shared" si="45"/>
        <v>0</v>
      </c>
      <c r="F193" s="421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'[47]Sch C'!D205</f>
        <v>77741.310000000012</v>
      </c>
      <c r="D194" s="558">
        <f>'[47]Sch C'!F205</f>
        <v>0</v>
      </c>
      <c r="E194" s="171">
        <f t="shared" si="45"/>
        <v>77741.310000000012</v>
      </c>
      <c r="F194" s="421"/>
      <c r="G194" s="171">
        <f t="shared" si="46"/>
        <v>77741.310000000012</v>
      </c>
      <c r="H194" s="172">
        <f t="shared" si="47"/>
        <v>2.3510823171068944E-2</v>
      </c>
      <c r="I194" s="336"/>
      <c r="J194" s="223"/>
      <c r="K194" s="218"/>
      <c r="M194" s="364">
        <f t="shared" si="48"/>
        <v>6.4569194352159478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'[47]Sch C'!D206</f>
        <v>11600.28</v>
      </c>
      <c r="D195" s="558">
        <f>'[47]Sch C'!F206</f>
        <v>0</v>
      </c>
      <c r="E195" s="171">
        <f t="shared" si="45"/>
        <v>11600.28</v>
      </c>
      <c r="F195" s="421"/>
      <c r="G195" s="171">
        <f t="shared" si="46"/>
        <v>11600.28</v>
      </c>
      <c r="H195" s="172">
        <f t="shared" si="47"/>
        <v>3.5082008756334004E-3</v>
      </c>
      <c r="I195" s="336"/>
      <c r="J195" s="223"/>
      <c r="K195" s="218"/>
      <c r="M195" s="364">
        <f t="shared" si="48"/>
        <v>0.96347840531561468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'[47]Sch C'!D207</f>
        <v>2635.78</v>
      </c>
      <c r="D196" s="558">
        <f>'[47]Sch C'!F207</f>
        <v>0</v>
      </c>
      <c r="E196" s="171">
        <f t="shared" si="45"/>
        <v>2635.78</v>
      </c>
      <c r="F196" s="421"/>
      <c r="G196" s="171">
        <f t="shared" si="46"/>
        <v>2635.78</v>
      </c>
      <c r="H196" s="172">
        <f t="shared" si="47"/>
        <v>7.9712263014142801E-4</v>
      </c>
      <c r="I196" s="336"/>
      <c r="J196" s="223"/>
      <c r="K196" s="218"/>
      <c r="M196" s="364">
        <f t="shared" si="48"/>
        <v>0.21891860465116281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474660.38000000006</v>
      </c>
      <c r="D197" s="558">
        <f>SUM(D164:D196)</f>
        <v>6912</v>
      </c>
      <c r="E197" s="171">
        <f t="shared" ref="E197:F197" si="49">SUM(E164:E196)</f>
        <v>481572.38000000006</v>
      </c>
      <c r="F197" s="171">
        <f t="shared" si="49"/>
        <v>0</v>
      </c>
      <c r="G197" s="171">
        <f>SUM(G164:G196)</f>
        <v>481572.38000000006</v>
      </c>
      <c r="H197" s="172">
        <f>IF($G$208=0,0,G197/$G$208)</f>
        <v>0.14563895399049512</v>
      </c>
      <c r="I197" s="336"/>
      <c r="J197" s="168"/>
      <c r="K197" s="168"/>
      <c r="M197" s="364">
        <f>G197/G$228</f>
        <v>39.997705980066449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'[47]Sch C'!D211</f>
        <v>87065.32</v>
      </c>
      <c r="D200" s="558">
        <f>'[47]Sch C'!F211</f>
        <v>0</v>
      </c>
      <c r="E200" s="171">
        <f t="shared" ref="E200:E205" si="50">C200+D200</f>
        <v>87065.32</v>
      </c>
      <c r="F200" s="415"/>
      <c r="G200" s="171">
        <f t="shared" ref="G200:G205" si="51">E200+F200</f>
        <v>87065.32</v>
      </c>
      <c r="H200" s="172">
        <f t="shared" ref="H200:H206" si="52">IF($G$208=0,0,G200/$G$208)</f>
        <v>2.633062580052397E-2</v>
      </c>
      <c r="I200" s="336"/>
      <c r="J200" s="183">
        <v>7597.02</v>
      </c>
      <c r="K200" s="183">
        <v>8032.27</v>
      </c>
      <c r="M200" s="364">
        <f t="shared" ref="M200:M205" si="53">G200/G$228</f>
        <v>7.2313388704318946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'[47]Sch C'!D212</f>
        <v>28723.360000000001</v>
      </c>
      <c r="D201" s="558">
        <f>'[47]Sch C'!F212</f>
        <v>0</v>
      </c>
      <c r="E201" s="171">
        <f t="shared" si="50"/>
        <v>28723.360000000001</v>
      </c>
      <c r="F201" s="415"/>
      <c r="G201" s="171">
        <f t="shared" si="51"/>
        <v>28723.360000000001</v>
      </c>
      <c r="H201" s="172">
        <f t="shared" si="52"/>
        <v>8.6866279695949917E-3</v>
      </c>
      <c r="I201" s="336"/>
      <c r="J201" s="168"/>
      <c r="K201" s="168"/>
      <c r="M201" s="364">
        <f t="shared" si="53"/>
        <v>2.3856611295681063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'[47]Sch C'!D213</f>
        <v>9663.5</v>
      </c>
      <c r="D202" s="558">
        <f>'[47]Sch C'!F213</f>
        <v>0</v>
      </c>
      <c r="E202" s="171">
        <f t="shared" si="50"/>
        <v>9663.5</v>
      </c>
      <c r="F202" s="415"/>
      <c r="G202" s="171">
        <f t="shared" si="51"/>
        <v>9663.5</v>
      </c>
      <c r="H202" s="172">
        <f t="shared" si="52"/>
        <v>2.9224724887402169E-3</v>
      </c>
      <c r="I202" s="336"/>
      <c r="J202" s="168"/>
      <c r="K202" s="168"/>
      <c r="M202" s="364">
        <f t="shared" si="53"/>
        <v>0.8026162790697674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'[47]Sch C'!D214</f>
        <v>0</v>
      </c>
      <c r="D203" s="558">
        <f>'[47]Sch C'!F214</f>
        <v>0</v>
      </c>
      <c r="E203" s="171">
        <f t="shared" si="50"/>
        <v>0</v>
      </c>
      <c r="F203" s="415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'[47]Sch C'!D215</f>
        <v>0</v>
      </c>
      <c r="D204" s="558">
        <f>'[47]Sch C'!F215</f>
        <v>0</v>
      </c>
      <c r="E204" s="171">
        <f t="shared" si="50"/>
        <v>0</v>
      </c>
      <c r="F204" s="415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'[47]Sch C'!D216</f>
        <v>7830.4299999999994</v>
      </c>
      <c r="D205" s="558">
        <f>'[47]Sch C'!F216</f>
        <v>0</v>
      </c>
      <c r="E205" s="171">
        <f t="shared" si="50"/>
        <v>7830.4299999999994</v>
      </c>
      <c r="F205" s="415"/>
      <c r="G205" s="171">
        <f t="shared" si="51"/>
        <v>7830.4299999999994</v>
      </c>
      <c r="H205" s="172">
        <f t="shared" si="52"/>
        <v>2.368108475190775E-3</v>
      </c>
      <c r="I205" s="336"/>
      <c r="J205" s="168"/>
      <c r="K205" s="168"/>
      <c r="M205" s="364">
        <f t="shared" si="53"/>
        <v>0.65036794019933553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133282.61000000002</v>
      </c>
      <c r="D206" s="558">
        <f>SUM(D200:D205)</f>
        <v>0</v>
      </c>
      <c r="E206" s="171">
        <f t="shared" ref="E206:F206" si="54">SUM(E200:E205)</f>
        <v>133282.61000000002</v>
      </c>
      <c r="F206" s="171">
        <f t="shared" si="54"/>
        <v>0</v>
      </c>
      <c r="G206" s="171">
        <f>SUM(G200:G205)</f>
        <v>133282.61000000002</v>
      </c>
      <c r="H206" s="172">
        <f t="shared" si="52"/>
        <v>4.0307834734049953E-2</v>
      </c>
      <c r="I206" s="336"/>
      <c r="J206" s="168"/>
      <c r="K206" s="168"/>
      <c r="M206" s="364">
        <f>G206/G$228</f>
        <v>11.069984219269104</v>
      </c>
      <c r="N206" s="359">
        <f>SUMMARY!J209</f>
        <v>7.1515095990067339</v>
      </c>
      <c r="O206" s="354">
        <f>M206/N206-1</f>
        <v>0.54792272400873276</v>
      </c>
      <c r="P206"/>
      <c r="Q206"/>
    </row>
    <row r="207" spans="1:19" s="167" customFormat="1">
      <c r="A207" s="163"/>
      <c r="C207" s="165"/>
      <c r="D207" s="165"/>
      <c r="E207" s="165"/>
      <c r="F207" s="422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3661971.3600000008</v>
      </c>
      <c r="D208" s="558">
        <f>SUM(D25:D206)/2</f>
        <v>-355353.40645833337</v>
      </c>
      <c r="E208" s="171">
        <f t="shared" ref="E208:F208" si="55">SUM(E25:E206)/2</f>
        <v>3306617.9535416677</v>
      </c>
      <c r="F208" s="171">
        <f t="shared" si="55"/>
        <v>0</v>
      </c>
      <c r="G208" s="171">
        <f>SUM(G25:G206)/2</f>
        <v>3306617.9535416677</v>
      </c>
      <c r="H208" s="172">
        <f>IF($G$208=0,0,G208/$G$208)</f>
        <v>1</v>
      </c>
      <c r="I208" s="336"/>
      <c r="J208" s="183">
        <f>SUM(J25:J200)</f>
        <v>86293.46</v>
      </c>
      <c r="K208" s="183">
        <f>SUM(K25:K200)</f>
        <v>89993.087999999989</v>
      </c>
      <c r="M208" s="364">
        <f>G208/G$228</f>
        <v>274.63604265296243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1.3614407124772567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'[47]Sch C'!D221</f>
        <v>3661971.3600000008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423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422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131749.15999999875</v>
      </c>
      <c r="D215" s="558">
        <f>D21-D208</f>
        <v>354799.28645833337</v>
      </c>
      <c r="E215" s="171">
        <f t="shared" ref="E215:F215" si="56">E21-E208</f>
        <v>486548.44645833177</v>
      </c>
      <c r="F215" s="171">
        <f t="shared" si="56"/>
        <v>0</v>
      </c>
      <c r="G215" s="171">
        <f>G21-G208</f>
        <v>486548.44645833177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419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451" t="s">
        <v>602</v>
      </c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451" t="s">
        <v>603</v>
      </c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'[47]Sch D'!C9</f>
        <v>6867</v>
      </c>
      <c r="D219" s="592"/>
      <c r="E219" s="235">
        <f t="shared" ref="E219:G227" si="57">C219+D219</f>
        <v>6867</v>
      </c>
      <c r="F219" s="424">
        <v>-239</v>
      </c>
      <c r="G219" s="235">
        <f t="shared" si="57"/>
        <v>6628</v>
      </c>
      <c r="H219" s="172">
        <f t="shared" ref="H219:H228" si="58">IF($G$228=0,0,G219/$G$228)</f>
        <v>0.55049833887043187</v>
      </c>
      <c r="I219" s="336" t="s">
        <v>606</v>
      </c>
      <c r="J219" s="168" t="s">
        <v>604</v>
      </c>
      <c r="K219" s="168"/>
    </row>
    <row r="220" spans="1:17">
      <c r="A220" s="163"/>
      <c r="B220" s="170" t="s">
        <v>217</v>
      </c>
      <c r="C220" s="592">
        <f>'[47]Sch D'!D9</f>
        <v>0</v>
      </c>
      <c r="D220" s="592"/>
      <c r="E220" s="235">
        <f t="shared" ref="E220:E227" si="59">C220+D220</f>
        <v>0</v>
      </c>
      <c r="F220" s="424"/>
      <c r="G220" s="235">
        <f t="shared" si="57"/>
        <v>0</v>
      </c>
      <c r="H220" s="172">
        <f t="shared" si="58"/>
        <v>0</v>
      </c>
      <c r="I220" s="336"/>
      <c r="J220" s="168" t="s">
        <v>607</v>
      </c>
      <c r="K220" s="168"/>
    </row>
    <row r="221" spans="1:17">
      <c r="A221" s="163"/>
      <c r="B221" s="170" t="s">
        <v>72</v>
      </c>
      <c r="C221" s="592">
        <f>'[47]Sch D'!E9</f>
        <v>3066</v>
      </c>
      <c r="D221" s="592"/>
      <c r="E221" s="235">
        <f t="shared" si="59"/>
        <v>3066</v>
      </c>
      <c r="F221" s="424"/>
      <c r="G221" s="235">
        <f t="shared" si="57"/>
        <v>3066</v>
      </c>
      <c r="H221" s="172">
        <f t="shared" si="58"/>
        <v>0.25465116279069766</v>
      </c>
      <c r="I221" s="336"/>
      <c r="J221" s="168" t="s">
        <v>605</v>
      </c>
      <c r="K221" s="168"/>
    </row>
    <row r="222" spans="1:17">
      <c r="A222" s="163"/>
      <c r="B222" s="202" t="s">
        <v>334</v>
      </c>
      <c r="C222" s="592">
        <f>'[47]Sch D'!F9</f>
        <v>174</v>
      </c>
      <c r="D222" s="592"/>
      <c r="E222" s="235">
        <f>C222+D222</f>
        <v>174</v>
      </c>
      <c r="F222" s="424"/>
      <c r="G222" s="235">
        <f>E222+F222</f>
        <v>174</v>
      </c>
      <c r="H222" s="172">
        <f t="shared" si="58"/>
        <v>1.4451827242524917E-2</v>
      </c>
      <c r="I222" s="336"/>
      <c r="J222" s="168" t="s">
        <v>640</v>
      </c>
      <c r="K222" s="168"/>
    </row>
    <row r="223" spans="1:17">
      <c r="A223" s="163"/>
      <c r="B223" s="170" t="s">
        <v>73</v>
      </c>
      <c r="C223" s="592">
        <f>'[47]Sch D'!G9</f>
        <v>0</v>
      </c>
      <c r="D223" s="592"/>
      <c r="E223" s="235">
        <f t="shared" si="59"/>
        <v>0</v>
      </c>
      <c r="F223" s="42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'[47]Sch D'!H9</f>
        <v>1342</v>
      </c>
      <c r="D224" s="592"/>
      <c r="E224" s="235">
        <f t="shared" si="59"/>
        <v>1342</v>
      </c>
      <c r="F224" s="424">
        <v>239</v>
      </c>
      <c r="G224" s="235">
        <f t="shared" si="57"/>
        <v>1581</v>
      </c>
      <c r="H224" s="172">
        <f t="shared" si="58"/>
        <v>0.13131229235880398</v>
      </c>
      <c r="I224" s="336" t="s">
        <v>606</v>
      </c>
      <c r="J224" s="168"/>
      <c r="K224" s="168"/>
    </row>
    <row r="225" spans="1:11">
      <c r="A225" s="163"/>
      <c r="B225" s="170" t="s">
        <v>236</v>
      </c>
      <c r="C225" s="592">
        <f>'[47]Sch D'!I9</f>
        <v>570</v>
      </c>
      <c r="D225" s="592"/>
      <c r="E225" s="235">
        <f t="shared" si="59"/>
        <v>570</v>
      </c>
      <c r="F225" s="424"/>
      <c r="G225" s="235">
        <f t="shared" si="57"/>
        <v>570</v>
      </c>
      <c r="H225" s="172">
        <f t="shared" si="58"/>
        <v>4.7342192691029898E-2</v>
      </c>
      <c r="I225" s="336"/>
      <c r="J225" s="168"/>
      <c r="K225" s="168"/>
    </row>
    <row r="226" spans="1:11">
      <c r="A226" s="163"/>
      <c r="B226" s="170" t="s">
        <v>235</v>
      </c>
      <c r="C226" s="592">
        <f>'[47]Sch D'!J9</f>
        <v>21</v>
      </c>
      <c r="D226" s="592"/>
      <c r="E226" s="235">
        <f>C226+D226</f>
        <v>21</v>
      </c>
      <c r="F226" s="424"/>
      <c r="G226" s="235">
        <f>E226+F226</f>
        <v>21</v>
      </c>
      <c r="H226" s="172">
        <f t="shared" si="58"/>
        <v>1.7441860465116279E-3</v>
      </c>
      <c r="I226" s="336"/>
      <c r="J226" s="168"/>
      <c r="K226" s="168"/>
    </row>
    <row r="227" spans="1:11">
      <c r="A227" s="163"/>
      <c r="B227" s="170" t="s">
        <v>179</v>
      </c>
      <c r="C227" s="592">
        <f>'[47]Sch D'!K9</f>
        <v>0</v>
      </c>
      <c r="D227" s="592"/>
      <c r="E227" s="235">
        <f t="shared" si="59"/>
        <v>0</v>
      </c>
      <c r="F227" s="42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12040</v>
      </c>
      <c r="D228" s="592">
        <f>SUM(D219:D227)</f>
        <v>0</v>
      </c>
      <c r="E228" s="237">
        <f>SUM(E219:E227)</f>
        <v>12040</v>
      </c>
      <c r="F228" s="237">
        <f>SUM(F219:F227)</f>
        <v>0</v>
      </c>
      <c r="G228" s="237">
        <f>SUM(G219:G227)</f>
        <v>12040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42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423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'[47]Sch D'!N22</f>
        <v>58</v>
      </c>
      <c r="D231" s="559"/>
      <c r="E231" s="235">
        <f>C231+D231</f>
        <v>58</v>
      </c>
      <c r="F231" s="429"/>
      <c r="G231" s="235">
        <f>E231</f>
        <v>58</v>
      </c>
      <c r="H231" s="167"/>
      <c r="J231" s="168"/>
      <c r="K231" s="168"/>
    </row>
    <row r="232" spans="1:11">
      <c r="A232" s="163"/>
      <c r="B232" s="202" t="s">
        <v>290</v>
      </c>
      <c r="C232" s="593">
        <f>'[47]Sch D'!N24</f>
        <v>58</v>
      </c>
      <c r="D232" s="559"/>
      <c r="E232" s="235">
        <f>C232+D232</f>
        <v>58</v>
      </c>
      <c r="F232" s="429"/>
      <c r="G232" s="235">
        <f>E232</f>
        <v>58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426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426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'[47]Sch D'!N28</f>
        <v>21228</v>
      </c>
      <c r="D235" s="483"/>
      <c r="E235" s="234">
        <f>E231*E233</f>
        <v>21228</v>
      </c>
      <c r="F235" s="627"/>
      <c r="G235" s="234">
        <f>G231*G233</f>
        <v>21228</v>
      </c>
      <c r="H235" s="402"/>
      <c r="J235" s="168"/>
      <c r="K235" s="168"/>
    </row>
    <row r="236" spans="1:11" ht="26.5">
      <c r="A236" s="163"/>
      <c r="B236" s="243" t="s">
        <v>336</v>
      </c>
      <c r="C236" s="594">
        <f>'[47]Sch D'!N30</f>
        <v>0.56717542867910309</v>
      </c>
      <c r="D236" s="239"/>
      <c r="E236" s="244">
        <f>E228/E235</f>
        <v>0.56717542867910309</v>
      </c>
      <c r="F236" s="573"/>
      <c r="G236" s="244">
        <f>G228/G235</f>
        <v>0.56717542867910309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'[47]Sch D'!N32</f>
        <v>0.323487846240814</v>
      </c>
      <c r="D237" s="239"/>
      <c r="E237" s="244">
        <f>(E219+E220)/E235</f>
        <v>0.323487846240814</v>
      </c>
      <c r="F237" s="573"/>
      <c r="G237" s="244">
        <f>(G219+G220)/G235</f>
        <v>0.31222913133597135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'[47]Sch D'!N34</f>
        <v>0.5703488372093023</v>
      </c>
      <c r="D238" s="239"/>
      <c r="E238" s="244">
        <f>(E237/E236)</f>
        <v>0.5703488372093023</v>
      </c>
      <c r="F238" s="573"/>
      <c r="G238" s="244">
        <f>(G237/G236)</f>
        <v>0.55049833887043187</v>
      </c>
      <c r="H238" s="167"/>
      <c r="J238" s="168"/>
      <c r="K238" s="168"/>
    </row>
    <row r="241" spans="2:7">
      <c r="B241" s="148" t="s">
        <v>339</v>
      </c>
      <c r="F241" s="410" t="s">
        <v>340</v>
      </c>
      <c r="G241" s="558">
        <v>146.91037656903765</v>
      </c>
    </row>
    <row r="242" spans="2:7">
      <c r="F242" s="410" t="s">
        <v>341</v>
      </c>
      <c r="G242" s="558">
        <v>101.31738336713997</v>
      </c>
    </row>
    <row r="243" spans="2:7">
      <c r="F243" s="410" t="s">
        <v>342</v>
      </c>
      <c r="G243" s="558">
        <v>193.29866666666669</v>
      </c>
    </row>
    <row r="244" spans="2:7">
      <c r="F244" s="410" t="s">
        <v>343</v>
      </c>
      <c r="G244" s="558">
        <v>116.38680628272252</v>
      </c>
    </row>
    <row r="245" spans="2:7">
      <c r="F245" s="410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355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'[5]Sch B'!E10</f>
        <v>3032544</v>
      </c>
      <c r="D11" s="558">
        <f>'[5]Sch B'!G10</f>
        <v>0</v>
      </c>
      <c r="E11" s="171">
        <f>C11+D11</f>
        <v>3032544</v>
      </c>
      <c r="F11" s="171"/>
      <c r="G11" s="171">
        <f t="shared" ref="G11:G20" si="0">E11+F11</f>
        <v>3032544</v>
      </c>
      <c r="H11" s="172">
        <f t="shared" ref="H11:H21" si="1">IF($G$21=0,0,G11/$G$21)</f>
        <v>0.57082482755505104</v>
      </c>
      <c r="I11" s="336"/>
      <c r="J11" s="368" t="s">
        <v>344</v>
      </c>
      <c r="K11" s="369">
        <f>G21</f>
        <v>5312565</v>
      </c>
      <c r="M11" s="359">
        <f>IFERROR(G11/G219,0)</f>
        <v>174.06405693950177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'[5]Sch B'!E15</f>
        <v>0</v>
      </c>
      <c r="D12" s="558">
        <f>'[5]Sch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5605520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'[5]Sch B'!E21</f>
        <v>879055</v>
      </c>
      <c r="D13" s="558">
        <f>'[5]Sch B'!G21</f>
        <v>0</v>
      </c>
      <c r="E13" s="171">
        <f t="shared" si="2"/>
        <v>879055</v>
      </c>
      <c r="F13" s="171"/>
      <c r="G13" s="171">
        <f t="shared" si="0"/>
        <v>879055</v>
      </c>
      <c r="H13" s="172">
        <f t="shared" si="1"/>
        <v>0.16546715193131756</v>
      </c>
      <c r="I13" s="336"/>
      <c r="J13" s="370" t="s">
        <v>346</v>
      </c>
      <c r="K13" s="371">
        <f>G228</f>
        <v>26037</v>
      </c>
      <c r="M13" s="359">
        <f t="shared" si="3"/>
        <v>567.49838605551975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'[5]Sch B'!E27</f>
        <v>316925</v>
      </c>
      <c r="D14" s="558">
        <f>'[5]Sch B'!G27</f>
        <v>0</v>
      </c>
      <c r="E14" s="171">
        <f t="shared" si="2"/>
        <v>316925</v>
      </c>
      <c r="F14" s="175"/>
      <c r="G14" s="175">
        <f>E14+F14</f>
        <v>316925</v>
      </c>
      <c r="H14" s="176">
        <f t="shared" si="1"/>
        <v>5.9655740682702234E-2</v>
      </c>
      <c r="I14" s="337"/>
      <c r="J14" s="370" t="s">
        <v>347</v>
      </c>
      <c r="K14" s="371">
        <f>G231</f>
        <v>90</v>
      </c>
      <c r="M14" s="359">
        <f t="shared" si="3"/>
        <v>494.42277691107643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'[5]Sch B'!E32</f>
        <v>0</v>
      </c>
      <c r="D15" s="558">
        <f>'[5]Sch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32940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'[5]Sch B'!E37</f>
        <v>205408</v>
      </c>
      <c r="D16" s="558">
        <f>'[5]Sch B'!G37</f>
        <v>0</v>
      </c>
      <c r="E16" s="171">
        <f t="shared" si="2"/>
        <v>205408</v>
      </c>
      <c r="F16" s="171"/>
      <c r="G16" s="171">
        <f t="shared" si="0"/>
        <v>205408</v>
      </c>
      <c r="H16" s="172">
        <f t="shared" si="1"/>
        <v>3.8664562221826931E-2</v>
      </c>
      <c r="I16" s="336"/>
      <c r="J16" s="372"/>
      <c r="K16" s="371"/>
      <c r="M16" s="359">
        <f t="shared" si="3"/>
        <v>125.09622411693057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'[5]Sch B'!E42</f>
        <v>776064</v>
      </c>
      <c r="D17" s="558">
        <f>'[5]Sch B'!G42</f>
        <v>0</v>
      </c>
      <c r="E17" s="171">
        <f t="shared" si="2"/>
        <v>776064</v>
      </c>
      <c r="F17" s="171"/>
      <c r="G17" s="171">
        <f>E17+F17</f>
        <v>776064</v>
      </c>
      <c r="H17" s="172">
        <f t="shared" si="1"/>
        <v>0.14608084795197801</v>
      </c>
      <c r="I17" s="336"/>
      <c r="J17" s="370" t="s">
        <v>156</v>
      </c>
      <c r="K17" s="371">
        <f>J208</f>
        <v>152502</v>
      </c>
      <c r="M17" s="359">
        <f t="shared" si="3"/>
        <v>170.82632621615673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'[5]Sch B'!E47</f>
        <v>0</v>
      </c>
      <c r="D18" s="558">
        <f>'[5]Sch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160703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'[5]Sch B'!E52</f>
        <v>57219</v>
      </c>
      <c r="D19" s="558">
        <f>'[5]Sch B'!G52</f>
        <v>0</v>
      </c>
      <c r="E19" s="171">
        <f t="shared" si="2"/>
        <v>57219</v>
      </c>
      <c r="F19" s="171"/>
      <c r="G19" s="171">
        <f t="shared" si="0"/>
        <v>57219</v>
      </c>
      <c r="H19" s="172">
        <f t="shared" si="1"/>
        <v>1.0770503513839361E-2</v>
      </c>
      <c r="I19" s="336"/>
      <c r="J19" s="168"/>
      <c r="K19" s="168"/>
      <c r="M19" s="359">
        <f t="shared" si="3"/>
        <v>238.41249999999999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'[5]Sch B'!E67</f>
        <v>54671</v>
      </c>
      <c r="D20" s="558">
        <f>'[5]Sch B'!G67</f>
        <v>-9321</v>
      </c>
      <c r="E20" s="171">
        <f t="shared" si="2"/>
        <v>45350</v>
      </c>
      <c r="F20" s="171"/>
      <c r="G20" s="171">
        <f t="shared" si="0"/>
        <v>45350</v>
      </c>
      <c r="H20" s="172">
        <f t="shared" si="1"/>
        <v>8.5363661432848355E-3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5321886</v>
      </c>
      <c r="D21" s="558">
        <f>SUM(D11:D20)</f>
        <v>-9321</v>
      </c>
      <c r="E21" s="171">
        <f>SUM(E11:E20)</f>
        <v>5312565</v>
      </c>
      <c r="F21" s="171">
        <f>SUM(F11:F20)</f>
        <v>0</v>
      </c>
      <c r="G21" s="171">
        <f>SUM(G11:G20)</f>
        <v>5312565</v>
      </c>
      <c r="H21" s="172">
        <f t="shared" si="1"/>
        <v>1</v>
      </c>
      <c r="I21" s="336"/>
      <c r="J21" s="168"/>
      <c r="K21" s="168"/>
      <c r="M21" s="359">
        <f>IFERROR(G21/G228,0)</f>
        <v>204.03905979951608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'[5]Sch C'!D10</f>
        <v>0</v>
      </c>
      <c r="D25" s="558">
        <f>'[5]Sch C'!F10</f>
        <v>93046</v>
      </c>
      <c r="E25" s="171">
        <f t="shared" ref="E25:E60" si="4">C25+D25</f>
        <v>93046</v>
      </c>
      <c r="F25" s="171"/>
      <c r="G25" s="182">
        <f>E25+F25</f>
        <v>93046</v>
      </c>
      <c r="H25" s="172">
        <f>IF($G$208=0,0,G25/$G$208)</f>
        <v>1.6598995276085E-2</v>
      </c>
      <c r="I25" s="336"/>
      <c r="J25" s="183">
        <v>1876</v>
      </c>
      <c r="K25" s="183">
        <v>2088</v>
      </c>
      <c r="M25" s="359">
        <f>G25/G$228</f>
        <v>3.5736067903368283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'[5]Sch C'!D11</f>
        <v>0</v>
      </c>
      <c r="D26" s="558">
        <f>'[5]Sch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'[5]Sch C'!D12</f>
        <v>240794</v>
      </c>
      <c r="D27" s="558">
        <f>'[5]Sch C'!F12</f>
        <v>-93046</v>
      </c>
      <c r="E27" s="171">
        <f t="shared" si="4"/>
        <v>147748</v>
      </c>
      <c r="F27" s="171"/>
      <c r="G27" s="171">
        <f t="shared" si="5"/>
        <v>147748</v>
      </c>
      <c r="H27" s="172">
        <f t="shared" si="6"/>
        <v>2.6357590375201589E-2</v>
      </c>
      <c r="I27" s="336"/>
      <c r="J27" s="185">
        <v>8366</v>
      </c>
      <c r="K27" s="185">
        <v>8930</v>
      </c>
      <c r="M27" s="359">
        <f t="shared" si="7"/>
        <v>5.674540077581903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'[5]Sch C'!D13</f>
        <v>32526</v>
      </c>
      <c r="D28" s="558">
        <f>'[5]Sch C'!F13</f>
        <v>0</v>
      </c>
      <c r="E28" s="171">
        <f t="shared" si="4"/>
        <v>32526</v>
      </c>
      <c r="F28" s="171"/>
      <c r="G28" s="171">
        <f t="shared" si="5"/>
        <v>32526</v>
      </c>
      <c r="H28" s="172">
        <f t="shared" si="6"/>
        <v>5.8024946838116714E-3</v>
      </c>
      <c r="I28" s="336"/>
      <c r="J28" s="168"/>
      <c r="K28" s="168"/>
      <c r="M28" s="359">
        <f t="shared" si="7"/>
        <v>1.2492222606291048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'[5]Sch C'!D14</f>
        <v>0</v>
      </c>
      <c r="D29" s="558">
        <f>'[5]Sch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'[5]Sch C'!D15</f>
        <v>0</v>
      </c>
      <c r="D30" s="558">
        <f>'[5]Sch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'[5]Sch C'!D16</f>
        <v>166871</v>
      </c>
      <c r="D31" s="558">
        <f>'[5]Sch C'!F16</f>
        <v>75583</v>
      </c>
      <c r="E31" s="171">
        <f t="shared" si="4"/>
        <v>242454</v>
      </c>
      <c r="F31" s="171"/>
      <c r="G31" s="171">
        <f t="shared" si="5"/>
        <v>242454</v>
      </c>
      <c r="H31" s="172">
        <f t="shared" si="6"/>
        <v>4.3252722316573664E-2</v>
      </c>
      <c r="I31" s="336"/>
      <c r="J31" s="168"/>
      <c r="K31" s="168"/>
      <c r="M31" s="359">
        <f t="shared" si="7"/>
        <v>9.3119022928908866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'[5]Sch C'!D17</f>
        <v>407</v>
      </c>
      <c r="D32" s="558">
        <f>'[5]Sch C'!F17</f>
        <v>-407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'[5]Sch C'!D18</f>
        <v>8840</v>
      </c>
      <c r="D33" s="558">
        <f>'[5]Sch C'!F18</f>
        <v>0</v>
      </c>
      <c r="E33" s="171">
        <f t="shared" si="4"/>
        <v>8840</v>
      </c>
      <c r="F33" s="171"/>
      <c r="G33" s="171">
        <f t="shared" si="5"/>
        <v>8840</v>
      </c>
      <c r="H33" s="172">
        <f t="shared" si="6"/>
        <v>1.577016940444419E-3</v>
      </c>
      <c r="I33" s="336"/>
      <c r="J33" s="168"/>
      <c r="K33" s="168"/>
      <c r="M33" s="359">
        <f t="shared" si="7"/>
        <v>0.33951684141798211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'[5]Sch C'!D19</f>
        <v>13411</v>
      </c>
      <c r="D34" s="558">
        <f>'[5]Sch C'!F19</f>
        <v>0</v>
      </c>
      <c r="E34" s="171">
        <f t="shared" si="4"/>
        <v>13411</v>
      </c>
      <c r="F34" s="171"/>
      <c r="G34" s="171">
        <f t="shared" si="5"/>
        <v>13411</v>
      </c>
      <c r="H34" s="172">
        <f t="shared" si="6"/>
        <v>2.3924631434728626E-3</v>
      </c>
      <c r="I34" s="336"/>
      <c r="J34" s="168"/>
      <c r="K34" s="168"/>
      <c r="M34" s="359">
        <f t="shared" si="7"/>
        <v>0.51507470138648848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'[5]Sch C'!D20</f>
        <v>19754</v>
      </c>
      <c r="D35" s="558">
        <f>'[5]Sch C'!F20</f>
        <v>0</v>
      </c>
      <c r="E35" s="171">
        <f t="shared" si="4"/>
        <v>19754</v>
      </c>
      <c r="F35" s="171"/>
      <c r="G35" s="171">
        <f t="shared" si="5"/>
        <v>19754</v>
      </c>
      <c r="H35" s="172">
        <f t="shared" si="6"/>
        <v>3.5240263169161825E-3</v>
      </c>
      <c r="I35" s="336"/>
      <c r="J35" s="168"/>
      <c r="K35" s="168"/>
      <c r="M35" s="359">
        <f t="shared" si="7"/>
        <v>0.75868955716864461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'[5]Sch C'!D21</f>
        <v>40424</v>
      </c>
      <c r="D36" s="558">
        <f>'[5]Sch C'!F21</f>
        <v>0</v>
      </c>
      <c r="E36" s="171">
        <f t="shared" si="4"/>
        <v>40424</v>
      </c>
      <c r="F36" s="171"/>
      <c r="G36" s="171">
        <f t="shared" si="5"/>
        <v>40424</v>
      </c>
      <c r="H36" s="172">
        <f t="shared" si="6"/>
        <v>7.2114629864847507E-3</v>
      </c>
      <c r="I36" s="336"/>
      <c r="J36" s="168"/>
      <c r="K36" s="168"/>
      <c r="M36" s="359">
        <f t="shared" si="7"/>
        <v>1.5525598187195144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'[5]Sch C'!D22</f>
        <v>0</v>
      </c>
      <c r="D37" s="558">
        <f>'[5]Sch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'[5]Sch C'!D23</f>
        <v>22369</v>
      </c>
      <c r="D38" s="558">
        <f>'[5]Sch C'!F23</f>
        <v>0</v>
      </c>
      <c r="E38" s="171">
        <f t="shared" si="4"/>
        <v>22369</v>
      </c>
      <c r="F38" s="171"/>
      <c r="G38" s="171">
        <f t="shared" si="5"/>
        <v>22369</v>
      </c>
      <c r="H38" s="172">
        <f t="shared" si="6"/>
        <v>3.9905307625340732E-3</v>
      </c>
      <c r="I38" s="336"/>
      <c r="J38" s="168"/>
      <c r="K38" s="168"/>
      <c r="M38" s="359">
        <f t="shared" si="7"/>
        <v>0.85912355494104542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'[5]Sch C'!D24</f>
        <v>13979</v>
      </c>
      <c r="D39" s="558">
        <f>'[5]Sch C'!F24</f>
        <v>0</v>
      </c>
      <c r="E39" s="171">
        <f t="shared" si="4"/>
        <v>13979</v>
      </c>
      <c r="F39" s="171"/>
      <c r="G39" s="171">
        <f t="shared" si="5"/>
        <v>13979</v>
      </c>
      <c r="H39" s="172">
        <f t="shared" si="6"/>
        <v>2.4937918337638613E-3</v>
      </c>
      <c r="I39" s="336"/>
      <c r="J39" s="168"/>
      <c r="K39" s="168"/>
      <c r="M39" s="359">
        <f t="shared" si="7"/>
        <v>0.53688981065406916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'[5]Sch C'!D25</f>
        <v>2659</v>
      </c>
      <c r="D40" s="558">
        <f>'[5]Sch C'!F25</f>
        <v>0</v>
      </c>
      <c r="E40" s="171">
        <f t="shared" si="4"/>
        <v>2659</v>
      </c>
      <c r="F40" s="171"/>
      <c r="G40" s="171">
        <f t="shared" si="5"/>
        <v>2659</v>
      </c>
      <c r="H40" s="172">
        <f t="shared" si="6"/>
        <v>4.7435385120381338E-4</v>
      </c>
      <c r="I40" s="336"/>
      <c r="J40" s="168"/>
      <c r="K40" s="168"/>
      <c r="M40" s="359">
        <f t="shared" si="7"/>
        <v>0.10212390060298805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'[5]Sch C'!D26</f>
        <v>438626</v>
      </c>
      <c r="D41" s="558">
        <f>'[5]Sch C'!F26</f>
        <v>0</v>
      </c>
      <c r="E41" s="171">
        <f t="shared" si="4"/>
        <v>438626</v>
      </c>
      <c r="F41" s="171"/>
      <c r="G41" s="171">
        <f t="shared" si="5"/>
        <v>438626</v>
      </c>
      <c r="H41" s="172">
        <f t="shared" si="6"/>
        <v>7.8248940330245903E-2</v>
      </c>
      <c r="I41" s="336"/>
      <c r="J41" s="168"/>
      <c r="K41" s="168"/>
      <c r="M41" s="359">
        <f t="shared" si="7"/>
        <v>16.846257249299075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'[5]Sch C'!D27</f>
        <v>11651</v>
      </c>
      <c r="D42" s="558">
        <f>'[5]Sch C'!F27</f>
        <v>-121</v>
      </c>
      <c r="E42" s="171">
        <f t="shared" si="4"/>
        <v>11530</v>
      </c>
      <c r="F42" s="171"/>
      <c r="G42" s="171">
        <f t="shared" si="5"/>
        <v>11530</v>
      </c>
      <c r="H42" s="172">
        <f t="shared" si="6"/>
        <v>2.0569010546746778E-3</v>
      </c>
      <c r="I42" s="336"/>
      <c r="J42" s="168"/>
      <c r="K42" s="168"/>
      <c r="M42" s="359">
        <f t="shared" si="7"/>
        <v>0.44283135537888391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'[5]Sch C'!D28</f>
        <v>2723</v>
      </c>
      <c r="D43" s="558">
        <f>'[5]Sch C'!F28</f>
        <v>-2723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'[5]Sch C'!D29</f>
        <v>267809</v>
      </c>
      <c r="D44" s="558">
        <f>'[5]Sch C'!F29</f>
        <v>-267809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'[5]Sch C'!D30</f>
        <v>0</v>
      </c>
      <c r="D45" s="558">
        <f>'[5]Sch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'[5]Sch C'!D31</f>
        <v>0</v>
      </c>
      <c r="D46" s="558">
        <f>'[5]Sch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'[5]Sch C'!D32</f>
        <v>65633</v>
      </c>
      <c r="D47" s="558">
        <f>'[5]Sch C'!F32</f>
        <v>0</v>
      </c>
      <c r="E47" s="171">
        <f t="shared" si="4"/>
        <v>65633</v>
      </c>
      <c r="F47" s="171"/>
      <c r="G47" s="171">
        <f t="shared" si="5"/>
        <v>65633</v>
      </c>
      <c r="H47" s="172">
        <f t="shared" si="6"/>
        <v>1.1708637200473819E-2</v>
      </c>
      <c r="I47" s="336"/>
      <c r="J47" s="168"/>
      <c r="K47" s="168"/>
      <c r="M47" s="359">
        <f t="shared" si="7"/>
        <v>2.5207589199984639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'[5]Sch C'!D33</f>
        <v>0</v>
      </c>
      <c r="D48" s="558">
        <f>'[5]Sch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'[5]Sch C'!D34</f>
        <v>532</v>
      </c>
      <c r="D49" s="558">
        <f>'[5]Sch C'!F34</f>
        <v>0</v>
      </c>
      <c r="E49" s="171">
        <f t="shared" si="4"/>
        <v>532</v>
      </c>
      <c r="F49" s="171"/>
      <c r="G49" s="171">
        <f t="shared" si="5"/>
        <v>532</v>
      </c>
      <c r="H49" s="172">
        <f t="shared" si="6"/>
        <v>9.4906449357062318E-5</v>
      </c>
      <c r="I49" s="336"/>
      <c r="J49" s="168"/>
      <c r="K49" s="168"/>
      <c r="M49" s="359">
        <f t="shared" si="7"/>
        <v>2.043246149710028E-2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'[5]Sch C'!D35</f>
        <v>0</v>
      </c>
      <c r="D50" s="558">
        <f>'[5]Sch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'[5]Sch C'!D36</f>
        <v>0</v>
      </c>
      <c r="D51" s="558">
        <f>'[5]Sch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'[5]Sch C'!D37</f>
        <v>0</v>
      </c>
      <c r="D52" s="558">
        <f>'[5]Sch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'[5]Sch C'!D38</f>
        <v>30</v>
      </c>
      <c r="D53" s="558">
        <f>'[5]Sch C'!F38</f>
        <v>-30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'[5]Sch C'!D39</f>
        <v>10267</v>
      </c>
      <c r="D54" s="558">
        <f>'[5]Sch C'!F39</f>
        <v>0</v>
      </c>
      <c r="E54" s="171">
        <f t="shared" si="4"/>
        <v>10267</v>
      </c>
      <c r="F54" s="171"/>
      <c r="G54" s="171">
        <f t="shared" si="5"/>
        <v>10267</v>
      </c>
      <c r="H54" s="172">
        <f t="shared" si="6"/>
        <v>1.8315874352424039E-3</v>
      </c>
      <c r="I54" s="336"/>
      <c r="J54" s="168"/>
      <c r="K54" s="168"/>
      <c r="M54" s="359">
        <f t="shared" si="7"/>
        <v>0.3943234627645274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'[5]Sch C'!D40</f>
        <v>3630</v>
      </c>
      <c r="D55" s="558">
        <f>'[5]Sch C'!F40</f>
        <v>-3630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'[5]Sch C'!D41</f>
        <v>92110</v>
      </c>
      <c r="D56" s="558">
        <f>'[5]Sch C'!F41</f>
        <v>-1327</v>
      </c>
      <c r="E56" s="171">
        <f t="shared" si="4"/>
        <v>90783</v>
      </c>
      <c r="F56" s="171"/>
      <c r="G56" s="171">
        <f t="shared" si="5"/>
        <v>90783</v>
      </c>
      <c r="H56" s="172">
        <f t="shared" si="6"/>
        <v>1.619528607515449E-2</v>
      </c>
      <c r="I56" s="336"/>
      <c r="J56" s="168"/>
      <c r="K56" s="168"/>
      <c r="M56" s="359">
        <f t="shared" si="7"/>
        <v>3.4866920152091256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'[5]Sch C'!D42</f>
        <v>214</v>
      </c>
      <c r="D57" s="558">
        <f>'[5]Sch C'!F42</f>
        <v>0</v>
      </c>
      <c r="E57" s="171">
        <f t="shared" si="4"/>
        <v>214</v>
      </c>
      <c r="F57" s="171"/>
      <c r="G57" s="171">
        <f t="shared" si="5"/>
        <v>214</v>
      </c>
      <c r="H57" s="172">
        <f t="shared" si="6"/>
        <v>3.8176654440622816E-5</v>
      </c>
      <c r="I57" s="336"/>
      <c r="J57" s="168"/>
      <c r="K57" s="168"/>
      <c r="M57" s="359">
        <f t="shared" si="7"/>
        <v>8.2190728578561273E-3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'[5]Sch C'!D43</f>
        <v>9018</v>
      </c>
      <c r="D58" s="558">
        <f>'[5]Sch C'!F43</f>
        <v>-9018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'[5]Sch C'!D44</f>
        <v>0</v>
      </c>
      <c r="D59" s="558">
        <f>'[5]Sch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'[5]Sch C'!D45</f>
        <v>14460</v>
      </c>
      <c r="D60" s="558">
        <f>'[5]Sch C'!F45</f>
        <v>-7309</v>
      </c>
      <c r="E60" s="171">
        <f t="shared" si="4"/>
        <v>7151</v>
      </c>
      <c r="F60" s="171"/>
      <c r="G60" s="171">
        <f t="shared" si="5"/>
        <v>7151</v>
      </c>
      <c r="H60" s="172">
        <f t="shared" si="6"/>
        <v>1.275706803293896E-3</v>
      </c>
      <c r="I60" s="336"/>
      <c r="J60" s="168"/>
      <c r="K60" s="168"/>
      <c r="M60" s="359">
        <f t="shared" si="7"/>
        <v>0.27464761685294004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1478737</v>
      </c>
      <c r="D61" s="558">
        <f>SUM(D25:D60)</f>
        <v>-216791</v>
      </c>
      <c r="E61" s="171">
        <f t="shared" ref="E61:F61" si="8">SUM(E25:E60)</f>
        <v>1261946</v>
      </c>
      <c r="F61" s="171">
        <f t="shared" si="8"/>
        <v>0</v>
      </c>
      <c r="G61" s="171">
        <f>SUM(G25:G60)</f>
        <v>1261946</v>
      </c>
      <c r="H61" s="186">
        <f t="shared" si="6"/>
        <v>0.22512559048937475</v>
      </c>
      <c r="I61" s="338"/>
      <c r="J61" s="168"/>
      <c r="K61" s="168"/>
      <c r="M61" s="364">
        <f>G61/G$228</f>
        <v>48.467411760187424</v>
      </c>
      <c r="N61" s="359">
        <f>SUMMARY!J64</f>
        <v>53.728790309602623</v>
      </c>
      <c r="O61" s="354">
        <f>M61/N61-1</f>
        <v>-9.7924753546421495E-2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'[5]Sch C'!D57</f>
        <v>0</v>
      </c>
      <c r="D64" s="558">
        <f>'[5]Sch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'[5]Sch C'!D58</f>
        <v>84365</v>
      </c>
      <c r="D65" s="558">
        <f>'[5]Sch C'!F58</f>
        <v>0</v>
      </c>
      <c r="E65" s="171">
        <f t="shared" si="9"/>
        <v>84365</v>
      </c>
      <c r="F65" s="171"/>
      <c r="G65" s="171">
        <f t="shared" si="10"/>
        <v>84365</v>
      </c>
      <c r="H65" s="172">
        <f t="shared" si="11"/>
        <v>1.5050343233098803E-2</v>
      </c>
      <c r="I65" s="336"/>
      <c r="J65" s="190"/>
      <c r="K65" s="168"/>
      <c r="M65" s="359">
        <f t="shared" si="12"/>
        <v>3.2401966432384683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'[5]Sch C'!D59</f>
        <v>80823</v>
      </c>
      <c r="D66" s="558">
        <f>'[5]Sch C'!F59</f>
        <v>0</v>
      </c>
      <c r="E66" s="171">
        <f t="shared" si="9"/>
        <v>80823</v>
      </c>
      <c r="F66" s="171"/>
      <c r="G66" s="171">
        <f t="shared" si="10"/>
        <v>80823</v>
      </c>
      <c r="H66" s="172">
        <f t="shared" si="11"/>
        <v>1.4418466083432046E-2</v>
      </c>
      <c r="I66" s="336"/>
      <c r="J66" s="190"/>
      <c r="K66" s="168"/>
      <c r="M66" s="359">
        <f t="shared" si="12"/>
        <v>3.1041594653761955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'[5]Sch C'!D60</f>
        <v>41008</v>
      </c>
      <c r="D67" s="558">
        <f>'[5]Sch C'!F60</f>
        <v>0</v>
      </c>
      <c r="E67" s="171">
        <f t="shared" si="9"/>
        <v>41008</v>
      </c>
      <c r="F67" s="171"/>
      <c r="G67" s="171">
        <f t="shared" si="10"/>
        <v>41008</v>
      </c>
      <c r="H67" s="172">
        <f t="shared" si="11"/>
        <v>7.3156460060797212E-3</v>
      </c>
      <c r="I67" s="336"/>
      <c r="J67" s="193"/>
      <c r="K67" s="168"/>
      <c r="M67" s="359">
        <f t="shared" si="12"/>
        <v>1.5749894381073088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'[5]Sch C'!D61</f>
        <v>20029</v>
      </c>
      <c r="D68" s="558">
        <f>'[5]Sch C'!F61</f>
        <v>0</v>
      </c>
      <c r="E68" s="171">
        <f t="shared" si="9"/>
        <v>20029</v>
      </c>
      <c r="F68" s="171"/>
      <c r="G68" s="171">
        <f t="shared" si="10"/>
        <v>20029</v>
      </c>
      <c r="H68" s="172">
        <f t="shared" si="11"/>
        <v>3.5730851018281979E-3</v>
      </c>
      <c r="I68" s="336"/>
      <c r="J68" s="193"/>
      <c r="K68" s="168"/>
      <c r="M68" s="359">
        <f t="shared" si="12"/>
        <v>0.76925144985981486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'[5]Sch C'!D62</f>
        <v>387</v>
      </c>
      <c r="D69" s="558">
        <f>'[5]Sch C'!F62</f>
        <v>0</v>
      </c>
      <c r="E69" s="171">
        <f t="shared" si="9"/>
        <v>387</v>
      </c>
      <c r="F69" s="171"/>
      <c r="G69" s="171">
        <f t="shared" si="10"/>
        <v>387</v>
      </c>
      <c r="H69" s="172">
        <f t="shared" si="11"/>
        <v>6.9039090039817888E-5</v>
      </c>
      <c r="I69" s="336"/>
      <c r="J69" s="195"/>
      <c r="K69" s="168"/>
      <c r="M69" s="359">
        <f t="shared" si="12"/>
        <v>1.4863463532665053E-2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'[5]Sch C'!D63</f>
        <v>0</v>
      </c>
      <c r="D70" s="558">
        <f>'[5]Sch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'[5]Sch C'!D64</f>
        <v>0</v>
      </c>
      <c r="D71" s="558">
        <f>'[5]Sch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'[5]Sch C'!D65</f>
        <v>0</v>
      </c>
      <c r="D72" s="558">
        <f>'[5]Sch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'[5]Sch C'!D66</f>
        <v>30131</v>
      </c>
      <c r="D73" s="558">
        <f>'[5]Sch C'!F66</f>
        <v>26</v>
      </c>
      <c r="E73" s="171">
        <f t="shared" si="9"/>
        <v>30157</v>
      </c>
      <c r="F73" s="171"/>
      <c r="G73" s="171">
        <f t="shared" si="10"/>
        <v>30157</v>
      </c>
      <c r="H73" s="172">
        <f t="shared" si="11"/>
        <v>5.379875551242347E-3</v>
      </c>
      <c r="I73" s="336"/>
      <c r="J73" s="195"/>
      <c r="K73" s="168"/>
      <c r="M73" s="359">
        <f t="shared" si="12"/>
        <v>1.1582363559549871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'[5]Sch C'!D67</f>
        <v>51878</v>
      </c>
      <c r="D74" s="558">
        <f>'[5]Sch C'!F67</f>
        <v>0</v>
      </c>
      <c r="E74" s="171">
        <f t="shared" si="9"/>
        <v>51878</v>
      </c>
      <c r="F74" s="171"/>
      <c r="G74" s="171">
        <f t="shared" si="10"/>
        <v>51878</v>
      </c>
      <c r="H74" s="172">
        <f t="shared" si="11"/>
        <v>9.2548059769655619E-3</v>
      </c>
      <c r="I74" s="336"/>
      <c r="J74" s="195"/>
      <c r="K74" s="168"/>
      <c r="M74" s="359">
        <f t="shared" si="12"/>
        <v>1.992472251027384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'[5]Sch C'!D68</f>
        <v>0</v>
      </c>
      <c r="D75" s="558">
        <f>'[5]Sch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'[5]Sch C'!D69</f>
        <v>3372</v>
      </c>
      <c r="D76" s="558">
        <f>'[5]Sch C'!F69</f>
        <v>0</v>
      </c>
      <c r="E76" s="171">
        <f t="shared" si="9"/>
        <v>3372</v>
      </c>
      <c r="F76" s="171"/>
      <c r="G76" s="171">
        <f t="shared" si="10"/>
        <v>3372</v>
      </c>
      <c r="H76" s="172">
        <f t="shared" si="11"/>
        <v>6.0154990081205673E-4</v>
      </c>
      <c r="I76" s="336"/>
      <c r="J76" s="195"/>
      <c r="K76" s="168"/>
      <c r="M76" s="359">
        <f t="shared" si="12"/>
        <v>0.12950800783500405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'[5]Sch C'!D70</f>
        <v>0</v>
      </c>
      <c r="D77" s="558">
        <f>'[5]Sch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'[5]Sch C'!D71</f>
        <v>0</v>
      </c>
      <c r="D78" s="558">
        <f>'[5]Sch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311993</v>
      </c>
      <c r="D79" s="558">
        <f>SUM(D64:D78)</f>
        <v>26</v>
      </c>
      <c r="E79" s="171">
        <f t="shared" ref="E79:F79" si="13">SUM(E64:E78)</f>
        <v>312019</v>
      </c>
      <c r="F79" s="171">
        <f t="shared" si="13"/>
        <v>0</v>
      </c>
      <c r="G79" s="171">
        <f>SUM(G64:G78)</f>
        <v>312019</v>
      </c>
      <c r="H79" s="172">
        <f t="shared" si="11"/>
        <v>5.566281094349855E-2</v>
      </c>
      <c r="I79" s="336"/>
      <c r="J79" s="195"/>
      <c r="K79" s="168"/>
      <c r="M79" s="359">
        <f t="shared" si="12"/>
        <v>11.983677074931828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'[5]Sch C'!D75</f>
        <v>46257</v>
      </c>
      <c r="D82" s="558">
        <f>'[5]Sch C'!F75</f>
        <v>0</v>
      </c>
      <c r="E82" s="171">
        <f t="shared" ref="E82:E92" si="14">C82+D82</f>
        <v>46257</v>
      </c>
      <c r="F82" s="171"/>
      <c r="G82" s="171">
        <f t="shared" ref="G82:G92" si="15">E82+F82</f>
        <v>46257</v>
      </c>
      <c r="H82" s="172">
        <f t="shared" ref="H82:H93" si="16">IF($G$208=0,0,G82/$G$208)</f>
        <v>8.2520444133639698E-3</v>
      </c>
      <c r="I82" s="336"/>
      <c r="J82" s="183">
        <v>2371</v>
      </c>
      <c r="K82" s="183">
        <v>2439</v>
      </c>
      <c r="M82" s="359">
        <f t="shared" ref="M82:M92" si="17">G82/G$228</f>
        <v>1.7765871644198641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'[5]Sch C'!D76</f>
        <v>12846</v>
      </c>
      <c r="D83" s="558">
        <f>'[5]Sch C'!F76</f>
        <v>0</v>
      </c>
      <c r="E83" s="171">
        <f t="shared" si="14"/>
        <v>12846</v>
      </c>
      <c r="F83" s="171"/>
      <c r="G83" s="171">
        <f t="shared" si="15"/>
        <v>12846</v>
      </c>
      <c r="H83" s="172">
        <f t="shared" si="16"/>
        <v>2.2916696399263585E-3</v>
      </c>
      <c r="I83" s="336"/>
      <c r="J83" s="168"/>
      <c r="K83" s="168"/>
      <c r="M83" s="359">
        <f t="shared" si="17"/>
        <v>0.49337481276644773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'[5]Sch C'!D77</f>
        <v>7714</v>
      </c>
      <c r="D84" s="558">
        <f>'[5]Sch C'!F77</f>
        <v>0</v>
      </c>
      <c r="E84" s="171">
        <f t="shared" si="14"/>
        <v>7714</v>
      </c>
      <c r="F84" s="171"/>
      <c r="G84" s="171">
        <f t="shared" si="15"/>
        <v>7714</v>
      </c>
      <c r="H84" s="172">
        <f t="shared" si="16"/>
        <v>1.3761435156774038E-3</v>
      </c>
      <c r="I84" s="336"/>
      <c r="J84" s="168"/>
      <c r="K84" s="168"/>
      <c r="M84" s="359">
        <f t="shared" si="17"/>
        <v>0.29627069170795406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'[5]Sch C'!D78</f>
        <v>0</v>
      </c>
      <c r="D85" s="558">
        <f>'[5]Sch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'[5]Sch C'!D79</f>
        <v>6479</v>
      </c>
      <c r="D86" s="558">
        <f>'[5]Sch C'!F79</f>
        <v>0</v>
      </c>
      <c r="E86" s="171">
        <f t="shared" si="14"/>
        <v>6479</v>
      </c>
      <c r="F86" s="171"/>
      <c r="G86" s="171">
        <f>E86+F86</f>
        <v>6479</v>
      </c>
      <c r="H86" s="172">
        <f t="shared" si="16"/>
        <v>1.1558249725270805E-3</v>
      </c>
      <c r="I86" s="336"/>
      <c r="J86" s="168"/>
      <c r="K86" s="168"/>
      <c r="M86" s="359">
        <f t="shared" si="17"/>
        <v>0.24883819180397126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'[5]Sch C'!D80</f>
        <v>30433</v>
      </c>
      <c r="D87" s="558">
        <f>'[5]Sch C'!F80</f>
        <v>0</v>
      </c>
      <c r="E87" s="171">
        <f t="shared" si="14"/>
        <v>30433</v>
      </c>
      <c r="F87" s="171"/>
      <c r="G87" s="171">
        <f t="shared" si="15"/>
        <v>30433</v>
      </c>
      <c r="H87" s="172">
        <f t="shared" si="16"/>
        <v>5.4291127317358601E-3</v>
      </c>
      <c r="I87" s="336"/>
      <c r="J87" s="168"/>
      <c r="K87" s="168"/>
      <c r="M87" s="359">
        <f t="shared" si="17"/>
        <v>1.1688366555286707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'[5]Sch C'!D81</f>
        <v>28171</v>
      </c>
      <c r="D88" s="558">
        <f>'[5]Sch C'!F81</f>
        <v>0</v>
      </c>
      <c r="E88" s="171">
        <f t="shared" si="14"/>
        <v>28171</v>
      </c>
      <c r="F88" s="171"/>
      <c r="G88" s="171">
        <f t="shared" si="15"/>
        <v>28171</v>
      </c>
      <c r="H88" s="172">
        <f t="shared" si="16"/>
        <v>5.0255819263868469E-3</v>
      </c>
      <c r="I88" s="336"/>
      <c r="J88" s="168"/>
      <c r="K88" s="168"/>
      <c r="M88" s="359">
        <f t="shared" si="17"/>
        <v>1.0819602872834813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'[5]Sch C'!D82</f>
        <v>21459</v>
      </c>
      <c r="D89" s="558">
        <f>'[5]Sch C'!F82</f>
        <v>0</v>
      </c>
      <c r="E89" s="171">
        <f t="shared" si="14"/>
        <v>21459</v>
      </c>
      <c r="F89" s="171"/>
      <c r="G89" s="171">
        <f t="shared" si="15"/>
        <v>21459</v>
      </c>
      <c r="H89" s="172">
        <f t="shared" si="16"/>
        <v>3.8281907833706773E-3</v>
      </c>
      <c r="I89" s="336"/>
      <c r="J89" s="168"/>
      <c r="K89" s="168"/>
      <c r="M89" s="359">
        <f t="shared" si="17"/>
        <v>0.8241732918539002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'[5]Sch C'!D83</f>
        <v>0</v>
      </c>
      <c r="D90" s="558">
        <f>'[5]Sch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'[5]Sch C'!D84</f>
        <v>81189</v>
      </c>
      <c r="D91" s="558">
        <f>'[5]Sch C'!F84</f>
        <v>0</v>
      </c>
      <c r="E91" s="171">
        <f t="shared" si="14"/>
        <v>81189</v>
      </c>
      <c r="F91" s="171"/>
      <c r="G91" s="171">
        <f t="shared" si="15"/>
        <v>81189</v>
      </c>
      <c r="H91" s="172">
        <f t="shared" si="16"/>
        <v>1.4483758866260401E-2</v>
      </c>
      <c r="I91" s="336"/>
      <c r="J91" s="168"/>
      <c r="K91" s="168"/>
      <c r="M91" s="359">
        <f t="shared" si="17"/>
        <v>3.1182163843760802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'[5]Sch C'!D85</f>
        <v>0</v>
      </c>
      <c r="D92" s="558">
        <f>'[5]Sch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234548</v>
      </c>
      <c r="D93" s="558">
        <f>SUM(D82:D92)</f>
        <v>0</v>
      </c>
      <c r="E93" s="171">
        <f t="shared" ref="E93:F93" si="18">SUM(E82:E92)</f>
        <v>234548</v>
      </c>
      <c r="F93" s="171">
        <f t="shared" si="18"/>
        <v>0</v>
      </c>
      <c r="G93" s="171">
        <f>SUM(G82:G92)</f>
        <v>234548</v>
      </c>
      <c r="H93" s="172">
        <f t="shared" si="16"/>
        <v>4.1842326849248601E-2</v>
      </c>
      <c r="I93" s="336"/>
      <c r="J93" s="168"/>
      <c r="K93" s="168"/>
      <c r="M93" s="364">
        <f>G93/G$228</f>
        <v>9.0082574797403687</v>
      </c>
      <c r="N93" s="359">
        <f>SUMMARY!J96</f>
        <v>11.458724454710746</v>
      </c>
      <c r="O93" s="354">
        <f>M93/N93-1</f>
        <v>-0.21385163633662352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'[5]Sch C'!D89</f>
        <v>116565</v>
      </c>
      <c r="D96" s="558">
        <f>'[5]Sch C'!F89</f>
        <v>0</v>
      </c>
      <c r="E96" s="171">
        <f t="shared" ref="E96:E101" si="19">C96+D96</f>
        <v>116565</v>
      </c>
      <c r="F96" s="171"/>
      <c r="G96" s="171">
        <f t="shared" ref="G96:G101" si="20">E96+F96</f>
        <v>116565</v>
      </c>
      <c r="H96" s="172">
        <f t="shared" ref="H96:H102" si="21">IF($G$208=0,0,G96/$G$208)</f>
        <v>2.0794680957342049E-2</v>
      </c>
      <c r="I96" s="336"/>
      <c r="J96" s="183">
        <v>9585</v>
      </c>
      <c r="K96" s="183">
        <v>10963</v>
      </c>
      <c r="M96" s="364">
        <f t="shared" ref="M96:M101" si="22">G96/G$228</f>
        <v>4.4768982601682223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'[5]Sch C'!D90</f>
        <v>33755</v>
      </c>
      <c r="D97" s="558">
        <f>'[5]Sch C'!F90</f>
        <v>0</v>
      </c>
      <c r="E97" s="171">
        <f t="shared" si="19"/>
        <v>33755</v>
      </c>
      <c r="F97" s="171"/>
      <c r="G97" s="171">
        <f t="shared" si="20"/>
        <v>33755</v>
      </c>
      <c r="H97" s="172">
        <f t="shared" si="21"/>
        <v>6.021742853473005E-3</v>
      </c>
      <c r="I97" s="336"/>
      <c r="J97" s="168"/>
      <c r="K97" s="168"/>
      <c r="M97" s="364">
        <f t="shared" si="22"/>
        <v>1.2964243192380074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'[5]Sch C'!D91</f>
        <v>178920</v>
      </c>
      <c r="D98" s="558">
        <f>'[5]Sch C'!F91</f>
        <v>0</v>
      </c>
      <c r="E98" s="171">
        <f t="shared" si="19"/>
        <v>178920</v>
      </c>
      <c r="F98" s="171"/>
      <c r="G98" s="171">
        <f t="shared" si="20"/>
        <v>178920</v>
      </c>
      <c r="H98" s="172">
        <f t="shared" si="21"/>
        <v>3.1918537441664646E-2</v>
      </c>
      <c r="I98" s="336"/>
      <c r="J98" s="168"/>
      <c r="K98" s="168"/>
      <c r="M98" s="364">
        <f t="shared" si="22"/>
        <v>6.8717594192879368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'[5]Sch C'!D92</f>
        <v>93016</v>
      </c>
      <c r="D99" s="558">
        <f>'[5]Sch C'!F92</f>
        <v>-1791</v>
      </c>
      <c r="E99" s="171">
        <f t="shared" si="19"/>
        <v>91225</v>
      </c>
      <c r="F99" s="171"/>
      <c r="G99" s="171">
        <f t="shared" si="20"/>
        <v>91225</v>
      </c>
      <c r="H99" s="172">
        <f t="shared" si="21"/>
        <v>1.6274136922176712E-2</v>
      </c>
      <c r="I99" s="336"/>
      <c r="J99" s="168"/>
      <c r="K99" s="168"/>
      <c r="M99" s="364">
        <f t="shared" si="22"/>
        <v>3.5036678572800244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'[5]Sch C'!D93</f>
        <v>14338</v>
      </c>
      <c r="D100" s="558">
        <f>'[5]Sch C'!F93</f>
        <v>0</v>
      </c>
      <c r="E100" s="171">
        <f t="shared" si="19"/>
        <v>14338</v>
      </c>
      <c r="F100" s="171"/>
      <c r="G100" s="171">
        <f t="shared" si="20"/>
        <v>14338</v>
      </c>
      <c r="H100" s="172">
        <f t="shared" si="21"/>
        <v>2.5578358475217286E-3</v>
      </c>
      <c r="I100" s="336"/>
      <c r="J100" s="168"/>
      <c r="K100" s="168"/>
      <c r="M100" s="364">
        <f t="shared" si="22"/>
        <v>0.55067788147636054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'[5]Sch C'!D94</f>
        <v>0</v>
      </c>
      <c r="D101" s="558">
        <f>'[5]Sch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436594</v>
      </c>
      <c r="D102" s="558">
        <f>SUM(D96:D101)</f>
        <v>-1791</v>
      </c>
      <c r="E102" s="171">
        <f t="shared" ref="E102:F102" si="23">SUM(E96:E101)</f>
        <v>434803</v>
      </c>
      <c r="F102" s="171">
        <f t="shared" si="23"/>
        <v>0</v>
      </c>
      <c r="G102" s="171">
        <f>SUM(G96:G101)</f>
        <v>434803</v>
      </c>
      <c r="H102" s="172">
        <f t="shared" si="21"/>
        <v>7.7566934022178138E-2</v>
      </c>
      <c r="I102" s="336"/>
      <c r="J102" s="168"/>
      <c r="K102" s="168"/>
      <c r="M102" s="364">
        <f>G102/G$228</f>
        <v>16.699427737450552</v>
      </c>
      <c r="N102" s="359">
        <f>SUMMARY!J105</f>
        <v>19.901077037785338</v>
      </c>
      <c r="O102" s="354">
        <f>M102/N102-1</f>
        <v>-0.16087819238405787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'[5]Sch C'!D98</f>
        <v>0</v>
      </c>
      <c r="D105" s="558">
        <f>'[5]Sch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'[5]Sch C'!D99</f>
        <v>0</v>
      </c>
      <c r="D106" s="558">
        <f>'[5]Sch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'[5]Sch C'!D100</f>
        <v>0</v>
      </c>
      <c r="D107" s="558">
        <f>'[5]Sch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'[5]Sch C'!D101</f>
        <v>51983</v>
      </c>
      <c r="D108" s="558">
        <f>'[5]Sch C'!F101</f>
        <v>0</v>
      </c>
      <c r="E108" s="171">
        <f t="shared" si="24"/>
        <v>51983</v>
      </c>
      <c r="F108" s="171"/>
      <c r="G108" s="171">
        <f t="shared" si="25"/>
        <v>51983</v>
      </c>
      <c r="H108" s="172">
        <f t="shared" si="26"/>
        <v>9.2735375130228778E-3</v>
      </c>
      <c r="I108" s="336"/>
      <c r="J108" s="168"/>
      <c r="K108" s="168"/>
      <c r="M108" s="364">
        <f t="shared" si="27"/>
        <v>1.9965049736912854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'[5]Sch C'!D102</f>
        <v>5195</v>
      </c>
      <c r="D109" s="558">
        <f>'[5]Sch C'!F102</f>
        <v>0</v>
      </c>
      <c r="E109" s="171">
        <f t="shared" si="24"/>
        <v>5195</v>
      </c>
      <c r="F109" s="171"/>
      <c r="G109" s="171">
        <f t="shared" si="25"/>
        <v>5195</v>
      </c>
      <c r="H109" s="172">
        <f t="shared" si="26"/>
        <v>9.2676504588334353E-4</v>
      </c>
      <c r="I109" s="336"/>
      <c r="J109" s="168"/>
      <c r="K109" s="168"/>
      <c r="M109" s="364">
        <f t="shared" si="27"/>
        <v>0.1995237546568345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'[5]Sch C'!D103</f>
        <v>0</v>
      </c>
      <c r="D110" s="558">
        <f>'[5]Sch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57178</v>
      </c>
      <c r="D111" s="558">
        <f>SUM(D105:D110)</f>
        <v>0</v>
      </c>
      <c r="E111" s="171">
        <f t="shared" ref="E111:F111" si="28">SUM(E105:E110)</f>
        <v>57178</v>
      </c>
      <c r="F111" s="171">
        <f t="shared" si="28"/>
        <v>0</v>
      </c>
      <c r="G111" s="171">
        <f>SUM(G105:G110)</f>
        <v>57178</v>
      </c>
      <c r="H111" s="172">
        <f t="shared" si="26"/>
        <v>1.0200302558906221E-2</v>
      </c>
      <c r="I111" s="336"/>
      <c r="J111" s="168"/>
      <c r="K111" s="168"/>
      <c r="M111" s="364">
        <f>G111/G$228</f>
        <v>2.1960287283481201</v>
      </c>
      <c r="N111" s="359">
        <f>SUMMARY!J114</f>
        <v>2.4242384372309496</v>
      </c>
      <c r="O111" s="354">
        <f>M111/N111-1</f>
        <v>-9.4136659735293393E-2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'[5]Sch C'!D115</f>
        <v>0</v>
      </c>
      <c r="D114" s="558">
        <f>'[5]Sch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'[5]Sch C'!D116</f>
        <v>0</v>
      </c>
      <c r="D115" s="558">
        <f>'[5]Sch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'[5]Sch C'!D117</f>
        <v>11376</v>
      </c>
      <c r="D116" s="558">
        <f>'[5]Sch C'!F117</f>
        <v>0</v>
      </c>
      <c r="E116" s="171">
        <f t="shared" si="29"/>
        <v>11376</v>
      </c>
      <c r="F116" s="171"/>
      <c r="G116" s="171">
        <f>E116+F116</f>
        <v>11376</v>
      </c>
      <c r="H116" s="172">
        <f t="shared" si="30"/>
        <v>2.0294281351239491E-3</v>
      </c>
      <c r="I116" s="336"/>
      <c r="J116" s="168"/>
      <c r="K116" s="168"/>
      <c r="M116" s="364">
        <f t="shared" si="31"/>
        <v>0.43691669547182854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'[5]Sch C'!D118</f>
        <v>102312</v>
      </c>
      <c r="D117" s="558">
        <f>'[5]Sch C'!F118</f>
        <v>0</v>
      </c>
      <c r="E117" s="171">
        <f t="shared" si="29"/>
        <v>102312</v>
      </c>
      <c r="F117" s="171"/>
      <c r="G117" s="171">
        <f>E117+F117</f>
        <v>102312</v>
      </c>
      <c r="H117" s="172">
        <f t="shared" si="30"/>
        <v>1.825200873424767E-2</v>
      </c>
      <c r="I117" s="336"/>
      <c r="J117" s="168"/>
      <c r="K117" s="168"/>
      <c r="M117" s="364">
        <f t="shared" si="31"/>
        <v>3.9294849637054958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'[5]Sch C'!D119</f>
        <v>65</v>
      </c>
      <c r="D118" s="558">
        <f>'[5]Sch C'!F119</f>
        <v>0</v>
      </c>
      <c r="E118" s="171">
        <f t="shared" si="29"/>
        <v>65</v>
      </c>
      <c r="F118" s="171"/>
      <c r="G118" s="171">
        <f>E118+F118</f>
        <v>65</v>
      </c>
      <c r="H118" s="172">
        <f t="shared" si="30"/>
        <v>1.1595712797385435E-5</v>
      </c>
      <c r="I118" s="336"/>
      <c r="J118" s="168"/>
      <c r="K118" s="168"/>
      <c r="M118" s="364">
        <f t="shared" si="31"/>
        <v>2.4964473633675155E-3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113753</v>
      </c>
      <c r="D119" s="558">
        <f>SUM(D114:D118)</f>
        <v>0</v>
      </c>
      <c r="E119" s="171">
        <f t="shared" ref="E119:F119" si="32">SUM(E114:E118)</f>
        <v>113753</v>
      </c>
      <c r="F119" s="171">
        <f t="shared" si="32"/>
        <v>0</v>
      </c>
      <c r="G119" s="171">
        <f>SUM(G114:G118)</f>
        <v>113753</v>
      </c>
      <c r="H119" s="172">
        <f t="shared" si="30"/>
        <v>2.0293032582169006E-2</v>
      </c>
      <c r="I119" s="336"/>
      <c r="J119" s="168"/>
      <c r="K119" s="168"/>
      <c r="M119" s="364">
        <f t="shared" si="31"/>
        <v>4.3688981065406924</v>
      </c>
      <c r="N119" s="359">
        <f>SUMMARY!J122</f>
        <v>6.0247597205909562</v>
      </c>
      <c r="O119" s="354">
        <f>M119/N119-1</f>
        <v>-0.27484276400119134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'[5]Sch C'!D124</f>
        <v>0</v>
      </c>
      <c r="D123" s="558">
        <f>'[5]Sch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'[5]Sch C'!D125</f>
        <v>205798</v>
      </c>
      <c r="D124" s="558">
        <f>'[5]Sch C'!F125</f>
        <v>0</v>
      </c>
      <c r="E124" s="171">
        <f t="shared" si="33"/>
        <v>205798</v>
      </c>
      <c r="F124" s="171"/>
      <c r="G124" s="171">
        <f>E124+F124</f>
        <v>205798</v>
      </c>
      <c r="H124" s="172">
        <f>IF($G$208=0,0,G124/$G$208)</f>
        <v>3.6713453881174272E-2</v>
      </c>
      <c r="I124" s="336"/>
      <c r="J124" s="183">
        <v>3059</v>
      </c>
      <c r="K124" s="183">
        <v>3383</v>
      </c>
      <c r="M124" s="364">
        <f t="shared" si="34"/>
        <v>7.9040596074816607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'[5]Sch C'!D126</f>
        <v>0</v>
      </c>
      <c r="D125" s="558">
        <f>'[5]Sch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'[5]Sch C'!D127</f>
        <v>0</v>
      </c>
      <c r="D126" s="558">
        <f>'[5]Sch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'[5]Sch C'!D128</f>
        <v>52036</v>
      </c>
      <c r="D127" s="558">
        <f>'[5]Sch C'!F128</f>
        <v>0</v>
      </c>
      <c r="E127" s="171">
        <f t="shared" si="33"/>
        <v>52036</v>
      </c>
      <c r="F127" s="171"/>
      <c r="G127" s="171">
        <f>E127+F127</f>
        <v>52036</v>
      </c>
      <c r="H127" s="172">
        <f>IF($G$208=0,0,G127/$G$208)</f>
        <v>9.2829924788422839E-3</v>
      </c>
      <c r="I127" s="336"/>
      <c r="J127" s="183">
        <v>3091</v>
      </c>
      <c r="K127" s="183">
        <v>3392</v>
      </c>
      <c r="M127" s="364">
        <f t="shared" si="34"/>
        <v>1.9985405384644928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'[5]Sch C'!D130</f>
        <v>0</v>
      </c>
      <c r="D129" s="558">
        <f>'[5]Sch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'[5]Sch C'!D131</f>
        <v>31231</v>
      </c>
      <c r="D130" s="558">
        <f>'[5]Sch C'!F131</f>
        <v>0</v>
      </c>
      <c r="E130" s="171">
        <f t="shared" si="35"/>
        <v>31231</v>
      </c>
      <c r="F130" s="171"/>
      <c r="G130" s="171">
        <f>E130+F130</f>
        <v>31231</v>
      </c>
      <c r="H130" s="172">
        <f>IF($G$208=0,0,G130/$G$208)</f>
        <v>5.5714724057714538E-3</v>
      </c>
      <c r="I130" s="336"/>
      <c r="J130" s="204"/>
      <c r="K130" s="204"/>
      <c r="M130" s="364">
        <f t="shared" si="34"/>
        <v>1.1994853477743213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'[5]Sch C'!D132</f>
        <v>0</v>
      </c>
      <c r="D131" s="558">
        <f>'[5]Sch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'[5]Sch C'!D133</f>
        <v>0</v>
      </c>
      <c r="D132" s="558">
        <f>'[5]Sch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'[5]Sch C'!D134</f>
        <v>6190</v>
      </c>
      <c r="D133" s="558">
        <f>'[5]Sch C'!F134</f>
        <v>0</v>
      </c>
      <c r="E133" s="171">
        <f t="shared" si="35"/>
        <v>6190</v>
      </c>
      <c r="F133" s="171"/>
      <c r="G133" s="171">
        <f>E133+F133</f>
        <v>6190</v>
      </c>
      <c r="H133" s="172">
        <f>IF($G$208=0,0,G133/$G$208)</f>
        <v>1.1042686494740898E-3</v>
      </c>
      <c r="I133" s="336"/>
      <c r="J133" s="168"/>
      <c r="K133" s="168"/>
      <c r="M133" s="364">
        <f t="shared" si="34"/>
        <v>0.23773860275761416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'[5]Sch C'!D136</f>
        <v>512714</v>
      </c>
      <c r="D135" s="558">
        <f>'[5]Sch C'!F136</f>
        <v>0</v>
      </c>
      <c r="E135" s="171">
        <f t="shared" ref="E135:E138" si="36">C135+D135</f>
        <v>512714</v>
      </c>
      <c r="F135" s="171"/>
      <c r="G135" s="171">
        <f>E135+F135</f>
        <v>512714</v>
      </c>
      <c r="H135" s="172">
        <f>IF($G$208=0,0,G135/$G$208)</f>
        <v>9.146591217228732E-2</v>
      </c>
      <c r="I135" s="336"/>
      <c r="J135" s="183">
        <v>22434</v>
      </c>
      <c r="K135" s="183">
        <v>23070</v>
      </c>
      <c r="M135" s="364">
        <f t="shared" si="34"/>
        <v>19.691746360947882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'[5]Sch C'!D137</f>
        <v>354967</v>
      </c>
      <c r="D136" s="558">
        <f>'[5]Sch C'!F137</f>
        <v>0</v>
      </c>
      <c r="E136" s="171">
        <f t="shared" si="36"/>
        <v>354967</v>
      </c>
      <c r="F136" s="171"/>
      <c r="G136" s="171">
        <f>E136+F136</f>
        <v>354967</v>
      </c>
      <c r="H136" s="172">
        <f>IF($G$208=0,0,G136/$G$208)</f>
        <v>6.3324544377684852E-2</v>
      </c>
      <c r="I136" s="336"/>
      <c r="J136" s="183">
        <v>17594</v>
      </c>
      <c r="K136" s="183">
        <v>18162</v>
      </c>
      <c r="M136" s="364">
        <f t="shared" si="34"/>
        <v>13.633175865115028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'[5]Sch C'!D138</f>
        <v>636853</v>
      </c>
      <c r="D137" s="558">
        <f>'[5]Sch C'!F138</f>
        <v>25508</v>
      </c>
      <c r="E137" s="171">
        <f t="shared" si="36"/>
        <v>662361</v>
      </c>
      <c r="F137" s="171"/>
      <c r="G137" s="171">
        <f>E137+F137</f>
        <v>662361</v>
      </c>
      <c r="H137" s="172">
        <f>IF($G$208=0,0,G137/$G$208)</f>
        <v>0.11816227575675406</v>
      </c>
      <c r="I137" s="336"/>
      <c r="J137" s="183">
        <v>70695</v>
      </c>
      <c r="K137" s="183">
        <v>74516</v>
      </c>
      <c r="M137" s="364">
        <f t="shared" si="34"/>
        <v>25.439221108422629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'[5]Sch C'!D139</f>
        <v>25508</v>
      </c>
      <c r="D138" s="558">
        <f>'[5]Sch C'!F139</f>
        <v>-25508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'[5]Sch C'!D141</f>
        <v>348085</v>
      </c>
      <c r="D140" s="558">
        <f>'[5]Sch C'!F141</f>
        <v>-231442</v>
      </c>
      <c r="E140" s="171">
        <f t="shared" ref="E140:E143" si="37">C140+D140</f>
        <v>116643</v>
      </c>
      <c r="F140" s="171"/>
      <c r="G140" s="171">
        <f>E140+F140</f>
        <v>116643</v>
      </c>
      <c r="H140" s="172">
        <f>IF($G$208=0,0,G140/$G$208)</f>
        <v>2.0808595812698911E-2</v>
      </c>
      <c r="I140" s="336"/>
      <c r="J140" s="168"/>
      <c r="K140" s="168"/>
      <c r="M140" s="364">
        <f t="shared" si="34"/>
        <v>4.4798939970042628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'[5]Sch C'!D142</f>
        <v>0</v>
      </c>
      <c r="D141" s="558">
        <f>'[5]Sch C'!F142</f>
        <v>80755</v>
      </c>
      <c r="E141" s="171">
        <f t="shared" si="37"/>
        <v>80755</v>
      </c>
      <c r="F141" s="171"/>
      <c r="G141" s="171">
        <f>E141+F141</f>
        <v>80755</v>
      </c>
      <c r="H141" s="172">
        <f>IF($G$208=0,0,G141/$G$208)</f>
        <v>1.4406335183890166E-2</v>
      </c>
      <c r="I141" s="336"/>
      <c r="J141" s="168"/>
      <c r="K141" s="168"/>
      <c r="M141" s="364">
        <f t="shared" si="34"/>
        <v>3.1015477973652881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'[5]Sch C'!D143</f>
        <v>0</v>
      </c>
      <c r="D142" s="558">
        <f>'[5]Sch C'!F143</f>
        <v>150687</v>
      </c>
      <c r="E142" s="171">
        <f t="shared" si="37"/>
        <v>150687</v>
      </c>
      <c r="F142" s="171"/>
      <c r="G142" s="171">
        <f>E142+F142</f>
        <v>150687</v>
      </c>
      <c r="H142" s="172">
        <f>IF($G$208=0,0,G142/$G$208)</f>
        <v>2.6881894989224907E-2</v>
      </c>
      <c r="I142" s="336"/>
      <c r="J142" s="168"/>
      <c r="K142" s="168"/>
      <c r="M142" s="364">
        <f t="shared" si="34"/>
        <v>5.7874179052886277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'[5]Sch C'!D144</f>
        <v>0</v>
      </c>
      <c r="D143" s="558">
        <f>'[5]Sch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'[5]Sch C'!D146</f>
        <v>39457</v>
      </c>
      <c r="D145" s="558">
        <f>'[5]Sch C'!F146</f>
        <v>0</v>
      </c>
      <c r="E145" s="171">
        <f t="shared" ref="E145:E153" si="38">C145+D145</f>
        <v>39457</v>
      </c>
      <c r="F145" s="171"/>
      <c r="G145" s="171">
        <f t="shared" ref="G145:G153" si="39">E145+F145</f>
        <v>39457</v>
      </c>
      <c r="H145" s="172">
        <f t="shared" ref="H145:H153" si="40">IF($G$208=0,0,G145/$G$208)</f>
        <v>7.0389544591759551E-3</v>
      </c>
      <c r="I145" s="336"/>
      <c r="J145" s="183">
        <v>144</v>
      </c>
      <c r="K145" s="183">
        <v>144</v>
      </c>
      <c r="M145" s="364">
        <f t="shared" si="34"/>
        <v>1.5154203633291086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'[5]Sch C'!D147</f>
        <v>31466</v>
      </c>
      <c r="D146" s="558">
        <f>'[5]Sch C'!F147</f>
        <v>0</v>
      </c>
      <c r="E146" s="171">
        <f t="shared" si="38"/>
        <v>31466</v>
      </c>
      <c r="F146" s="171"/>
      <c r="G146" s="171">
        <f t="shared" si="39"/>
        <v>31466</v>
      </c>
      <c r="H146" s="172">
        <f t="shared" si="40"/>
        <v>5.6133953674235397E-3</v>
      </c>
      <c r="I146" s="336"/>
      <c r="J146" s="183">
        <v>1089</v>
      </c>
      <c r="K146" s="183">
        <v>1089</v>
      </c>
      <c r="M146" s="364">
        <f t="shared" si="34"/>
        <v>1.2085109651649575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'[5]Sch C'!D148</f>
        <v>15944</v>
      </c>
      <c r="D147" s="558">
        <f>'[5]Sch C'!F148</f>
        <v>0</v>
      </c>
      <c r="E147" s="171">
        <f t="shared" si="38"/>
        <v>15944</v>
      </c>
      <c r="F147" s="171"/>
      <c r="G147" s="171">
        <f t="shared" si="39"/>
        <v>15944</v>
      </c>
      <c r="H147" s="172">
        <f t="shared" si="40"/>
        <v>2.8443391514078979E-3</v>
      </c>
      <c r="I147" s="336"/>
      <c r="J147" s="183">
        <v>218</v>
      </c>
      <c r="K147" s="183">
        <v>218</v>
      </c>
      <c r="M147" s="364">
        <f t="shared" si="34"/>
        <v>0.61235933479279492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'[5]Sch C'!D149</f>
        <v>104649</v>
      </c>
      <c r="D148" s="558">
        <f>'[5]Sch C'!F149</f>
        <v>0</v>
      </c>
      <c r="E148" s="171">
        <f t="shared" si="38"/>
        <v>104649</v>
      </c>
      <c r="F148" s="171"/>
      <c r="G148" s="171">
        <f t="shared" si="39"/>
        <v>104649</v>
      </c>
      <c r="H148" s="172">
        <f t="shared" si="40"/>
        <v>1.866891920820905E-2</v>
      </c>
      <c r="I148" s="336"/>
      <c r="J148" s="183">
        <v>3073</v>
      </c>
      <c r="K148" s="183">
        <v>3073</v>
      </c>
      <c r="M148" s="364">
        <f t="shared" si="34"/>
        <v>4.0192418481391865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'[5]Sch C'!D150</f>
        <v>2971</v>
      </c>
      <c r="D149" s="558">
        <f>'[5]Sch C'!F150</f>
        <v>0</v>
      </c>
      <c r="E149" s="171">
        <f t="shared" si="38"/>
        <v>2971</v>
      </c>
      <c r="F149" s="171"/>
      <c r="G149" s="171">
        <f t="shared" si="39"/>
        <v>2971</v>
      </c>
      <c r="H149" s="172">
        <f t="shared" si="40"/>
        <v>5.3001327263126345E-4</v>
      </c>
      <c r="I149" s="336"/>
      <c r="J149" s="183">
        <v>0</v>
      </c>
      <c r="K149" s="183">
        <v>0</v>
      </c>
      <c r="M149" s="364">
        <f t="shared" si="34"/>
        <v>0.11410684794715213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'[5]Sch C'!D151</f>
        <v>77581</v>
      </c>
      <c r="D150" s="558">
        <f>'[5]Sch C'!F151</f>
        <v>-282</v>
      </c>
      <c r="E150" s="171">
        <f t="shared" si="38"/>
        <v>77299</v>
      </c>
      <c r="F150" s="171"/>
      <c r="G150" s="171">
        <f t="shared" si="39"/>
        <v>77299</v>
      </c>
      <c r="H150" s="172">
        <f t="shared" si="40"/>
        <v>1.3789800054232257E-2</v>
      </c>
      <c r="I150" s="336"/>
      <c r="J150" s="168"/>
      <c r="K150" s="168"/>
      <c r="M150" s="364">
        <f t="shared" si="34"/>
        <v>2.9688136113991628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'[5]Sch C'!D152</f>
        <v>6155</v>
      </c>
      <c r="D151" s="558">
        <f>'[5]Sch C'!F152</f>
        <v>0</v>
      </c>
      <c r="E151" s="171">
        <f t="shared" si="38"/>
        <v>6155</v>
      </c>
      <c r="F151" s="171"/>
      <c r="G151" s="171">
        <f t="shared" si="39"/>
        <v>6155</v>
      </c>
      <c r="H151" s="172">
        <f t="shared" si="40"/>
        <v>1.0980248041216516E-3</v>
      </c>
      <c r="I151" s="336"/>
      <c r="J151" s="168"/>
      <c r="K151" s="168"/>
      <c r="M151" s="364">
        <f t="shared" si="34"/>
        <v>0.23639436186964705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'[5]Sch C'!D153</f>
        <v>0</v>
      </c>
      <c r="D152" s="558">
        <f>'[5]Sch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'[5]Sch C'!D154</f>
        <v>0</v>
      </c>
      <c r="D153" s="558">
        <f>'[5]Sch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'[5]Sch C'!D156</f>
        <v>0</v>
      </c>
      <c r="D155" s="558">
        <f>'[5]Sch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'[5]Sch C'!D157</f>
        <v>0</v>
      </c>
      <c r="D156" s="558">
        <f>'[5]Sch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'[5]Sch C'!D158</f>
        <v>3470</v>
      </c>
      <c r="D157" s="558">
        <f>'[5]Sch C'!F158</f>
        <v>0</v>
      </c>
      <c r="E157" s="171">
        <f t="shared" si="41"/>
        <v>3470</v>
      </c>
      <c r="F157" s="171"/>
      <c r="G157" s="171">
        <f t="shared" si="42"/>
        <v>3470</v>
      </c>
      <c r="H157" s="172">
        <f t="shared" si="43"/>
        <v>6.1903266779888395E-4</v>
      </c>
      <c r="I157" s="336"/>
      <c r="J157" s="168"/>
      <c r="K157" s="168"/>
      <c r="M157" s="364">
        <f t="shared" si="34"/>
        <v>0.13327188232131199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'[5]Sch C'!D159</f>
        <v>0</v>
      </c>
      <c r="D158" s="558">
        <f>'[5]Sch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'[5]Sch C'!D160</f>
        <v>0</v>
      </c>
      <c r="D159" s="558">
        <f>'[5]Sch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'[5]Sch C'!D161</f>
        <v>18721</v>
      </c>
      <c r="D160" s="558">
        <f>'[5]Sch C'!F161</f>
        <v>-161</v>
      </c>
      <c r="E160" s="171">
        <f t="shared" si="41"/>
        <v>18560</v>
      </c>
      <c r="F160" s="171"/>
      <c r="G160" s="171">
        <f t="shared" si="42"/>
        <v>18560</v>
      </c>
      <c r="H160" s="172">
        <f t="shared" si="43"/>
        <v>3.3110219926072871E-3</v>
      </c>
      <c r="I160" s="336"/>
      <c r="J160" s="168"/>
      <c r="K160" s="168"/>
      <c r="M160" s="364">
        <f t="shared" si="34"/>
        <v>0.71283173944770906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2473796</v>
      </c>
      <c r="D161" s="558">
        <f>SUM(D123:D160)</f>
        <v>-443</v>
      </c>
      <c r="E161" s="171">
        <f t="shared" ref="E161:F161" si="44">SUM(E123:E160)</f>
        <v>2473353</v>
      </c>
      <c r="F161" s="171">
        <f t="shared" si="44"/>
        <v>0</v>
      </c>
      <c r="G161" s="171">
        <f>SUM(G123:G160)</f>
        <v>2473353</v>
      </c>
      <c r="H161" s="172">
        <f t="shared" si="43"/>
        <v>0.44123524668541009</v>
      </c>
      <c r="I161" s="336"/>
      <c r="J161" s="168"/>
      <c r="K161" s="168"/>
      <c r="M161" s="364">
        <f>G161/G$228</f>
        <v>94.993778085032844</v>
      </c>
      <c r="N161" s="359">
        <f>SUMMARY!J164</f>
        <v>105.56901037202306</v>
      </c>
      <c r="O161" s="354">
        <f>M161/N161-1</f>
        <v>-0.10017364233806214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'[5]Sch C'!D175</f>
        <v>0</v>
      </c>
      <c r="D164" s="558">
        <f>'[5]Sch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'[5]Sch C'!D176</f>
        <v>0</v>
      </c>
      <c r="D165" s="558">
        <f>'[5]Sch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'[5]Sch C'!D177</f>
        <v>0</v>
      </c>
      <c r="D166" s="558">
        <f>'[5]Sch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'[5]Sch C'!D178</f>
        <v>0</v>
      </c>
      <c r="D167" s="558">
        <f>'[5]Sch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'[5]Sch C'!D179</f>
        <v>0</v>
      </c>
      <c r="D168" s="558">
        <f>'[5]Sch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'[5]Sch C'!D180</f>
        <v>0</v>
      </c>
      <c r="D169" s="558">
        <f>'[5]Sch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'[5]Sch C'!D181</f>
        <v>0</v>
      </c>
      <c r="D170" s="558">
        <f>'[5]Sch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'[5]Sch C'!D182</f>
        <v>0</v>
      </c>
      <c r="D171" s="558">
        <f>'[5]Sch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'[5]Sch C'!D183</f>
        <v>0</v>
      </c>
      <c r="D172" s="558">
        <f>'[5]Sch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'[5]Sch C'!D184</f>
        <v>0</v>
      </c>
      <c r="D173" s="558">
        <f>'[5]Sch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'[5]Sch C'!D185</f>
        <v>0</v>
      </c>
      <c r="D174" s="558">
        <f>'[5]Sch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'[5]Sch C'!D186</f>
        <v>0</v>
      </c>
      <c r="D175" s="558">
        <f>'[5]Sch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'[5]Sch C'!D187</f>
        <v>0</v>
      </c>
      <c r="D176" s="558">
        <f>'[5]Sch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'[5]Sch C'!D188</f>
        <v>144</v>
      </c>
      <c r="D177" s="558">
        <f>'[5]Sch C'!F188</f>
        <v>0</v>
      </c>
      <c r="E177" s="171">
        <f t="shared" si="45"/>
        <v>144</v>
      </c>
      <c r="F177" s="216"/>
      <c r="G177" s="171">
        <f t="shared" si="46"/>
        <v>144</v>
      </c>
      <c r="H177" s="172">
        <f t="shared" si="47"/>
        <v>2.5688963735746194E-5</v>
      </c>
      <c r="I177" s="336"/>
      <c r="J177" s="223"/>
      <c r="K177" s="218"/>
      <c r="L177" s="220"/>
      <c r="M177" s="364">
        <f t="shared" si="48"/>
        <v>5.5305910819218804E-3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'[5]Sch C'!D189</f>
        <v>0</v>
      </c>
      <c r="D178" s="558">
        <f>'[5]Sch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'[5]Sch C'!D190</f>
        <v>0</v>
      </c>
      <c r="D179" s="558">
        <f>'[5]Sch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'[5]Sch C'!D191</f>
        <v>105</v>
      </c>
      <c r="D180" s="558">
        <f>'[5]Sch C'!F191</f>
        <v>0</v>
      </c>
      <c r="E180" s="171">
        <f t="shared" si="45"/>
        <v>105</v>
      </c>
      <c r="F180" s="216"/>
      <c r="G180" s="171">
        <f t="shared" si="46"/>
        <v>105</v>
      </c>
      <c r="H180" s="172">
        <f t="shared" si="47"/>
        <v>1.8731536057314932E-5</v>
      </c>
      <c r="I180" s="336"/>
      <c r="J180" s="223"/>
      <c r="K180" s="218"/>
      <c r="L180" s="220"/>
      <c r="M180" s="364">
        <f t="shared" si="48"/>
        <v>4.0327226639013712E-3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'[5]Sch C'!D192</f>
        <v>0</v>
      </c>
      <c r="D181" s="558">
        <f>'[5]Sch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'[5]Sch C'!D193</f>
        <v>580</v>
      </c>
      <c r="D182" s="558">
        <f>'[5]Sch C'!F193</f>
        <v>0</v>
      </c>
      <c r="E182" s="171">
        <f t="shared" si="45"/>
        <v>580</v>
      </c>
      <c r="F182" s="216"/>
      <c r="G182" s="171">
        <f t="shared" si="46"/>
        <v>580</v>
      </c>
      <c r="H182" s="172">
        <f t="shared" si="47"/>
        <v>1.0346943726897772E-4</v>
      </c>
      <c r="I182" s="336"/>
      <c r="J182" s="223"/>
      <c r="K182" s="218"/>
      <c r="L182" s="220"/>
      <c r="M182" s="364">
        <f t="shared" si="48"/>
        <v>2.2275991857740908E-2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'[5]Sch C'!D194</f>
        <v>154496</v>
      </c>
      <c r="D183" s="558">
        <f>'[5]Sch C'!F194</f>
        <v>-2086</v>
      </c>
      <c r="E183" s="171">
        <f t="shared" si="45"/>
        <v>152410</v>
      </c>
      <c r="F183" s="216"/>
      <c r="G183" s="171">
        <f t="shared" si="46"/>
        <v>152410</v>
      </c>
      <c r="H183" s="172">
        <f t="shared" si="47"/>
        <v>2.7189270576146372E-2</v>
      </c>
      <c r="I183" s="336"/>
      <c r="J183" s="223"/>
      <c r="K183" s="218"/>
      <c r="M183" s="364">
        <f t="shared" si="48"/>
        <v>5.853592963859124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'[5]Sch C'!D195</f>
        <v>110114</v>
      </c>
      <c r="D184" s="558">
        <f>'[5]Sch C'!F195</f>
        <v>-1487</v>
      </c>
      <c r="E184" s="171">
        <f t="shared" si="45"/>
        <v>108627</v>
      </c>
      <c r="F184" s="216"/>
      <c r="G184" s="171">
        <f t="shared" si="46"/>
        <v>108627</v>
      </c>
      <c r="H184" s="172">
        <f t="shared" si="47"/>
        <v>1.937857683140904E-2</v>
      </c>
      <c r="I184" s="336"/>
      <c r="J184" s="223"/>
      <c r="K184" s="218"/>
      <c r="M184" s="364">
        <f t="shared" si="48"/>
        <v>4.1720244267772788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'[5]Sch C'!D196</f>
        <v>0</v>
      </c>
      <c r="D185" s="558">
        <f>'[5]Sch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'[5]Sch C'!D197</f>
        <v>107551</v>
      </c>
      <c r="D186" s="558">
        <f>'[5]Sch C'!F197</f>
        <v>-1452</v>
      </c>
      <c r="E186" s="171">
        <f t="shared" si="45"/>
        <v>106099</v>
      </c>
      <c r="F186" s="216"/>
      <c r="G186" s="171">
        <f t="shared" si="46"/>
        <v>106099</v>
      </c>
      <c r="H186" s="172">
        <f t="shared" si="47"/>
        <v>1.8927592801381496E-2</v>
      </c>
      <c r="I186" s="336"/>
      <c r="J186" s="223"/>
      <c r="K186" s="218"/>
      <c r="M186" s="364">
        <f t="shared" si="48"/>
        <v>4.0749318277835389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'[5]Sch C'!D198</f>
        <v>21310</v>
      </c>
      <c r="D187" s="558">
        <f>'[5]Sch C'!F198</f>
        <v>-253</v>
      </c>
      <c r="E187" s="171">
        <f t="shared" si="45"/>
        <v>21057</v>
      </c>
      <c r="F187" s="216"/>
      <c r="G187" s="171">
        <f t="shared" si="46"/>
        <v>21057</v>
      </c>
      <c r="H187" s="172">
        <f t="shared" si="47"/>
        <v>3.7564757596083862E-3</v>
      </c>
      <c r="I187" s="336"/>
      <c r="J187" s="223"/>
      <c r="K187" s="218"/>
      <c r="M187" s="364">
        <f t="shared" si="48"/>
        <v>0.80873372508353492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'[5]Sch C'!D199</f>
        <v>0</v>
      </c>
      <c r="D188" s="558">
        <f>'[5]Sch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'[5]Sch C'!D200</f>
        <v>0</v>
      </c>
      <c r="D189" s="558">
        <f>'[5]Sch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'[5]Sch C'!D201</f>
        <v>0</v>
      </c>
      <c r="D190" s="558">
        <f>'[5]Sch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'[5]Sch C'!D202</f>
        <v>0</v>
      </c>
      <c r="D191" s="558">
        <f>'[5]Sch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'[5]Sch C'!D203</f>
        <v>0</v>
      </c>
      <c r="D192" s="558">
        <f>'[5]Sch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'[5]Sch C'!D204</f>
        <v>0</v>
      </c>
      <c r="D193" s="558">
        <f>'[5]Sch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'[5]Sch C'!D205</f>
        <v>119959</v>
      </c>
      <c r="D194" s="558">
        <f>'[5]Sch C'!F205</f>
        <v>-1843</v>
      </c>
      <c r="E194" s="171">
        <f t="shared" si="45"/>
        <v>118116</v>
      </c>
      <c r="F194" s="216"/>
      <c r="G194" s="171">
        <f t="shared" si="46"/>
        <v>118116</v>
      </c>
      <c r="H194" s="172">
        <f t="shared" si="47"/>
        <v>2.1071372504245813E-2</v>
      </c>
      <c r="I194" s="336"/>
      <c r="J194" s="223"/>
      <c r="K194" s="218"/>
      <c r="M194" s="364">
        <f t="shared" si="48"/>
        <v>4.5364673349464226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'[5]Sch C'!D206</f>
        <v>919</v>
      </c>
      <c r="D195" s="558">
        <f>'[5]Sch C'!F206</f>
        <v>0</v>
      </c>
      <c r="E195" s="171">
        <f t="shared" si="45"/>
        <v>919</v>
      </c>
      <c r="F195" s="216"/>
      <c r="G195" s="171">
        <f t="shared" si="46"/>
        <v>919</v>
      </c>
      <c r="H195" s="172">
        <f t="shared" si="47"/>
        <v>1.6394553939688022E-4</v>
      </c>
      <c r="I195" s="336"/>
      <c r="J195" s="223"/>
      <c r="K195" s="218"/>
      <c r="M195" s="364">
        <f t="shared" si="48"/>
        <v>3.5295925029765335E-2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'[5]Sch C'!D207</f>
        <v>2238</v>
      </c>
      <c r="D196" s="558">
        <f>'[5]Sch C'!F207</f>
        <v>-35</v>
      </c>
      <c r="E196" s="171">
        <f t="shared" si="45"/>
        <v>2203</v>
      </c>
      <c r="F196" s="666">
        <v>-323</v>
      </c>
      <c r="G196" s="171">
        <f t="shared" si="46"/>
        <v>1880</v>
      </c>
      <c r="H196" s="172">
        <f t="shared" si="47"/>
        <v>3.3538369321668639E-4</v>
      </c>
      <c r="I196" s="336" t="s">
        <v>671</v>
      </c>
      <c r="J196" s="223"/>
      <c r="K196" s="218"/>
      <c r="M196" s="364">
        <f t="shared" si="48"/>
        <v>7.2204939125091211E-2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517416</v>
      </c>
      <c r="D197" s="558">
        <f>SUM(D164:D196)</f>
        <v>-7156</v>
      </c>
      <c r="E197" s="171">
        <f t="shared" ref="E197:F197" si="49">SUM(E164:E196)</f>
        <v>510260</v>
      </c>
      <c r="F197" s="171">
        <f t="shared" si="49"/>
        <v>-323</v>
      </c>
      <c r="G197" s="171">
        <f>SUM(G164:G196)</f>
        <v>509937</v>
      </c>
      <c r="H197" s="172">
        <f>IF($G$208=0,0,G197/$G$208)</f>
        <v>9.0970507642466711E-2</v>
      </c>
      <c r="I197" s="336"/>
      <c r="J197" s="168"/>
      <c r="K197" s="168"/>
      <c r="M197" s="364">
        <f>G197/G$228</f>
        <v>19.585090448208319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'[5]Sch C'!D211</f>
        <v>150413</v>
      </c>
      <c r="D200" s="558">
        <f>'[5]Sch C'!F211</f>
        <v>0</v>
      </c>
      <c r="E200" s="171">
        <f t="shared" ref="E200:E205" si="50">C200+D200</f>
        <v>150413</v>
      </c>
      <c r="F200" s="171"/>
      <c r="G200" s="171">
        <f t="shared" ref="G200:G205" si="51">E200+F200</f>
        <v>150413</v>
      </c>
      <c r="H200" s="172">
        <f t="shared" ref="H200:H206" si="52">IF($G$208=0,0,G200/$G$208)</f>
        <v>2.683301459989439E-2</v>
      </c>
      <c r="I200" s="336"/>
      <c r="J200" s="183">
        <v>8907</v>
      </c>
      <c r="K200" s="183">
        <v>9236</v>
      </c>
      <c r="M200" s="364">
        <f t="shared" ref="M200:M205" si="53">G200/G$228</f>
        <v>5.7768944194799712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'[5]Sch C'!D212</f>
        <v>46878</v>
      </c>
      <c r="D201" s="558">
        <f>'[5]Sch C'!F212</f>
        <v>0</v>
      </c>
      <c r="E201" s="171">
        <f t="shared" si="50"/>
        <v>46878</v>
      </c>
      <c r="F201" s="171"/>
      <c r="G201" s="171">
        <f t="shared" si="51"/>
        <v>46878</v>
      </c>
      <c r="H201" s="172">
        <f t="shared" si="52"/>
        <v>8.3628280694743751E-3</v>
      </c>
      <c r="I201" s="336"/>
      <c r="J201" s="168"/>
      <c r="K201" s="168"/>
      <c r="M201" s="364">
        <f t="shared" si="53"/>
        <v>1.8004378384606521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'[5]Sch C'!D213</f>
        <v>8258</v>
      </c>
      <c r="D202" s="558">
        <f>'[5]Sch C'!F213</f>
        <v>0</v>
      </c>
      <c r="E202" s="171">
        <f t="shared" si="50"/>
        <v>8258</v>
      </c>
      <c r="F202" s="171"/>
      <c r="G202" s="171">
        <f t="shared" si="51"/>
        <v>8258</v>
      </c>
      <c r="H202" s="172">
        <f t="shared" si="52"/>
        <v>1.473190712012445E-3</v>
      </c>
      <c r="I202" s="336"/>
      <c r="J202" s="168"/>
      <c r="K202" s="168"/>
      <c r="M202" s="364">
        <f t="shared" si="53"/>
        <v>0.31716403579521452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'[5]Sch C'!D214</f>
        <v>0</v>
      </c>
      <c r="D203" s="558">
        <f>'[5]Sch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'[5]Sch C'!D215</f>
        <v>0</v>
      </c>
      <c r="D204" s="558">
        <f>'[5]Sch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'[5]Sch C'!D216</f>
        <v>2434</v>
      </c>
      <c r="D205" s="558">
        <f>'[5]Sch C'!F216</f>
        <v>0</v>
      </c>
      <c r="E205" s="171">
        <f t="shared" si="50"/>
        <v>2434</v>
      </c>
      <c r="F205" s="171"/>
      <c r="G205" s="171">
        <f t="shared" si="51"/>
        <v>2434</v>
      </c>
      <c r="H205" s="172">
        <f t="shared" si="52"/>
        <v>4.3421484536670994E-4</v>
      </c>
      <c r="I205" s="336"/>
      <c r="J205" s="168"/>
      <c r="K205" s="168"/>
      <c r="M205" s="364">
        <f t="shared" si="53"/>
        <v>9.3482352037485117E-2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207983</v>
      </c>
      <c r="D206" s="558">
        <f>SUM(D200:D205)</f>
        <v>0</v>
      </c>
      <c r="E206" s="171">
        <f t="shared" ref="E206:F206" si="54">SUM(E200:E205)</f>
        <v>207983</v>
      </c>
      <c r="F206" s="171">
        <f t="shared" si="54"/>
        <v>0</v>
      </c>
      <c r="G206" s="171">
        <f>SUM(G200:G205)</f>
        <v>207983</v>
      </c>
      <c r="H206" s="172">
        <f t="shared" si="52"/>
        <v>3.7103248226747917E-2</v>
      </c>
      <c r="I206" s="336"/>
      <c r="J206" s="168"/>
      <c r="K206" s="168"/>
      <c r="M206" s="364">
        <f>G206/G$228</f>
        <v>7.9879786457733228</v>
      </c>
      <c r="N206" s="359">
        <f>SUMMARY!J209</f>
        <v>7.1515095990067339</v>
      </c>
      <c r="O206" s="354">
        <f>M206/N206-1</f>
        <v>0.11696398294463117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5831998</v>
      </c>
      <c r="D208" s="558">
        <f>SUM(D25:D206)/2</f>
        <v>-226155</v>
      </c>
      <c r="E208" s="171">
        <f t="shared" ref="E208:F208" si="55">SUM(E25:E206)/2</f>
        <v>5605843</v>
      </c>
      <c r="F208" s="171">
        <f t="shared" si="55"/>
        <v>-323</v>
      </c>
      <c r="G208" s="171">
        <f>SUM(G25:G206)/2</f>
        <v>5605520</v>
      </c>
      <c r="H208" s="172">
        <f>IF($G$208=0,0,G208/$G$208)</f>
        <v>1</v>
      </c>
      <c r="I208" s="336"/>
      <c r="J208" s="183">
        <f>SUM(J25:J200)</f>
        <v>152502</v>
      </c>
      <c r="K208" s="183">
        <f>SUM(K25:K200)</f>
        <v>160703</v>
      </c>
      <c r="M208" s="364">
        <f>G208/G$228</f>
        <v>215.29054806621346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-0.82484366539701859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'[5]Sch C'!D221</f>
        <v>5831998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-510112</v>
      </c>
      <c r="D215" s="558">
        <f>D21-D208</f>
        <v>216834</v>
      </c>
      <c r="E215" s="171">
        <f t="shared" ref="E215:F215" si="56">E21-E208</f>
        <v>-293278</v>
      </c>
      <c r="F215" s="171">
        <f t="shared" si="56"/>
        <v>323</v>
      </c>
      <c r="G215" s="171">
        <f>G21-G208</f>
        <v>-292955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'[5]Sch D'!C9</f>
        <v>17422</v>
      </c>
      <c r="D219" s="592"/>
      <c r="E219" s="235">
        <f t="shared" ref="E219:G227" si="57">C219+D219</f>
        <v>17422</v>
      </c>
      <c r="F219" s="234"/>
      <c r="G219" s="235">
        <f t="shared" si="57"/>
        <v>17422</v>
      </c>
      <c r="H219" s="172">
        <f t="shared" ref="H219:H228" si="58">IF($G$228=0,0,G219/$G$228)</f>
        <v>0.66912470714752081</v>
      </c>
      <c r="I219" s="336"/>
      <c r="J219" s="168"/>
      <c r="K219" s="168"/>
    </row>
    <row r="220" spans="1:17">
      <c r="A220" s="163"/>
      <c r="B220" s="170" t="s">
        <v>217</v>
      </c>
      <c r="C220" s="592">
        <f>'[5]Sch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'[5]Sch D'!E9</f>
        <v>1549</v>
      </c>
      <c r="D221" s="592"/>
      <c r="E221" s="235">
        <f t="shared" si="59"/>
        <v>1549</v>
      </c>
      <c r="F221" s="234"/>
      <c r="G221" s="235">
        <f t="shared" si="57"/>
        <v>1549</v>
      </c>
      <c r="H221" s="172">
        <f t="shared" si="58"/>
        <v>5.9492261013173564E-2</v>
      </c>
      <c r="I221" s="336"/>
      <c r="J221" s="168"/>
      <c r="K221" s="168"/>
    </row>
    <row r="222" spans="1:17">
      <c r="A222" s="163"/>
      <c r="B222" s="202" t="s">
        <v>334</v>
      </c>
      <c r="C222" s="592">
        <f>'[5]Sch D'!F9</f>
        <v>641</v>
      </c>
      <c r="D222" s="592"/>
      <c r="E222" s="235">
        <f>C222+D222</f>
        <v>641</v>
      </c>
      <c r="F222" s="234"/>
      <c r="G222" s="235">
        <f>E222+F222</f>
        <v>641</v>
      </c>
      <c r="H222" s="172">
        <f t="shared" si="58"/>
        <v>2.4618811691055037E-2</v>
      </c>
      <c r="I222" s="336"/>
      <c r="J222" s="168"/>
      <c r="K222" s="168"/>
    </row>
    <row r="223" spans="1:17">
      <c r="A223" s="163"/>
      <c r="B223" s="170" t="s">
        <v>73</v>
      </c>
      <c r="C223" s="592">
        <f>'[5]Sch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'[5]Sch D'!H9</f>
        <v>1642</v>
      </c>
      <c r="D224" s="592"/>
      <c r="E224" s="235">
        <f t="shared" si="59"/>
        <v>1642</v>
      </c>
      <c r="F224" s="234"/>
      <c r="G224" s="235">
        <f t="shared" si="57"/>
        <v>1642</v>
      </c>
      <c r="H224" s="172">
        <f t="shared" si="58"/>
        <v>6.3064101086914778E-2</v>
      </c>
      <c r="I224" s="336"/>
      <c r="J224" s="168"/>
      <c r="K224" s="168"/>
    </row>
    <row r="225" spans="1:11">
      <c r="A225" s="163"/>
      <c r="B225" s="170" t="s">
        <v>236</v>
      </c>
      <c r="C225" s="592">
        <f>'[5]Sch D'!I9</f>
        <v>4543</v>
      </c>
      <c r="D225" s="592"/>
      <c r="E225" s="235">
        <f t="shared" si="59"/>
        <v>4543</v>
      </c>
      <c r="F225" s="234"/>
      <c r="G225" s="235">
        <f t="shared" si="57"/>
        <v>4543</v>
      </c>
      <c r="H225" s="172">
        <f t="shared" si="58"/>
        <v>0.17448246725813266</v>
      </c>
      <c r="I225" s="336"/>
      <c r="J225" s="168"/>
      <c r="K225" s="168"/>
    </row>
    <row r="226" spans="1:11">
      <c r="A226" s="163"/>
      <c r="B226" s="170" t="s">
        <v>235</v>
      </c>
      <c r="C226" s="592">
        <f>'[5]Sch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'[5]Sch D'!K9</f>
        <v>240</v>
      </c>
      <c r="D227" s="592"/>
      <c r="E227" s="235">
        <f t="shared" si="59"/>
        <v>240</v>
      </c>
      <c r="F227" s="234"/>
      <c r="G227" s="235">
        <f t="shared" si="57"/>
        <v>240</v>
      </c>
      <c r="H227" s="172">
        <f t="shared" si="58"/>
        <v>9.2176518032031345E-3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26037</v>
      </c>
      <c r="D228" s="592">
        <f>SUM(D219:D227)</f>
        <v>0</v>
      </c>
      <c r="E228" s="237">
        <f>SUM(E219:E227)</f>
        <v>26037</v>
      </c>
      <c r="F228" s="237">
        <f>SUM(F219:F227)</f>
        <v>0</v>
      </c>
      <c r="G228" s="237">
        <f>SUM(G219:G227)</f>
        <v>26037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'[5]Sch D'!N22</f>
        <v>90</v>
      </c>
      <c r="D231" s="559"/>
      <c r="E231" s="235">
        <f>C231+D231</f>
        <v>90</v>
      </c>
      <c r="F231" s="235"/>
      <c r="G231" s="235">
        <f>E231+F231</f>
        <v>90</v>
      </c>
      <c r="H231" s="167"/>
      <c r="J231" s="168"/>
      <c r="K231" s="168"/>
    </row>
    <row r="232" spans="1:11">
      <c r="A232" s="163"/>
      <c r="B232" s="202" t="s">
        <v>290</v>
      </c>
      <c r="C232" s="593">
        <f>'[5]Sch D'!N24</f>
        <v>90</v>
      </c>
      <c r="D232" s="559"/>
      <c r="E232" s="235">
        <f>C232+D232</f>
        <v>90</v>
      </c>
      <c r="F232" s="235"/>
      <c r="G232" s="235">
        <f>E232+F232</f>
        <v>90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'[5]Sch D'!N28</f>
        <v>32940</v>
      </c>
      <c r="D235" s="483"/>
      <c r="E235" s="234">
        <f>E231*E233</f>
        <v>32940</v>
      </c>
      <c r="F235" s="239"/>
      <c r="G235" s="234">
        <f>G231*G233</f>
        <v>32940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'[5]Sch D'!N30</f>
        <v>0.79043715846994533</v>
      </c>
      <c r="D236" s="239"/>
      <c r="E236" s="244">
        <f>E228/E235</f>
        <v>0.79043715846994533</v>
      </c>
      <c r="F236" s="245"/>
      <c r="G236" s="244">
        <f>G228/G235</f>
        <v>0.79043715846994533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'[5]Sch D'!N32</f>
        <v>0.52890103217972073</v>
      </c>
      <c r="D237" s="239"/>
      <c r="E237" s="244">
        <f>(E219+E220)/E235</f>
        <v>0.52890103217972073</v>
      </c>
      <c r="F237" s="245"/>
      <c r="G237" s="244">
        <f>(G219+G220)/G235</f>
        <v>0.52890103217972073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'[5]Sch D'!N34</f>
        <v>0.66912470714752093</v>
      </c>
      <c r="D238" s="239"/>
      <c r="E238" s="244">
        <f>(E237/E236)</f>
        <v>0.66912470714752093</v>
      </c>
      <c r="F238" s="245"/>
      <c r="G238" s="244">
        <f>(G237/G236)</f>
        <v>0.66912470714752093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'[5]Sch B'!C85</f>
        <v>125.096</v>
      </c>
    </row>
    <row r="242" spans="2:7">
      <c r="F242" s="142" t="s">
        <v>341</v>
      </c>
      <c r="G242" s="558">
        <f>'[5]Sch B'!E85</f>
        <v>125.09628610729024</v>
      </c>
    </row>
    <row r="243" spans="2:7">
      <c r="F243" s="142" t="s">
        <v>342</v>
      </c>
      <c r="G243" s="558">
        <f>'[5]Sch B'!G85</f>
        <v>125.09779179810725</v>
      </c>
    </row>
    <row r="244" spans="2:7">
      <c r="F244" s="142" t="s">
        <v>343</v>
      </c>
      <c r="G244" s="558">
        <f>'[5]Sch B'!I85</f>
        <v>125.09417040358744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3">
    <tabColor rgb="FFE28CAB"/>
  </sheetPr>
  <dimension ref="A1:T247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28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527"/>
    </row>
    <row r="2" spans="1:17" ht="23">
      <c r="B2" s="143" t="s">
        <v>189</v>
      </c>
      <c r="C2" s="246" t="s">
        <v>364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F4" s="140" t="s">
        <v>427</v>
      </c>
      <c r="G4" s="150"/>
    </row>
    <row r="5" spans="1:17">
      <c r="A5" s="145"/>
      <c r="B5" s="148"/>
      <c r="C5" s="151"/>
      <c r="D5" s="144"/>
      <c r="F5" s="140" t="s">
        <v>425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29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30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30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31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'[48]Sch B'!E10</f>
        <v>1635633.8499999999</v>
      </c>
      <c r="D11" s="558">
        <f>'[48]Sch B'!G10</f>
        <v>0</v>
      </c>
      <c r="E11" s="171">
        <f>C11+D11</f>
        <v>1635633.8499999999</v>
      </c>
      <c r="F11" s="171"/>
      <c r="G11" s="171">
        <f t="shared" ref="G11:G20" si="0">E11+F11</f>
        <v>1635633.8499999999</v>
      </c>
      <c r="H11" s="172">
        <f t="shared" ref="H11:H21" si="1">IF($G$21=0,0,G11/$G$21)</f>
        <v>0.37099266018596705</v>
      </c>
      <c r="I11" s="526"/>
      <c r="J11" s="368" t="s">
        <v>344</v>
      </c>
      <c r="K11" s="369">
        <f>G21</f>
        <v>4408803.7999999989</v>
      </c>
      <c r="M11" s="359">
        <f>IFERROR(G11/G219,0)</f>
        <v>173.17457384859713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'[48]Sch B'!E15</f>
        <v>0</v>
      </c>
      <c r="D12" s="558">
        <f>'[48]Sch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26"/>
      <c r="J12" s="370" t="s">
        <v>345</v>
      </c>
      <c r="K12" s="371">
        <f>G208</f>
        <v>4986493.9400000013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'[48]Sch B'!E21</f>
        <v>1481515.07</v>
      </c>
      <c r="D13" s="558">
        <f>'[48]Sch B'!G21</f>
        <v>0</v>
      </c>
      <c r="E13" s="171">
        <f t="shared" si="2"/>
        <v>1481515.07</v>
      </c>
      <c r="F13" s="171"/>
      <c r="G13" s="171">
        <f t="shared" si="0"/>
        <v>1481515.07</v>
      </c>
      <c r="H13" s="172">
        <f t="shared" si="1"/>
        <v>0.33603560902392626</v>
      </c>
      <c r="I13" s="526"/>
      <c r="J13" s="370" t="s">
        <v>346</v>
      </c>
      <c r="K13" s="371">
        <f>G228</f>
        <v>17381</v>
      </c>
      <c r="M13" s="359">
        <f t="shared" si="3"/>
        <v>573.78585205267234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'[48]Sch B'!E27</f>
        <v>757557.92999999993</v>
      </c>
      <c r="D14" s="558">
        <f>'[48]Sch B'!G27</f>
        <v>0</v>
      </c>
      <c r="E14" s="171">
        <f t="shared" si="2"/>
        <v>757557.92999999993</v>
      </c>
      <c r="F14" s="175"/>
      <c r="G14" s="175">
        <f>E14+F14</f>
        <v>757557.92999999993</v>
      </c>
      <c r="H14" s="176">
        <f t="shared" si="1"/>
        <v>0.17182845151784712</v>
      </c>
      <c r="I14" s="532"/>
      <c r="J14" s="370" t="s">
        <v>347</v>
      </c>
      <c r="K14" s="371">
        <f>G231</f>
        <v>76</v>
      </c>
      <c r="M14" s="359">
        <f t="shared" si="3"/>
        <v>364.03552618933202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'[48]Sch B'!E32</f>
        <v>0</v>
      </c>
      <c r="D15" s="558">
        <f>'[48]Sch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26"/>
      <c r="J15" s="370" t="s">
        <v>348</v>
      </c>
      <c r="K15" s="371">
        <f>G235</f>
        <v>27816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'[48]Sch B'!E37</f>
        <v>394770.43</v>
      </c>
      <c r="D16" s="558">
        <f>'[48]Sch B'!G37</f>
        <v>0</v>
      </c>
      <c r="E16" s="171">
        <f t="shared" si="2"/>
        <v>394770.43</v>
      </c>
      <c r="F16" s="171"/>
      <c r="G16" s="171">
        <f t="shared" si="0"/>
        <v>394770.43</v>
      </c>
      <c r="H16" s="172">
        <f t="shared" si="1"/>
        <v>8.9541392157210561E-2</v>
      </c>
      <c r="I16" s="526"/>
      <c r="J16" s="372"/>
      <c r="K16" s="371"/>
      <c r="M16" s="359">
        <f t="shared" si="3"/>
        <v>157.97136054421767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'[48]Sch B'!E42</f>
        <v>99068.6</v>
      </c>
      <c r="D17" s="558">
        <f>'[48]Sch B'!G42</f>
        <v>0</v>
      </c>
      <c r="E17" s="171">
        <f t="shared" si="2"/>
        <v>99068.6</v>
      </c>
      <c r="F17" s="171"/>
      <c r="G17" s="171">
        <f>E17+F17</f>
        <v>99068.6</v>
      </c>
      <c r="H17" s="172">
        <f t="shared" si="1"/>
        <v>2.2470630242153219E-2</v>
      </c>
      <c r="I17" s="526"/>
      <c r="J17" s="370" t="s">
        <v>156</v>
      </c>
      <c r="K17" s="371">
        <f>J208</f>
        <v>127621.14</v>
      </c>
      <c r="M17" s="359">
        <f t="shared" si="3"/>
        <v>161.61272430668842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'[48]Sch B'!E47</f>
        <v>26375</v>
      </c>
      <c r="D18" s="558">
        <f>'[48]Sch B'!G47</f>
        <v>0</v>
      </c>
      <c r="E18" s="171">
        <f t="shared" si="2"/>
        <v>26375</v>
      </c>
      <c r="F18" s="171"/>
      <c r="G18" s="171">
        <f>E18+F18</f>
        <v>26375</v>
      </c>
      <c r="H18" s="172">
        <f t="shared" si="1"/>
        <v>5.982348318607421E-3</v>
      </c>
      <c r="I18" s="526"/>
      <c r="J18" s="373" t="s">
        <v>252</v>
      </c>
      <c r="K18" s="374">
        <f>K208</f>
        <v>134751.38</v>
      </c>
      <c r="M18" s="359">
        <f t="shared" si="3"/>
        <v>163.81987577639751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'[48]Sch B'!E52</f>
        <v>0</v>
      </c>
      <c r="D19" s="558">
        <f>'[48]Sch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2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'[48]Sch B'!E67</f>
        <v>13882.919999999998</v>
      </c>
      <c r="D20" s="558">
        <f>'[48]Sch B'!G67</f>
        <v>0</v>
      </c>
      <c r="E20" s="171">
        <f t="shared" si="2"/>
        <v>13882.919999999998</v>
      </c>
      <c r="F20" s="171"/>
      <c r="G20" s="171">
        <f t="shared" si="0"/>
        <v>13882.919999999998</v>
      </c>
      <c r="H20" s="172">
        <f t="shared" si="1"/>
        <v>3.1489085542885809E-3</v>
      </c>
      <c r="I20" s="52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4408803.7999999989</v>
      </c>
      <c r="D21" s="558">
        <f>SUM(D11:D20)</f>
        <v>0</v>
      </c>
      <c r="E21" s="171">
        <f>SUM(E11:E20)</f>
        <v>4408803.7999999989</v>
      </c>
      <c r="F21" s="171">
        <f>SUM(F11:F20)</f>
        <v>0</v>
      </c>
      <c r="G21" s="171">
        <f>SUM(G11:G20)</f>
        <v>4408803.7999999989</v>
      </c>
      <c r="H21" s="172">
        <f t="shared" si="1"/>
        <v>1</v>
      </c>
      <c r="I21" s="526"/>
      <c r="J21" s="168"/>
      <c r="K21" s="168"/>
      <c r="M21" s="359">
        <f>IFERROR(G21/G228,0)</f>
        <v>253.65650998216438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'[48]Sch C'!D10</f>
        <v>81513.119999999995</v>
      </c>
      <c r="D25" s="558">
        <f>'[48]Sch C'!F10</f>
        <v>0</v>
      </c>
      <c r="E25" s="171">
        <f t="shared" ref="E25:E60" si="4">C25+D25</f>
        <v>81513.119999999995</v>
      </c>
      <c r="F25" s="171"/>
      <c r="G25" s="182">
        <f>E25+F25</f>
        <v>81513.119999999995</v>
      </c>
      <c r="H25" s="172">
        <f>IF($G$208=0,0,G25/$G$208)</f>
        <v>1.6346780118617767E-2</v>
      </c>
      <c r="I25" s="526"/>
      <c r="J25" s="183">
        <v>1970.08</v>
      </c>
      <c r="K25" s="183">
        <v>2098.08</v>
      </c>
      <c r="M25" s="359">
        <f>G25/G$228</f>
        <v>4.6897830964846667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'[48]Sch C'!D11</f>
        <v>0</v>
      </c>
      <c r="D26" s="558">
        <f>'[48]Sch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2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'[48]Sch C'!D12</f>
        <v>110106.16</v>
      </c>
      <c r="D27" s="558">
        <f>'[48]Sch C'!F12</f>
        <v>0</v>
      </c>
      <c r="E27" s="171">
        <f t="shared" si="4"/>
        <v>110106.16</v>
      </c>
      <c r="F27" s="171"/>
      <c r="G27" s="171">
        <f t="shared" si="5"/>
        <v>110106.16</v>
      </c>
      <c r="H27" s="172">
        <f t="shared" si="6"/>
        <v>2.2080877130274817E-2</v>
      </c>
      <c r="I27" s="526"/>
      <c r="J27" s="185">
        <v>5585.45</v>
      </c>
      <c r="K27" s="185">
        <v>5993.14</v>
      </c>
      <c r="M27" s="359">
        <f t="shared" si="7"/>
        <v>6.3348576031298549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'[48]Sch C'!D13</f>
        <v>306366.2</v>
      </c>
      <c r="D28" s="558">
        <f>'[48]Sch C'!F13</f>
        <v>-277264.50199253368</v>
      </c>
      <c r="E28" s="171">
        <f t="shared" si="4"/>
        <v>29101.69800746633</v>
      </c>
      <c r="F28" s="171"/>
      <c r="G28" s="171">
        <f t="shared" si="5"/>
        <v>29101.69800746633</v>
      </c>
      <c r="H28" s="172">
        <f t="shared" si="6"/>
        <v>5.8361041560728985E-3</v>
      </c>
      <c r="I28" s="526"/>
      <c r="J28" s="168"/>
      <c r="K28" s="168"/>
      <c r="M28" s="359">
        <f t="shared" si="7"/>
        <v>1.6743396816907157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'[48]Sch C'!D14</f>
        <v>0</v>
      </c>
      <c r="D29" s="558">
        <f>'[48]Sch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52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'[48]Sch C'!D15</f>
        <v>100000</v>
      </c>
      <c r="D30" s="558">
        <f>'[48]Sch C'!F15</f>
        <v>-100000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52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'[48]Sch C'!D16</f>
        <v>0</v>
      </c>
      <c r="D31" s="558">
        <f>'[48]Sch C'!F16</f>
        <v>123421</v>
      </c>
      <c r="E31" s="171">
        <f t="shared" si="4"/>
        <v>123421</v>
      </c>
      <c r="F31" s="171"/>
      <c r="G31" s="171">
        <f t="shared" si="5"/>
        <v>123421</v>
      </c>
      <c r="H31" s="172">
        <f t="shared" si="6"/>
        <v>2.4751057854489233E-2</v>
      </c>
      <c r="I31" s="526"/>
      <c r="J31" s="168"/>
      <c r="K31" s="168"/>
      <c r="M31" s="359">
        <f t="shared" si="7"/>
        <v>7.1009147920142688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'[48]Sch C'!D17</f>
        <v>9193.7199999999993</v>
      </c>
      <c r="D32" s="558">
        <f>'[48]Sch C'!F17</f>
        <v>-9194</v>
      </c>
      <c r="E32" s="171">
        <f t="shared" si="4"/>
        <v>-0.28000000000065484</v>
      </c>
      <c r="F32" s="171"/>
      <c r="G32" s="171">
        <f t="shared" si="5"/>
        <v>-0.28000000000065484</v>
      </c>
      <c r="H32" s="172">
        <f t="shared" si="6"/>
        <v>-5.6151677585444886E-8</v>
      </c>
      <c r="I32" s="526"/>
      <c r="J32" s="168"/>
      <c r="K32" s="168"/>
      <c r="M32" s="359">
        <f t="shared" si="7"/>
        <v>-1.6109544905394099E-5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'[48]Sch C'!D18</f>
        <v>25892.46</v>
      </c>
      <c r="D33" s="558">
        <f>'[48]Sch C'!F18</f>
        <v>0</v>
      </c>
      <c r="E33" s="171">
        <f t="shared" si="4"/>
        <v>25892.46</v>
      </c>
      <c r="F33" s="171"/>
      <c r="G33" s="171">
        <f t="shared" si="5"/>
        <v>25892.46</v>
      </c>
      <c r="H33" s="172">
        <f t="shared" si="6"/>
        <v>5.1925180921808143E-3</v>
      </c>
      <c r="I33" s="526"/>
      <c r="J33" s="168"/>
      <c r="K33" s="168"/>
      <c r="M33" s="359">
        <f t="shared" si="7"/>
        <v>1.4896990967148034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'[48]Sch C'!D19</f>
        <v>11095.6</v>
      </c>
      <c r="D34" s="558">
        <f>'[48]Sch C'!F19</f>
        <v>0</v>
      </c>
      <c r="E34" s="171">
        <f t="shared" si="4"/>
        <v>11095.6</v>
      </c>
      <c r="F34" s="171"/>
      <c r="G34" s="171">
        <f t="shared" si="5"/>
        <v>11095.6</v>
      </c>
      <c r="H34" s="172">
        <f t="shared" si="6"/>
        <v>2.225130549341447E-3</v>
      </c>
      <c r="I34" s="526"/>
      <c r="J34" s="168"/>
      <c r="K34" s="168"/>
      <c r="M34" s="359">
        <f t="shared" si="7"/>
        <v>0.63837523732811696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'[48]Sch C'!D20</f>
        <v>13723.99</v>
      </c>
      <c r="D35" s="558">
        <f>'[48]Sch C'!F20</f>
        <v>0</v>
      </c>
      <c r="E35" s="171">
        <f t="shared" si="4"/>
        <v>13723.99</v>
      </c>
      <c r="F35" s="171"/>
      <c r="G35" s="171">
        <f t="shared" si="5"/>
        <v>13723.99</v>
      </c>
      <c r="H35" s="172">
        <f t="shared" si="6"/>
        <v>2.7522323630859553E-3</v>
      </c>
      <c r="I35" s="526"/>
      <c r="J35" s="168"/>
      <c r="K35" s="168"/>
      <c r="M35" s="359">
        <f t="shared" si="7"/>
        <v>0.78959726137736608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'[48]Sch C'!D21</f>
        <v>22868.95</v>
      </c>
      <c r="D36" s="558">
        <f>'[48]Sch C'!F21</f>
        <v>5325</v>
      </c>
      <c r="E36" s="171">
        <f t="shared" si="4"/>
        <v>28193.95</v>
      </c>
      <c r="F36" s="171"/>
      <c r="G36" s="171">
        <f t="shared" si="5"/>
        <v>28193.95</v>
      </c>
      <c r="H36" s="172">
        <f t="shared" si="6"/>
        <v>5.6540628223444691E-3</v>
      </c>
      <c r="I36" s="526"/>
      <c r="J36" s="168"/>
      <c r="K36" s="168"/>
      <c r="M36" s="359">
        <f t="shared" si="7"/>
        <v>1.6221132270870491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'[48]Sch C'!D22</f>
        <v>0</v>
      </c>
      <c r="D37" s="558">
        <f>'[48]Sch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2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'[48]Sch C'!D23</f>
        <v>18138.46</v>
      </c>
      <c r="D38" s="558">
        <f>'[48]Sch C'!F23</f>
        <v>0</v>
      </c>
      <c r="E38" s="171">
        <f t="shared" si="4"/>
        <v>18138.46</v>
      </c>
      <c r="F38" s="171"/>
      <c r="G38" s="171">
        <f t="shared" si="5"/>
        <v>18138.46</v>
      </c>
      <c r="H38" s="172">
        <f t="shared" si="6"/>
        <v>3.6375177064789524E-3</v>
      </c>
      <c r="I38" s="526"/>
      <c r="J38" s="168"/>
      <c r="K38" s="168"/>
      <c r="M38" s="359">
        <f t="shared" si="7"/>
        <v>1.043579771014326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'[48]Sch C'!D24</f>
        <v>54705.13</v>
      </c>
      <c r="D39" s="558">
        <f>'[48]Sch C'!F24</f>
        <v>0</v>
      </c>
      <c r="E39" s="171">
        <f t="shared" si="4"/>
        <v>54705.13</v>
      </c>
      <c r="F39" s="171"/>
      <c r="G39" s="171">
        <f t="shared" si="5"/>
        <v>54705.13</v>
      </c>
      <c r="H39" s="172">
        <f t="shared" si="6"/>
        <v>1.0970660078652373E-2</v>
      </c>
      <c r="I39" s="526"/>
      <c r="J39" s="168"/>
      <c r="K39" s="168"/>
      <c r="M39" s="359">
        <f t="shared" si="7"/>
        <v>3.1474098153155743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'[48]Sch C'!D25</f>
        <v>0</v>
      </c>
      <c r="D40" s="558">
        <f>'[48]Sch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2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'[48]Sch C'!D26</f>
        <v>237347.48</v>
      </c>
      <c r="D41" s="558">
        <f>'[48]Sch C'!F26</f>
        <v>0</v>
      </c>
      <c r="E41" s="171">
        <f t="shared" si="4"/>
        <v>237347.48</v>
      </c>
      <c r="F41" s="171"/>
      <c r="G41" s="171">
        <f t="shared" si="5"/>
        <v>237347.48</v>
      </c>
      <c r="H41" s="172">
        <f t="shared" si="6"/>
        <v>4.759806847373807E-2</v>
      </c>
      <c r="I41" s="526"/>
      <c r="J41" s="168"/>
      <c r="K41" s="168"/>
      <c r="M41" s="359">
        <f t="shared" si="7"/>
        <v>13.655571025832806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'[48]Sch C'!D27</f>
        <v>2823.53</v>
      </c>
      <c r="D42" s="558">
        <f>'[48]Sch C'!F27</f>
        <v>0</v>
      </c>
      <c r="E42" s="171">
        <f t="shared" si="4"/>
        <v>2823.53</v>
      </c>
      <c r="F42" s="171"/>
      <c r="G42" s="171">
        <f t="shared" si="5"/>
        <v>2823.53</v>
      </c>
      <c r="H42" s="172">
        <f t="shared" si="6"/>
        <v>5.6623552218735868E-4</v>
      </c>
      <c r="I42" s="526"/>
      <c r="J42" s="168"/>
      <c r="K42" s="168"/>
      <c r="M42" s="359">
        <f t="shared" si="7"/>
        <v>0.16244922616650367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'[48]Sch C'!D28</f>
        <v>0</v>
      </c>
      <c r="D43" s="558">
        <f>'[48]Sch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2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'[48]Sch C'!D29</f>
        <v>39245.730000000003</v>
      </c>
      <c r="D44" s="558">
        <f>'[48]Sch C'!F29</f>
        <v>-39245.730000000003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2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'[48]Sch C'!D30</f>
        <v>0</v>
      </c>
      <c r="D45" s="558">
        <f>'[48]Sch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2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'[48]Sch C'!D31</f>
        <v>36991.35</v>
      </c>
      <c r="D46" s="558">
        <f>'[48]Sch C'!F31</f>
        <v>0</v>
      </c>
      <c r="E46" s="171">
        <f t="shared" si="4"/>
        <v>36991.35</v>
      </c>
      <c r="F46" s="171"/>
      <c r="G46" s="171">
        <f t="shared" si="5"/>
        <v>36991.35</v>
      </c>
      <c r="H46" s="172">
        <f t="shared" si="6"/>
        <v>7.4183084237338884E-3</v>
      </c>
      <c r="I46" s="526"/>
      <c r="J46" s="168"/>
      <c r="K46" s="168"/>
      <c r="M46" s="359">
        <f t="shared" si="7"/>
        <v>2.1282636211955581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'[48]Sch C'!D32</f>
        <v>0</v>
      </c>
      <c r="D47" s="558">
        <f>'[48]Sch C'!F32</f>
        <v>0</v>
      </c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526"/>
      <c r="J47" s="168"/>
      <c r="K47" s="168"/>
      <c r="M47" s="359">
        <f t="shared" si="7"/>
        <v>0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'[48]Sch C'!D33</f>
        <v>0</v>
      </c>
      <c r="D48" s="558">
        <f>'[48]Sch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2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'[48]Sch C'!D34</f>
        <v>0</v>
      </c>
      <c r="D49" s="558">
        <f>'[48]Sch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2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'[48]Sch C'!D35</f>
        <v>488</v>
      </c>
      <c r="D50" s="558">
        <f>'[48]Sch C'!F35</f>
        <v>-488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2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'[48]Sch C'!D36</f>
        <v>25568.81</v>
      </c>
      <c r="D51" s="558">
        <f>'[48]Sch C'!F36</f>
        <v>0</v>
      </c>
      <c r="E51" s="171">
        <f t="shared" si="4"/>
        <v>25568.81</v>
      </c>
      <c r="F51" s="171"/>
      <c r="G51" s="171">
        <f t="shared" si="5"/>
        <v>25568.81</v>
      </c>
      <c r="H51" s="172">
        <f t="shared" si="6"/>
        <v>5.127612769143362E-3</v>
      </c>
      <c r="I51" s="526"/>
      <c r="J51" s="183">
        <v>2413.83</v>
      </c>
      <c r="K51" s="183">
        <v>2619.25</v>
      </c>
      <c r="M51" s="359">
        <f t="shared" si="7"/>
        <v>1.47107818882688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'[48]Sch C'!D37</f>
        <v>0</v>
      </c>
      <c r="D52" s="558">
        <f>'[48]Sch C'!F37</f>
        <v>3883.1989507020685</v>
      </c>
      <c r="E52" s="171">
        <f t="shared" si="4"/>
        <v>3883.1989507020685</v>
      </c>
      <c r="F52" s="171"/>
      <c r="G52" s="171">
        <f t="shared" si="5"/>
        <v>3883.1989507020685</v>
      </c>
      <c r="H52" s="172">
        <f t="shared" si="6"/>
        <v>7.7874334099803746E-4</v>
      </c>
      <c r="I52" s="526"/>
      <c r="J52" s="168"/>
      <c r="K52" s="168"/>
      <c r="M52" s="359">
        <f t="shared" si="7"/>
        <v>0.223416313831314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'[48]Sch C'!D38</f>
        <v>486.78</v>
      </c>
      <c r="D53" s="558">
        <f>'[48]Sch C'!F38</f>
        <v>0</v>
      </c>
      <c r="E53" s="171">
        <f t="shared" si="4"/>
        <v>486.78</v>
      </c>
      <c r="F53" s="171"/>
      <c r="G53" s="171">
        <f t="shared" si="5"/>
        <v>486.78</v>
      </c>
      <c r="H53" s="172">
        <f t="shared" si="6"/>
        <v>9.7619691482067625E-5</v>
      </c>
      <c r="I53" s="526"/>
      <c r="J53" s="168"/>
      <c r="K53" s="168"/>
      <c r="M53" s="359">
        <f t="shared" si="7"/>
        <v>2.8006443817962141E-2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'[48]Sch C'!D39</f>
        <v>3098.86</v>
      </c>
      <c r="D54" s="558">
        <f>'[48]Sch C'!F39</f>
        <v>0</v>
      </c>
      <c r="E54" s="171">
        <f t="shared" si="4"/>
        <v>3098.86</v>
      </c>
      <c r="F54" s="171"/>
      <c r="G54" s="171">
        <f t="shared" si="5"/>
        <v>3098.86</v>
      </c>
      <c r="H54" s="172">
        <f t="shared" si="6"/>
        <v>6.214506700072314E-4</v>
      </c>
      <c r="I54" s="526"/>
      <c r="J54" s="168"/>
      <c r="K54" s="168"/>
      <c r="M54" s="359">
        <f t="shared" si="7"/>
        <v>0.17829008687647432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'[48]Sch C'!D40</f>
        <v>4413.24</v>
      </c>
      <c r="D55" s="558">
        <f>'[48]Sch C'!F40</f>
        <v>-4413</v>
      </c>
      <c r="E55" s="171">
        <f t="shared" si="4"/>
        <v>0.23999999999978172</v>
      </c>
      <c r="F55" s="171"/>
      <c r="G55" s="171">
        <f t="shared" si="5"/>
        <v>0.23999999999978172</v>
      </c>
      <c r="H55" s="172">
        <f t="shared" si="6"/>
        <v>4.8130009358796428E-8</v>
      </c>
      <c r="I55" s="526"/>
      <c r="J55" s="168"/>
      <c r="K55" s="168"/>
      <c r="M55" s="359">
        <f t="shared" si="7"/>
        <v>1.3808181347435804E-5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'[48]Sch C'!D41</f>
        <v>3293.93</v>
      </c>
      <c r="D56" s="558">
        <f>'[48]Sch C'!F41</f>
        <v>0</v>
      </c>
      <c r="E56" s="171">
        <f t="shared" si="4"/>
        <v>3293.93</v>
      </c>
      <c r="F56" s="171"/>
      <c r="G56" s="171">
        <f t="shared" si="5"/>
        <v>3293.93</v>
      </c>
      <c r="H56" s="172">
        <f t="shared" si="6"/>
        <v>6.6057034053068533E-4</v>
      </c>
      <c r="I56" s="526"/>
      <c r="J56" s="168"/>
      <c r="K56" s="168"/>
      <c r="M56" s="359">
        <f t="shared" si="7"/>
        <v>0.18951326160750243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'[48]Sch C'!D42</f>
        <v>3639.49</v>
      </c>
      <c r="D57" s="558">
        <f>'[48]Sch C'!F42</f>
        <v>0</v>
      </c>
      <c r="E57" s="171">
        <f t="shared" si="4"/>
        <v>3639.49</v>
      </c>
      <c r="F57" s="171"/>
      <c r="G57" s="171">
        <f t="shared" si="5"/>
        <v>3639.49</v>
      </c>
      <c r="H57" s="172">
        <f t="shared" si="6"/>
        <v>7.2986953233918875E-4</v>
      </c>
      <c r="I57" s="526"/>
      <c r="J57" s="168"/>
      <c r="K57" s="168"/>
      <c r="M57" s="359">
        <f t="shared" si="7"/>
        <v>0.20939474138427017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'[48]Sch C'!D43</f>
        <v>8233.33</v>
      </c>
      <c r="D58" s="558">
        <f>'[48]Sch C'!F43</f>
        <v>0</v>
      </c>
      <c r="E58" s="171">
        <f t="shared" si="4"/>
        <v>8233.33</v>
      </c>
      <c r="F58" s="171"/>
      <c r="G58" s="171">
        <f t="shared" si="5"/>
        <v>8233.33</v>
      </c>
      <c r="H58" s="172">
        <f t="shared" si="6"/>
        <v>1.6511260414767491E-3</v>
      </c>
      <c r="I58" s="526"/>
      <c r="J58" s="168"/>
      <c r="K58" s="168"/>
      <c r="M58" s="359">
        <f t="shared" si="7"/>
        <v>0.47369714055577927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'[48]Sch C'!D44</f>
        <v>210.91</v>
      </c>
      <c r="D59" s="558">
        <f>'[48]Sch C'!F44</f>
        <v>0</v>
      </c>
      <c r="E59" s="171">
        <f t="shared" si="4"/>
        <v>210.91</v>
      </c>
      <c r="F59" s="171"/>
      <c r="G59" s="171">
        <f t="shared" si="5"/>
        <v>210.91</v>
      </c>
      <c r="H59" s="172">
        <f t="shared" si="6"/>
        <v>4.2296251141137444E-5</v>
      </c>
      <c r="I59" s="526"/>
      <c r="J59" s="168"/>
      <c r="K59" s="168"/>
      <c r="M59" s="359">
        <f t="shared" si="7"/>
        <v>1.2134514699959726E-2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'[48]Sch C'!D45</f>
        <v>2262.39</v>
      </c>
      <c r="D60" s="558">
        <f>'[48]Sch C'!F45</f>
        <v>-2262</v>
      </c>
      <c r="E60" s="171">
        <f t="shared" si="4"/>
        <v>0.38999999999987267</v>
      </c>
      <c r="F60" s="171"/>
      <c r="G60" s="171">
        <f t="shared" si="5"/>
        <v>0.38999999999987267</v>
      </c>
      <c r="H60" s="172">
        <f t="shared" si="6"/>
        <v>7.8211265208089783E-8</v>
      </c>
      <c r="I60" s="526"/>
      <c r="J60" s="168"/>
      <c r="K60" s="168"/>
      <c r="M60" s="359">
        <f t="shared" si="7"/>
        <v>2.2438294689596263E-5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1121707.6199999999</v>
      </c>
      <c r="D61" s="558">
        <f>SUM(D25:D60)</f>
        <v>-300238.03304183157</v>
      </c>
      <c r="E61" s="171">
        <f t="shared" ref="E61:F61" si="8">SUM(E25:E60)</f>
        <v>821469.58695816854</v>
      </c>
      <c r="F61" s="171">
        <f t="shared" si="8"/>
        <v>0</v>
      </c>
      <c r="G61" s="171">
        <f>SUM(G25:G60)</f>
        <v>821469.58695816854</v>
      </c>
      <c r="H61" s="186">
        <f t="shared" si="6"/>
        <v>0.16473891211791353</v>
      </c>
      <c r="I61" s="533"/>
      <c r="J61" s="168"/>
      <c r="K61" s="168"/>
      <c r="M61" s="364">
        <f>G61/G$228</f>
        <v>47.26250428388289</v>
      </c>
      <c r="N61" s="359">
        <f>SUMMARY!J64</f>
        <v>53.728790309602623</v>
      </c>
      <c r="O61" s="354">
        <f>M61/N61-1</f>
        <v>-0.12035048599566278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534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34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'[48]Sch C'!D57</f>
        <v>600000</v>
      </c>
      <c r="D64" s="558">
        <f>'[48]Sch C'!F57</f>
        <v>-600000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52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'[48]Sch C'!D58</f>
        <v>0</v>
      </c>
      <c r="D65" s="558">
        <f>'[48]Sch C'!F58</f>
        <v>222961</v>
      </c>
      <c r="E65" s="171">
        <f t="shared" si="9"/>
        <v>222961</v>
      </c>
      <c r="F65" s="171"/>
      <c r="G65" s="171">
        <f t="shared" si="10"/>
        <v>222961</v>
      </c>
      <c r="H65" s="172">
        <f t="shared" si="11"/>
        <v>4.4712979236068207E-2</v>
      </c>
      <c r="I65" s="526"/>
      <c r="J65" s="190"/>
      <c r="K65" s="168"/>
      <c r="M65" s="359">
        <f t="shared" si="12"/>
        <v>12.827858005868476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'[48]Sch C'!D59</f>
        <v>0</v>
      </c>
      <c r="D66" s="558">
        <f>'[48]Sch C'!F59</f>
        <v>370464</v>
      </c>
      <c r="E66" s="171">
        <f t="shared" si="9"/>
        <v>370464</v>
      </c>
      <c r="F66" s="171"/>
      <c r="G66" s="171">
        <f t="shared" si="10"/>
        <v>370464</v>
      </c>
      <c r="H66" s="172">
        <f t="shared" si="11"/>
        <v>7.4293482446305736E-2</v>
      </c>
      <c r="I66" s="526"/>
      <c r="J66" s="190"/>
      <c r="K66" s="168"/>
      <c r="M66" s="359">
        <f t="shared" si="12"/>
        <v>21.314308727921293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'[48]Sch C'!D60</f>
        <v>0</v>
      </c>
      <c r="D67" s="558">
        <f>'[48]Sch C'!F60</f>
        <v>29686</v>
      </c>
      <c r="E67" s="171">
        <f t="shared" si="9"/>
        <v>29686</v>
      </c>
      <c r="F67" s="171"/>
      <c r="G67" s="171">
        <f t="shared" si="10"/>
        <v>29686</v>
      </c>
      <c r="H67" s="172">
        <f t="shared" si="11"/>
        <v>5.9532810742772089E-3</v>
      </c>
      <c r="I67" s="526"/>
      <c r="J67" s="193"/>
      <c r="K67" s="168"/>
      <c r="M67" s="359">
        <f t="shared" si="12"/>
        <v>1.7079569645014672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'[48]Sch C'!D61</f>
        <v>100</v>
      </c>
      <c r="D68" s="558">
        <f>'[48]Sch C'!F61</f>
        <v>65655</v>
      </c>
      <c r="E68" s="171">
        <f t="shared" si="9"/>
        <v>65755</v>
      </c>
      <c r="F68" s="171"/>
      <c r="G68" s="171">
        <f t="shared" si="10"/>
        <v>65755</v>
      </c>
      <c r="H68" s="172">
        <f t="shared" si="11"/>
        <v>1.3186619855793905E-2</v>
      </c>
      <c r="I68" s="526"/>
      <c r="J68" s="193"/>
      <c r="K68" s="168"/>
      <c r="M68" s="359">
        <f t="shared" si="12"/>
        <v>3.7831540187561128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'[48]Sch C'!D62</f>
        <v>3478.82</v>
      </c>
      <c r="D69" s="558">
        <f>'[48]Sch C'!F62</f>
        <v>0</v>
      </c>
      <c r="E69" s="171">
        <f t="shared" si="9"/>
        <v>3478.82</v>
      </c>
      <c r="F69" s="171"/>
      <c r="G69" s="171">
        <f t="shared" si="10"/>
        <v>3478.82</v>
      </c>
      <c r="H69" s="172">
        <f t="shared" si="11"/>
        <v>6.9764849649050196E-4</v>
      </c>
      <c r="I69" s="526"/>
      <c r="J69" s="195"/>
      <c r="K69" s="168"/>
      <c r="M69" s="359">
        <f t="shared" si="12"/>
        <v>0.20015073931304297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'[48]Sch C'!D63</f>
        <v>0</v>
      </c>
      <c r="D70" s="558">
        <f>'[48]Sch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52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'[48]Sch C'!D64</f>
        <v>0</v>
      </c>
      <c r="D71" s="558">
        <f>'[48]Sch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2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'[48]Sch C'!D65</f>
        <v>8005</v>
      </c>
      <c r="D72" s="558">
        <f>'[48]Sch C'!F65</f>
        <v>0</v>
      </c>
      <c r="E72" s="171">
        <f t="shared" si="9"/>
        <v>8005</v>
      </c>
      <c r="F72" s="171"/>
      <c r="G72" s="171">
        <f t="shared" si="10"/>
        <v>8005</v>
      </c>
      <c r="H72" s="172">
        <f t="shared" si="11"/>
        <v>1.6053363538229824E-3</v>
      </c>
      <c r="I72" s="526"/>
      <c r="J72" s="195"/>
      <c r="K72" s="168"/>
      <c r="M72" s="359">
        <f t="shared" si="12"/>
        <v>0.46056038202635063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'[48]Sch C'!D66</f>
        <v>8310</v>
      </c>
      <c r="D73" s="558">
        <f>'[48]Sch C'!F66</f>
        <v>0</v>
      </c>
      <c r="E73" s="171">
        <f t="shared" si="9"/>
        <v>8310</v>
      </c>
      <c r="F73" s="171"/>
      <c r="G73" s="171">
        <f t="shared" si="10"/>
        <v>8310</v>
      </c>
      <c r="H73" s="172">
        <f t="shared" si="11"/>
        <v>1.6665015740498419E-3</v>
      </c>
      <c r="I73" s="526"/>
      <c r="J73" s="195"/>
      <c r="K73" s="168"/>
      <c r="M73" s="359">
        <f t="shared" si="12"/>
        <v>0.47810827915539955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'[48]Sch C'!D67</f>
        <v>132631.04999999999</v>
      </c>
      <c r="D74" s="558">
        <f>'[48]Sch C'!F67</f>
        <v>0</v>
      </c>
      <c r="E74" s="171">
        <f t="shared" si="9"/>
        <v>132631.04999999999</v>
      </c>
      <c r="F74" s="171"/>
      <c r="G74" s="171">
        <f t="shared" si="10"/>
        <v>132631.04999999999</v>
      </c>
      <c r="H74" s="172">
        <f t="shared" si="11"/>
        <v>2.6598056990720008E-2</v>
      </c>
      <c r="I74" s="526"/>
      <c r="J74" s="195"/>
      <c r="K74" s="168"/>
      <c r="M74" s="359">
        <f t="shared" si="12"/>
        <v>7.6308066279270461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'[48]Sch C'!D68</f>
        <v>0</v>
      </c>
      <c r="D75" s="558">
        <f>'[48]Sch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2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'[48]Sch C'!D69</f>
        <v>0</v>
      </c>
      <c r="D76" s="558">
        <f>'[48]Sch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52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'[48]Sch C'!D70</f>
        <v>0</v>
      </c>
      <c r="D77" s="558">
        <f>'[48]Sch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52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'[48]Sch C'!D71</f>
        <v>0</v>
      </c>
      <c r="D78" s="558">
        <f>'[48]Sch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2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752524.86999999988</v>
      </c>
      <c r="D79" s="558">
        <f>SUM(D64:D78)</f>
        <v>88766</v>
      </c>
      <c r="E79" s="171">
        <f t="shared" ref="E79:F79" si="13">SUM(E64:E78)</f>
        <v>841290.86999999988</v>
      </c>
      <c r="F79" s="171">
        <f t="shared" si="13"/>
        <v>0</v>
      </c>
      <c r="G79" s="171">
        <f>SUM(G64:G78)</f>
        <v>841290.86999999988</v>
      </c>
      <c r="H79" s="172">
        <f t="shared" si="11"/>
        <v>0.16871390602752837</v>
      </c>
      <c r="I79" s="526"/>
      <c r="J79" s="195"/>
      <c r="K79" s="168"/>
      <c r="M79" s="359">
        <f t="shared" si="12"/>
        <v>48.402903745469182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52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2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'[48]Sch C'!D75</f>
        <v>35091.839999999997</v>
      </c>
      <c r="D82" s="558">
        <f>'[48]Sch C'!F75</f>
        <v>0</v>
      </c>
      <c r="E82" s="171">
        <f t="shared" ref="E82:E92" si="14">C82+D82</f>
        <v>35091.839999999997</v>
      </c>
      <c r="F82" s="171"/>
      <c r="G82" s="171">
        <f t="shared" ref="G82:G92" si="15">E82+F82</f>
        <v>35091.839999999997</v>
      </c>
      <c r="H82" s="172">
        <f t="shared" ref="H82:H93" si="16">IF($G$208=0,0,G82/$G$208)</f>
        <v>7.0373774484121781E-3</v>
      </c>
      <c r="I82" s="526"/>
      <c r="J82" s="183">
        <v>1837.66</v>
      </c>
      <c r="K82" s="183">
        <v>1989.49</v>
      </c>
      <c r="M82" s="359">
        <f t="shared" ref="M82:M92" si="17">G82/G$228</f>
        <v>2.0189770438985097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'[48]Sch C'!D76</f>
        <v>0</v>
      </c>
      <c r="D83" s="558">
        <f>'[48]Sch C'!F76</f>
        <v>5329.4852699912462</v>
      </c>
      <c r="E83" s="171">
        <f t="shared" si="14"/>
        <v>5329.4852699912462</v>
      </c>
      <c r="F83" s="171"/>
      <c r="G83" s="171">
        <f t="shared" si="15"/>
        <v>5329.4852699912462</v>
      </c>
      <c r="H83" s="172">
        <f t="shared" si="16"/>
        <v>1.0687840663436653E-3</v>
      </c>
      <c r="I83" s="526"/>
      <c r="J83" s="168"/>
      <c r="K83" s="168"/>
      <c r="M83" s="359">
        <f t="shared" si="17"/>
        <v>0.30662707956914137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'[48]Sch C'!D77</f>
        <v>8808.2000000000007</v>
      </c>
      <c r="D84" s="558">
        <f>'[48]Sch C'!F77</f>
        <v>0</v>
      </c>
      <c r="E84" s="171">
        <f t="shared" si="14"/>
        <v>8808.2000000000007</v>
      </c>
      <c r="F84" s="171"/>
      <c r="G84" s="171">
        <f t="shared" si="15"/>
        <v>8808.2000000000007</v>
      </c>
      <c r="H84" s="172">
        <f t="shared" si="16"/>
        <v>1.7664114518105678E-3</v>
      </c>
      <c r="I84" s="526"/>
      <c r="J84" s="168"/>
      <c r="K84" s="168"/>
      <c r="M84" s="359">
        <f t="shared" si="17"/>
        <v>0.50677176226914455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'[48]Sch C'!D78</f>
        <v>290</v>
      </c>
      <c r="D85" s="558">
        <f>'[48]Sch C'!F78</f>
        <v>0</v>
      </c>
      <c r="E85" s="171">
        <f t="shared" si="14"/>
        <v>290</v>
      </c>
      <c r="F85" s="171"/>
      <c r="G85" s="171">
        <f t="shared" si="15"/>
        <v>290</v>
      </c>
      <c r="H85" s="172">
        <f t="shared" si="16"/>
        <v>5.8157094641931904E-5</v>
      </c>
      <c r="I85" s="526"/>
      <c r="J85" s="168"/>
      <c r="K85" s="168"/>
      <c r="M85" s="359">
        <f t="shared" si="17"/>
        <v>1.6684885794833439E-2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'[48]Sch C'!D79</f>
        <v>13.49</v>
      </c>
      <c r="D86" s="558">
        <f>'[48]Sch C'!F79</f>
        <v>0</v>
      </c>
      <c r="E86" s="171">
        <f t="shared" si="14"/>
        <v>13.49</v>
      </c>
      <c r="F86" s="171"/>
      <c r="G86" s="171">
        <f>E86+F86</f>
        <v>13.49</v>
      </c>
      <c r="H86" s="172">
        <f t="shared" si="16"/>
        <v>2.7053076093781427E-6</v>
      </c>
      <c r="I86" s="526"/>
      <c r="J86" s="168"/>
      <c r="K86" s="168"/>
      <c r="M86" s="359">
        <f t="shared" si="17"/>
        <v>7.7613485990449347E-4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'[48]Sch C'!D80</f>
        <v>5506.99</v>
      </c>
      <c r="D87" s="558">
        <f>'[48]Sch C'!F80</f>
        <v>0</v>
      </c>
      <c r="E87" s="171">
        <f t="shared" si="14"/>
        <v>5506.99</v>
      </c>
      <c r="F87" s="171"/>
      <c r="G87" s="171">
        <f t="shared" si="15"/>
        <v>5506.99</v>
      </c>
      <c r="H87" s="172">
        <f t="shared" si="16"/>
        <v>1.1043811676626641E-3</v>
      </c>
      <c r="I87" s="526"/>
      <c r="J87" s="168"/>
      <c r="K87" s="168"/>
      <c r="M87" s="359">
        <f t="shared" si="17"/>
        <v>0.31683965249410273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'[48]Sch C'!D81</f>
        <v>18347.580000000002</v>
      </c>
      <c r="D88" s="558">
        <f>'[48]Sch C'!F81</f>
        <v>0</v>
      </c>
      <c r="E88" s="171">
        <f t="shared" si="14"/>
        <v>18347.580000000002</v>
      </c>
      <c r="F88" s="171"/>
      <c r="G88" s="171">
        <f t="shared" si="15"/>
        <v>18347.580000000002</v>
      </c>
      <c r="H88" s="172">
        <f t="shared" si="16"/>
        <v>3.6794549879669556E-3</v>
      </c>
      <c r="I88" s="526"/>
      <c r="J88" s="168"/>
      <c r="K88" s="168"/>
      <c r="M88" s="359">
        <f t="shared" si="17"/>
        <v>1.0556112996950695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'[48]Sch C'!D82</f>
        <v>7529.67</v>
      </c>
      <c r="D89" s="558">
        <f>'[48]Sch C'!F82</f>
        <v>0</v>
      </c>
      <c r="E89" s="171">
        <f t="shared" si="14"/>
        <v>7529.67</v>
      </c>
      <c r="F89" s="171"/>
      <c r="G89" s="171">
        <f t="shared" si="15"/>
        <v>7529.67</v>
      </c>
      <c r="H89" s="172">
        <f t="shared" si="16"/>
        <v>1.5100128648707428E-3</v>
      </c>
      <c r="I89" s="526"/>
      <c r="J89" s="168"/>
      <c r="K89" s="168"/>
      <c r="M89" s="359">
        <f t="shared" si="17"/>
        <v>0.43321270352683966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'[48]Sch C'!D83</f>
        <v>11161.5</v>
      </c>
      <c r="D90" s="558">
        <f>'[48]Sch C'!F83</f>
        <v>0</v>
      </c>
      <c r="E90" s="171">
        <f t="shared" si="14"/>
        <v>11161.5</v>
      </c>
      <c r="F90" s="171"/>
      <c r="G90" s="171">
        <f t="shared" si="15"/>
        <v>11161.5</v>
      </c>
      <c r="H90" s="172">
        <f t="shared" si="16"/>
        <v>2.2383462477445618E-3</v>
      </c>
      <c r="I90" s="526"/>
      <c r="J90" s="168"/>
      <c r="K90" s="168"/>
      <c r="M90" s="359">
        <f t="shared" si="17"/>
        <v>0.64216673378977041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'[48]Sch C'!D84</f>
        <v>79779.289999999994</v>
      </c>
      <c r="D91" s="558">
        <f>'[48]Sch C'!F84</f>
        <v>0</v>
      </c>
      <c r="E91" s="171">
        <f t="shared" si="14"/>
        <v>79779.289999999994</v>
      </c>
      <c r="F91" s="171"/>
      <c r="G91" s="171">
        <f t="shared" si="15"/>
        <v>79779.289999999994</v>
      </c>
      <c r="H91" s="172">
        <f t="shared" si="16"/>
        <v>1.5999074893090107E-2</v>
      </c>
      <c r="I91" s="526"/>
      <c r="J91" s="168"/>
      <c r="K91" s="168"/>
      <c r="M91" s="359">
        <f t="shared" si="17"/>
        <v>4.5900287670444735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'[48]Sch C'!D85</f>
        <v>93.1</v>
      </c>
      <c r="D92" s="558">
        <f>'[48]Sch C'!F85</f>
        <v>0</v>
      </c>
      <c r="E92" s="171">
        <f t="shared" si="14"/>
        <v>93.1</v>
      </c>
      <c r="F92" s="171"/>
      <c r="G92" s="171">
        <f t="shared" si="15"/>
        <v>93.1</v>
      </c>
      <c r="H92" s="172">
        <f t="shared" si="16"/>
        <v>1.8670432797116758E-5</v>
      </c>
      <c r="I92" s="526"/>
      <c r="J92" s="168"/>
      <c r="K92" s="168"/>
      <c r="M92" s="359">
        <f t="shared" si="17"/>
        <v>5.3564236810310101E-3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166621.66</v>
      </c>
      <c r="D93" s="558">
        <f>SUM(D82:D92)</f>
        <v>5329.4852699912462</v>
      </c>
      <c r="E93" s="171">
        <f t="shared" ref="E93:F93" si="18">SUM(E82:E92)</f>
        <v>171951.14526999122</v>
      </c>
      <c r="F93" s="171">
        <f t="shared" si="18"/>
        <v>0</v>
      </c>
      <c r="G93" s="171">
        <f>SUM(G82:G92)</f>
        <v>171951.14526999122</v>
      </c>
      <c r="H93" s="172">
        <f t="shared" si="16"/>
        <v>3.4483375962949869E-2</v>
      </c>
      <c r="I93" s="526"/>
      <c r="J93" s="168"/>
      <c r="K93" s="168"/>
      <c r="M93" s="364">
        <f>G93/G$228</f>
        <v>9.8930524866228193</v>
      </c>
      <c r="N93" s="359">
        <f>SUMMARY!J96</f>
        <v>11.458724454710746</v>
      </c>
      <c r="O93" s="354">
        <f>M93/N93-1</f>
        <v>-0.13663579871180775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52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2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'[48]Sch C'!D89</f>
        <v>137978.66</v>
      </c>
      <c r="D96" s="558">
        <f>'[48]Sch C'!F89</f>
        <v>0</v>
      </c>
      <c r="E96" s="171">
        <f t="shared" ref="E96:E101" si="19">C96+D96</f>
        <v>137978.66</v>
      </c>
      <c r="F96" s="171"/>
      <c r="G96" s="171">
        <f t="shared" ref="G96:G101" si="20">E96+F96</f>
        <v>137978.66</v>
      </c>
      <c r="H96" s="172">
        <f t="shared" ref="H96:H102" si="21">IF($G$208=0,0,G96/$G$208)</f>
        <v>2.7670475821334292E-2</v>
      </c>
      <c r="I96" s="526"/>
      <c r="J96" s="183">
        <v>12178.65</v>
      </c>
      <c r="K96" s="183">
        <v>13107</v>
      </c>
      <c r="M96" s="364">
        <f t="shared" ref="M96:M101" si="22">G96/G$228</f>
        <v>7.9384764973246646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'[48]Sch C'!D90</f>
        <v>0</v>
      </c>
      <c r="D97" s="558">
        <f>'[48]Sch C'!F90</f>
        <v>20955.163252856804</v>
      </c>
      <c r="E97" s="171">
        <f t="shared" si="19"/>
        <v>20955.163252856804</v>
      </c>
      <c r="F97" s="171"/>
      <c r="G97" s="171">
        <f t="shared" si="20"/>
        <v>20955.163252856804</v>
      </c>
      <c r="H97" s="172">
        <f t="shared" si="21"/>
        <v>4.2023841811500923E-3</v>
      </c>
      <c r="I97" s="526"/>
      <c r="J97" s="168"/>
      <c r="K97" s="168"/>
      <c r="M97" s="364">
        <f t="shared" si="22"/>
        <v>1.2056362265034695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'[48]Sch C'!D91</f>
        <v>11304.5</v>
      </c>
      <c r="D98" s="558">
        <f>'[48]Sch C'!F91</f>
        <v>0</v>
      </c>
      <c r="E98" s="171">
        <f t="shared" si="19"/>
        <v>11304.5</v>
      </c>
      <c r="F98" s="171"/>
      <c r="G98" s="171">
        <f t="shared" si="20"/>
        <v>11304.5</v>
      </c>
      <c r="H98" s="172">
        <f t="shared" si="21"/>
        <v>2.2670237116542043E-3</v>
      </c>
      <c r="I98" s="526"/>
      <c r="J98" s="168"/>
      <c r="K98" s="168"/>
      <c r="M98" s="364">
        <f t="shared" si="22"/>
        <v>0.6503941085092918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'[48]Sch C'!D92</f>
        <v>125045.07</v>
      </c>
      <c r="D99" s="558">
        <f>'[48]Sch C'!F92</f>
        <v>0</v>
      </c>
      <c r="E99" s="171">
        <f t="shared" si="19"/>
        <v>125045.07</v>
      </c>
      <c r="F99" s="171"/>
      <c r="G99" s="171">
        <f t="shared" si="20"/>
        <v>125045.07</v>
      </c>
      <c r="H99" s="172">
        <f t="shared" si="21"/>
        <v>2.507675162240345E-2</v>
      </c>
      <c r="I99" s="526"/>
      <c r="J99" s="168"/>
      <c r="K99" s="168"/>
      <c r="M99" s="364">
        <f t="shared" si="22"/>
        <v>7.1943541798515627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'[48]Sch C'!D93</f>
        <v>7080.42</v>
      </c>
      <c r="D100" s="558">
        <f>'[48]Sch C'!F93</f>
        <v>0</v>
      </c>
      <c r="E100" s="171">
        <f t="shared" si="19"/>
        <v>7080.42</v>
      </c>
      <c r="F100" s="171"/>
      <c r="G100" s="171">
        <f t="shared" si="20"/>
        <v>7080.42</v>
      </c>
      <c r="H100" s="172">
        <f t="shared" si="21"/>
        <v>1.4199195036021638E-3</v>
      </c>
      <c r="I100" s="526"/>
      <c r="J100" s="168"/>
      <c r="K100" s="168"/>
      <c r="M100" s="364">
        <f t="shared" si="22"/>
        <v>0.40736551406708477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'[48]Sch C'!D94</f>
        <v>0</v>
      </c>
      <c r="D101" s="558">
        <f>'[48]Sch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2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281408.64999999997</v>
      </c>
      <c r="D102" s="558">
        <f>SUM(D96:D101)</f>
        <v>20955.163252856804</v>
      </c>
      <c r="E102" s="171">
        <f t="shared" ref="E102:F102" si="23">SUM(E96:E101)</f>
        <v>302363.81325285678</v>
      </c>
      <c r="F102" s="171">
        <f t="shared" si="23"/>
        <v>0</v>
      </c>
      <c r="G102" s="171">
        <f>SUM(G96:G101)</f>
        <v>302363.81325285678</v>
      </c>
      <c r="H102" s="172">
        <f t="shared" si="21"/>
        <v>6.0636554840144193E-2</v>
      </c>
      <c r="I102" s="526"/>
      <c r="J102" s="168"/>
      <c r="K102" s="168"/>
      <c r="M102" s="364">
        <f>G102/G$228</f>
        <v>17.396226526256072</v>
      </c>
      <c r="N102" s="359">
        <f>SUMMARY!J105</f>
        <v>19.901077037785338</v>
      </c>
      <c r="O102" s="354">
        <f>M102/N102-1</f>
        <v>-0.12586507286884085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52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2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'[48]Sch C'!D98</f>
        <v>131.25</v>
      </c>
      <c r="D105" s="558">
        <f>'[48]Sch C'!F98</f>
        <v>0</v>
      </c>
      <c r="E105" s="171">
        <f t="shared" ref="E105:E110" si="24">C105+D105</f>
        <v>131.25</v>
      </c>
      <c r="F105" s="171"/>
      <c r="G105" s="171">
        <f t="shared" ref="G105:G110" si="25">E105+F105</f>
        <v>131.25</v>
      </c>
      <c r="H105" s="172">
        <f t="shared" ref="H105:H111" si="26">IF($G$208=0,0,G105/$G$208)</f>
        <v>2.6321098868115735E-5</v>
      </c>
      <c r="I105" s="526"/>
      <c r="J105" s="183">
        <v>0</v>
      </c>
      <c r="K105" s="183">
        <v>0</v>
      </c>
      <c r="M105" s="364">
        <f t="shared" ref="M105:M110" si="27">G105/G$228</f>
        <v>7.5513491743858232E-3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'[48]Sch C'!D99</f>
        <v>0</v>
      </c>
      <c r="D106" s="558">
        <f>'[48]Sch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52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'[48]Sch C'!D100</f>
        <v>4487.6099999999997</v>
      </c>
      <c r="D107" s="558">
        <f>'[48]Sch C'!F100</f>
        <v>0</v>
      </c>
      <c r="E107" s="171">
        <f t="shared" si="24"/>
        <v>4487.6099999999997</v>
      </c>
      <c r="F107" s="171"/>
      <c r="G107" s="171">
        <f t="shared" si="25"/>
        <v>4487.6099999999997</v>
      </c>
      <c r="H107" s="172">
        <f t="shared" si="26"/>
        <v>8.9995296374510356E-4</v>
      </c>
      <c r="I107" s="526"/>
      <c r="J107" s="168"/>
      <c r="K107" s="168"/>
      <c r="M107" s="364">
        <f t="shared" si="27"/>
        <v>0.25819055290259479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'[48]Sch C'!D101</f>
        <v>2712.59</v>
      </c>
      <c r="D108" s="558">
        <f>'[48]Sch C'!F101</f>
        <v>0</v>
      </c>
      <c r="E108" s="171">
        <f t="shared" si="24"/>
        <v>2712.59</v>
      </c>
      <c r="F108" s="171"/>
      <c r="G108" s="171">
        <f t="shared" si="25"/>
        <v>2712.59</v>
      </c>
      <c r="H108" s="172">
        <f t="shared" si="26"/>
        <v>5.4398742536123474E-4</v>
      </c>
      <c r="I108" s="526"/>
      <c r="J108" s="168"/>
      <c r="K108" s="168"/>
      <c r="M108" s="364">
        <f t="shared" si="27"/>
        <v>0.15606639433864566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'[48]Sch C'!D102</f>
        <v>0</v>
      </c>
      <c r="D109" s="558">
        <f>'[48]Sch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52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'[48]Sch C'!D103</f>
        <v>0</v>
      </c>
      <c r="D110" s="558">
        <f>'[48]Sch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52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7331.45</v>
      </c>
      <c r="D111" s="558">
        <f>SUM(D105:D110)</f>
        <v>0</v>
      </c>
      <c r="E111" s="171">
        <f t="shared" ref="E111:F111" si="28">SUM(E105:E110)</f>
        <v>7331.45</v>
      </c>
      <c r="F111" s="171">
        <f t="shared" si="28"/>
        <v>0</v>
      </c>
      <c r="G111" s="171">
        <f>SUM(G105:G110)</f>
        <v>7331.45</v>
      </c>
      <c r="H111" s="172">
        <f t="shared" si="26"/>
        <v>1.4702614879744541E-3</v>
      </c>
      <c r="I111" s="526"/>
      <c r="J111" s="168"/>
      <c r="K111" s="168"/>
      <c r="M111" s="364">
        <f>G111/G$228</f>
        <v>0.42180829641562623</v>
      </c>
      <c r="N111" s="359">
        <f>SUMMARY!J114</f>
        <v>2.4242384372309496</v>
      </c>
      <c r="O111" s="354">
        <f>M111/N111-1</f>
        <v>-0.82600379156704129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52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2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'[48]Sch C'!D115</f>
        <v>155504.19</v>
      </c>
      <c r="D114" s="558">
        <f>'[48]Sch C'!F115</f>
        <v>0</v>
      </c>
      <c r="E114" s="171">
        <f t="shared" ref="E114:E118" si="29">C114+D114</f>
        <v>155504.19</v>
      </c>
      <c r="F114" s="171"/>
      <c r="G114" s="171">
        <f>E114+F114</f>
        <v>155504.19</v>
      </c>
      <c r="H114" s="172">
        <f t="shared" ref="H114:H119" si="30">IF($G$208=0,0,G114/$G$208)</f>
        <v>3.1185075500161936E-2</v>
      </c>
      <c r="I114" s="526"/>
      <c r="J114" s="183">
        <v>15866.61</v>
      </c>
      <c r="K114" s="183">
        <v>16770.990000000002</v>
      </c>
      <c r="M114" s="364">
        <f t="shared" ref="M114:M119" si="31">G114/G$228</f>
        <v>8.9467918992002762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'[48]Sch C'!D116</f>
        <v>0</v>
      </c>
      <c r="D115" s="558">
        <f>'[48]Sch C'!F116</f>
        <v>23616.80920769387</v>
      </c>
      <c r="E115" s="171">
        <f t="shared" si="29"/>
        <v>23616.80920769387</v>
      </c>
      <c r="F115" s="171"/>
      <c r="G115" s="171">
        <f>E115+F115</f>
        <v>23616.80920769387</v>
      </c>
      <c r="H115" s="172">
        <f t="shared" si="30"/>
        <v>4.7361552008010387E-3</v>
      </c>
      <c r="I115" s="526"/>
      <c r="J115" s="168"/>
      <c r="K115" s="168"/>
      <c r="M115" s="364">
        <f t="shared" si="31"/>
        <v>1.3587716016163551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'[48]Sch C'!D117</f>
        <v>39345.99</v>
      </c>
      <c r="D116" s="558">
        <f>'[48]Sch C'!F117</f>
        <v>0</v>
      </c>
      <c r="E116" s="171">
        <f t="shared" si="29"/>
        <v>39345.99</v>
      </c>
      <c r="F116" s="171"/>
      <c r="G116" s="171">
        <f>E116+F116</f>
        <v>39345.99</v>
      </c>
      <c r="H116" s="172">
        <f t="shared" si="30"/>
        <v>7.8905119455534699E-3</v>
      </c>
      <c r="I116" s="526"/>
      <c r="J116" s="168"/>
      <c r="K116" s="168"/>
      <c r="M116" s="364">
        <f t="shared" si="31"/>
        <v>2.2637356883953741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'[48]Sch C'!D118</f>
        <v>154.72</v>
      </c>
      <c r="D117" s="558">
        <f>'[48]Sch C'!F118</f>
        <v>0</v>
      </c>
      <c r="E117" s="171">
        <f t="shared" si="29"/>
        <v>154.72</v>
      </c>
      <c r="F117" s="171"/>
      <c r="G117" s="171">
        <f>E117+F117</f>
        <v>154.72</v>
      </c>
      <c r="H117" s="172">
        <f t="shared" si="30"/>
        <v>3.1027812699998979E-5</v>
      </c>
      <c r="I117" s="526"/>
      <c r="J117" s="168"/>
      <c r="K117" s="168"/>
      <c r="M117" s="364">
        <f t="shared" si="31"/>
        <v>8.9016742419883773E-3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'[48]Sch C'!D119</f>
        <v>0</v>
      </c>
      <c r="D118" s="558">
        <f>'[48]Sch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2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195004.9</v>
      </c>
      <c r="D119" s="558">
        <f>SUM(D114:D118)</f>
        <v>23616.80920769387</v>
      </c>
      <c r="E119" s="171">
        <f t="shared" ref="E119:F119" si="32">SUM(E114:E118)</f>
        <v>218621.70920769387</v>
      </c>
      <c r="F119" s="171">
        <f t="shared" si="32"/>
        <v>0</v>
      </c>
      <c r="G119" s="171">
        <f>SUM(G114:G118)</f>
        <v>218621.70920769387</v>
      </c>
      <c r="H119" s="172">
        <f t="shared" si="30"/>
        <v>4.3842770459216446E-2</v>
      </c>
      <c r="I119" s="526"/>
      <c r="J119" s="168"/>
      <c r="K119" s="168"/>
      <c r="M119" s="364">
        <f t="shared" si="31"/>
        <v>12.578200863453993</v>
      </c>
      <c r="N119" s="359">
        <f>SUMMARY!J122</f>
        <v>6.0247597205909562</v>
      </c>
      <c r="O119" s="354">
        <f>M119/N119-1</f>
        <v>1.0877514534671309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52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2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2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'[48]Sch C'!D124</f>
        <v>0</v>
      </c>
      <c r="D123" s="558">
        <f>'[48]Sch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2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'[48]Sch C'!D125</f>
        <v>62833.15</v>
      </c>
      <c r="D124" s="558">
        <f>'[48]Sch C'!F125</f>
        <v>0</v>
      </c>
      <c r="E124" s="171">
        <f t="shared" si="33"/>
        <v>62833.15</v>
      </c>
      <c r="F124" s="171"/>
      <c r="G124" s="171">
        <f>E124+F124</f>
        <v>62833.15</v>
      </c>
      <c r="H124" s="172">
        <f>IF($G$208=0,0,G124/$G$208)</f>
        <v>1.2600667073105875E-2</v>
      </c>
      <c r="I124" s="526"/>
      <c r="J124" s="183">
        <v>2125.15</v>
      </c>
      <c r="K124" s="183">
        <v>2195.15</v>
      </c>
      <c r="M124" s="364">
        <f t="shared" si="34"/>
        <v>3.6150480409642713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'[48]Sch C'!D126</f>
        <v>0</v>
      </c>
      <c r="D125" s="558">
        <f>'[48]Sch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2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'[48]Sch C'!D127</f>
        <v>0</v>
      </c>
      <c r="D126" s="558">
        <f>'[48]Sch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525" t="s">
        <v>424</v>
      </c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'[48]Sch C'!D128</f>
        <v>33304.199999999997</v>
      </c>
      <c r="D127" s="558">
        <f>'[48]Sch C'!F128</f>
        <v>0</v>
      </c>
      <c r="E127" s="171">
        <f t="shared" si="33"/>
        <v>33304.199999999997</v>
      </c>
      <c r="F127" s="171"/>
      <c r="G127" s="171">
        <f>E127+F127</f>
        <v>33304.199999999997</v>
      </c>
      <c r="H127" s="172">
        <f>IF($G$208=0,0,G127/$G$208)</f>
        <v>6.6788810737028565E-3</v>
      </c>
      <c r="I127" s="525" t="s">
        <v>424</v>
      </c>
      <c r="J127" s="183">
        <v>1912.23</v>
      </c>
      <c r="K127" s="183">
        <v>2154.21</v>
      </c>
      <c r="M127" s="364">
        <f t="shared" si="34"/>
        <v>1.9161268051320406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53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'[48]Sch C'!D130</f>
        <v>0</v>
      </c>
      <c r="D129" s="558">
        <f>'[48]Sch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2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'[48]Sch C'!D131</f>
        <v>0</v>
      </c>
      <c r="D130" s="558">
        <f>'[48]Sch C'!F131</f>
        <v>9542.6272145362145</v>
      </c>
      <c r="E130" s="171">
        <f t="shared" si="35"/>
        <v>9542.6272145362145</v>
      </c>
      <c r="F130" s="171"/>
      <c r="G130" s="171">
        <f>E130+F130</f>
        <v>9542.6272145362145</v>
      </c>
      <c r="H130" s="172">
        <f>IF($G$208=0,0,G130/$G$208)</f>
        <v>1.91369473809813E-3</v>
      </c>
      <c r="I130" s="526"/>
      <c r="J130" s="204"/>
      <c r="K130" s="204"/>
      <c r="M130" s="364">
        <f t="shared" si="34"/>
        <v>0.5490263629558837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'[48]Sch C'!D132</f>
        <v>0</v>
      </c>
      <c r="D131" s="558">
        <f>'[48]Sch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2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'[48]Sch C'!D133</f>
        <v>0</v>
      </c>
      <c r="D132" s="558">
        <f>'[48]Sch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525" t="s">
        <v>424</v>
      </c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'[48]Sch C'!D134</f>
        <v>0</v>
      </c>
      <c r="D133" s="558">
        <f>'[48]Sch C'!F134</f>
        <v>5057.9919243004197</v>
      </c>
      <c r="E133" s="171">
        <f t="shared" si="35"/>
        <v>5057.9919243004197</v>
      </c>
      <c r="F133" s="171"/>
      <c r="G133" s="171">
        <f>E133+F133</f>
        <v>5057.9919243004197</v>
      </c>
      <c r="H133" s="172">
        <f>IF($G$208=0,0,G133/$G$208)</f>
        <v>1.014338327722989E-3</v>
      </c>
      <c r="I133" s="525" t="s">
        <v>424</v>
      </c>
      <c r="J133" s="168"/>
      <c r="K133" s="168"/>
      <c r="M133" s="364">
        <f t="shared" si="34"/>
        <v>0.2910069572694563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2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'[48]Sch C'!D136</f>
        <v>498581.33</v>
      </c>
      <c r="D135" s="558">
        <f>'[48]Sch C'!F136</f>
        <v>0</v>
      </c>
      <c r="E135" s="171">
        <f t="shared" ref="E135:E138" si="36">C135+D135</f>
        <v>498581.33</v>
      </c>
      <c r="F135" s="171"/>
      <c r="G135" s="171">
        <f>E135+F135</f>
        <v>498581.33</v>
      </c>
      <c r="H135" s="172">
        <f>IF($G$208=0,0,G135/$G$208)</f>
        <v>9.9986350329345816E-2</v>
      </c>
      <c r="I135" s="526"/>
      <c r="J135" s="183">
        <v>18090.75</v>
      </c>
      <c r="K135" s="183">
        <v>19093.2</v>
      </c>
      <c r="M135" s="364">
        <f t="shared" si="34"/>
        <v>28.685422587883323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'[48]Sch C'!D137</f>
        <v>234858.31</v>
      </c>
      <c r="D136" s="558">
        <f>'[48]Sch C'!F137</f>
        <v>0</v>
      </c>
      <c r="E136" s="171">
        <f t="shared" si="36"/>
        <v>234858.31</v>
      </c>
      <c r="F136" s="171"/>
      <c r="G136" s="171">
        <f>E136+F136</f>
        <v>234858.31</v>
      </c>
      <c r="H136" s="172">
        <f>IF($G$208=0,0,G136/$G$208)</f>
        <v>4.70988860762558E-2</v>
      </c>
      <c r="I136" s="526"/>
      <c r="J136" s="183">
        <v>9786.58</v>
      </c>
      <c r="K136" s="183">
        <v>10328.6</v>
      </c>
      <c r="M136" s="364">
        <f t="shared" si="34"/>
        <v>13.512358897646855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'[48]Sch C'!D138</f>
        <v>579281.49</v>
      </c>
      <c r="D137" s="558">
        <f>'[48]Sch C'!F138</f>
        <v>0</v>
      </c>
      <c r="E137" s="171">
        <f t="shared" si="36"/>
        <v>579281.49</v>
      </c>
      <c r="F137" s="171"/>
      <c r="G137" s="171">
        <f>E137+F137</f>
        <v>579281.49</v>
      </c>
      <c r="H137" s="172">
        <f>IF($G$208=0,0,G137/$G$208)</f>
        <v>0.11617009806292873</v>
      </c>
      <c r="I137" s="526"/>
      <c r="J137" s="183">
        <v>51980.13</v>
      </c>
      <c r="K137" s="183">
        <v>54197.85</v>
      </c>
      <c r="M137" s="364">
        <f t="shared" si="34"/>
        <v>33.328432771417063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'[48]Sch C'!D139</f>
        <v>0</v>
      </c>
      <c r="D138" s="558">
        <f>'[48]Sch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2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2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'[48]Sch C'!D141</f>
        <v>0</v>
      </c>
      <c r="D140" s="558">
        <f>'[48]Sch C'!F141</f>
        <v>75720.79019303761</v>
      </c>
      <c r="E140" s="171">
        <f t="shared" ref="E140:E143" si="37">C140+D140</f>
        <v>75720.79019303761</v>
      </c>
      <c r="F140" s="171"/>
      <c r="G140" s="171">
        <f>E140+F140</f>
        <v>75720.79019303761</v>
      </c>
      <c r="H140" s="172">
        <f>IF($G$208=0,0,G140/$G$208)</f>
        <v>1.5185176419373647E-2</v>
      </c>
      <c r="I140" s="526"/>
      <c r="J140" s="168"/>
      <c r="K140" s="168"/>
      <c r="M140" s="364">
        <f t="shared" si="34"/>
        <v>4.3565266781564702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'[48]Sch C'!D142</f>
        <v>0</v>
      </c>
      <c r="D141" s="558">
        <f>'[48]Sch C'!F142</f>
        <v>35668.517344204178</v>
      </c>
      <c r="E141" s="171">
        <f t="shared" si="37"/>
        <v>35668.517344204178</v>
      </c>
      <c r="F141" s="171"/>
      <c r="G141" s="171">
        <f>E141+F141</f>
        <v>35668.517344204178</v>
      </c>
      <c r="H141" s="172">
        <f>IF($G$208=0,0,G141/$G$208)</f>
        <v>7.1530253066354205E-3</v>
      </c>
      <c r="I141" s="526"/>
      <c r="J141" s="168"/>
      <c r="K141" s="168"/>
      <c r="M141" s="364">
        <f t="shared" si="34"/>
        <v>2.0521556495140771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'[48]Sch C'!D143</f>
        <v>0</v>
      </c>
      <c r="D142" s="558">
        <f>'[48]Sch C'!F143</f>
        <v>87976.924781760696</v>
      </c>
      <c r="E142" s="171">
        <f t="shared" si="37"/>
        <v>87976.924781760696</v>
      </c>
      <c r="F142" s="171"/>
      <c r="G142" s="171">
        <f>E142+F142</f>
        <v>87976.924781760696</v>
      </c>
      <c r="H142" s="172">
        <f>IF($G$208=0,0,G142/$G$208)</f>
        <v>1.7643042554617176E-2</v>
      </c>
      <c r="I142" s="526"/>
      <c r="J142" s="168"/>
      <c r="K142" s="168"/>
      <c r="M142" s="364">
        <f t="shared" si="34"/>
        <v>5.0616722157390655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'[48]Sch C'!D144</f>
        <v>0</v>
      </c>
      <c r="D143" s="558">
        <f>'[48]Sch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2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2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'[48]Sch C'!D146</f>
        <v>28800</v>
      </c>
      <c r="D145" s="558">
        <f>'[48]Sch C'!F146</f>
        <v>0</v>
      </c>
      <c r="E145" s="171">
        <f t="shared" ref="E145:E153" si="38">C145+D145</f>
        <v>28800</v>
      </c>
      <c r="F145" s="171"/>
      <c r="G145" s="171">
        <f t="shared" ref="G145:G153" si="39">E145+F145</f>
        <v>28800</v>
      </c>
      <c r="H145" s="172">
        <f t="shared" ref="H145:H153" si="40">IF($G$208=0,0,G145/$G$208)</f>
        <v>5.7756011230608237E-3</v>
      </c>
      <c r="I145" s="526"/>
      <c r="J145" s="183">
        <v>0</v>
      </c>
      <c r="K145" s="183">
        <v>0</v>
      </c>
      <c r="M145" s="364">
        <f t="shared" si="34"/>
        <v>1.6569817616938036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'[48]Sch C'!D147</f>
        <v>0</v>
      </c>
      <c r="D146" s="558">
        <f>'[48]Sch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2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'[48]Sch C'!D148</f>
        <v>0</v>
      </c>
      <c r="D147" s="558">
        <f>'[48]Sch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2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'[48]Sch C'!D149</f>
        <v>0</v>
      </c>
      <c r="D148" s="558">
        <f>'[48]Sch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2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'[48]Sch C'!D150</f>
        <v>4092.36</v>
      </c>
      <c r="D149" s="558">
        <f>'[48]Sch C'!F150</f>
        <v>0</v>
      </c>
      <c r="E149" s="171">
        <f t="shared" si="38"/>
        <v>4092.36</v>
      </c>
      <c r="F149" s="171"/>
      <c r="G149" s="171">
        <f t="shared" si="39"/>
        <v>4092.36</v>
      </c>
      <c r="H149" s="172">
        <f t="shared" si="40"/>
        <v>8.2068885458226365E-4</v>
      </c>
      <c r="I149" s="526"/>
      <c r="J149" s="183">
        <v>0</v>
      </c>
      <c r="K149" s="183">
        <v>0</v>
      </c>
      <c r="M149" s="364">
        <f t="shared" si="34"/>
        <v>0.23545020424601576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'[48]Sch C'!D151</f>
        <v>101004.17</v>
      </c>
      <c r="D150" s="558">
        <f>'[48]Sch C'!F151</f>
        <v>0</v>
      </c>
      <c r="E150" s="171">
        <f t="shared" si="38"/>
        <v>101004.17</v>
      </c>
      <c r="F150" s="171">
        <v>-2882.75</v>
      </c>
      <c r="G150" s="171">
        <f t="shared" si="39"/>
        <v>98121.42</v>
      </c>
      <c r="H150" s="172">
        <f t="shared" si="40"/>
        <v>1.9677436928761206E-2</v>
      </c>
      <c r="I150" s="525" t="s">
        <v>420</v>
      </c>
      <c r="J150" s="168"/>
      <c r="K150" s="168"/>
      <c r="M150" s="364">
        <f t="shared" si="34"/>
        <v>5.6453265059547784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'[48]Sch C'!D152</f>
        <v>0</v>
      </c>
      <c r="D151" s="558">
        <f>'[48]Sch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526"/>
      <c r="J151" s="168"/>
      <c r="K151" s="168"/>
      <c r="M151" s="364">
        <f t="shared" si="34"/>
        <v>0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'[48]Sch C'!D153</f>
        <v>250</v>
      </c>
      <c r="D152" s="558">
        <f>'[48]Sch C'!F153</f>
        <v>0</v>
      </c>
      <c r="E152" s="171">
        <f t="shared" si="38"/>
        <v>250</v>
      </c>
      <c r="F152" s="171"/>
      <c r="G152" s="171">
        <f t="shared" si="39"/>
        <v>250</v>
      </c>
      <c r="H152" s="172">
        <f t="shared" si="40"/>
        <v>5.013542641545854E-5</v>
      </c>
      <c r="I152" s="526"/>
      <c r="J152" s="168"/>
      <c r="K152" s="168"/>
      <c r="M152" s="364">
        <f t="shared" si="34"/>
        <v>1.4383522236925378E-2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'[48]Sch C'!D154</f>
        <v>0</v>
      </c>
      <c r="D153" s="558">
        <f>'[48]Sch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2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52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'[48]Sch C'!D156</f>
        <v>0</v>
      </c>
      <c r="D155" s="558">
        <f>'[48]Sch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2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'[48]Sch C'!D157</f>
        <v>75</v>
      </c>
      <c r="D156" s="558">
        <f>'[48]Sch C'!F157</f>
        <v>0</v>
      </c>
      <c r="E156" s="171">
        <f t="shared" si="41"/>
        <v>75</v>
      </c>
      <c r="F156" s="171"/>
      <c r="G156" s="171">
        <f t="shared" si="42"/>
        <v>75</v>
      </c>
      <c r="H156" s="172">
        <f t="shared" si="43"/>
        <v>1.5040627924637562E-5</v>
      </c>
      <c r="I156" s="526"/>
      <c r="J156" s="168"/>
      <c r="K156" s="168"/>
      <c r="M156" s="364">
        <f t="shared" si="34"/>
        <v>4.3150566710776139E-3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'[48]Sch C'!D158</f>
        <v>75</v>
      </c>
      <c r="D157" s="558">
        <f>'[48]Sch C'!F158</f>
        <v>0</v>
      </c>
      <c r="E157" s="171">
        <f t="shared" si="41"/>
        <v>75</v>
      </c>
      <c r="F157" s="171"/>
      <c r="G157" s="171">
        <f t="shared" si="42"/>
        <v>75</v>
      </c>
      <c r="H157" s="172">
        <f t="shared" si="43"/>
        <v>1.5040627924637562E-5</v>
      </c>
      <c r="I157" s="526"/>
      <c r="J157" s="168"/>
      <c r="K157" s="168"/>
      <c r="M157" s="364">
        <f t="shared" si="34"/>
        <v>4.3150566710776139E-3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'[48]Sch C'!D159</f>
        <v>0</v>
      </c>
      <c r="D158" s="558">
        <f>'[48]Sch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52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'[48]Sch C'!D160</f>
        <v>0</v>
      </c>
      <c r="D159" s="558">
        <f>'[48]Sch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2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'[48]Sch C'!D161</f>
        <v>0</v>
      </c>
      <c r="D160" s="558">
        <f>'[48]Sch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2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1543155.01</v>
      </c>
      <c r="D161" s="558">
        <f>SUM(D123:D160)</f>
        <v>213966.85145783913</v>
      </c>
      <c r="E161" s="171">
        <f t="shared" ref="E161:F161" si="44">SUM(E123:E160)</f>
        <v>1757121.8614578391</v>
      </c>
      <c r="F161" s="171">
        <f t="shared" si="44"/>
        <v>-2882.75</v>
      </c>
      <c r="G161" s="171">
        <f>SUM(G123:G160)</f>
        <v>1754239.1114578391</v>
      </c>
      <c r="H161" s="172">
        <f t="shared" si="43"/>
        <v>0.35179810355045549</v>
      </c>
      <c r="I161" s="526"/>
      <c r="J161" s="168"/>
      <c r="K161" s="168"/>
      <c r="M161" s="364">
        <f>G161/G$228</f>
        <v>100.92854907415219</v>
      </c>
      <c r="N161" s="359">
        <f>SUMMARY!J164</f>
        <v>105.56901037202306</v>
      </c>
      <c r="O161" s="354">
        <f>M161/N161-1</f>
        <v>-4.3956661917337048E-2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52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2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'[48]Sch C'!D175</f>
        <v>0</v>
      </c>
      <c r="D164" s="558">
        <f>'[48]Sch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536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'[48]Sch C'!D176</f>
        <v>0</v>
      </c>
      <c r="D165" s="558">
        <f>'[48]Sch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537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'[48]Sch C'!D177</f>
        <v>0</v>
      </c>
      <c r="D166" s="558">
        <f>'[48]Sch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536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'[48]Sch C'!D178</f>
        <v>0</v>
      </c>
      <c r="D167" s="558">
        <f>'[48]Sch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537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'[48]Sch C'!D179</f>
        <v>0</v>
      </c>
      <c r="D168" s="558">
        <f>'[48]Sch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536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'[48]Sch C'!D180</f>
        <v>0</v>
      </c>
      <c r="D169" s="558">
        <f>'[48]Sch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537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'[48]Sch C'!D181</f>
        <v>0</v>
      </c>
      <c r="D170" s="558">
        <f>'[48]Sch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536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'[48]Sch C'!D182</f>
        <v>0</v>
      </c>
      <c r="D171" s="558">
        <f>'[48]Sch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537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'[48]Sch C'!D183</f>
        <v>0</v>
      </c>
      <c r="D172" s="558">
        <f>'[48]Sch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536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'[48]Sch C'!D184</f>
        <v>0</v>
      </c>
      <c r="D173" s="558">
        <f>'[48]Sch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537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'[48]Sch C'!D185</f>
        <v>0</v>
      </c>
      <c r="D174" s="558">
        <f>'[48]Sch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536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'[48]Sch C'!D186</f>
        <v>0</v>
      </c>
      <c r="D175" s="558">
        <f>'[48]Sch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52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'[48]Sch C'!D187</f>
        <v>0</v>
      </c>
      <c r="D176" s="558">
        <f>'[48]Sch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52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'[48]Sch C'!D188</f>
        <v>1391</v>
      </c>
      <c r="D177" s="558">
        <f>'[48]Sch C'!F188</f>
        <v>0</v>
      </c>
      <c r="E177" s="171">
        <f t="shared" si="45"/>
        <v>1391</v>
      </c>
      <c r="F177" s="216"/>
      <c r="G177" s="171">
        <f t="shared" si="46"/>
        <v>1391</v>
      </c>
      <c r="H177" s="172">
        <f t="shared" si="47"/>
        <v>2.7895351257561132E-4</v>
      </c>
      <c r="I177" s="526"/>
      <c r="J177" s="223"/>
      <c r="K177" s="218"/>
      <c r="L177" s="220"/>
      <c r="M177" s="364">
        <f t="shared" si="48"/>
        <v>8.00299177262528E-2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'[48]Sch C'!D189</f>
        <v>0</v>
      </c>
      <c r="D178" s="558">
        <f>'[48]Sch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52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'[48]Sch C'!D190</f>
        <v>0</v>
      </c>
      <c r="D179" s="558">
        <f>'[48]Sch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52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'[48]Sch C'!D191</f>
        <v>0</v>
      </c>
      <c r="D180" s="558">
        <f>'[48]Sch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52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'[48]Sch C'!D192</f>
        <v>0</v>
      </c>
      <c r="D181" s="558">
        <f>'[48]Sch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52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'[48]Sch C'!D193</f>
        <v>1564.17</v>
      </c>
      <c r="D182" s="558">
        <f>'[48]Sch C'!F193</f>
        <v>0</v>
      </c>
      <c r="E182" s="171">
        <f t="shared" si="45"/>
        <v>1564.17</v>
      </c>
      <c r="F182" s="216"/>
      <c r="G182" s="171">
        <f t="shared" si="46"/>
        <v>1564.17</v>
      </c>
      <c r="H182" s="172">
        <f t="shared" si="47"/>
        <v>3.1368131974507114E-4</v>
      </c>
      <c r="I182" s="526"/>
      <c r="J182" s="223"/>
      <c r="K182" s="218"/>
      <c r="L182" s="220"/>
      <c r="M182" s="364">
        <f t="shared" si="48"/>
        <v>8.9993095909326276E-2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'[48]Sch C'!D194</f>
        <v>358487.38</v>
      </c>
      <c r="D183" s="558">
        <f>'[48]Sch C'!F194</f>
        <v>0</v>
      </c>
      <c r="E183" s="171">
        <f t="shared" si="45"/>
        <v>358487.38</v>
      </c>
      <c r="F183" s="216"/>
      <c r="G183" s="171">
        <f t="shared" si="46"/>
        <v>358487.38</v>
      </c>
      <c r="H183" s="172">
        <f t="shared" si="47"/>
        <v>7.1891670643442096E-2</v>
      </c>
      <c r="I183" s="526"/>
      <c r="J183" s="223"/>
      <c r="K183" s="218"/>
      <c r="M183" s="364">
        <f t="shared" si="48"/>
        <v>20.625244807548473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'[48]Sch C'!D195</f>
        <v>62233.31</v>
      </c>
      <c r="D184" s="558">
        <f>'[48]Sch C'!F195</f>
        <v>0</v>
      </c>
      <c r="E184" s="171">
        <f t="shared" si="45"/>
        <v>62233.31</v>
      </c>
      <c r="F184" s="216"/>
      <c r="G184" s="171">
        <f t="shared" si="46"/>
        <v>62233.31</v>
      </c>
      <c r="H184" s="172">
        <f t="shared" si="47"/>
        <v>1.2480374136381679E-2</v>
      </c>
      <c r="I184" s="526"/>
      <c r="J184" s="223"/>
      <c r="K184" s="218"/>
      <c r="M184" s="364">
        <f t="shared" si="48"/>
        <v>3.5805367930498817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'[48]Sch C'!D196</f>
        <v>0</v>
      </c>
      <c r="D185" s="558">
        <f>'[48]Sch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52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'[48]Sch C'!D197</f>
        <v>101867.81</v>
      </c>
      <c r="D186" s="558">
        <f>'[48]Sch C'!F197</f>
        <v>0</v>
      </c>
      <c r="E186" s="171">
        <f t="shared" si="45"/>
        <v>101867.81</v>
      </c>
      <c r="F186" s="216"/>
      <c r="G186" s="171">
        <f t="shared" si="46"/>
        <v>101867.81</v>
      </c>
      <c r="H186" s="172">
        <f t="shared" si="47"/>
        <v>2.0428744369435647E-2</v>
      </c>
      <c r="I186" s="526"/>
      <c r="J186" s="223"/>
      <c r="K186" s="218"/>
      <c r="M186" s="364">
        <f t="shared" si="48"/>
        <v>5.8608716414475577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'[48]Sch C'!D198</f>
        <v>27833.97</v>
      </c>
      <c r="D187" s="558">
        <f>'[48]Sch C'!F198</f>
        <v>0</v>
      </c>
      <c r="E187" s="171">
        <f t="shared" si="45"/>
        <v>27833.97</v>
      </c>
      <c r="F187" s="216"/>
      <c r="G187" s="171">
        <f t="shared" si="46"/>
        <v>27833.97</v>
      </c>
      <c r="H187" s="172">
        <f t="shared" si="47"/>
        <v>5.5818718191403228E-3</v>
      </c>
      <c r="I187" s="526"/>
      <c r="J187" s="223"/>
      <c r="K187" s="218"/>
      <c r="M187" s="364">
        <f t="shared" si="48"/>
        <v>1.6014021057476555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'[48]Sch C'!D199</f>
        <v>0</v>
      </c>
      <c r="D188" s="558">
        <f>'[48]Sch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52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'[48]Sch C'!D200</f>
        <v>0</v>
      </c>
      <c r="D189" s="558">
        <f>'[48]Sch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52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'[48]Sch C'!D201</f>
        <v>0</v>
      </c>
      <c r="D190" s="558">
        <f>'[48]Sch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52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'[48]Sch C'!D202</f>
        <v>0</v>
      </c>
      <c r="D191" s="558">
        <f>'[48]Sch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52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'[48]Sch C'!D203</f>
        <v>0</v>
      </c>
      <c r="D192" s="558">
        <f>'[48]Sch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52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'[48]Sch C'!D204</f>
        <v>0</v>
      </c>
      <c r="D193" s="558">
        <f>'[48]Sch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52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'[48]Sch C'!D205</f>
        <v>218554.95</v>
      </c>
      <c r="D194" s="558">
        <f>'[48]Sch C'!F205</f>
        <v>0</v>
      </c>
      <c r="E194" s="171">
        <f t="shared" si="45"/>
        <v>218554.95</v>
      </c>
      <c r="F194" s="216"/>
      <c r="G194" s="171">
        <f t="shared" si="46"/>
        <v>218554.95</v>
      </c>
      <c r="H194" s="172">
        <f t="shared" si="47"/>
        <v>4.3829382453836885E-2</v>
      </c>
      <c r="I194" s="526"/>
      <c r="J194" s="223"/>
      <c r="K194" s="218"/>
      <c r="M194" s="364">
        <f t="shared" si="48"/>
        <v>12.574359933260457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'[48]Sch C'!D206</f>
        <v>777.91</v>
      </c>
      <c r="D195" s="558">
        <f>'[48]Sch C'!F206</f>
        <v>0</v>
      </c>
      <c r="E195" s="171">
        <f t="shared" si="45"/>
        <v>777.91</v>
      </c>
      <c r="F195" s="216"/>
      <c r="G195" s="171">
        <f t="shared" si="46"/>
        <v>777.91</v>
      </c>
      <c r="H195" s="172">
        <f t="shared" si="47"/>
        <v>1.560033982513974E-4</v>
      </c>
      <c r="I195" s="526"/>
      <c r="J195" s="223"/>
      <c r="K195" s="218"/>
      <c r="M195" s="364">
        <f t="shared" si="48"/>
        <v>4.4756343133306481E-2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'[48]Sch C'!D207</f>
        <v>106.43</v>
      </c>
      <c r="D196" s="558">
        <f>'[48]Sch C'!F207</f>
        <v>0</v>
      </c>
      <c r="E196" s="171">
        <f t="shared" si="45"/>
        <v>106.43</v>
      </c>
      <c r="F196" s="216"/>
      <c r="G196" s="171">
        <f t="shared" si="46"/>
        <v>106.43</v>
      </c>
      <c r="H196" s="172">
        <f t="shared" si="47"/>
        <v>2.134365373358901E-5</v>
      </c>
      <c r="I196" s="526"/>
      <c r="J196" s="223"/>
      <c r="K196" s="218"/>
      <c r="M196" s="364">
        <f t="shared" si="48"/>
        <v>6.1233530867038722E-3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772816.92999999993</v>
      </c>
      <c r="D197" s="558">
        <f>SUM(D164:D196)</f>
        <v>0</v>
      </c>
      <c r="E197" s="171">
        <f t="shared" ref="E197:F197" si="49">SUM(E164:E196)</f>
        <v>772816.92999999993</v>
      </c>
      <c r="F197" s="171">
        <f t="shared" si="49"/>
        <v>0</v>
      </c>
      <c r="G197" s="171">
        <f>SUM(G164:G196)</f>
        <v>772816.92999999993</v>
      </c>
      <c r="H197" s="172">
        <f>IF($G$208=0,0,G197/$G$208)</f>
        <v>0.15498202530654229</v>
      </c>
      <c r="I197" s="526"/>
      <c r="J197" s="168"/>
      <c r="K197" s="168"/>
      <c r="M197" s="364">
        <f>G197/G$228</f>
        <v>44.463317990909609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52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2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'[48]Sch C'!D211</f>
        <v>62638.03</v>
      </c>
      <c r="D200" s="558">
        <f>'[48]Sch C'!F211</f>
        <v>0</v>
      </c>
      <c r="E200" s="171">
        <f t="shared" ref="E200:E205" si="50">C200+D200</f>
        <v>62638.03</v>
      </c>
      <c r="F200" s="171"/>
      <c r="G200" s="171">
        <f t="shared" ref="G200:G205" si="51">E200+F200</f>
        <v>62638.03</v>
      </c>
      <c r="H200" s="172">
        <f t="shared" ref="H200:H206" si="52">IF($G$208=0,0,G200/$G$208)</f>
        <v>1.2561537375497138E-2</v>
      </c>
      <c r="I200" s="526"/>
      <c r="J200" s="183">
        <v>3874.02</v>
      </c>
      <c r="K200" s="183">
        <v>4204.42</v>
      </c>
      <c r="M200" s="364">
        <f t="shared" ref="M200:M205" si="53">G200/G$228</f>
        <v>3.6038219895287957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'[48]Sch C'!D212</f>
        <v>0</v>
      </c>
      <c r="D201" s="558">
        <f>'[48]Sch C'!F212</f>
        <v>9512.99385345054</v>
      </c>
      <c r="E201" s="171">
        <f t="shared" si="50"/>
        <v>9512.99385345054</v>
      </c>
      <c r="F201" s="171"/>
      <c r="G201" s="171">
        <f t="shared" si="51"/>
        <v>9512.99385345054</v>
      </c>
      <c r="H201" s="172">
        <f t="shared" si="52"/>
        <v>1.9077520133215157E-3</v>
      </c>
      <c r="I201" s="526"/>
      <c r="J201" s="168"/>
      <c r="K201" s="168"/>
      <c r="M201" s="364">
        <f t="shared" si="53"/>
        <v>0.54732143452336113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'[48]Sch C'!D213</f>
        <v>18342.8</v>
      </c>
      <c r="D202" s="558">
        <f>'[48]Sch C'!F213</f>
        <v>0</v>
      </c>
      <c r="E202" s="171">
        <f t="shared" si="50"/>
        <v>18342.8</v>
      </c>
      <c r="F202" s="171"/>
      <c r="G202" s="171">
        <f t="shared" si="51"/>
        <v>18342.8</v>
      </c>
      <c r="H202" s="172">
        <f t="shared" si="52"/>
        <v>3.6784963986138913E-3</v>
      </c>
      <c r="I202" s="526"/>
      <c r="J202" s="168"/>
      <c r="K202" s="168"/>
      <c r="M202" s="364">
        <f t="shared" si="53"/>
        <v>1.0553362867498992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'[48]Sch C'!D214</f>
        <v>0</v>
      </c>
      <c r="D203" s="558">
        <f>'[48]Sch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52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'[48]Sch C'!D215</f>
        <v>0</v>
      </c>
      <c r="D204" s="558">
        <f>'[48]Sch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2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'[48]Sch C'!D216</f>
        <v>3032.75</v>
      </c>
      <c r="D205" s="558">
        <f>'[48]Sch C'!F216</f>
        <v>0</v>
      </c>
      <c r="E205" s="171">
        <f t="shared" si="50"/>
        <v>3032.75</v>
      </c>
      <c r="F205" s="171">
        <v>2882.75</v>
      </c>
      <c r="G205" s="171">
        <f t="shared" si="51"/>
        <v>5915.5</v>
      </c>
      <c r="H205" s="172">
        <f t="shared" si="52"/>
        <v>1.18630445984258E-3</v>
      </c>
      <c r="I205" s="525" t="s">
        <v>420</v>
      </c>
      <c r="J205" s="168"/>
      <c r="K205" s="168"/>
      <c r="M205" s="364">
        <f t="shared" si="53"/>
        <v>0.34034290317012827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84013.58</v>
      </c>
      <c r="D206" s="558">
        <f>SUM(D200:D205)</f>
        <v>9512.99385345054</v>
      </c>
      <c r="E206" s="171">
        <f t="shared" ref="E206:F206" si="54">SUM(E200:E205)</f>
        <v>93526.573853450536</v>
      </c>
      <c r="F206" s="171">
        <f t="shared" si="54"/>
        <v>2882.75</v>
      </c>
      <c r="G206" s="171">
        <f>SUM(G200:G205)</f>
        <v>96409.323853450536</v>
      </c>
      <c r="H206" s="172">
        <f t="shared" si="52"/>
        <v>1.9334090247275126E-2</v>
      </c>
      <c r="I206" s="526"/>
      <c r="J206" s="168"/>
      <c r="K206" s="168"/>
      <c r="M206" s="364">
        <f>G206/G$228</f>
        <v>5.5468226139721848</v>
      </c>
      <c r="N206" s="359">
        <f>SUMMARY!J209</f>
        <v>7.1515095990067339</v>
      </c>
      <c r="O206" s="354">
        <f>M206/N206-1</f>
        <v>-0.22438437127420241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52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4924584.6700000018</v>
      </c>
      <c r="D208" s="558">
        <f>SUM(D25:D206)/2</f>
        <v>61909.270000000019</v>
      </c>
      <c r="E208" s="171">
        <f t="shared" ref="E208:F208" si="55">SUM(E25:E206)/2</f>
        <v>4986493.9400000013</v>
      </c>
      <c r="F208" s="171">
        <f t="shared" si="55"/>
        <v>0</v>
      </c>
      <c r="G208" s="171">
        <f>SUM(G25:G206)/2</f>
        <v>4986493.9400000013</v>
      </c>
      <c r="H208" s="172">
        <f>IF($G$208=0,0,G208/$G$208)</f>
        <v>1</v>
      </c>
      <c r="I208" s="526"/>
      <c r="J208" s="183">
        <f>SUM(J25:J200)</f>
        <v>127621.14</v>
      </c>
      <c r="K208" s="183">
        <f>SUM(K25:K200)</f>
        <v>134751.38</v>
      </c>
      <c r="M208" s="364">
        <f>G208/G$228</f>
        <v>286.89338588113463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528"/>
      <c r="J209" s="168"/>
      <c r="K209" s="168"/>
      <c r="O209" s="553">
        <f>SUM(O61:O206)</f>
        <v>-0.38944472886776116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528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'[48]Sch C'!D221</f>
        <v>4924584.9400000004</v>
      </c>
      <c r="D211" s="196"/>
      <c r="E211" s="165"/>
      <c r="F211"/>
      <c r="G211"/>
      <c r="I211" s="528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-0.26999999862164259</v>
      </c>
      <c r="D212" s="229"/>
      <c r="E212" s="165"/>
      <c r="F212"/>
      <c r="G212"/>
      <c r="I212" s="528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232"/>
      <c r="G213" s="232"/>
      <c r="H213" s="166"/>
      <c r="I213" s="531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528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-515780.87000000291</v>
      </c>
      <c r="D215" s="558">
        <f>D21-D208</f>
        <v>-61909.270000000019</v>
      </c>
      <c r="E215" s="171">
        <f t="shared" ref="E215:F215" si="56">E21-E208</f>
        <v>-577690.14000000246</v>
      </c>
      <c r="F215" s="171">
        <f t="shared" si="56"/>
        <v>0</v>
      </c>
      <c r="G215" s="171">
        <f>G21-G208</f>
        <v>-577690.14000000246</v>
      </c>
      <c r="I215" s="528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528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528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31"/>
      <c r="J218" s="168"/>
      <c r="K218" s="168"/>
    </row>
    <row r="219" spans="1:17">
      <c r="A219" s="163"/>
      <c r="B219" s="170" t="s">
        <v>218</v>
      </c>
      <c r="C219" s="592">
        <f>'[48]Sch D'!C9</f>
        <v>9445</v>
      </c>
      <c r="D219" s="592"/>
      <c r="E219" s="235">
        <f t="shared" ref="E219:G227" si="57">C219+D219</f>
        <v>9445</v>
      </c>
      <c r="F219" s="234"/>
      <c r="G219" s="235">
        <f t="shared" si="57"/>
        <v>9445</v>
      </c>
      <c r="H219" s="172">
        <f t="shared" ref="H219:H228" si="58">IF($G$228=0,0,G219/$G$228)</f>
        <v>0.54340947011104079</v>
      </c>
      <c r="I219" s="526"/>
      <c r="J219" s="168"/>
      <c r="K219" s="168"/>
    </row>
    <row r="220" spans="1:17">
      <c r="A220" s="163"/>
      <c r="B220" s="170" t="s">
        <v>217</v>
      </c>
      <c r="C220" s="592">
        <f>'[48]Sch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26"/>
      <c r="J220" s="168"/>
      <c r="K220" s="168"/>
    </row>
    <row r="221" spans="1:17">
      <c r="A221" s="163"/>
      <c r="B221" s="170" t="s">
        <v>72</v>
      </c>
      <c r="C221" s="592">
        <f>'[48]Sch D'!E9</f>
        <v>2582</v>
      </c>
      <c r="D221" s="592"/>
      <c r="E221" s="235">
        <f t="shared" si="59"/>
        <v>2582</v>
      </c>
      <c r="F221" s="234"/>
      <c r="G221" s="235">
        <f t="shared" si="57"/>
        <v>2582</v>
      </c>
      <c r="H221" s="172">
        <f t="shared" si="58"/>
        <v>0.1485530176629653</v>
      </c>
      <c r="I221" s="526"/>
      <c r="J221" s="168"/>
      <c r="K221" s="168"/>
    </row>
    <row r="222" spans="1:17">
      <c r="A222" s="163"/>
      <c r="B222" s="202" t="s">
        <v>334</v>
      </c>
      <c r="C222" s="592">
        <f>'[48]Sch D'!F9</f>
        <v>2081</v>
      </c>
      <c r="D222" s="592"/>
      <c r="E222" s="235">
        <f>C222+D222</f>
        <v>2081</v>
      </c>
      <c r="F222" s="234"/>
      <c r="G222" s="235">
        <f>E222+F222</f>
        <v>2081</v>
      </c>
      <c r="H222" s="172">
        <f t="shared" si="58"/>
        <v>0.11972843910016685</v>
      </c>
      <c r="I222" s="526"/>
      <c r="J222" s="168"/>
      <c r="K222" s="168"/>
    </row>
    <row r="223" spans="1:17">
      <c r="A223" s="163"/>
      <c r="B223" s="170" t="s">
        <v>73</v>
      </c>
      <c r="C223" s="592">
        <f>'[48]Sch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26"/>
      <c r="J223" s="168"/>
      <c r="K223" s="168"/>
    </row>
    <row r="224" spans="1:17">
      <c r="A224" s="163"/>
      <c r="B224" s="170" t="s">
        <v>74</v>
      </c>
      <c r="C224" s="592">
        <f>'[48]Sch D'!H9</f>
        <v>2499</v>
      </c>
      <c r="D224" s="592"/>
      <c r="E224" s="235">
        <f t="shared" si="59"/>
        <v>2499</v>
      </c>
      <c r="F224" s="234"/>
      <c r="G224" s="235">
        <f t="shared" si="57"/>
        <v>2499</v>
      </c>
      <c r="H224" s="172">
        <f t="shared" si="58"/>
        <v>0.14377768828030607</v>
      </c>
      <c r="I224" s="526"/>
      <c r="J224" s="168"/>
      <c r="K224" s="168"/>
    </row>
    <row r="225" spans="1:11">
      <c r="A225" s="163"/>
      <c r="B225" s="170" t="s">
        <v>236</v>
      </c>
      <c r="C225" s="592">
        <f>'[48]Sch D'!I9</f>
        <v>613</v>
      </c>
      <c r="D225" s="592"/>
      <c r="E225" s="235">
        <f t="shared" si="59"/>
        <v>613</v>
      </c>
      <c r="F225" s="234"/>
      <c r="G225" s="235">
        <f t="shared" si="57"/>
        <v>613</v>
      </c>
      <c r="H225" s="172">
        <f t="shared" si="58"/>
        <v>3.5268396524941029E-2</v>
      </c>
      <c r="I225" s="508"/>
      <c r="J225" s="168"/>
      <c r="K225" s="168"/>
    </row>
    <row r="226" spans="1:11">
      <c r="A226" s="163"/>
      <c r="B226" s="170" t="s">
        <v>235</v>
      </c>
      <c r="C226" s="592">
        <f>'[48]Sch D'!J9</f>
        <v>161</v>
      </c>
      <c r="D226" s="592"/>
      <c r="E226" s="235">
        <f>C226+D226</f>
        <v>161</v>
      </c>
      <c r="F226" s="234"/>
      <c r="G226" s="235">
        <f>E226+F226</f>
        <v>161</v>
      </c>
      <c r="H226" s="172">
        <f t="shared" si="58"/>
        <v>9.2629883205799443E-3</v>
      </c>
      <c r="I226" s="508"/>
      <c r="J226" s="168"/>
      <c r="K226" s="168"/>
    </row>
    <row r="227" spans="1:11">
      <c r="A227" s="163"/>
      <c r="B227" s="170" t="s">
        <v>179</v>
      </c>
      <c r="C227" s="592">
        <f>'[48]Sch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2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17381</v>
      </c>
      <c r="D228" s="592">
        <f>SUM(D219:D227)</f>
        <v>0</v>
      </c>
      <c r="E228" s="237">
        <f>SUM(E219:E227)</f>
        <v>17381</v>
      </c>
      <c r="F228" s="237">
        <f>SUM(F219:F227)</f>
        <v>0</v>
      </c>
      <c r="G228" s="237">
        <f>SUM(G219:G227)</f>
        <v>17381</v>
      </c>
      <c r="H228" s="172">
        <f t="shared" si="58"/>
        <v>1</v>
      </c>
      <c r="I228" s="52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'[48]Sch D'!N22</f>
        <v>76</v>
      </c>
      <c r="D231" s="559"/>
      <c r="E231" s="235">
        <f>C231+D231</f>
        <v>76</v>
      </c>
      <c r="F231" s="235"/>
      <c r="G231" s="235">
        <f>E231+F231</f>
        <v>76</v>
      </c>
      <c r="H231" s="167"/>
      <c r="J231" s="168"/>
      <c r="K231" s="168"/>
    </row>
    <row r="232" spans="1:11">
      <c r="A232" s="163"/>
      <c r="B232" s="202" t="s">
        <v>290</v>
      </c>
      <c r="C232" s="593">
        <f>'[48]Sch D'!N24</f>
        <v>52</v>
      </c>
      <c r="D232" s="559"/>
      <c r="E232" s="235">
        <f>C232+D232</f>
        <v>52</v>
      </c>
      <c r="F232" s="235"/>
      <c r="G232" s="235">
        <f>E232+F232</f>
        <v>52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'[48]Sch D'!N28</f>
        <v>27816</v>
      </c>
      <c r="D235" s="483"/>
      <c r="E235" s="234">
        <f>E231*E233</f>
        <v>27816</v>
      </c>
      <c r="F235" s="239"/>
      <c r="G235" s="234">
        <f>G231*G233</f>
        <v>27816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'[48]Sch D'!N30</f>
        <v>0.62485619787172852</v>
      </c>
      <c r="D236" s="239"/>
      <c r="E236" s="244">
        <f>E228/E235</f>
        <v>0.62485619787172852</v>
      </c>
      <c r="F236" s="245"/>
      <c r="G236" s="244">
        <f>G228/G235</f>
        <v>0.62485619787172852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'[48]Sch D'!N32</f>
        <v>0.33955277538107564</v>
      </c>
      <c r="D237" s="239"/>
      <c r="E237" s="244">
        <f>(E219+E220)/E235</f>
        <v>0.33955277538107564</v>
      </c>
      <c r="F237" s="245"/>
      <c r="G237" s="244">
        <f>(G219+G220)/G235</f>
        <v>0.33955277538107564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'[48]Sch D'!N34</f>
        <v>0.54340947011104079</v>
      </c>
      <c r="D238" s="239"/>
      <c r="E238" s="244">
        <f>(E237/E236)</f>
        <v>0.54340947011104079</v>
      </c>
      <c r="F238" s="245"/>
      <c r="G238" s="244">
        <f>(G237/G236)</f>
        <v>0.54340947011104079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'[49]Sch B'!C85</f>
        <v>81.412182254196637</v>
      </c>
    </row>
    <row r="242" spans="2:7">
      <c r="F242" s="142" t="s">
        <v>341</v>
      </c>
      <c r="G242" s="558">
        <f>'[49]Sch B'!E85</f>
        <v>217.73060643564358</v>
      </c>
    </row>
    <row r="243" spans="2:7">
      <c r="B243" s="454" t="s">
        <v>426</v>
      </c>
      <c r="F243" s="142" t="s">
        <v>342</v>
      </c>
      <c r="G243" s="558">
        <f>'[49]Sch B'!G85</f>
        <v>219.46373443983401</v>
      </c>
    </row>
    <row r="244" spans="2:7" ht="16.5">
      <c r="B244" s="538" t="s">
        <v>679</v>
      </c>
      <c r="F244" s="142" t="s">
        <v>343</v>
      </c>
      <c r="G244" s="558">
        <f>'[49]Sch B'!I85</f>
        <v>120.43952</v>
      </c>
    </row>
    <row r="245" spans="2:7" ht="16.5">
      <c r="B245" s="538" t="s">
        <v>680</v>
      </c>
      <c r="F245" s="142"/>
    </row>
    <row r="246" spans="2:7" ht="16.5">
      <c r="B246" s="538"/>
    </row>
    <row r="247" spans="2:7" ht="16.5">
      <c r="B247" s="538"/>
    </row>
  </sheetData>
  <customSheetViews>
    <customSheetView guid="{00D6F160-3E2B-11D5-8BE5-C1A1C12816BD}" showPageBreaks="1" showGridLines="0" showRuler="0" topLeftCell="A2">
      <selection activeCell="B14" sqref="B14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74">
    <tabColor rgb="FFE28CAB"/>
  </sheetPr>
  <dimension ref="A1:T245"/>
  <sheetViews>
    <sheetView showGridLines="0" topLeftCell="A222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593</v>
      </c>
      <c r="D2" s="246"/>
      <c r="E2" s="144"/>
      <c r="F2" s="569" t="s">
        <v>458</v>
      </c>
    </row>
    <row r="3" spans="1:17">
      <c r="A3" s="145"/>
      <c r="B3" s="140" t="s">
        <v>79</v>
      </c>
      <c r="C3" s="489">
        <v>42186</v>
      </c>
      <c r="D3" s="144"/>
      <c r="E3" s="147"/>
      <c r="F3" s="460" t="s">
        <v>635</v>
      </c>
    </row>
    <row r="4" spans="1:17">
      <c r="A4" s="145"/>
      <c r="B4" s="148" t="s">
        <v>80</v>
      </c>
      <c r="C4" s="489">
        <v>42551</v>
      </c>
      <c r="D4" s="144"/>
      <c r="E4" s="149"/>
      <c r="F4" s="460" t="s">
        <v>501</v>
      </c>
      <c r="G4" s="150"/>
    </row>
    <row r="5" spans="1:17">
      <c r="A5" s="145"/>
      <c r="B5" s="148"/>
      <c r="C5" s="151"/>
      <c r="D5" s="144"/>
      <c r="F5" s="460" t="s">
        <v>636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5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'[50]Sch B'!E10</f>
        <v>737871</v>
      </c>
      <c r="D11" s="558">
        <f>'[50]Sch B'!G10</f>
        <v>0</v>
      </c>
      <c r="E11" s="171">
        <f>C11+D11</f>
        <v>737871</v>
      </c>
      <c r="F11" s="679">
        <f>(1579841+612119)</f>
        <v>2191960</v>
      </c>
      <c r="G11" s="171">
        <f t="shared" ref="G11:G20" si="0">E11+F11</f>
        <v>2929831</v>
      </c>
      <c r="H11" s="172">
        <f t="shared" ref="H11:H21" si="1">IF($G$21=0,0,G11/$G$21)</f>
        <v>0.96478401092738542</v>
      </c>
      <c r="I11" s="336"/>
      <c r="J11" s="368" t="s">
        <v>344</v>
      </c>
      <c r="K11" s="369">
        <f>G21</f>
        <v>3036774</v>
      </c>
      <c r="M11" s="359">
        <f>IFERROR(G11/G219,0)</f>
        <v>247.8287091862629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'[50]Sch B'!E15</f>
        <v>0</v>
      </c>
      <c r="D12" s="558">
        <f>'[50]Sch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1938101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'[50]Sch B'!E21</f>
        <v>0</v>
      </c>
      <c r="D13" s="558">
        <f>'[50]Sch B'!G21</f>
        <v>0</v>
      </c>
      <c r="E13" s="171">
        <f t="shared" si="2"/>
        <v>0</v>
      </c>
      <c r="F13" s="171">
        <v>0</v>
      </c>
      <c r="G13" s="171">
        <f t="shared" si="0"/>
        <v>0</v>
      </c>
      <c r="H13" s="172">
        <f t="shared" si="1"/>
        <v>0</v>
      </c>
      <c r="I13" s="336"/>
      <c r="J13" s="370" t="s">
        <v>346</v>
      </c>
      <c r="K13" s="371">
        <f>G228</f>
        <v>12302</v>
      </c>
      <c r="M13" s="359">
        <f t="shared" si="3"/>
        <v>0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'[50]Sch B'!E27</f>
        <v>0</v>
      </c>
      <c r="D14" s="558">
        <f>'[50]Sch B'!G27</f>
        <v>0</v>
      </c>
      <c r="E14" s="171">
        <f t="shared" si="2"/>
        <v>0</v>
      </c>
      <c r="F14" s="175">
        <v>0</v>
      </c>
      <c r="G14" s="175">
        <f>E14+F14</f>
        <v>0</v>
      </c>
      <c r="H14" s="176">
        <f t="shared" si="1"/>
        <v>0</v>
      </c>
      <c r="I14" s="337"/>
      <c r="J14" s="370" t="s">
        <v>347</v>
      </c>
      <c r="K14" s="371">
        <f>G231</f>
        <v>34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'[50]Sch B'!E32</f>
        <v>0</v>
      </c>
      <c r="D15" s="558">
        <f>'[50]Sch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12444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'[50]Sch B'!E37</f>
        <v>40515</v>
      </c>
      <c r="D16" s="558">
        <f>'[50]Sch B'!G37</f>
        <v>0</v>
      </c>
      <c r="E16" s="171">
        <f t="shared" si="2"/>
        <v>40515</v>
      </c>
      <c r="F16" s="171">
        <v>51615</v>
      </c>
      <c r="G16" s="171">
        <f t="shared" si="0"/>
        <v>92130</v>
      </c>
      <c r="H16" s="172">
        <f t="shared" si="1"/>
        <v>3.0338115381651713E-2</v>
      </c>
      <c r="I16" s="336"/>
      <c r="J16" s="372"/>
      <c r="K16" s="371"/>
      <c r="M16" s="359">
        <f t="shared" si="3"/>
        <v>191.9375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'[50]Sch B'!E42</f>
        <v>0</v>
      </c>
      <c r="D17" s="558">
        <f>'[50]Sch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56858.689999999995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'[50]Sch B'!E47</f>
        <v>0</v>
      </c>
      <c r="D18" s="558">
        <f>'[50]Sch B'!G47</f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57197.689999999995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'[50]Sch B'!E52</f>
        <v>0</v>
      </c>
      <c r="D19" s="558">
        <f>'[50]Sch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'[50]Sch B'!E67</f>
        <v>14747</v>
      </c>
      <c r="D20" s="558">
        <f>'[50]Sch B'!G67</f>
        <v>0</v>
      </c>
      <c r="E20" s="171">
        <f t="shared" si="2"/>
        <v>14747</v>
      </c>
      <c r="F20" s="171">
        <v>66</v>
      </c>
      <c r="G20" s="171">
        <f t="shared" si="0"/>
        <v>14813</v>
      </c>
      <c r="H20" s="172">
        <f t="shared" si="1"/>
        <v>4.8778736909628438E-3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793133</v>
      </c>
      <c r="D21" s="558">
        <f>SUM(D11:D20)</f>
        <v>0</v>
      </c>
      <c r="E21" s="171">
        <f>SUM(E11:E20)</f>
        <v>793133</v>
      </c>
      <c r="F21" s="171">
        <f>SUM(F11:F20)</f>
        <v>2243641</v>
      </c>
      <c r="G21" s="171">
        <f>SUM(G11:G20)</f>
        <v>3036774</v>
      </c>
      <c r="H21" s="172">
        <f t="shared" si="1"/>
        <v>1</v>
      </c>
      <c r="I21" s="336"/>
      <c r="J21" s="168"/>
      <c r="K21" s="168"/>
      <c r="M21" s="359">
        <f>IFERROR(G21/G228,0)</f>
        <v>246.85205657616649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0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575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'[50]Sch C'!D10</f>
        <v>35339</v>
      </c>
      <c r="D25" s="558">
        <f>'[50]Sch C'!F10</f>
        <v>0</v>
      </c>
      <c r="E25" s="171">
        <f t="shared" ref="E25:E60" si="4">C25+D25</f>
        <v>35339</v>
      </c>
      <c r="F25" s="171">
        <v>55975</v>
      </c>
      <c r="G25" s="182">
        <f>E25+F25</f>
        <v>91314</v>
      </c>
      <c r="H25" s="172">
        <f>IF($G$208=0,0,G25/$G$208)</f>
        <v>4.711519162314038E-2</v>
      </c>
      <c r="I25" s="336"/>
      <c r="J25" s="183">
        <f>693.36+1287</f>
        <v>1980.3600000000001</v>
      </c>
      <c r="K25" s="183">
        <f>693.36+1387</f>
        <v>2080.36</v>
      </c>
      <c r="M25" s="359">
        <f>G25/G$228</f>
        <v>7.4226954966672087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'[50]Sch C'!D11</f>
        <v>0</v>
      </c>
      <c r="D26" s="558">
        <f>'[50]Sch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'[50]Sch C'!D12</f>
        <v>19845</v>
      </c>
      <c r="D27" s="558">
        <f>'[50]Sch C'!F12</f>
        <v>0</v>
      </c>
      <c r="E27" s="171">
        <f t="shared" si="4"/>
        <v>19845</v>
      </c>
      <c r="F27" s="171">
        <v>28232</v>
      </c>
      <c r="G27" s="171">
        <f t="shared" si="5"/>
        <v>48077</v>
      </c>
      <c r="H27" s="172">
        <f t="shared" si="6"/>
        <v>2.4806240748031193E-2</v>
      </c>
      <c r="I27" s="336"/>
      <c r="J27" s="185">
        <f>927.91+818</f>
        <v>1745.9099999999999</v>
      </c>
      <c r="K27" s="185">
        <f>927.91+818</f>
        <v>1745.9099999999999</v>
      </c>
      <c r="M27" s="359">
        <f t="shared" si="7"/>
        <v>3.9080637294748821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'[50]Sch C'!D13</f>
        <v>3442</v>
      </c>
      <c r="D28" s="558">
        <f>'[50]Sch C'!F13</f>
        <v>0</v>
      </c>
      <c r="E28" s="171">
        <f t="shared" si="4"/>
        <v>3442</v>
      </c>
      <c r="F28" s="171">
        <v>14929</v>
      </c>
      <c r="G28" s="171">
        <f t="shared" si="5"/>
        <v>18371</v>
      </c>
      <c r="H28" s="172">
        <f t="shared" si="6"/>
        <v>9.4788661684814153E-3</v>
      </c>
      <c r="I28" s="336"/>
      <c r="J28" s="168"/>
      <c r="K28" s="168"/>
      <c r="M28" s="359">
        <f t="shared" si="7"/>
        <v>1.4933344171679401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'[50]Sch C'!D14</f>
        <v>0</v>
      </c>
      <c r="D29" s="558">
        <f>'[50]Sch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'[50]Sch C'!D15</f>
        <v>0</v>
      </c>
      <c r="D30" s="558">
        <f>'[50]Sch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'[50]Sch C'!D16</f>
        <v>0</v>
      </c>
      <c r="D31" s="558">
        <f>'[50]Sch C'!F16</f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'[50]Sch C'!D17</f>
        <v>0</v>
      </c>
      <c r="D32" s="558">
        <f>'[50]Sch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'[50]Sch C'!D18</f>
        <v>707</v>
      </c>
      <c r="D33" s="558">
        <f>'[50]Sch C'!F18</f>
        <v>0</v>
      </c>
      <c r="E33" s="171">
        <f t="shared" si="4"/>
        <v>707</v>
      </c>
      <c r="F33" s="171">
        <v>2551</v>
      </c>
      <c r="G33" s="171">
        <f t="shared" si="5"/>
        <v>3258</v>
      </c>
      <c r="H33" s="172">
        <f t="shared" si="6"/>
        <v>1.6810269433842715E-3</v>
      </c>
      <c r="I33" s="336"/>
      <c r="J33" s="168"/>
      <c r="K33" s="168"/>
      <c r="M33" s="359">
        <f t="shared" si="7"/>
        <v>0.26483498618110879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'[50]Sch C'!D19</f>
        <v>8656</v>
      </c>
      <c r="D34" s="558">
        <f>'[50]Sch C'!F19</f>
        <v>0</v>
      </c>
      <c r="E34" s="171">
        <f t="shared" si="4"/>
        <v>8656</v>
      </c>
      <c r="F34" s="171">
        <v>11972</v>
      </c>
      <c r="G34" s="171">
        <f t="shared" si="5"/>
        <v>20628</v>
      </c>
      <c r="H34" s="172">
        <f t="shared" si="6"/>
        <v>1.0643408160875001E-2</v>
      </c>
      <c r="I34" s="336"/>
      <c r="J34" s="168"/>
      <c r="K34" s="168"/>
      <c r="M34" s="359">
        <f t="shared" si="7"/>
        <v>1.6768005202406113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'[50]Sch C'!D20</f>
        <v>4083</v>
      </c>
      <c r="D35" s="558">
        <f>'[50]Sch C'!F20</f>
        <v>0</v>
      </c>
      <c r="E35" s="171">
        <f t="shared" si="4"/>
        <v>4083</v>
      </c>
      <c r="F35" s="171">
        <v>4746</v>
      </c>
      <c r="G35" s="171">
        <f t="shared" si="5"/>
        <v>8829</v>
      </c>
      <c r="H35" s="172">
        <f t="shared" si="6"/>
        <v>4.5554901421546142E-3</v>
      </c>
      <c r="I35" s="336"/>
      <c r="J35" s="168"/>
      <c r="K35" s="168"/>
      <c r="M35" s="359">
        <f t="shared" si="7"/>
        <v>0.71768818078361241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'[50]Sch C'!D21</f>
        <v>9931</v>
      </c>
      <c r="D36" s="558">
        <f>'[50]Sch C'!F21</f>
        <v>0</v>
      </c>
      <c r="E36" s="171">
        <f t="shared" si="4"/>
        <v>9931</v>
      </c>
      <c r="F36" s="171">
        <v>8890</v>
      </c>
      <c r="G36" s="171">
        <f t="shared" si="5"/>
        <v>18821</v>
      </c>
      <c r="H36" s="172">
        <f t="shared" si="6"/>
        <v>9.7110522103853198E-3</v>
      </c>
      <c r="I36" s="336"/>
      <c r="J36" s="168"/>
      <c r="K36" s="168"/>
      <c r="M36" s="359">
        <f t="shared" si="7"/>
        <v>1.5299138351487562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'[50]Sch C'!D22</f>
        <v>0</v>
      </c>
      <c r="D37" s="558">
        <f>'[50]Sch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'[50]Sch C'!D23</f>
        <v>2614</v>
      </c>
      <c r="D38" s="558">
        <f>'[50]Sch C'!F23</f>
        <v>0</v>
      </c>
      <c r="E38" s="171">
        <f t="shared" si="4"/>
        <v>2614</v>
      </c>
      <c r="F38" s="171">
        <v>4670</v>
      </c>
      <c r="G38" s="171">
        <f t="shared" si="5"/>
        <v>7284</v>
      </c>
      <c r="H38" s="172">
        <f t="shared" si="6"/>
        <v>3.7583180649512072E-3</v>
      </c>
      <c r="I38" s="336"/>
      <c r="J38" s="168"/>
      <c r="K38" s="168"/>
      <c r="M38" s="359">
        <f t="shared" si="7"/>
        <v>0.59209884571614368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'[50]Sch C'!D24</f>
        <v>0</v>
      </c>
      <c r="D39" s="558">
        <f>'[50]Sch C'!F24</f>
        <v>0</v>
      </c>
      <c r="E39" s="171">
        <f t="shared" si="4"/>
        <v>0</v>
      </c>
      <c r="F39" s="171">
        <v>0</v>
      </c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'[50]Sch C'!D25</f>
        <v>0</v>
      </c>
      <c r="D40" s="558">
        <f>'[50]Sch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'[50]Sch C'!D26</f>
        <v>75222</v>
      </c>
      <c r="D41" s="558">
        <f>'[50]Sch C'!F26</f>
        <v>0</v>
      </c>
      <c r="E41" s="171">
        <f t="shared" si="4"/>
        <v>75222</v>
      </c>
      <c r="F41" s="171">
        <v>150271</v>
      </c>
      <c r="G41" s="171">
        <f t="shared" si="5"/>
        <v>225493</v>
      </c>
      <c r="H41" s="172">
        <f t="shared" si="6"/>
        <v>0.11634739366008273</v>
      </c>
      <c r="I41" s="336"/>
      <c r="J41" s="168"/>
      <c r="K41" s="168"/>
      <c r="M41" s="359">
        <f t="shared" si="7"/>
        <v>18.329783774995935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'[50]Sch C'!D27</f>
        <v>0</v>
      </c>
      <c r="D42" s="558">
        <f>'[50]Sch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'[50]Sch C'!D28</f>
        <v>0</v>
      </c>
      <c r="D43" s="558">
        <f>'[50]Sch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'[50]Sch C'!D29</f>
        <v>0</v>
      </c>
      <c r="D44" s="558">
        <f>'[50]Sch C'!F29</f>
        <v>0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'[50]Sch C'!D30</f>
        <v>0</v>
      </c>
      <c r="D45" s="558">
        <f>'[50]Sch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'[50]Sch C'!D31</f>
        <v>6926</v>
      </c>
      <c r="D46" s="558">
        <f>'[50]Sch C'!F31</f>
        <v>0</v>
      </c>
      <c r="E46" s="171">
        <f t="shared" si="4"/>
        <v>6926</v>
      </c>
      <c r="F46" s="171">
        <v>13311</v>
      </c>
      <c r="G46" s="171">
        <f t="shared" si="5"/>
        <v>20237</v>
      </c>
      <c r="H46" s="172">
        <f t="shared" si="6"/>
        <v>1.0441664288909608E-2</v>
      </c>
      <c r="I46" s="336"/>
      <c r="J46" s="168"/>
      <c r="K46" s="168"/>
      <c r="M46" s="359">
        <f t="shared" si="7"/>
        <v>1.6450170703950577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'[50]Sch C'!D32</f>
        <v>5528</v>
      </c>
      <c r="D47" s="558">
        <f>'[50]Sch C'!F32</f>
        <v>0</v>
      </c>
      <c r="E47" s="171">
        <f t="shared" si="4"/>
        <v>5528</v>
      </c>
      <c r="F47" s="171">
        <v>25781</v>
      </c>
      <c r="G47" s="171">
        <f t="shared" si="5"/>
        <v>31309</v>
      </c>
      <c r="H47" s="172">
        <f t="shared" si="6"/>
        <v>1.6154472857709688E-2</v>
      </c>
      <c r="I47" s="336"/>
      <c r="J47" s="168"/>
      <c r="K47" s="168"/>
      <c r="M47" s="359">
        <f t="shared" si="7"/>
        <v>2.5450333279141604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'[50]Sch C'!D33</f>
        <v>0</v>
      </c>
      <c r="D48" s="558">
        <f>'[50]Sch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'[50]Sch C'!D34</f>
        <v>0</v>
      </c>
      <c r="D49" s="558">
        <f>'[50]Sch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'[50]Sch C'!D35</f>
        <v>0</v>
      </c>
      <c r="D50" s="558">
        <f>'[50]Sch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'[50]Sch C'!D36</f>
        <v>0</v>
      </c>
      <c r="D51" s="558">
        <f>'[50]Sch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'[50]Sch C'!D37</f>
        <v>0</v>
      </c>
      <c r="D52" s="558">
        <f>'[50]Sch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'[50]Sch C'!D38</f>
        <v>0</v>
      </c>
      <c r="D53" s="558">
        <f>'[50]Sch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'[50]Sch C'!D39</f>
        <v>255</v>
      </c>
      <c r="D54" s="558">
        <f>'[50]Sch C'!F39</f>
        <v>0</v>
      </c>
      <c r="E54" s="171">
        <f t="shared" si="4"/>
        <v>255</v>
      </c>
      <c r="F54" s="171">
        <v>1106</v>
      </c>
      <c r="G54" s="171">
        <f t="shared" si="5"/>
        <v>1361</v>
      </c>
      <c r="H54" s="172">
        <f t="shared" si="6"/>
        <v>7.0223378451381017E-4</v>
      </c>
      <c r="I54" s="336"/>
      <c r="J54" s="168"/>
      <c r="K54" s="168"/>
      <c r="M54" s="359">
        <f t="shared" si="7"/>
        <v>0.11063241749309055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'[50]Sch C'!D40</f>
        <v>0</v>
      </c>
      <c r="D55" s="558">
        <f>'[50]Sch C'!F40</f>
        <v>0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'[50]Sch C'!D41</f>
        <v>14707</v>
      </c>
      <c r="D56" s="558">
        <f>'[50]Sch C'!F41</f>
        <v>0</v>
      </c>
      <c r="E56" s="171">
        <f t="shared" si="4"/>
        <v>14707</v>
      </c>
      <c r="F56" s="171">
        <v>49996</v>
      </c>
      <c r="G56" s="171">
        <f t="shared" si="5"/>
        <v>64703</v>
      </c>
      <c r="H56" s="172">
        <f t="shared" si="6"/>
        <v>3.3384741042907465E-2</v>
      </c>
      <c r="I56" s="336"/>
      <c r="J56" s="168"/>
      <c r="K56" s="168"/>
      <c r="M56" s="359">
        <f t="shared" si="7"/>
        <v>5.2595512924727688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'[50]Sch C'!D42</f>
        <v>75</v>
      </c>
      <c r="D57" s="558">
        <f>'[50]Sch C'!F42</f>
        <v>0</v>
      </c>
      <c r="E57" s="171">
        <f t="shared" si="4"/>
        <v>75</v>
      </c>
      <c r="F57" s="171">
        <v>952</v>
      </c>
      <c r="G57" s="171">
        <f t="shared" si="5"/>
        <v>1027</v>
      </c>
      <c r="H57" s="172">
        <f t="shared" si="6"/>
        <v>5.299001445229119E-4</v>
      </c>
      <c r="I57" s="336"/>
      <c r="J57" s="168"/>
      <c r="K57" s="168"/>
      <c r="M57" s="359">
        <f t="shared" si="7"/>
        <v>8.3482360591773691E-2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'[50]Sch C'!D43</f>
        <v>908</v>
      </c>
      <c r="D58" s="558">
        <f>'[50]Sch C'!F43</f>
        <v>-908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'[50]Sch C'!D44</f>
        <v>0</v>
      </c>
      <c r="D59" s="558">
        <f>'[50]Sch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'[50]Sch C'!D45</f>
        <v>1982</v>
      </c>
      <c r="D60" s="558">
        <f>'[50]Sch C'!F45</f>
        <v>0</v>
      </c>
      <c r="E60" s="171">
        <f t="shared" si="4"/>
        <v>1982</v>
      </c>
      <c r="F60" s="171">
        <v>3886</v>
      </c>
      <c r="G60" s="171">
        <f t="shared" si="5"/>
        <v>5868</v>
      </c>
      <c r="H60" s="172">
        <f t="shared" si="6"/>
        <v>3.0277059864269201E-3</v>
      </c>
      <c r="I60" s="336"/>
      <c r="J60" s="168"/>
      <c r="K60" s="168"/>
      <c r="M60" s="359">
        <f t="shared" si="7"/>
        <v>0.47699561046984229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190220</v>
      </c>
      <c r="D61" s="558">
        <f>SUM(D25:D60)</f>
        <v>-908</v>
      </c>
      <c r="E61" s="171">
        <f t="shared" ref="E61:F61" si="8">SUM(E25:E60)</f>
        <v>189312</v>
      </c>
      <c r="F61" s="171">
        <f t="shared" si="8"/>
        <v>377268</v>
      </c>
      <c r="G61" s="171">
        <f>SUM(G25:G60)</f>
        <v>566580</v>
      </c>
      <c r="H61" s="186">
        <f t="shared" si="6"/>
        <v>0.29233770582647656</v>
      </c>
      <c r="I61" s="338"/>
      <c r="J61" s="168"/>
      <c r="K61" s="168"/>
      <c r="M61" s="364">
        <f>G61/G$228</f>
        <v>46.055925865712894</v>
      </c>
      <c r="N61" s="359">
        <f>SUMMARY!J64</f>
        <v>53.728790309602623</v>
      </c>
      <c r="O61" s="354">
        <f>M61/N61-1</f>
        <v>-0.14280731800727708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213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'[50]Sch C'!D57</f>
        <v>55340</v>
      </c>
      <c r="D64" s="558">
        <f>'[50]Sch C'!F57</f>
        <v>0</v>
      </c>
      <c r="E64" s="171">
        <f t="shared" ref="E64:E78" si="9">C64+D64</f>
        <v>55340</v>
      </c>
      <c r="F64" s="679">
        <f>(109976-109976-55340)</f>
        <v>-55340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'[50]Sch C'!D58</f>
        <v>0</v>
      </c>
      <c r="D65" s="558">
        <f>'[50]Sch C'!F58</f>
        <v>0</v>
      </c>
      <c r="E65" s="171">
        <f t="shared" si="9"/>
        <v>0</v>
      </c>
      <c r="F65" s="679">
        <f>(15087+45261)</f>
        <v>60348</v>
      </c>
      <c r="G65" s="171">
        <f t="shared" si="10"/>
        <v>60348</v>
      </c>
      <c r="H65" s="172">
        <f t="shared" si="11"/>
        <v>3.1137696126259672E-2</v>
      </c>
      <c r="I65" s="336"/>
      <c r="J65" s="190"/>
      <c r="K65" s="168"/>
      <c r="M65" s="359">
        <f t="shared" si="12"/>
        <v>4.9055438140139813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'[50]Sch C'!D59</f>
        <v>0</v>
      </c>
      <c r="D66" s="558">
        <f>'[50]Sch C'!F59</f>
        <v>0</v>
      </c>
      <c r="E66" s="171">
        <f t="shared" si="9"/>
        <v>0</v>
      </c>
      <c r="F66" s="679">
        <f>(27792+55585)</f>
        <v>83377</v>
      </c>
      <c r="G66" s="171">
        <f t="shared" si="10"/>
        <v>83377</v>
      </c>
      <c r="H66" s="172">
        <f t="shared" si="11"/>
        <v>4.3019945812937513E-2</v>
      </c>
      <c r="I66" s="336"/>
      <c r="J66" s="190"/>
      <c r="K66" s="168"/>
      <c r="M66" s="359">
        <f t="shared" si="12"/>
        <v>6.7775158510811249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'[50]Sch C'!D60</f>
        <v>5707</v>
      </c>
      <c r="D67" s="558">
        <f>'[50]Sch C'!F60</f>
        <v>0</v>
      </c>
      <c r="E67" s="171">
        <f t="shared" si="9"/>
        <v>5707</v>
      </c>
      <c r="F67" s="677">
        <f>(2058-2058)</f>
        <v>0</v>
      </c>
      <c r="G67" s="171">
        <f t="shared" si="10"/>
        <v>5707</v>
      </c>
      <c r="H67" s="172">
        <f t="shared" si="11"/>
        <v>2.9446349803235227E-3</v>
      </c>
      <c r="I67" s="336"/>
      <c r="J67" s="193"/>
      <c r="K67" s="168"/>
      <c r="M67" s="359">
        <f t="shared" si="12"/>
        <v>0.46390830759226143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'[50]Sch C'!D61</f>
        <v>0</v>
      </c>
      <c r="D68" s="558">
        <f>'[50]Sch C'!F61</f>
        <v>0</v>
      </c>
      <c r="E68" s="171">
        <f t="shared" si="9"/>
        <v>0</v>
      </c>
      <c r="F68" s="171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'[50]Sch C'!D62</f>
        <v>0</v>
      </c>
      <c r="D69" s="558">
        <f>'[50]Sch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'[50]Sch C'!D63</f>
        <v>0</v>
      </c>
      <c r="D70" s="558">
        <f>'[50]Sch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'[50]Sch C'!D64</f>
        <v>0</v>
      </c>
      <c r="D71" s="558">
        <f>'[50]Sch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'[50]Sch C'!D65</f>
        <v>0</v>
      </c>
      <c r="D72" s="558">
        <f>'[50]Sch C'!F65</f>
        <v>0</v>
      </c>
      <c r="E72" s="171">
        <f t="shared" si="9"/>
        <v>0</v>
      </c>
      <c r="F72" s="171">
        <v>2356</v>
      </c>
      <c r="G72" s="171">
        <f t="shared" si="10"/>
        <v>2356</v>
      </c>
      <c r="H72" s="172">
        <f t="shared" si="11"/>
        <v>1.2156229216124443E-3</v>
      </c>
      <c r="I72" s="336"/>
      <c r="J72" s="195"/>
      <c r="K72" s="168"/>
      <c r="M72" s="359">
        <f t="shared" si="12"/>
        <v>0.19151357502845065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'[50]Sch C'!D66</f>
        <v>0</v>
      </c>
      <c r="D73" s="558">
        <f>'[50]Sch C'!F66</f>
        <v>0</v>
      </c>
      <c r="E73" s="171">
        <f t="shared" si="9"/>
        <v>0</v>
      </c>
      <c r="F73" s="171">
        <v>0</v>
      </c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'[50]Sch C'!D67</f>
        <v>0</v>
      </c>
      <c r="D74" s="558">
        <f>'[50]Sch C'!F67</f>
        <v>0</v>
      </c>
      <c r="E74" s="171">
        <f t="shared" si="9"/>
        <v>0</v>
      </c>
      <c r="F74" s="171">
        <v>0</v>
      </c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'[50]Sch C'!D68</f>
        <v>0</v>
      </c>
      <c r="D75" s="558">
        <f>'[50]Sch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'[50]Sch C'!D69</f>
        <v>0</v>
      </c>
      <c r="D76" s="558">
        <f>'[50]Sch C'!F69</f>
        <v>0</v>
      </c>
      <c r="E76" s="171">
        <f t="shared" si="9"/>
        <v>0</v>
      </c>
      <c r="F76" s="677">
        <v>2058</v>
      </c>
      <c r="G76" s="171">
        <f t="shared" si="10"/>
        <v>2058</v>
      </c>
      <c r="H76" s="172">
        <f t="shared" si="11"/>
        <v>1.0618641649738584E-3</v>
      </c>
      <c r="I76" s="336"/>
      <c r="J76" s="195"/>
      <c r="K76" s="168"/>
      <c r="M76" s="359">
        <f t="shared" si="12"/>
        <v>0.1672898715655991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'[50]Sch C'!D70</f>
        <v>0</v>
      </c>
      <c r="D77" s="558">
        <f>'[50]Sch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'[50]Sch C'!D71</f>
        <v>0</v>
      </c>
      <c r="D78" s="558">
        <f>'[50]Sch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61047</v>
      </c>
      <c r="D79" s="558">
        <f>SUM(D64:D78)</f>
        <v>0</v>
      </c>
      <c r="E79" s="171">
        <f t="shared" ref="E79:F79" si="13">SUM(E64:E78)</f>
        <v>61047</v>
      </c>
      <c r="F79" s="171">
        <f t="shared" si="13"/>
        <v>92799</v>
      </c>
      <c r="G79" s="171">
        <f>SUM(G64:G78)</f>
        <v>153846</v>
      </c>
      <c r="H79" s="172">
        <f t="shared" si="11"/>
        <v>7.9379764006107009E-2</v>
      </c>
      <c r="I79" s="336"/>
      <c r="J79" s="195"/>
      <c r="K79" s="168"/>
      <c r="M79" s="359">
        <f t="shared" si="12"/>
        <v>12.505771419281418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'[50]Sch C'!D75</f>
        <v>298</v>
      </c>
      <c r="D82" s="558">
        <f>'[50]Sch C'!F75</f>
        <v>0</v>
      </c>
      <c r="E82" s="171">
        <f t="shared" ref="E82:E92" si="14">C82+D82</f>
        <v>298</v>
      </c>
      <c r="F82" s="171">
        <v>7511</v>
      </c>
      <c r="G82" s="171">
        <f t="shared" ref="G82:G92" si="15">E82+F82</f>
        <v>7809</v>
      </c>
      <c r="H82" s="172">
        <f t="shared" ref="H82:H93" si="16">IF($G$208=0,0,G82/$G$208)</f>
        <v>4.0292017805057629E-3</v>
      </c>
      <c r="I82" s="336"/>
      <c r="J82" s="183">
        <f>36.38+378</f>
        <v>414.38</v>
      </c>
      <c r="K82" s="183">
        <f>36.38+393</f>
        <v>429.38</v>
      </c>
      <c r="M82" s="359">
        <f t="shared" ref="M82:M92" si="17">G82/G$228</f>
        <v>0.63477483336042917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'[50]Sch C'!D76</f>
        <v>29</v>
      </c>
      <c r="D83" s="558">
        <f>'[50]Sch C'!F76</f>
        <v>0</v>
      </c>
      <c r="E83" s="171">
        <f t="shared" si="14"/>
        <v>29</v>
      </c>
      <c r="F83" s="171">
        <v>987</v>
      </c>
      <c r="G83" s="171">
        <f t="shared" si="15"/>
        <v>1016</v>
      </c>
      <c r="H83" s="172">
        <f t="shared" si="16"/>
        <v>5.2422448572081643E-4</v>
      </c>
      <c r="I83" s="336"/>
      <c r="J83" s="168"/>
      <c r="K83" s="168"/>
      <c r="M83" s="359">
        <f t="shared" si="17"/>
        <v>8.2588197041131517E-2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'[50]Sch C'!D77</f>
        <v>2371</v>
      </c>
      <c r="D84" s="558">
        <f>'[50]Sch C'!F77</f>
        <v>0</v>
      </c>
      <c r="E84" s="171">
        <f t="shared" si="14"/>
        <v>2371</v>
      </c>
      <c r="F84" s="171">
        <v>2320</v>
      </c>
      <c r="G84" s="171">
        <f t="shared" si="15"/>
        <v>4691</v>
      </c>
      <c r="H84" s="172">
        <f t="shared" si="16"/>
        <v>2.4204104946027065E-3</v>
      </c>
      <c r="I84" s="336"/>
      <c r="J84" s="168"/>
      <c r="K84" s="168"/>
      <c r="M84" s="359">
        <f t="shared" si="17"/>
        <v>0.38132011055112991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'[50]Sch C'!D78</f>
        <v>2718</v>
      </c>
      <c r="D85" s="558">
        <f>'[50]Sch C'!F78</f>
        <v>0</v>
      </c>
      <c r="E85" s="171">
        <f t="shared" si="14"/>
        <v>2718</v>
      </c>
      <c r="F85" s="171">
        <v>5297</v>
      </c>
      <c r="G85" s="171">
        <f t="shared" si="15"/>
        <v>8015</v>
      </c>
      <c r="H85" s="172">
        <f t="shared" si="16"/>
        <v>4.1354913907995505E-3</v>
      </c>
      <c r="I85" s="336"/>
      <c r="J85" s="168"/>
      <c r="K85" s="168"/>
      <c r="M85" s="359">
        <f t="shared" si="17"/>
        <v>0.65152007803609169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'[50]Sch C'!D79</f>
        <v>0</v>
      </c>
      <c r="D86" s="558">
        <f>'[50]Sch C'!F79</f>
        <v>0</v>
      </c>
      <c r="E86" s="171">
        <f t="shared" si="14"/>
        <v>0</v>
      </c>
      <c r="F86" s="171">
        <v>0</v>
      </c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'[50]Sch C'!D80</f>
        <v>5793</v>
      </c>
      <c r="D87" s="558">
        <f>'[50]Sch C'!F80</f>
        <v>0</v>
      </c>
      <c r="E87" s="171">
        <f t="shared" si="14"/>
        <v>5793</v>
      </c>
      <c r="F87" s="171">
        <v>6013</v>
      </c>
      <c r="G87" s="171">
        <f t="shared" si="15"/>
        <v>11806</v>
      </c>
      <c r="H87" s="172">
        <f t="shared" si="16"/>
        <v>6.0915298015944471E-3</v>
      </c>
      <c r="I87" s="336"/>
      <c r="J87" s="168"/>
      <c r="K87" s="168"/>
      <c r="M87" s="359">
        <f t="shared" si="17"/>
        <v>0.95968135262558929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'[50]Sch C'!D81</f>
        <v>24333</v>
      </c>
      <c r="D88" s="558">
        <f>'[50]Sch C'!F81</f>
        <v>-24333</v>
      </c>
      <c r="E88" s="171">
        <f t="shared" si="14"/>
        <v>0</v>
      </c>
      <c r="F88" s="171">
        <v>0</v>
      </c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'[50]Sch C'!D82</f>
        <v>643</v>
      </c>
      <c r="D89" s="558">
        <f>'[50]Sch C'!F82</f>
        <v>0</v>
      </c>
      <c r="E89" s="171">
        <f t="shared" si="14"/>
        <v>643</v>
      </c>
      <c r="F89" s="171">
        <v>121</v>
      </c>
      <c r="G89" s="171">
        <f t="shared" si="15"/>
        <v>764</v>
      </c>
      <c r="H89" s="172">
        <f t="shared" si="16"/>
        <v>3.9420030225462968E-4</v>
      </c>
      <c r="I89" s="336"/>
      <c r="J89" s="168"/>
      <c r="K89" s="168"/>
      <c r="M89" s="359">
        <f t="shared" si="17"/>
        <v>6.2103722971874491E-2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'[50]Sch C'!D83</f>
        <v>0</v>
      </c>
      <c r="D90" s="558">
        <f>'[50]Sch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'[50]Sch C'!D84</f>
        <v>9272</v>
      </c>
      <c r="D91" s="558">
        <f>'[50]Sch C'!F84</f>
        <v>0</v>
      </c>
      <c r="E91" s="171">
        <f t="shared" si="14"/>
        <v>9272</v>
      </c>
      <c r="F91" s="171">
        <v>17069</v>
      </c>
      <c r="G91" s="171">
        <f t="shared" si="15"/>
        <v>26341</v>
      </c>
      <c r="H91" s="172">
        <f t="shared" si="16"/>
        <v>1.3591138955090575E-2</v>
      </c>
      <c r="I91" s="336"/>
      <c r="J91" s="168"/>
      <c r="K91" s="168"/>
      <c r="M91" s="359">
        <f t="shared" si="17"/>
        <v>2.1411965534059503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'[50]Sch C'!D85</f>
        <v>700</v>
      </c>
      <c r="D92" s="558">
        <f>'[50]Sch C'!F85</f>
        <v>0</v>
      </c>
      <c r="E92" s="171">
        <f t="shared" si="14"/>
        <v>700</v>
      </c>
      <c r="F92" s="171">
        <v>703</v>
      </c>
      <c r="G92" s="171">
        <f t="shared" si="15"/>
        <v>1403</v>
      </c>
      <c r="H92" s="172">
        <f t="shared" si="16"/>
        <v>7.2390448175817463E-4</v>
      </c>
      <c r="I92" s="336"/>
      <c r="J92" s="168"/>
      <c r="K92" s="168"/>
      <c r="M92" s="359">
        <f t="shared" si="17"/>
        <v>0.11404649650463339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46157</v>
      </c>
      <c r="D93" s="558">
        <f>SUM(D82:D92)</f>
        <v>-24333</v>
      </c>
      <c r="E93" s="171">
        <f t="shared" ref="E93:F93" si="18">SUM(E82:E92)</f>
        <v>21824</v>
      </c>
      <c r="F93" s="171">
        <f t="shared" si="18"/>
        <v>40021</v>
      </c>
      <c r="G93" s="171">
        <f>SUM(G82:G92)</f>
        <v>61845</v>
      </c>
      <c r="H93" s="172">
        <f t="shared" si="16"/>
        <v>3.1910101692326664E-2</v>
      </c>
      <c r="I93" s="336"/>
      <c r="J93" s="168"/>
      <c r="K93" s="168"/>
      <c r="M93" s="364">
        <f>G93/G$228</f>
        <v>5.0272313444968297</v>
      </c>
      <c r="N93" s="359">
        <f>SUMMARY!J96</f>
        <v>11.458724454710746</v>
      </c>
      <c r="O93" s="354">
        <f>M93/N93-1</f>
        <v>-0.5612747854818948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'[50]Sch C'!D89</f>
        <v>41067</v>
      </c>
      <c r="D96" s="558">
        <f>'[50]Sch C'!F89</f>
        <v>0</v>
      </c>
      <c r="E96" s="171">
        <f t="shared" ref="E96:E101" si="19">C96+D96</f>
        <v>41067</v>
      </c>
      <c r="F96" s="171">
        <v>79387</v>
      </c>
      <c r="G96" s="171">
        <f t="shared" ref="G96:G101" si="20">E96+F96</f>
        <v>120454</v>
      </c>
      <c r="H96" s="172">
        <f t="shared" ref="H96:H102" si="21">IF($G$208=0,0,G96/$G$208)</f>
        <v>6.2150527758873246E-2</v>
      </c>
      <c r="I96" s="336"/>
      <c r="J96" s="183">
        <f>1872.92+3992</f>
        <v>5864.92</v>
      </c>
      <c r="K96" s="183">
        <f>1872.92+3992</f>
        <v>5864.92</v>
      </c>
      <c r="M96" s="364">
        <f t="shared" ref="M96:M101" si="22">G96/G$228</f>
        <v>9.7914160299138349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'[50]Sch C'!D90</f>
        <v>3860</v>
      </c>
      <c r="D97" s="558">
        <f>'[50]Sch C'!F90</f>
        <v>0</v>
      </c>
      <c r="E97" s="171">
        <f t="shared" si="19"/>
        <v>3860</v>
      </c>
      <c r="F97" s="171">
        <v>12649</v>
      </c>
      <c r="G97" s="171">
        <f t="shared" si="20"/>
        <v>16509</v>
      </c>
      <c r="H97" s="172">
        <f t="shared" si="21"/>
        <v>8.5181319239812578E-3</v>
      </c>
      <c r="I97" s="336"/>
      <c r="J97" s="168"/>
      <c r="K97" s="168"/>
      <c r="M97" s="364">
        <f t="shared" si="22"/>
        <v>1.3419769143228744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'[50]Sch C'!D91</f>
        <v>4998</v>
      </c>
      <c r="D98" s="558">
        <f>'[50]Sch C'!F91</f>
        <v>0</v>
      </c>
      <c r="E98" s="171">
        <f t="shared" si="19"/>
        <v>4998</v>
      </c>
      <c r="F98" s="171">
        <v>5156</v>
      </c>
      <c r="G98" s="171">
        <f t="shared" si="20"/>
        <v>10154</v>
      </c>
      <c r="H98" s="172">
        <f t="shared" si="21"/>
        <v>5.2391490433161122E-3</v>
      </c>
      <c r="I98" s="336"/>
      <c r="J98" s="168"/>
      <c r="K98" s="168"/>
      <c r="M98" s="364">
        <f t="shared" si="22"/>
        <v>0.82539424483823765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'[50]Sch C'!D92</f>
        <v>20954</v>
      </c>
      <c r="D99" s="558">
        <f>'[50]Sch C'!F92</f>
        <v>0</v>
      </c>
      <c r="E99" s="171">
        <f t="shared" si="19"/>
        <v>20954</v>
      </c>
      <c r="F99" s="171">
        <v>43366</v>
      </c>
      <c r="G99" s="171">
        <f t="shared" si="20"/>
        <v>64320</v>
      </c>
      <c r="H99" s="172">
        <f t="shared" si="21"/>
        <v>3.3187124922798142E-2</v>
      </c>
      <c r="I99" s="336"/>
      <c r="J99" s="168"/>
      <c r="K99" s="168"/>
      <c r="M99" s="364">
        <f t="shared" si="22"/>
        <v>5.2284181433913188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'[50]Sch C'!D93</f>
        <v>5515</v>
      </c>
      <c r="D100" s="558">
        <f>'[50]Sch C'!F93</f>
        <v>0</v>
      </c>
      <c r="E100" s="171">
        <f t="shared" si="19"/>
        <v>5515</v>
      </c>
      <c r="F100" s="171">
        <v>9158</v>
      </c>
      <c r="G100" s="171">
        <f t="shared" si="20"/>
        <v>14673</v>
      </c>
      <c r="H100" s="172">
        <f t="shared" si="21"/>
        <v>7.5708128730133262E-3</v>
      </c>
      <c r="I100" s="336"/>
      <c r="J100" s="168"/>
      <c r="K100" s="168"/>
      <c r="M100" s="364">
        <f t="shared" si="22"/>
        <v>1.1927328889611446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'[50]Sch C'!D94</f>
        <v>0</v>
      </c>
      <c r="D101" s="558">
        <f>'[50]Sch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76394</v>
      </c>
      <c r="D102" s="558">
        <f>SUM(D96:D101)</f>
        <v>0</v>
      </c>
      <c r="E102" s="171">
        <f t="shared" ref="E102:F102" si="23">SUM(E96:E101)</f>
        <v>76394</v>
      </c>
      <c r="F102" s="171">
        <f t="shared" si="23"/>
        <v>149716</v>
      </c>
      <c r="G102" s="171">
        <f>SUM(G96:G101)</f>
        <v>226110</v>
      </c>
      <c r="H102" s="172">
        <f t="shared" si="21"/>
        <v>0.11666574652198208</v>
      </c>
      <c r="I102" s="336"/>
      <c r="J102" s="168"/>
      <c r="K102" s="168"/>
      <c r="M102" s="364">
        <f>G102/G$228</f>
        <v>18.379938221427409</v>
      </c>
      <c r="N102" s="359">
        <f>SUMMARY!J105</f>
        <v>19.901077037785338</v>
      </c>
      <c r="O102" s="354">
        <f>M102/N102-1</f>
        <v>-7.6434999646994295E-2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'[50]Sch C'!D98</f>
        <v>2982</v>
      </c>
      <c r="D105" s="558">
        <f>'[50]Sch C'!F98</f>
        <v>0</v>
      </c>
      <c r="E105" s="171">
        <f t="shared" ref="E105:E110" si="24">C105+D105</f>
        <v>2982</v>
      </c>
      <c r="F105" s="171">
        <v>17487</v>
      </c>
      <c r="G105" s="171">
        <f t="shared" ref="G105:G110" si="25">E105+F105</f>
        <v>20469</v>
      </c>
      <c r="H105" s="172">
        <f t="shared" ref="H105:H111" si="26">IF($G$208=0,0,G105/$G$208)</f>
        <v>1.0561369092735621E-2</v>
      </c>
      <c r="I105" s="336"/>
      <c r="J105" s="183">
        <f>272.6+1683</f>
        <v>1955.6</v>
      </c>
      <c r="K105" s="183">
        <f>272.6+1683</f>
        <v>1955.6</v>
      </c>
      <c r="M105" s="364">
        <f t="shared" ref="M105:M110" si="27">G105/G$228</f>
        <v>1.6638757925540562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'[50]Sch C'!D99</f>
        <v>294</v>
      </c>
      <c r="D106" s="558">
        <f>'[50]Sch C'!F99</f>
        <v>0</v>
      </c>
      <c r="E106" s="171">
        <f t="shared" si="24"/>
        <v>294</v>
      </c>
      <c r="F106" s="171">
        <v>2859</v>
      </c>
      <c r="G106" s="171">
        <f t="shared" si="25"/>
        <v>3153</v>
      </c>
      <c r="H106" s="172">
        <f t="shared" si="26"/>
        <v>1.6268502002733604E-3</v>
      </c>
      <c r="I106" s="336"/>
      <c r="J106" s="168"/>
      <c r="K106" s="168"/>
      <c r="M106" s="364">
        <f t="shared" si="27"/>
        <v>0.25629978865225167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'[50]Sch C'!D100</f>
        <v>2025</v>
      </c>
      <c r="D107" s="558">
        <f>'[50]Sch C'!F100</f>
        <v>0</v>
      </c>
      <c r="E107" s="171">
        <f t="shared" si="24"/>
        <v>2025</v>
      </c>
      <c r="F107" s="171">
        <v>7535</v>
      </c>
      <c r="G107" s="171">
        <f t="shared" si="25"/>
        <v>9560</v>
      </c>
      <c r="H107" s="172">
        <f t="shared" si="26"/>
        <v>4.9326634680029579E-3</v>
      </c>
      <c r="I107" s="336"/>
      <c r="J107" s="168"/>
      <c r="K107" s="168"/>
      <c r="M107" s="364">
        <f t="shared" si="27"/>
        <v>0.77710941310356041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'[50]Sch C'!D101</f>
        <v>0</v>
      </c>
      <c r="D108" s="558">
        <f>'[50]Sch C'!F101</f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'[50]Sch C'!D102</f>
        <v>0</v>
      </c>
      <c r="D109" s="558">
        <f>'[50]Sch C'!F102</f>
        <v>0</v>
      </c>
      <c r="E109" s="171">
        <f t="shared" si="24"/>
        <v>0</v>
      </c>
      <c r="F109" s="171">
        <v>0</v>
      </c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'[50]Sch C'!D103</f>
        <v>469</v>
      </c>
      <c r="D110" s="558">
        <f>'[50]Sch C'!F103</f>
        <v>0</v>
      </c>
      <c r="E110" s="171">
        <f t="shared" si="24"/>
        <v>469</v>
      </c>
      <c r="F110" s="171">
        <v>805</v>
      </c>
      <c r="G110" s="171">
        <f t="shared" si="25"/>
        <v>1274</v>
      </c>
      <c r="H110" s="172">
        <f t="shared" si="26"/>
        <v>6.5734448307905519E-4</v>
      </c>
      <c r="I110" s="336"/>
      <c r="J110" s="168"/>
      <c r="K110" s="168"/>
      <c r="M110" s="364">
        <f t="shared" si="27"/>
        <v>0.1035603966834661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5770</v>
      </c>
      <c r="D111" s="558">
        <f>SUM(D105:D110)</f>
        <v>0</v>
      </c>
      <c r="E111" s="171">
        <f t="shared" ref="E111:F111" si="28">SUM(E105:E110)</f>
        <v>5770</v>
      </c>
      <c r="F111" s="171">
        <f t="shared" si="28"/>
        <v>28686</v>
      </c>
      <c r="G111" s="171">
        <f>SUM(G105:G110)</f>
        <v>34456</v>
      </c>
      <c r="H111" s="172">
        <f t="shared" si="26"/>
        <v>1.7778227244090995E-2</v>
      </c>
      <c r="I111" s="336"/>
      <c r="J111" s="168"/>
      <c r="K111" s="168"/>
      <c r="M111" s="364">
        <f>G111/G$228</f>
        <v>2.8008453909933344</v>
      </c>
      <c r="N111" s="359">
        <f>SUMMARY!J114</f>
        <v>2.4242384372309496</v>
      </c>
      <c r="O111" s="354">
        <f>M111/N111-1</f>
        <v>0.15535062392318078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'[50]Sch C'!D115</f>
        <v>13471</v>
      </c>
      <c r="D114" s="558">
        <f>'[50]Sch C'!F115</f>
        <v>0</v>
      </c>
      <c r="E114" s="171">
        <f t="shared" ref="E114:E118" si="29">C114+D114</f>
        <v>13471</v>
      </c>
      <c r="F114" s="171">
        <v>25319</v>
      </c>
      <c r="G114" s="171">
        <f>E114+F114</f>
        <v>38790</v>
      </c>
      <c r="H114" s="172">
        <f t="shared" ref="H114:H119" si="30">IF($G$208=0,0,G114/$G$208)</f>
        <v>2.0014436812116603E-2</v>
      </c>
      <c r="I114" s="336"/>
      <c r="J114" s="183">
        <f>1258.08+2776</f>
        <v>4034.08</v>
      </c>
      <c r="K114" s="183">
        <f>1258.08+2776</f>
        <v>4034.08</v>
      </c>
      <c r="M114" s="364">
        <f t="shared" ref="M114:M119" si="31">G114/G$228</f>
        <v>3.1531458299463502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'[50]Sch C'!D116</f>
        <v>1279</v>
      </c>
      <c r="D115" s="558">
        <f>'[50]Sch C'!F116</f>
        <v>0</v>
      </c>
      <c r="E115" s="171">
        <f t="shared" si="29"/>
        <v>1279</v>
      </c>
      <c r="F115" s="171">
        <v>4148</v>
      </c>
      <c r="G115" s="171">
        <f>E115+F115</f>
        <v>5427</v>
      </c>
      <c r="H115" s="172">
        <f t="shared" si="30"/>
        <v>2.8001636653610931E-3</v>
      </c>
      <c r="I115" s="336"/>
      <c r="J115" s="168"/>
      <c r="K115" s="168"/>
      <c r="M115" s="364">
        <f t="shared" si="31"/>
        <v>0.44114778084864248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'[50]Sch C'!D117</f>
        <v>2219</v>
      </c>
      <c r="D116" s="558">
        <f>'[50]Sch C'!F117</f>
        <v>0</v>
      </c>
      <c r="E116" s="171">
        <f t="shared" si="29"/>
        <v>2219</v>
      </c>
      <c r="F116" s="171">
        <v>4328</v>
      </c>
      <c r="G116" s="171">
        <f>E116+F116</f>
        <v>6547</v>
      </c>
      <c r="H116" s="172">
        <f t="shared" si="30"/>
        <v>3.3780489252108119E-3</v>
      </c>
      <c r="I116" s="336"/>
      <c r="J116" s="168"/>
      <c r="K116" s="168"/>
      <c r="M116" s="364">
        <f t="shared" si="31"/>
        <v>0.53218988782311816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'[50]Sch C'!D118</f>
        <v>280</v>
      </c>
      <c r="D117" s="558">
        <f>'[50]Sch C'!F118</f>
        <v>0</v>
      </c>
      <c r="E117" s="171">
        <f t="shared" si="29"/>
        <v>280</v>
      </c>
      <c r="F117" s="171">
        <v>570</v>
      </c>
      <c r="G117" s="171">
        <f>E117+F117</f>
        <v>850</v>
      </c>
      <c r="H117" s="172">
        <f t="shared" si="30"/>
        <v>4.3857363470737595E-4</v>
      </c>
      <c r="I117" s="336"/>
      <c r="J117" s="168"/>
      <c r="K117" s="168"/>
      <c r="M117" s="364">
        <f t="shared" si="31"/>
        <v>6.9094456185986017E-2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'[50]Sch C'!D119</f>
        <v>0</v>
      </c>
      <c r="D118" s="558">
        <f>'[50]Sch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17249</v>
      </c>
      <c r="D119" s="558">
        <f>SUM(D114:D118)</f>
        <v>0</v>
      </c>
      <c r="E119" s="171">
        <f t="shared" ref="E119:F119" si="32">SUM(E114:E118)</f>
        <v>17249</v>
      </c>
      <c r="F119" s="171">
        <f t="shared" si="32"/>
        <v>34365</v>
      </c>
      <c r="G119" s="171">
        <f>SUM(G114:G118)</f>
        <v>51614</v>
      </c>
      <c r="H119" s="172">
        <f t="shared" si="30"/>
        <v>2.6631223037395884E-2</v>
      </c>
      <c r="I119" s="336"/>
      <c r="J119" s="168"/>
      <c r="K119" s="168"/>
      <c r="M119" s="364">
        <f t="shared" si="31"/>
        <v>4.1955779548040972</v>
      </c>
      <c r="N119" s="359">
        <f>SUMMARY!J122</f>
        <v>6.0247597205909562</v>
      </c>
      <c r="O119" s="354">
        <f>M119/N119-1</f>
        <v>-0.30361074144338462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'[50]Sch C'!D124</f>
        <v>0</v>
      </c>
      <c r="D123" s="558">
        <f>'[50]Sch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'[50]Sch C'!D125</f>
        <v>22188</v>
      </c>
      <c r="D124" s="558">
        <f>'[50]Sch C'!F125</f>
        <v>0</v>
      </c>
      <c r="E124" s="171">
        <f t="shared" si="33"/>
        <v>22188</v>
      </c>
      <c r="F124" s="171">
        <v>49553</v>
      </c>
      <c r="G124" s="171">
        <f>E124+F124</f>
        <v>71741</v>
      </c>
      <c r="H124" s="172">
        <f>IF($G$208=0,0,G124/$G$208)</f>
        <v>3.7016130738284539E-2</v>
      </c>
      <c r="I124" s="336"/>
      <c r="J124" s="183">
        <f>693.36+1259</f>
        <v>1952.3600000000001</v>
      </c>
      <c r="K124" s="183">
        <f>693.36+1387</f>
        <v>2080.36</v>
      </c>
      <c r="M124" s="364">
        <f t="shared" si="34"/>
        <v>5.8316533896927325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'[50]Sch C'!D126</f>
        <v>0</v>
      </c>
      <c r="D125" s="558">
        <f>'[50]Sch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'[50]Sch C'!D127</f>
        <v>0</v>
      </c>
      <c r="D126" s="558">
        <f>'[50]Sch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'[50]Sch C'!D128</f>
        <v>0</v>
      </c>
      <c r="D127" s="558">
        <f>'[50]Sch C'!F128</f>
        <v>0</v>
      </c>
      <c r="E127" s="171">
        <f t="shared" si="33"/>
        <v>0</v>
      </c>
      <c r="F127" s="171">
        <v>0</v>
      </c>
      <c r="G127" s="171">
        <f>E127+F127</f>
        <v>0</v>
      </c>
      <c r="H127" s="172">
        <f>IF($G$208=0,0,G127/$G$208)</f>
        <v>0</v>
      </c>
      <c r="I127" s="336"/>
      <c r="J127" s="183">
        <v>0</v>
      </c>
      <c r="K127" s="183">
        <v>0</v>
      </c>
      <c r="M127" s="364">
        <f t="shared" si="34"/>
        <v>0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'[50]Sch C'!D130</f>
        <v>0</v>
      </c>
      <c r="D129" s="558">
        <f>'[50]Sch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'[50]Sch C'!D131</f>
        <v>0</v>
      </c>
      <c r="D130" s="558">
        <f>'[50]Sch C'!F131</f>
        <v>1889</v>
      </c>
      <c r="E130" s="171">
        <f t="shared" si="35"/>
        <v>1889</v>
      </c>
      <c r="F130" s="171">
        <v>7389</v>
      </c>
      <c r="G130" s="171">
        <f>E130+F130</f>
        <v>9278</v>
      </c>
      <c r="H130" s="172">
        <f>IF($G$208=0,0,G130/$G$208)</f>
        <v>4.7871602150765108E-3</v>
      </c>
      <c r="I130" s="336"/>
      <c r="J130" s="204"/>
      <c r="K130" s="204"/>
      <c r="M130" s="364">
        <f t="shared" si="34"/>
        <v>0.75418631116891566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'[50]Sch C'!D132</f>
        <v>0</v>
      </c>
      <c r="D131" s="558">
        <f>'[50]Sch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'[50]Sch C'!D133</f>
        <v>0</v>
      </c>
      <c r="D132" s="558">
        <f>'[50]Sch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'[50]Sch C'!D134</f>
        <v>0</v>
      </c>
      <c r="D133" s="558">
        <f>'[50]Sch C'!F134</f>
        <v>0</v>
      </c>
      <c r="E133" s="171">
        <f t="shared" si="35"/>
        <v>0</v>
      </c>
      <c r="F133" s="171">
        <v>0</v>
      </c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'[50]Sch C'!D136</f>
        <v>12530</v>
      </c>
      <c r="D135" s="558">
        <f>'[50]Sch C'!F136</f>
        <v>1384</v>
      </c>
      <c r="E135" s="171">
        <f t="shared" ref="E135:E138" si="36">C135+D135</f>
        <v>13914</v>
      </c>
      <c r="F135" s="171">
        <v>43356</v>
      </c>
      <c r="G135" s="171">
        <f>E135+F135</f>
        <v>57270</v>
      </c>
      <c r="H135" s="172">
        <f>IF($G$208=0,0,G135/$G$208)</f>
        <v>2.9549543599636963E-2</v>
      </c>
      <c r="I135" s="336"/>
      <c r="J135" s="183">
        <f>500.87+1727</f>
        <v>2227.87</v>
      </c>
      <c r="K135" s="183">
        <f>500.87+1727</f>
        <v>2227.87</v>
      </c>
      <c r="M135" s="364">
        <f t="shared" si="34"/>
        <v>4.6553405950251996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'[50]Sch C'!D137</f>
        <v>62230</v>
      </c>
      <c r="D136" s="558">
        <f>'[50]Sch C'!F137</f>
        <v>-1384</v>
      </c>
      <c r="E136" s="171">
        <f t="shared" si="36"/>
        <v>60846</v>
      </c>
      <c r="F136" s="171">
        <v>98209</v>
      </c>
      <c r="G136" s="171">
        <f>E136+F136</f>
        <v>159055</v>
      </c>
      <c r="H136" s="172">
        <f>IF($G$208=0,0,G136/$G$208)</f>
        <v>8.2067446433390215E-2</v>
      </c>
      <c r="I136" s="336"/>
      <c r="J136" s="183">
        <f>2714.43+4533</f>
        <v>7247.43</v>
      </c>
      <c r="K136" s="183">
        <f>2714.43+4533</f>
        <v>7247.43</v>
      </c>
      <c r="M136" s="364">
        <f t="shared" si="34"/>
        <v>12.929198504308243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'[50]Sch C'!D138</f>
        <v>89532</v>
      </c>
      <c r="D137" s="558">
        <f>'[50]Sch C'!F138</f>
        <v>0</v>
      </c>
      <c r="E137" s="171">
        <f t="shared" si="36"/>
        <v>89532</v>
      </c>
      <c r="F137" s="171">
        <v>188559</v>
      </c>
      <c r="G137" s="171">
        <f>E137+F137</f>
        <v>278091</v>
      </c>
      <c r="H137" s="172">
        <f>IF($G$208=0,0,G137/$G$208)</f>
        <v>0.14348633017577514</v>
      </c>
      <c r="I137" s="336"/>
      <c r="J137" s="183">
        <f>8306.6+17087</f>
        <v>25393.599999999999</v>
      </c>
      <c r="K137" s="183">
        <f>8306.6+17087</f>
        <v>25393.599999999999</v>
      </c>
      <c r="M137" s="364">
        <f t="shared" si="34"/>
        <v>22.605348723784751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'[50]Sch C'!D139</f>
        <v>0</v>
      </c>
      <c r="D138" s="558">
        <f>'[50]Sch C'!F139</f>
        <v>0</v>
      </c>
      <c r="E138" s="171">
        <f t="shared" si="36"/>
        <v>0</v>
      </c>
      <c r="F138" s="171">
        <v>0</v>
      </c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'[50]Sch C'!D141</f>
        <v>0</v>
      </c>
      <c r="D140" s="558">
        <f>'[50]Sch C'!F141</f>
        <v>0</v>
      </c>
      <c r="E140" s="171">
        <f t="shared" ref="E140:E143" si="37">C140+D140</f>
        <v>0</v>
      </c>
      <c r="F140" s="171">
        <v>8424</v>
      </c>
      <c r="G140" s="563">
        <f>E140+F140+1067</f>
        <v>9491</v>
      </c>
      <c r="H140" s="172">
        <f>IF($G$208=0,0,G140/$G$208)</f>
        <v>4.8970616082443588E-3</v>
      </c>
      <c r="I140" s="167" t="s">
        <v>420</v>
      </c>
      <c r="J140" s="513" t="s">
        <v>647</v>
      </c>
      <c r="K140" s="168"/>
      <c r="M140" s="364">
        <f t="shared" si="34"/>
        <v>0.77150056901316855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'[50]Sch C'!D142</f>
        <v>8255</v>
      </c>
      <c r="D141" s="558">
        <f>'[50]Sch C'!F142</f>
        <v>1067</v>
      </c>
      <c r="E141" s="171">
        <f t="shared" si="37"/>
        <v>9322</v>
      </c>
      <c r="F141" s="171">
        <v>15033</v>
      </c>
      <c r="G141" s="563">
        <f>E141+F141-2956</f>
        <v>21399</v>
      </c>
      <c r="H141" s="172">
        <f>IF($G$208=0,0,G141/$G$208)</f>
        <v>1.1041220246003691E-2</v>
      </c>
      <c r="I141" s="167" t="s">
        <v>420</v>
      </c>
      <c r="J141" s="513" t="s">
        <v>648</v>
      </c>
      <c r="K141" s="168"/>
      <c r="M141" s="364">
        <f t="shared" si="34"/>
        <v>1.7394732563810762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'[50]Sch C'!D143</f>
        <v>8413</v>
      </c>
      <c r="D142" s="558">
        <f>'[50]Sch C'!F143</f>
        <v>-2956</v>
      </c>
      <c r="E142" s="171">
        <f t="shared" si="37"/>
        <v>5457</v>
      </c>
      <c r="F142" s="171">
        <v>30433</v>
      </c>
      <c r="G142" s="563">
        <f>E142+F142+2956</f>
        <v>38846</v>
      </c>
      <c r="H142" s="172">
        <f>IF($G$208=0,0,G142/$G$208)</f>
        <v>2.004333107510909E-2</v>
      </c>
      <c r="I142" s="167" t="s">
        <v>420</v>
      </c>
      <c r="J142" s="513" t="s">
        <v>649</v>
      </c>
      <c r="K142" s="168"/>
      <c r="M142" s="364">
        <f t="shared" si="34"/>
        <v>3.157697935295074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'[50]Sch C'!D144</f>
        <v>0</v>
      </c>
      <c r="D143" s="558">
        <f>'[50]Sch C'!F144</f>
        <v>0</v>
      </c>
      <c r="E143" s="171">
        <f t="shared" si="37"/>
        <v>0</v>
      </c>
      <c r="F143" s="171">
        <v>0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'[50]Sch C'!D146</f>
        <v>4000</v>
      </c>
      <c r="D145" s="558">
        <f>'[50]Sch C'!F146</f>
        <v>0</v>
      </c>
      <c r="E145" s="171">
        <f t="shared" ref="E145:E153" si="38">C145+D145</f>
        <v>4000</v>
      </c>
      <c r="F145" s="171">
        <v>8000</v>
      </c>
      <c r="G145" s="171">
        <f t="shared" ref="G145:G153" si="39">E145+F145</f>
        <v>12000</v>
      </c>
      <c r="H145" s="172">
        <f t="shared" ref="H145:H153" si="40">IF($G$208=0,0,G145/$G$208)</f>
        <v>6.1916277841041305E-3</v>
      </c>
      <c r="I145" s="336"/>
      <c r="J145" s="183">
        <f>135+64</f>
        <v>199</v>
      </c>
      <c r="K145" s="183">
        <f>135+64</f>
        <v>199</v>
      </c>
      <c r="M145" s="364">
        <f t="shared" si="34"/>
        <v>0.97545114615509676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'[50]Sch C'!D147</f>
        <v>0</v>
      </c>
      <c r="D146" s="558">
        <f>'[50]Sch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'[50]Sch C'!D148</f>
        <v>0</v>
      </c>
      <c r="D147" s="558">
        <f>'[50]Sch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'[50]Sch C'!D149</f>
        <v>0</v>
      </c>
      <c r="D148" s="558">
        <f>'[50]Sch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'[50]Sch C'!D150</f>
        <v>805</v>
      </c>
      <c r="D149" s="558">
        <f>'[50]Sch C'!F150</f>
        <v>0</v>
      </c>
      <c r="E149" s="171">
        <f t="shared" si="38"/>
        <v>805</v>
      </c>
      <c r="F149" s="171">
        <v>1893</v>
      </c>
      <c r="G149" s="171">
        <f t="shared" si="39"/>
        <v>2698</v>
      </c>
      <c r="H149" s="172">
        <f t="shared" si="40"/>
        <v>1.3920843134594121E-3</v>
      </c>
      <c r="I149" s="336"/>
      <c r="J149" s="183">
        <v>88.5</v>
      </c>
      <c r="K149" s="183">
        <v>88.5</v>
      </c>
      <c r="M149" s="364">
        <f t="shared" si="34"/>
        <v>0.21931393269387092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'[50]Sch C'!D151</f>
        <v>11123</v>
      </c>
      <c r="D150" s="558">
        <f>'[50]Sch C'!F151</f>
        <v>0</v>
      </c>
      <c r="E150" s="171">
        <f t="shared" si="38"/>
        <v>11123</v>
      </c>
      <c r="F150" s="171">
        <v>23478</v>
      </c>
      <c r="G150" s="171">
        <f t="shared" si="39"/>
        <v>34601</v>
      </c>
      <c r="H150" s="172">
        <f t="shared" si="40"/>
        <v>1.7853042746482254E-2</v>
      </c>
      <c r="I150" s="336"/>
      <c r="J150" s="168"/>
      <c r="K150" s="168"/>
      <c r="M150" s="364">
        <f t="shared" si="34"/>
        <v>2.8126320923427084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'[50]Sch C'!D152</f>
        <v>16</v>
      </c>
      <c r="D151" s="558">
        <f>'[50]Sch C'!F152</f>
        <v>0</v>
      </c>
      <c r="E151" s="171">
        <f t="shared" si="38"/>
        <v>16</v>
      </c>
      <c r="F151" s="171">
        <v>0</v>
      </c>
      <c r="G151" s="171">
        <f t="shared" si="39"/>
        <v>16</v>
      </c>
      <c r="H151" s="172">
        <f t="shared" si="40"/>
        <v>8.2555037121388413E-6</v>
      </c>
      <c r="I151" s="336"/>
      <c r="J151" s="168"/>
      <c r="K151" s="168"/>
      <c r="M151" s="364">
        <f t="shared" si="34"/>
        <v>1.3006015282067955E-3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'[50]Sch C'!D153</f>
        <v>0</v>
      </c>
      <c r="D152" s="558">
        <f>'[50]Sch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'[50]Sch C'!D154</f>
        <v>0</v>
      </c>
      <c r="D153" s="558">
        <f>'[50]Sch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'[50]Sch C'!D156</f>
        <v>0</v>
      </c>
      <c r="D155" s="558">
        <f>'[50]Sch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'[50]Sch C'!D157</f>
        <v>0</v>
      </c>
      <c r="D156" s="558">
        <f>'[50]Sch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'[50]Sch C'!D158</f>
        <v>0</v>
      </c>
      <c r="D157" s="558">
        <f>'[50]Sch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'[50]Sch C'!D159</f>
        <v>0</v>
      </c>
      <c r="D158" s="558">
        <f>'[50]Sch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'[50]Sch C'!D160</f>
        <v>0</v>
      </c>
      <c r="D159" s="558">
        <f>'[50]Sch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'[50]Sch C'!D161</f>
        <v>362</v>
      </c>
      <c r="D160" s="558">
        <f>'[50]Sch C'!F161</f>
        <v>0</v>
      </c>
      <c r="E160" s="171">
        <f t="shared" si="41"/>
        <v>362</v>
      </c>
      <c r="F160" s="171">
        <v>1449</v>
      </c>
      <c r="G160" s="171">
        <f t="shared" si="42"/>
        <v>1811</v>
      </c>
      <c r="H160" s="172">
        <f t="shared" si="43"/>
        <v>9.344198264177151E-4</v>
      </c>
      <c r="I160" s="336"/>
      <c r="J160" s="168"/>
      <c r="K160" s="168"/>
      <c r="M160" s="364">
        <f t="shared" si="34"/>
        <v>0.14721183547390668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219454</v>
      </c>
      <c r="D161" s="558">
        <f>SUM(D123:D160)</f>
        <v>0</v>
      </c>
      <c r="E161" s="171">
        <f t="shared" ref="E161:F161" si="44">SUM(E123:E160)</f>
        <v>219454</v>
      </c>
      <c r="F161" s="171">
        <f t="shared" si="44"/>
        <v>475776</v>
      </c>
      <c r="G161" s="171">
        <f>SUM(G123:G160)</f>
        <v>696297</v>
      </c>
      <c r="H161" s="172">
        <f t="shared" si="43"/>
        <v>0.35926765426569618</v>
      </c>
      <c r="I161" s="336"/>
      <c r="J161" s="168"/>
      <c r="K161" s="168"/>
      <c r="M161" s="364">
        <f>G161/G$228</f>
        <v>56.600308892862948</v>
      </c>
      <c r="N161" s="359">
        <f>SUMMARY!J164</f>
        <v>105.56901037202306</v>
      </c>
      <c r="O161" s="354">
        <f>M161/N161-1</f>
        <v>-0.46385488796944663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'[50]Sch C'!D175</f>
        <v>0</v>
      </c>
      <c r="D164" s="558">
        <f>'[50]Sch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'[50]Sch C'!D176</f>
        <v>0</v>
      </c>
      <c r="D165" s="558">
        <f>'[50]Sch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'[50]Sch C'!D177</f>
        <v>0</v>
      </c>
      <c r="D166" s="558">
        <f>'[50]Sch C'!F177</f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'[50]Sch C'!D178</f>
        <v>0</v>
      </c>
      <c r="D167" s="558">
        <f>'[50]Sch C'!F178</f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'[50]Sch C'!D179</f>
        <v>0</v>
      </c>
      <c r="D168" s="558">
        <f>'[50]Sch C'!F179</f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'[50]Sch C'!D180</f>
        <v>0</v>
      </c>
      <c r="D169" s="558">
        <f>'[50]Sch C'!F180</f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'[50]Sch C'!D181</f>
        <v>0</v>
      </c>
      <c r="D170" s="558">
        <f>'[50]Sch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'[50]Sch C'!D182</f>
        <v>0</v>
      </c>
      <c r="D171" s="558">
        <f>'[50]Sch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'[50]Sch C'!D183</f>
        <v>0</v>
      </c>
      <c r="D172" s="558">
        <f>'[50]Sch C'!F183</f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'[50]Sch C'!D184</f>
        <v>0</v>
      </c>
      <c r="D173" s="558">
        <f>'[50]Sch C'!F184</f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'[50]Sch C'!D185</f>
        <v>0</v>
      </c>
      <c r="D174" s="558">
        <f>'[50]Sch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'[50]Sch C'!D186</f>
        <v>0</v>
      </c>
      <c r="D175" s="558">
        <f>'[50]Sch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'[50]Sch C'!D187</f>
        <v>0</v>
      </c>
      <c r="D176" s="558">
        <f>'[50]Sch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'[50]Sch C'!D188</f>
        <v>0</v>
      </c>
      <c r="D177" s="558">
        <f>'[50]Sch C'!F188</f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'[50]Sch C'!D189</f>
        <v>0</v>
      </c>
      <c r="D178" s="558">
        <f>'[50]Sch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'[50]Sch C'!D190</f>
        <v>0</v>
      </c>
      <c r="D179" s="558">
        <f>'[50]Sch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'[50]Sch C'!D191</f>
        <v>0</v>
      </c>
      <c r="D180" s="558">
        <f>'[50]Sch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'[50]Sch C'!D192</f>
        <v>0</v>
      </c>
      <c r="D181" s="558">
        <f>'[50]Sch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'[50]Sch C'!D193</f>
        <v>0</v>
      </c>
      <c r="D182" s="558">
        <f>'[50]Sch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'[50]Sch C'!D194</f>
        <v>2202</v>
      </c>
      <c r="D183" s="558">
        <f>'[50]Sch C'!F194</f>
        <v>0</v>
      </c>
      <c r="E183" s="171">
        <f t="shared" si="45"/>
        <v>2202</v>
      </c>
      <c r="F183" s="216">
        <v>4269</v>
      </c>
      <c r="G183" s="171">
        <f t="shared" si="46"/>
        <v>6471</v>
      </c>
      <c r="H183" s="172">
        <f t="shared" si="47"/>
        <v>3.3388352825781524E-3</v>
      </c>
      <c r="I183" s="336"/>
      <c r="J183" s="223"/>
      <c r="K183" s="218"/>
      <c r="M183" s="364">
        <f t="shared" si="48"/>
        <v>0.52601203056413592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'[50]Sch C'!D195</f>
        <v>1080</v>
      </c>
      <c r="D184" s="558">
        <f>'[50]Sch C'!F195</f>
        <v>0</v>
      </c>
      <c r="E184" s="171">
        <f t="shared" si="45"/>
        <v>1080</v>
      </c>
      <c r="F184" s="216">
        <v>5426</v>
      </c>
      <c r="G184" s="171">
        <f t="shared" si="46"/>
        <v>6506</v>
      </c>
      <c r="H184" s="172">
        <f t="shared" si="47"/>
        <v>3.3568941969484563E-3</v>
      </c>
      <c r="I184" s="336"/>
      <c r="J184" s="223"/>
      <c r="K184" s="218"/>
      <c r="M184" s="364">
        <f t="shared" si="48"/>
        <v>0.52885709640708822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'[50]Sch C'!D196</f>
        <v>0</v>
      </c>
      <c r="D185" s="558">
        <f>'[50]Sch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'[50]Sch C'!D197</f>
        <v>444</v>
      </c>
      <c r="D186" s="558">
        <f>'[50]Sch C'!F197</f>
        <v>0</v>
      </c>
      <c r="E186" s="171">
        <f t="shared" si="45"/>
        <v>444</v>
      </c>
      <c r="F186" s="216">
        <v>7776</v>
      </c>
      <c r="G186" s="171">
        <f t="shared" si="46"/>
        <v>8220</v>
      </c>
      <c r="H186" s="172">
        <f t="shared" si="47"/>
        <v>4.2412650321113294E-3</v>
      </c>
      <c r="I186" s="336"/>
      <c r="J186" s="223"/>
      <c r="K186" s="218"/>
      <c r="M186" s="364">
        <f t="shared" si="48"/>
        <v>0.66818403511624125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'[50]Sch C'!D198</f>
        <v>0</v>
      </c>
      <c r="D187" s="558">
        <f>'[50]Sch C'!F198</f>
        <v>0</v>
      </c>
      <c r="E187" s="171">
        <f t="shared" si="45"/>
        <v>0</v>
      </c>
      <c r="F187" s="216">
        <v>0</v>
      </c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'[50]Sch C'!D199</f>
        <v>0</v>
      </c>
      <c r="D188" s="558">
        <f>'[50]Sch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'[50]Sch C'!D200</f>
        <v>0</v>
      </c>
      <c r="D189" s="558">
        <f>'[50]Sch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'[50]Sch C'!D201</f>
        <v>0</v>
      </c>
      <c r="D190" s="558">
        <f>'[50]Sch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'[50]Sch C'!D202</f>
        <v>0</v>
      </c>
      <c r="D191" s="558">
        <f>'[50]Sch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'[50]Sch C'!D203</f>
        <v>0</v>
      </c>
      <c r="D192" s="558">
        <f>'[50]Sch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'[50]Sch C'!D204</f>
        <v>0</v>
      </c>
      <c r="D193" s="558">
        <f>'[50]Sch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'[50]Sch C'!D205</f>
        <v>2485</v>
      </c>
      <c r="D194" s="558">
        <f>'[50]Sch C'!F205</f>
        <v>0</v>
      </c>
      <c r="E194" s="171">
        <f t="shared" si="45"/>
        <v>2485</v>
      </c>
      <c r="F194" s="216">
        <v>3380</v>
      </c>
      <c r="G194" s="171">
        <f t="shared" si="46"/>
        <v>5865</v>
      </c>
      <c r="H194" s="172">
        <f t="shared" si="47"/>
        <v>3.0261580794808938E-3</v>
      </c>
      <c r="I194" s="336"/>
      <c r="J194" s="223"/>
      <c r="K194" s="218"/>
      <c r="M194" s="364">
        <f t="shared" si="48"/>
        <v>0.47675174768330353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'[50]Sch C'!D206</f>
        <v>0</v>
      </c>
      <c r="D195" s="558">
        <f>'[50]Sch C'!F206</f>
        <v>0</v>
      </c>
      <c r="E195" s="171">
        <f t="shared" si="45"/>
        <v>0</v>
      </c>
      <c r="F195" s="216">
        <v>0</v>
      </c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'[50]Sch C'!D207</f>
        <v>0</v>
      </c>
      <c r="D196" s="558">
        <f>'[50]Sch C'!F207</f>
        <v>0</v>
      </c>
      <c r="E196" s="171">
        <f t="shared" si="45"/>
        <v>0</v>
      </c>
      <c r="F196" s="216">
        <v>0</v>
      </c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6211</v>
      </c>
      <c r="D197" s="558">
        <f>SUM(D164:D196)</f>
        <v>0</v>
      </c>
      <c r="E197" s="171">
        <f t="shared" ref="E197:F197" si="49">SUM(E164:E196)</f>
        <v>6211</v>
      </c>
      <c r="F197" s="171">
        <f t="shared" si="49"/>
        <v>20851</v>
      </c>
      <c r="G197" s="171">
        <f>SUM(G164:G196)</f>
        <v>27062</v>
      </c>
      <c r="H197" s="172">
        <f>IF($G$208=0,0,G197/$G$208)</f>
        <v>1.3963152591118832E-2</v>
      </c>
      <c r="I197" s="336"/>
      <c r="J197" s="168"/>
      <c r="K197" s="168"/>
      <c r="M197" s="364">
        <f>G197/G$228</f>
        <v>2.1998049097707688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'[50]Sch C'!D211</f>
        <v>30599</v>
      </c>
      <c r="D200" s="558">
        <f>'[50]Sch C'!F211</f>
        <v>0</v>
      </c>
      <c r="E200" s="171">
        <f t="shared" ref="E200:E205" si="50">C200+D200</f>
        <v>30599</v>
      </c>
      <c r="F200" s="171">
        <v>61923</v>
      </c>
      <c r="G200" s="171">
        <f t="shared" ref="G200:G205" si="51">E200+F200</f>
        <v>92522</v>
      </c>
      <c r="H200" s="172">
        <f t="shared" ref="H200:H206" si="52">IF($G$208=0,0,G200/$G$208)</f>
        <v>4.7738482153406862E-2</v>
      </c>
      <c r="I200" s="336"/>
      <c r="J200" s="183">
        <f>1161.68+2593</f>
        <v>3754.6800000000003</v>
      </c>
      <c r="K200" s="183">
        <f>1161.68+2689</f>
        <v>3850.6800000000003</v>
      </c>
      <c r="M200" s="364">
        <f t="shared" ref="M200:M205" si="53">G200/G$228</f>
        <v>7.5208909120468217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'[50]Sch C'!D212</f>
        <v>2533</v>
      </c>
      <c r="D201" s="558">
        <f>'[50]Sch C'!F212</f>
        <v>0</v>
      </c>
      <c r="E201" s="171">
        <f t="shared" si="50"/>
        <v>2533</v>
      </c>
      <c r="F201" s="171">
        <v>9463</v>
      </c>
      <c r="G201" s="171">
        <f t="shared" si="51"/>
        <v>11996</v>
      </c>
      <c r="H201" s="172">
        <f t="shared" si="52"/>
        <v>6.1895639081760963E-3</v>
      </c>
      <c r="I201" s="336"/>
      <c r="J201" s="168"/>
      <c r="K201" s="168"/>
      <c r="M201" s="364">
        <f t="shared" si="53"/>
        <v>0.97512599577304504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'[50]Sch C'!D213</f>
        <v>5237</v>
      </c>
      <c r="D202" s="558">
        <f>'[50]Sch C'!F213</f>
        <v>0</v>
      </c>
      <c r="E202" s="171">
        <f t="shared" si="50"/>
        <v>5237</v>
      </c>
      <c r="F202" s="171">
        <v>7313</v>
      </c>
      <c r="G202" s="171">
        <f t="shared" si="51"/>
        <v>12550</v>
      </c>
      <c r="H202" s="172">
        <f t="shared" si="52"/>
        <v>6.4754107242089038E-3</v>
      </c>
      <c r="I202" s="336"/>
      <c r="J202" s="168"/>
      <c r="K202" s="168"/>
      <c r="M202" s="364">
        <f t="shared" si="53"/>
        <v>1.0201593236872053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'[50]Sch C'!D214</f>
        <v>0</v>
      </c>
      <c r="D203" s="558">
        <f>'[50]Sch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'[50]Sch C'!D215</f>
        <v>0</v>
      </c>
      <c r="D204" s="558">
        <f>'[50]Sch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'[50]Sch C'!D216</f>
        <v>1182</v>
      </c>
      <c r="D205" s="558">
        <f>'[50]Sch C'!F216</f>
        <v>0</v>
      </c>
      <c r="E205" s="171">
        <f t="shared" si="50"/>
        <v>1182</v>
      </c>
      <c r="F205" s="171">
        <v>2041</v>
      </c>
      <c r="G205" s="171">
        <f t="shared" si="51"/>
        <v>3223</v>
      </c>
      <c r="H205" s="172">
        <f t="shared" si="52"/>
        <v>1.6629680290139678E-3</v>
      </c>
      <c r="I205" s="336"/>
      <c r="J205" s="168"/>
      <c r="K205" s="168"/>
      <c r="M205" s="364">
        <f t="shared" si="53"/>
        <v>0.26198992033815638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39551</v>
      </c>
      <c r="D206" s="558">
        <f>SUM(D200:D205)</f>
        <v>0</v>
      </c>
      <c r="E206" s="171">
        <f t="shared" ref="E206:F206" si="54">SUM(E200:E205)</f>
        <v>39551</v>
      </c>
      <c r="F206" s="171">
        <f t="shared" si="54"/>
        <v>80740</v>
      </c>
      <c r="G206" s="171">
        <f>SUM(G200:G205)</f>
        <v>120291</v>
      </c>
      <c r="H206" s="172">
        <f t="shared" si="52"/>
        <v>6.2066424814805836E-2</v>
      </c>
      <c r="I206" s="336"/>
      <c r="J206" s="168"/>
      <c r="K206" s="168"/>
      <c r="M206" s="364">
        <f>G206/G$228</f>
        <v>9.7781661518452285</v>
      </c>
      <c r="N206" s="359">
        <f>SUMMARY!J209</f>
        <v>7.1515095990067339</v>
      </c>
      <c r="O206" s="354">
        <f>M206/N206-1</f>
        <v>0.36728700653681678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662053</v>
      </c>
      <c r="D208" s="558">
        <f>SUM(D25:D206)/2</f>
        <v>-25241</v>
      </c>
      <c r="E208" s="171">
        <f t="shared" ref="E208:F208" si="55">SUM(E25:E206)/2</f>
        <v>636812</v>
      </c>
      <c r="F208" s="171">
        <f t="shared" si="55"/>
        <v>1300222</v>
      </c>
      <c r="G208" s="171">
        <f>SUM(G25:G206)/2</f>
        <v>1938101</v>
      </c>
      <c r="H208" s="172">
        <f>IF($G$208=0,0,G208/$G$208)</f>
        <v>1</v>
      </c>
      <c r="I208" s="336"/>
      <c r="J208" s="183">
        <f>SUM(J25:J200)</f>
        <v>56858.689999999995</v>
      </c>
      <c r="K208" s="183">
        <f>SUM(K25:K200)</f>
        <v>57197.689999999995</v>
      </c>
      <c r="M208" s="364">
        <f>G208/G$228</f>
        <v>157.54357015119493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-1.0253451020889999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'[50]Sch C'!D221</f>
        <v>662053</v>
      </c>
      <c r="D211" s="196"/>
      <c r="E211" s="165"/>
      <c r="F211" s="460" t="s">
        <v>635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60" t="s">
        <v>501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460" t="s">
        <v>636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131080</v>
      </c>
      <c r="D215" s="558">
        <f>D21-D208</f>
        <v>25241</v>
      </c>
      <c r="E215" s="171">
        <f t="shared" ref="E215:F215" si="56">E21-E208</f>
        <v>156321</v>
      </c>
      <c r="F215" s="171">
        <f t="shared" si="56"/>
        <v>943419</v>
      </c>
      <c r="G215" s="171">
        <f>G21-G208</f>
        <v>1098673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'[50]Sch D'!C9</f>
        <v>3899</v>
      </c>
      <c r="D219" s="592"/>
      <c r="E219" s="235">
        <f t="shared" ref="E219:G227" si="57">C219+D219</f>
        <v>3899</v>
      </c>
      <c r="F219" s="234">
        <v>7923</v>
      </c>
      <c r="G219" s="235">
        <f t="shared" si="57"/>
        <v>11822</v>
      </c>
      <c r="H219" s="172">
        <f t="shared" ref="H219:H228" si="58">IF($G$228=0,0,G219/$G$228)</f>
        <v>0.96098195415379617</v>
      </c>
      <c r="I219" s="336"/>
      <c r="J219" s="168"/>
      <c r="K219" s="168"/>
    </row>
    <row r="220" spans="1:17">
      <c r="A220" s="163"/>
      <c r="B220" s="170" t="s">
        <v>217</v>
      </c>
      <c r="C220" s="592">
        <f>'[50]Sch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'[50]Sch D'!E9</f>
        <v>0</v>
      </c>
      <c r="D221" s="592"/>
      <c r="E221" s="235">
        <f t="shared" si="59"/>
        <v>0</v>
      </c>
      <c r="F221" s="234">
        <v>0</v>
      </c>
      <c r="G221" s="235">
        <f t="shared" si="57"/>
        <v>0</v>
      </c>
      <c r="H221" s="172">
        <f t="shared" si="58"/>
        <v>0</v>
      </c>
      <c r="I221" s="336"/>
      <c r="J221" s="168"/>
      <c r="K221" s="168"/>
    </row>
    <row r="222" spans="1:17">
      <c r="A222" s="163"/>
      <c r="B222" s="202" t="s">
        <v>334</v>
      </c>
      <c r="C222" s="592">
        <f>'[50]Sch D'!F9</f>
        <v>0</v>
      </c>
      <c r="D222" s="592"/>
      <c r="E222" s="235">
        <f>C222+D222</f>
        <v>0</v>
      </c>
      <c r="F222" s="234">
        <v>0</v>
      </c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f>'[50]Sch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'[50]Sch D'!H9</f>
        <v>207</v>
      </c>
      <c r="D224" s="592"/>
      <c r="E224" s="235">
        <f t="shared" si="59"/>
        <v>207</v>
      </c>
      <c r="F224" s="234">
        <v>273</v>
      </c>
      <c r="G224" s="235">
        <f t="shared" si="57"/>
        <v>480</v>
      </c>
      <c r="H224" s="172">
        <f t="shared" si="58"/>
        <v>3.9018045846203872E-2</v>
      </c>
      <c r="I224" s="336"/>
      <c r="J224" s="168"/>
      <c r="K224" s="168"/>
    </row>
    <row r="225" spans="1:11">
      <c r="A225" s="163"/>
      <c r="B225" s="170" t="s">
        <v>236</v>
      </c>
      <c r="C225" s="592">
        <f>'[50]Sch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'[50]Sch D'!J9</f>
        <v>0</v>
      </c>
      <c r="D226" s="592"/>
      <c r="E226" s="235">
        <f>C226+D226</f>
        <v>0</v>
      </c>
      <c r="F226" s="234">
        <v>0</v>
      </c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'[50]Sch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4106</v>
      </c>
      <c r="D228" s="592">
        <f>SUM(D219:D227)</f>
        <v>0</v>
      </c>
      <c r="E228" s="237">
        <f>SUM(E219:E227)</f>
        <v>4106</v>
      </c>
      <c r="F228" s="237">
        <f>SUM(F219:F227)</f>
        <v>8196</v>
      </c>
      <c r="G228" s="237">
        <f>SUM(G219:G227)</f>
        <v>12302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'[50]Sch D'!N22</f>
        <v>34</v>
      </c>
      <c r="D231" s="559"/>
      <c r="E231" s="235">
        <f>C231+D231</f>
        <v>34</v>
      </c>
      <c r="F231" s="235"/>
      <c r="G231" s="235">
        <f>E231+F231</f>
        <v>34</v>
      </c>
      <c r="H231" s="167"/>
      <c r="J231" s="168"/>
      <c r="K231" s="168"/>
    </row>
    <row r="232" spans="1:11">
      <c r="A232" s="163"/>
      <c r="B232" s="202" t="s">
        <v>290</v>
      </c>
      <c r="C232" s="593">
        <f>'[50]Sch D'!N24</f>
        <v>34</v>
      </c>
      <c r="D232" s="559"/>
      <c r="E232" s="235">
        <f>C232+D232</f>
        <v>34</v>
      </c>
      <c r="F232" s="235"/>
      <c r="G232" s="235">
        <f>E232+F232</f>
        <v>34</v>
      </c>
      <c r="H232" s="167"/>
      <c r="J232" s="168"/>
      <c r="K232" s="168"/>
    </row>
    <row r="233" spans="1:11">
      <c r="A233" s="163"/>
      <c r="B233" s="202" t="s">
        <v>76</v>
      </c>
      <c r="C233" s="593">
        <v>123</v>
      </c>
      <c r="D233" s="483"/>
      <c r="E233" s="235">
        <f>C233+D233</f>
        <v>123</v>
      </c>
      <c r="F233" s="239">
        <v>243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'[50]Sch D'!N28</f>
        <v>4182</v>
      </c>
      <c r="D235" s="483"/>
      <c r="E235" s="234">
        <f>E231*E233</f>
        <v>4182</v>
      </c>
      <c r="F235" s="239"/>
      <c r="G235" s="234">
        <f>G231*G233</f>
        <v>12444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'[50]Sch D'!N30</f>
        <v>0.98182687709230032</v>
      </c>
      <c r="D236" s="239"/>
      <c r="E236" s="244">
        <f>E228/E235</f>
        <v>0.98182687709230032</v>
      </c>
      <c r="F236" s="245"/>
      <c r="G236" s="244">
        <f>G228/G235</f>
        <v>0.98858887817422048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'[50]Sch D'!N32</f>
        <v>0.93232902917264471</v>
      </c>
      <c r="D237" s="239"/>
      <c r="E237" s="244">
        <f>(E219+E220)/E235</f>
        <v>0.93232902917264471</v>
      </c>
      <c r="F237" s="245"/>
      <c r="G237" s="244">
        <f>(G219+G220)/G235</f>
        <v>0.95001607200257154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'[50]Sch D'!N34</f>
        <v>0.94958597174866055</v>
      </c>
      <c r="D238" s="239"/>
      <c r="E238" s="244">
        <f>(E237/E236)</f>
        <v>0.94958597174866055</v>
      </c>
      <c r="F238" s="245"/>
      <c r="G238" s="244">
        <f>(G237/G236)</f>
        <v>0.96098195415379617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84">
        <v>165.02840909090909</v>
      </c>
    </row>
    <row r="242" spans="2:7">
      <c r="F242" s="142" t="s">
        <v>341</v>
      </c>
      <c r="G242" s="484">
        <f>370*1/3+185*2/3</f>
        <v>246.66666666666666</v>
      </c>
    </row>
    <row r="243" spans="2:7">
      <c r="F243" s="142" t="s">
        <v>342</v>
      </c>
      <c r="G243" s="484">
        <v>185</v>
      </c>
    </row>
    <row r="244" spans="2:7">
      <c r="F244" s="142" t="s">
        <v>343</v>
      </c>
      <c r="G244" s="484">
        <v>258.1868131868132</v>
      </c>
    </row>
    <row r="245" spans="2:7">
      <c r="F245" s="142"/>
    </row>
  </sheetData>
  <phoneticPr fontId="0" type="noConversion"/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3">
    <tabColor rgb="FFE28CAB"/>
  </sheetPr>
  <dimension ref="A1:Q254"/>
  <sheetViews>
    <sheetView showGridLines="0" zoomScale="125" zoomScaleNormal="125" workbookViewId="0">
      <pane xSplit="2" ySplit="10" topLeftCell="C233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251" customWidth="1"/>
    <col min="2" max="2" width="33.58203125" style="249" customWidth="1"/>
    <col min="3" max="3" width="24.1640625" style="249" customWidth="1"/>
    <col min="4" max="4" width="12.6640625" style="249" customWidth="1"/>
    <col min="5" max="5" width="12.9140625" style="249" customWidth="1"/>
    <col min="6" max="6" width="14.1640625" style="249" bestFit="1" customWidth="1"/>
    <col min="7" max="7" width="13.5" style="249" bestFit="1" customWidth="1"/>
    <col min="8" max="8" width="12.58203125" style="249" customWidth="1"/>
    <col min="9" max="9" width="2.5" style="344" customWidth="1"/>
    <col min="10" max="10" width="14.6640625" style="250" customWidth="1"/>
    <col min="11" max="11" width="13" style="250" customWidth="1"/>
    <col min="12" max="12" width="2.6640625" style="249" customWidth="1"/>
    <col min="13" max="13" width="8.6640625" style="249"/>
    <col min="14" max="14" width="10.1640625" style="249" customWidth="1"/>
    <col min="15" max="15" width="12.1640625" style="249" customWidth="1"/>
    <col min="16" max="16" width="16.1640625" customWidth="1"/>
    <col min="17" max="17" width="12.6640625" customWidth="1"/>
    <col min="18" max="16384" width="8.6640625" style="249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7"/>
      <c r="D1" s="477"/>
      <c r="E1" s="477"/>
      <c r="F1" s="477"/>
      <c r="G1" s="477"/>
      <c r="H1" s="477"/>
      <c r="I1" s="478"/>
    </row>
    <row r="2" spans="1:17" ht="23">
      <c r="B2" s="252" t="s">
        <v>189</v>
      </c>
      <c r="C2" s="246" t="s">
        <v>550</v>
      </c>
      <c r="D2" s="246"/>
      <c r="E2" s="253"/>
    </row>
    <row r="3" spans="1:17">
      <c r="A3" s="254"/>
      <c r="B3" s="249" t="s">
        <v>79</v>
      </c>
      <c r="C3" s="489">
        <v>42186</v>
      </c>
      <c r="D3" s="253"/>
      <c r="E3" s="400"/>
      <c r="F3" s="628" t="s">
        <v>524</v>
      </c>
    </row>
    <row r="4" spans="1:17">
      <c r="A4" s="254"/>
      <c r="B4" s="256" t="s">
        <v>80</v>
      </c>
      <c r="C4" s="695">
        <v>42551</v>
      </c>
      <c r="D4" s="696"/>
      <c r="E4" s="697"/>
      <c r="F4" s="698" t="s">
        <v>552</v>
      </c>
      <c r="G4" s="258"/>
    </row>
    <row r="5" spans="1:17">
      <c r="A5" s="254"/>
      <c r="B5" s="256"/>
      <c r="C5" s="699"/>
      <c r="D5" s="696"/>
      <c r="E5" s="700"/>
      <c r="F5" s="701" t="s">
        <v>551</v>
      </c>
    </row>
    <row r="6" spans="1:17">
      <c r="A6" s="254"/>
      <c r="B6" s="256"/>
      <c r="C6" s="702" t="s">
        <v>37</v>
      </c>
      <c r="D6" s="703" t="s">
        <v>38</v>
      </c>
      <c r="E6" s="704" t="s">
        <v>39</v>
      </c>
      <c r="F6" s="705" t="s">
        <v>40</v>
      </c>
      <c r="G6" s="261" t="s">
        <v>41</v>
      </c>
      <c r="H6" s="257" t="s">
        <v>42</v>
      </c>
      <c r="I6" s="345"/>
      <c r="J6" s="263">
        <v>7</v>
      </c>
      <c r="K6" s="263">
        <v>8</v>
      </c>
      <c r="M6" s="255">
        <v>9</v>
      </c>
      <c r="N6" s="255">
        <v>10</v>
      </c>
      <c r="O6" s="255">
        <v>11</v>
      </c>
    </row>
    <row r="7" spans="1:17">
      <c r="B7" s="256"/>
      <c r="C7" s="264" t="s">
        <v>1</v>
      </c>
      <c r="D7" s="264" t="s">
        <v>2</v>
      </c>
      <c r="E7" s="264" t="s">
        <v>3</v>
      </c>
      <c r="F7" s="264" t="s">
        <v>4</v>
      </c>
      <c r="G7" s="264" t="s">
        <v>5</v>
      </c>
      <c r="H7" s="265" t="s">
        <v>6</v>
      </c>
      <c r="I7" s="346"/>
      <c r="J7" s="266" t="s">
        <v>291</v>
      </c>
      <c r="K7" s="267" t="s">
        <v>292</v>
      </c>
      <c r="M7" s="267" t="s">
        <v>351</v>
      </c>
      <c r="N7" s="267" t="s">
        <v>353</v>
      </c>
      <c r="O7" s="267" t="s">
        <v>354</v>
      </c>
    </row>
    <row r="8" spans="1:17">
      <c r="B8" s="256"/>
      <c r="C8" s="268"/>
      <c r="D8" s="268"/>
      <c r="E8" s="268" t="s">
        <v>8</v>
      </c>
      <c r="F8" s="268" t="s">
        <v>9</v>
      </c>
      <c r="G8" s="268" t="s">
        <v>10</v>
      </c>
      <c r="H8" s="269" t="s">
        <v>11</v>
      </c>
      <c r="I8" s="346"/>
      <c r="J8" s="270"/>
      <c r="K8" s="270"/>
      <c r="M8" s="270" t="s">
        <v>352</v>
      </c>
      <c r="N8" s="270" t="s">
        <v>351</v>
      </c>
      <c r="O8" s="270" t="s">
        <v>467</v>
      </c>
    </row>
    <row r="9" spans="1:17">
      <c r="A9" s="254"/>
      <c r="C9" s="259"/>
      <c r="D9" s="253"/>
      <c r="F9" s="692" t="s">
        <v>479</v>
      </c>
      <c r="G9" s="253"/>
    </row>
    <row r="10" spans="1:17" s="275" customFormat="1" ht="16" thickBot="1">
      <c r="A10" s="271" t="s">
        <v>245</v>
      </c>
      <c r="B10" s="272" t="s">
        <v>246</v>
      </c>
      <c r="C10" s="273"/>
      <c r="D10" s="273"/>
      <c r="E10" s="273"/>
      <c r="F10" s="693" t="s">
        <v>530</v>
      </c>
      <c r="G10" s="273"/>
      <c r="H10" s="274"/>
      <c r="I10" s="347"/>
      <c r="J10" s="276"/>
      <c r="K10" s="276"/>
      <c r="P10"/>
      <c r="Q10"/>
    </row>
    <row r="11" spans="1:17" s="275" customFormat="1">
      <c r="A11" s="277" t="s">
        <v>13</v>
      </c>
      <c r="B11" s="278" t="s">
        <v>213</v>
      </c>
      <c r="C11" s="558">
        <f>'[51]Sch B'!E10</f>
        <v>1408116</v>
      </c>
      <c r="D11" s="558">
        <f>'[51]Sch B'!G10</f>
        <v>0</v>
      </c>
      <c r="E11" s="248">
        <f>C11+D11</f>
        <v>1408116</v>
      </c>
      <c r="F11" s="694">
        <f>334909-49409-19671</f>
        <v>265829</v>
      </c>
      <c r="G11" s="248">
        <f t="shared" ref="G11:G20" si="0">E11+F11</f>
        <v>1673945</v>
      </c>
      <c r="H11" s="279">
        <f t="shared" ref="H11:H21" si="1">IF($G$21=0,0,G11/$G$21)</f>
        <v>0.43375935049010717</v>
      </c>
      <c r="I11" s="348"/>
      <c r="J11" s="368" t="s">
        <v>344</v>
      </c>
      <c r="K11" s="369">
        <f>G21</f>
        <v>3859156</v>
      </c>
      <c r="M11" s="360">
        <f>IFERROR(G11/G219,0)</f>
        <v>191.1550759392486</v>
      </c>
      <c r="N11" s="360">
        <f>SUMMARY!J14</f>
        <v>222.18858354654498</v>
      </c>
      <c r="P11"/>
      <c r="Q11"/>
    </row>
    <row r="12" spans="1:17" s="275" customFormat="1">
      <c r="A12" s="277" t="s">
        <v>15</v>
      </c>
      <c r="B12" s="278" t="s">
        <v>212</v>
      </c>
      <c r="C12" s="558">
        <f>'[51]Sch B'!E15</f>
        <v>0</v>
      </c>
      <c r="D12" s="558">
        <f>'[51]Sch B'!G15</f>
        <v>0</v>
      </c>
      <c r="E12" s="248">
        <f t="shared" ref="E12:E20" si="2">C12+D12</f>
        <v>0</v>
      </c>
      <c r="F12" s="248">
        <v>0</v>
      </c>
      <c r="G12" s="248">
        <f>E12+F12</f>
        <v>0</v>
      </c>
      <c r="H12" s="279">
        <f t="shared" si="1"/>
        <v>0</v>
      </c>
      <c r="I12" s="348"/>
      <c r="J12" s="370" t="s">
        <v>345</v>
      </c>
      <c r="K12" s="371">
        <f>G208</f>
        <v>3436674</v>
      </c>
      <c r="M12" s="360">
        <f t="shared" ref="M12:M19" si="3">IFERROR(G12/G220,0)</f>
        <v>0</v>
      </c>
      <c r="N12" s="360">
        <f>SUMMARY!J15</f>
        <v>207.2175599435825</v>
      </c>
      <c r="P12"/>
      <c r="Q12"/>
    </row>
    <row r="13" spans="1:17" s="275" customFormat="1">
      <c r="A13" s="277" t="s">
        <v>16</v>
      </c>
      <c r="B13" s="278" t="s">
        <v>170</v>
      </c>
      <c r="C13" s="558">
        <f>'[51]Sch B'!E21</f>
        <v>1209477</v>
      </c>
      <c r="D13" s="558">
        <f>'[51]Sch B'!G21</f>
        <v>0</v>
      </c>
      <c r="E13" s="248">
        <f t="shared" si="2"/>
        <v>1209477</v>
      </c>
      <c r="F13" s="248">
        <v>293059</v>
      </c>
      <c r="G13" s="248">
        <f t="shared" si="0"/>
        <v>1502536</v>
      </c>
      <c r="H13" s="279">
        <f t="shared" si="1"/>
        <v>0.38934316207999886</v>
      </c>
      <c r="I13" s="348"/>
      <c r="J13" s="370" t="s">
        <v>346</v>
      </c>
      <c r="K13" s="371">
        <f>G228</f>
        <v>15752</v>
      </c>
      <c r="M13" s="360">
        <f t="shared" si="3"/>
        <v>523.71418612757054</v>
      </c>
      <c r="N13" s="360">
        <f>SUMMARY!J16</f>
        <v>537.49113199368492</v>
      </c>
      <c r="P13"/>
      <c r="Q13"/>
    </row>
    <row r="14" spans="1:17" s="275" customFormat="1">
      <c r="A14" s="280" t="s">
        <v>18</v>
      </c>
      <c r="B14" s="281" t="s">
        <v>306</v>
      </c>
      <c r="C14" s="558">
        <f>'[51]Sch B'!E27</f>
        <v>54205</v>
      </c>
      <c r="D14" s="558">
        <f>'[51]Sch B'!G27</f>
        <v>0</v>
      </c>
      <c r="E14" s="248">
        <f t="shared" si="2"/>
        <v>54205</v>
      </c>
      <c r="F14" s="282">
        <v>18204</v>
      </c>
      <c r="G14" s="282">
        <f>E14+F14</f>
        <v>72409</v>
      </c>
      <c r="H14" s="283">
        <f t="shared" si="1"/>
        <v>1.8762910854083121E-2</v>
      </c>
      <c r="I14" s="349"/>
      <c r="J14" s="370" t="s">
        <v>347</v>
      </c>
      <c r="K14" s="371">
        <f>G231</f>
        <v>100</v>
      </c>
      <c r="M14" s="360">
        <f t="shared" si="3"/>
        <v>362.04500000000002</v>
      </c>
      <c r="N14" s="360">
        <f>SUMMARY!J17</f>
        <v>403.86361337438132</v>
      </c>
      <c r="P14"/>
      <c r="Q14"/>
    </row>
    <row r="15" spans="1:17" s="275" customFormat="1">
      <c r="A15" s="277" t="s">
        <v>19</v>
      </c>
      <c r="B15" s="278" t="s">
        <v>171</v>
      </c>
      <c r="C15" s="558">
        <f>'[51]Sch B'!E32</f>
        <v>0</v>
      </c>
      <c r="D15" s="558">
        <f>'[51]Sch B'!G32</f>
        <v>0</v>
      </c>
      <c r="E15" s="248">
        <f t="shared" si="2"/>
        <v>0</v>
      </c>
      <c r="F15" s="248">
        <v>0</v>
      </c>
      <c r="G15" s="248">
        <f t="shared" si="0"/>
        <v>0</v>
      </c>
      <c r="H15" s="279">
        <f t="shared" si="1"/>
        <v>0</v>
      </c>
      <c r="I15" s="348"/>
      <c r="J15" s="370" t="s">
        <v>348</v>
      </c>
      <c r="K15" s="371">
        <f>G235</f>
        <v>36600</v>
      </c>
      <c r="M15" s="360">
        <f t="shared" si="3"/>
        <v>0</v>
      </c>
      <c r="N15" s="360">
        <f>SUMMARY!J18</f>
        <v>332.02055718372145</v>
      </c>
      <c r="P15"/>
      <c r="Q15"/>
    </row>
    <row r="16" spans="1:17" s="275" customFormat="1">
      <c r="A16" s="277" t="s">
        <v>21</v>
      </c>
      <c r="B16" s="278" t="s">
        <v>172</v>
      </c>
      <c r="C16" s="558">
        <f>'[51]Sch B'!E37</f>
        <v>442438</v>
      </c>
      <c r="D16" s="558">
        <f>'[51]Sch B'!G37</f>
        <v>0</v>
      </c>
      <c r="E16" s="248">
        <f t="shared" si="2"/>
        <v>442438</v>
      </c>
      <c r="F16" s="248">
        <v>65279</v>
      </c>
      <c r="G16" s="248">
        <f t="shared" si="0"/>
        <v>507717</v>
      </c>
      <c r="H16" s="279">
        <f t="shared" si="1"/>
        <v>0.13156166788800452</v>
      </c>
      <c r="I16" s="348"/>
      <c r="J16" s="372"/>
      <c r="K16" s="371"/>
      <c r="M16" s="360">
        <f t="shared" si="3"/>
        <v>133.6449065543564</v>
      </c>
      <c r="N16" s="360">
        <f>SUMMARY!J19</f>
        <v>209.32685676266178</v>
      </c>
      <c r="P16"/>
      <c r="Q16"/>
    </row>
    <row r="17" spans="1:17" s="275" customFormat="1">
      <c r="A17" s="277" t="s">
        <v>215</v>
      </c>
      <c r="B17" s="278" t="s">
        <v>228</v>
      </c>
      <c r="C17" s="558">
        <f>'[51]Sch B'!E42</f>
        <v>0</v>
      </c>
      <c r="D17" s="558">
        <f>'[51]Sch B'!G42</f>
        <v>0</v>
      </c>
      <c r="E17" s="248">
        <f t="shared" si="2"/>
        <v>0</v>
      </c>
      <c r="F17" s="248">
        <v>0</v>
      </c>
      <c r="G17" s="248">
        <f>E17+F17</f>
        <v>0</v>
      </c>
      <c r="H17" s="279">
        <f t="shared" si="1"/>
        <v>0</v>
      </c>
      <c r="I17" s="348"/>
      <c r="J17" s="370" t="s">
        <v>156</v>
      </c>
      <c r="K17" s="371">
        <f>J208</f>
        <v>83475</v>
      </c>
      <c r="M17" s="360">
        <f t="shared" si="3"/>
        <v>0</v>
      </c>
      <c r="N17" s="360">
        <f>SUMMARY!J20</f>
        <v>177.55325692366318</v>
      </c>
      <c r="P17"/>
      <c r="Q17"/>
    </row>
    <row r="18" spans="1:17" s="275" customFormat="1" ht="16" thickBot="1">
      <c r="A18" s="277" t="s">
        <v>216</v>
      </c>
      <c r="B18" s="278" t="s">
        <v>229</v>
      </c>
      <c r="C18" s="558">
        <f>'[51]Sch B'!E47</f>
        <v>10208</v>
      </c>
      <c r="D18" s="558">
        <f>'[51]Sch B'!G47</f>
        <v>0</v>
      </c>
      <c r="E18" s="248">
        <f t="shared" si="2"/>
        <v>10208</v>
      </c>
      <c r="F18" s="248">
        <v>13690</v>
      </c>
      <c r="G18" s="248">
        <f>E18+F18</f>
        <v>23898</v>
      </c>
      <c r="H18" s="279">
        <f t="shared" si="1"/>
        <v>6.192545727615054E-3</v>
      </c>
      <c r="I18" s="348"/>
      <c r="J18" s="373" t="s">
        <v>252</v>
      </c>
      <c r="K18" s="374">
        <f>K208</f>
        <v>88414</v>
      </c>
      <c r="M18" s="360">
        <f t="shared" si="3"/>
        <v>188.17322834645668</v>
      </c>
      <c r="N18" s="360">
        <f>SUMMARY!J21</f>
        <v>189.23177326776752</v>
      </c>
      <c r="P18"/>
      <c r="Q18"/>
    </row>
    <row r="19" spans="1:17" s="275" customFormat="1">
      <c r="A19" s="277" t="s">
        <v>227</v>
      </c>
      <c r="B19" s="177" t="s">
        <v>173</v>
      </c>
      <c r="C19" s="558">
        <f>'[51]Sch B'!E52</f>
        <v>0</v>
      </c>
      <c r="D19" s="558">
        <f>'[51]Sch B'!G52</f>
        <v>0</v>
      </c>
      <c r="E19" s="248">
        <f t="shared" si="2"/>
        <v>0</v>
      </c>
      <c r="F19" s="248">
        <v>0</v>
      </c>
      <c r="G19" s="248">
        <f t="shared" si="0"/>
        <v>0</v>
      </c>
      <c r="H19" s="279">
        <f t="shared" si="1"/>
        <v>0</v>
      </c>
      <c r="I19" s="348"/>
      <c r="J19" s="276"/>
      <c r="K19" s="276"/>
      <c r="M19" s="360">
        <f t="shared" si="3"/>
        <v>0</v>
      </c>
      <c r="N19" s="360">
        <f>SUMMARY!J22</f>
        <v>340.93117536472568</v>
      </c>
      <c r="P19"/>
      <c r="Q19"/>
    </row>
    <row r="20" spans="1:17" s="275" customFormat="1">
      <c r="A20" s="277" t="s">
        <v>183</v>
      </c>
      <c r="B20" s="23" t="s">
        <v>180</v>
      </c>
      <c r="C20" s="558">
        <f>'[51]Sch B'!E67</f>
        <v>7190</v>
      </c>
      <c r="D20" s="558">
        <f>'[51]Sch B'!G67</f>
        <v>0</v>
      </c>
      <c r="E20" s="248">
        <f t="shared" si="2"/>
        <v>7190</v>
      </c>
      <c r="F20" s="694">
        <f>2381+49409+19671</f>
        <v>71461</v>
      </c>
      <c r="G20" s="248">
        <f t="shared" si="0"/>
        <v>78651</v>
      </c>
      <c r="H20" s="279">
        <f t="shared" si="1"/>
        <v>2.0380362960191297E-2</v>
      </c>
      <c r="I20" s="348"/>
      <c r="J20" s="276"/>
      <c r="K20" s="276"/>
      <c r="M20" s="365" t="s">
        <v>200</v>
      </c>
      <c r="N20" s="365" t="s">
        <v>200</v>
      </c>
      <c r="P20"/>
      <c r="Q20"/>
    </row>
    <row r="21" spans="1:17" s="275" customFormat="1">
      <c r="A21" s="277"/>
      <c r="B21" s="284" t="s">
        <v>77</v>
      </c>
      <c r="C21" s="558">
        <f>SUM(C11:C20)</f>
        <v>3131634</v>
      </c>
      <c r="D21" s="558">
        <f>SUM(D11:D20)</f>
        <v>0</v>
      </c>
      <c r="E21" s="248">
        <f>SUM(E11:E20)</f>
        <v>3131634</v>
      </c>
      <c r="F21" s="248">
        <f>SUM(F11:F20)</f>
        <v>727522</v>
      </c>
      <c r="G21" s="248">
        <f>SUM(G11:G20)</f>
        <v>3859156</v>
      </c>
      <c r="H21" s="279">
        <f t="shared" si="1"/>
        <v>1</v>
      </c>
      <c r="I21" s="348"/>
      <c r="J21" s="276"/>
      <c r="K21" s="276"/>
      <c r="M21" s="360">
        <f>IFERROR(G21/G228,0)</f>
        <v>244.99466734382935</v>
      </c>
      <c r="N21" s="360">
        <f>SUMMARY!J24</f>
        <v>278.37842406091033</v>
      </c>
      <c r="P21"/>
      <c r="Q21"/>
    </row>
    <row r="22" spans="1:17" ht="12" customHeight="1">
      <c r="A22" s="254"/>
      <c r="B22" s="285"/>
      <c r="C22" s="151"/>
      <c r="D22" s="144"/>
      <c r="F22" s="253"/>
      <c r="G22" s="253"/>
      <c r="M22" s="366"/>
      <c r="N22" s="366"/>
    </row>
    <row r="23" spans="1:17" ht="26.5">
      <c r="A23" s="286" t="s">
        <v>231</v>
      </c>
      <c r="B23" s="285" t="s">
        <v>222</v>
      </c>
      <c r="C23" s="151"/>
      <c r="D23" s="144"/>
      <c r="F23" s="692" t="s">
        <v>479</v>
      </c>
      <c r="G23" s="253"/>
      <c r="M23" s="366"/>
      <c r="N23" s="366"/>
    </row>
    <row r="24" spans="1:17">
      <c r="A24" s="287" t="s">
        <v>161</v>
      </c>
      <c r="B24" s="256" t="s">
        <v>12</v>
      </c>
      <c r="C24" s="140"/>
      <c r="D24" s="140"/>
      <c r="F24" s="693" t="s">
        <v>530</v>
      </c>
      <c r="M24" s="366"/>
      <c r="N24" s="366"/>
    </row>
    <row r="25" spans="1:17" s="275" customFormat="1">
      <c r="A25" s="277" t="s">
        <v>83</v>
      </c>
      <c r="B25" s="278" t="s">
        <v>14</v>
      </c>
      <c r="C25" s="558">
        <f>'[51]Sch C'!D10</f>
        <v>97575</v>
      </c>
      <c r="D25" s="558">
        <f>'[51]Sch C'!F10</f>
        <v>5825</v>
      </c>
      <c r="E25" s="248">
        <f t="shared" ref="E25:E60" si="4">C25+D25</f>
        <v>103400</v>
      </c>
      <c r="F25" s="248">
        <v>49051</v>
      </c>
      <c r="G25" s="288">
        <f>E25+F25</f>
        <v>152451</v>
      </c>
      <c r="H25" s="279">
        <f>IF($G$208=0,0,G25/$G$208)</f>
        <v>4.4360041132792925E-2</v>
      </c>
      <c r="I25" s="629"/>
      <c r="J25" s="183">
        <f>2602+1238</f>
        <v>3840</v>
      </c>
      <c r="K25" s="183">
        <f>2757+1308</f>
        <v>4065</v>
      </c>
      <c r="M25" s="360">
        <f>G25/G$228</f>
        <v>9.6781995937023861</v>
      </c>
      <c r="N25" s="360">
        <f>SUMMARY!J28</f>
        <v>5.2871017912533844</v>
      </c>
      <c r="P25"/>
      <c r="Q25"/>
    </row>
    <row r="26" spans="1:17" s="275" customFormat="1">
      <c r="A26" s="277" t="s">
        <v>84</v>
      </c>
      <c r="B26" s="278" t="s">
        <v>176</v>
      </c>
      <c r="C26" s="558">
        <f>'[51]Sch C'!D11</f>
        <v>0</v>
      </c>
      <c r="D26" s="558">
        <f>'[51]Sch C'!F11</f>
        <v>0</v>
      </c>
      <c r="E26" s="248">
        <f t="shared" si="4"/>
        <v>0</v>
      </c>
      <c r="F26" s="248">
        <v>0</v>
      </c>
      <c r="G26" s="248">
        <f t="shared" ref="G26:G60" si="5">E26+F26</f>
        <v>0</v>
      </c>
      <c r="H26" s="289">
        <f t="shared" ref="H26:H61" si="6">IF($G$208=0,0,G26/$G$208)</f>
        <v>0</v>
      </c>
      <c r="I26" s="629"/>
      <c r="J26" s="183">
        <v>0</v>
      </c>
      <c r="K26" s="183">
        <v>0</v>
      </c>
      <c r="M26" s="360">
        <f t="shared" ref="M26:M60" si="7">G26/G$228</f>
        <v>0</v>
      </c>
      <c r="N26" s="360">
        <f>SUMMARY!J29</f>
        <v>5.5405379333703472E-2</v>
      </c>
      <c r="P26"/>
      <c r="Q26"/>
    </row>
    <row r="27" spans="1:17" s="275" customFormat="1">
      <c r="A27" s="277" t="s">
        <v>85</v>
      </c>
      <c r="B27" s="278" t="s">
        <v>17</v>
      </c>
      <c r="C27" s="558">
        <f>'[51]Sch C'!D12</f>
        <v>83266</v>
      </c>
      <c r="D27" s="558">
        <f>'[51]Sch C'!F12</f>
        <v>4968</v>
      </c>
      <c r="E27" s="248">
        <f t="shared" si="4"/>
        <v>88234</v>
      </c>
      <c r="F27" s="248">
        <v>19342</v>
      </c>
      <c r="G27" s="248">
        <f t="shared" si="5"/>
        <v>107576</v>
      </c>
      <c r="H27" s="279">
        <f t="shared" si="6"/>
        <v>3.1302358035705455E-2</v>
      </c>
      <c r="I27" s="629"/>
      <c r="J27" s="185">
        <f>5540+1218</f>
        <v>6758</v>
      </c>
      <c r="K27" s="185">
        <f>5871+1287</f>
        <v>7158</v>
      </c>
      <c r="M27" s="360">
        <f t="shared" si="7"/>
        <v>6.8293550025393603</v>
      </c>
      <c r="N27" s="360">
        <f>SUMMARY!J30</f>
        <v>6.7296464607712929</v>
      </c>
      <c r="P27"/>
      <c r="Q27"/>
    </row>
    <row r="28" spans="1:17" s="275" customFormat="1">
      <c r="A28" s="277" t="s">
        <v>86</v>
      </c>
      <c r="B28" s="278" t="s">
        <v>45</v>
      </c>
      <c r="C28" s="558">
        <f>'[51]Sch C'!D13</f>
        <v>289067</v>
      </c>
      <c r="D28" s="558">
        <f>'[51]Sch C'!F13</f>
        <v>-258879</v>
      </c>
      <c r="E28" s="248">
        <f t="shared" si="4"/>
        <v>30188</v>
      </c>
      <c r="F28" s="248">
        <v>10118</v>
      </c>
      <c r="G28" s="248">
        <f t="shared" si="5"/>
        <v>40306</v>
      </c>
      <c r="H28" s="279">
        <f t="shared" si="6"/>
        <v>1.1728199998021343E-2</v>
      </c>
      <c r="I28" s="629"/>
      <c r="J28" s="168"/>
      <c r="K28" s="168"/>
      <c r="M28" s="360">
        <f t="shared" si="7"/>
        <v>2.558786185881158</v>
      </c>
      <c r="N28" s="360">
        <f>SUMMARY!J31</f>
        <v>2.2098304126852</v>
      </c>
      <c r="P28"/>
      <c r="Q28"/>
    </row>
    <row r="29" spans="1:17" s="275" customFormat="1">
      <c r="A29" s="277" t="s">
        <v>175</v>
      </c>
      <c r="B29" s="278" t="s">
        <v>20</v>
      </c>
      <c r="C29" s="558">
        <f>'[51]Sch C'!D14</f>
        <v>0</v>
      </c>
      <c r="D29" s="558">
        <f>'[51]Sch C'!F14</f>
        <v>0</v>
      </c>
      <c r="E29" s="248">
        <f t="shared" si="4"/>
        <v>0</v>
      </c>
      <c r="F29" s="248">
        <v>0</v>
      </c>
      <c r="G29" s="248">
        <f t="shared" si="5"/>
        <v>0</v>
      </c>
      <c r="H29" s="279">
        <f t="shared" si="6"/>
        <v>0</v>
      </c>
      <c r="I29" s="629"/>
      <c r="J29" s="168"/>
      <c r="K29" s="168"/>
      <c r="M29" s="360">
        <f t="shared" si="7"/>
        <v>0</v>
      </c>
      <c r="N29" s="360">
        <f>SUMMARY!J32</f>
        <v>7.2347686654990794E-3</v>
      </c>
      <c r="P29"/>
      <c r="Q29"/>
    </row>
    <row r="30" spans="1:17" s="275" customFormat="1">
      <c r="A30" s="277" t="s">
        <v>88</v>
      </c>
      <c r="B30" s="278" t="s">
        <v>22</v>
      </c>
      <c r="C30" s="558">
        <f>'[51]Sch C'!D15</f>
        <v>0</v>
      </c>
      <c r="D30" s="558">
        <f>'[51]Sch C'!F15</f>
        <v>0</v>
      </c>
      <c r="E30" s="248">
        <f t="shared" si="4"/>
        <v>0</v>
      </c>
      <c r="F30" s="248">
        <v>0</v>
      </c>
      <c r="G30" s="248">
        <f t="shared" si="5"/>
        <v>0</v>
      </c>
      <c r="H30" s="279">
        <f t="shared" si="6"/>
        <v>0</v>
      </c>
      <c r="I30" s="629"/>
      <c r="J30" s="168"/>
      <c r="K30" s="168"/>
      <c r="M30" s="360">
        <f t="shared" si="7"/>
        <v>0</v>
      </c>
      <c r="N30" s="360">
        <f>SUMMARY!J33</f>
        <v>2.3289615556872723</v>
      </c>
      <c r="P30"/>
      <c r="Q30"/>
    </row>
    <row r="31" spans="1:17" s="275" customFormat="1">
      <c r="A31" s="277" t="s">
        <v>89</v>
      </c>
      <c r="B31" s="278" t="s">
        <v>148</v>
      </c>
      <c r="C31" s="558">
        <f>'[51]Sch C'!D16</f>
        <v>155071</v>
      </c>
      <c r="D31" s="558">
        <f>'[51]Sch C'!F16</f>
        <v>200291</v>
      </c>
      <c r="E31" s="248">
        <f t="shared" si="4"/>
        <v>355362</v>
      </c>
      <c r="F31" s="694">
        <f>51974-149228</f>
        <v>-97254</v>
      </c>
      <c r="G31" s="248">
        <f t="shared" si="5"/>
        <v>258108</v>
      </c>
      <c r="H31" s="279">
        <f t="shared" si="6"/>
        <v>7.5104010447310396E-2</v>
      </c>
      <c r="I31" s="629"/>
      <c r="J31" s="168"/>
      <c r="K31" s="168"/>
      <c r="M31" s="360">
        <f t="shared" si="7"/>
        <v>16.385728796343322</v>
      </c>
      <c r="N31" s="360">
        <f>SUMMARY!J34</f>
        <v>9.228688439287323</v>
      </c>
      <c r="P31"/>
      <c r="Q31"/>
    </row>
    <row r="32" spans="1:17" s="275" customFormat="1">
      <c r="A32" s="277" t="s">
        <v>90</v>
      </c>
      <c r="B32" s="278" t="s">
        <v>23</v>
      </c>
      <c r="C32" s="558">
        <f>'[51]Sch C'!D17</f>
        <v>0</v>
      </c>
      <c r="D32" s="558">
        <f>'[51]Sch C'!F17</f>
        <v>0</v>
      </c>
      <c r="E32" s="248">
        <f t="shared" si="4"/>
        <v>0</v>
      </c>
      <c r="F32" s="248">
        <v>0</v>
      </c>
      <c r="G32" s="248">
        <f t="shared" si="5"/>
        <v>0</v>
      </c>
      <c r="H32" s="279">
        <f t="shared" si="6"/>
        <v>0</v>
      </c>
      <c r="I32" s="629"/>
      <c r="J32" s="168"/>
      <c r="K32" s="168"/>
      <c r="M32" s="360">
        <f t="shared" si="7"/>
        <v>0</v>
      </c>
      <c r="N32" s="360">
        <f>SUMMARY!J35</f>
        <v>7.8323818996803851E-3</v>
      </c>
      <c r="P32"/>
      <c r="Q32"/>
    </row>
    <row r="33" spans="1:17" s="275" customFormat="1">
      <c r="A33" s="277" t="s">
        <v>91</v>
      </c>
      <c r="B33" s="278" t="s">
        <v>24</v>
      </c>
      <c r="C33" s="558">
        <f>'[51]Sch C'!D18</f>
        <v>4411</v>
      </c>
      <c r="D33" s="558">
        <f>'[51]Sch C'!F18</f>
        <v>0</v>
      </c>
      <c r="E33" s="248">
        <f t="shared" si="4"/>
        <v>4411</v>
      </c>
      <c r="F33" s="694">
        <f>899+870</f>
        <v>1769</v>
      </c>
      <c r="G33" s="248">
        <f t="shared" si="5"/>
        <v>6180</v>
      </c>
      <c r="H33" s="279">
        <f t="shared" si="6"/>
        <v>1.7982502850139408E-3</v>
      </c>
      <c r="I33" s="629"/>
      <c r="J33" s="168"/>
      <c r="K33" s="168"/>
      <c r="M33" s="360">
        <f t="shared" si="7"/>
        <v>0.39233113255459623</v>
      </c>
      <c r="N33" s="360">
        <f>SUMMARY!J36</f>
        <v>0.84523554145971291</v>
      </c>
      <c r="P33"/>
      <c r="Q33"/>
    </row>
    <row r="34" spans="1:17" s="275" customFormat="1">
      <c r="A34" s="277" t="s">
        <v>92</v>
      </c>
      <c r="B34" s="278" t="s">
        <v>25</v>
      </c>
      <c r="C34" s="558">
        <f>'[51]Sch C'!D19</f>
        <v>10494</v>
      </c>
      <c r="D34" s="558">
        <f>'[51]Sch C'!F19</f>
        <v>-2422</v>
      </c>
      <c r="E34" s="248">
        <f t="shared" si="4"/>
        <v>8072</v>
      </c>
      <c r="F34" s="248">
        <v>109</v>
      </c>
      <c r="G34" s="248">
        <f t="shared" si="5"/>
        <v>8181</v>
      </c>
      <c r="H34" s="279">
        <f t="shared" si="6"/>
        <v>2.3804992850645712E-3</v>
      </c>
      <c r="I34" s="629"/>
      <c r="J34" s="168"/>
      <c r="K34" s="168"/>
      <c r="M34" s="360">
        <f t="shared" si="7"/>
        <v>0.51936262061960381</v>
      </c>
      <c r="N34" s="360">
        <f>SUMMARY!J37</f>
        <v>0.66565591578793926</v>
      </c>
      <c r="P34"/>
      <c r="Q34"/>
    </row>
    <row r="35" spans="1:17" s="275" customFormat="1">
      <c r="A35" s="277" t="s">
        <v>93</v>
      </c>
      <c r="B35" s="278" t="s">
        <v>26</v>
      </c>
      <c r="C35" s="558">
        <f>'[51]Sch C'!D20</f>
        <v>16214</v>
      </c>
      <c r="D35" s="558">
        <f>'[51]Sch C'!F20</f>
        <v>0</v>
      </c>
      <c r="E35" s="248">
        <f t="shared" si="4"/>
        <v>16214</v>
      </c>
      <c r="F35" s="248">
        <v>3893</v>
      </c>
      <c r="G35" s="248">
        <f t="shared" si="5"/>
        <v>20107</v>
      </c>
      <c r="H35" s="279">
        <f t="shared" si="6"/>
        <v>5.8507149645267492E-3</v>
      </c>
      <c r="I35" s="629"/>
      <c r="J35" s="168"/>
      <c r="K35" s="168"/>
      <c r="M35" s="360">
        <f t="shared" si="7"/>
        <v>1.2764728288471305</v>
      </c>
      <c r="N35" s="360">
        <f>SUMMARY!J38</f>
        <v>0.8424592434119561</v>
      </c>
      <c r="P35"/>
      <c r="Q35"/>
    </row>
    <row r="36" spans="1:17" s="275" customFormat="1">
      <c r="A36" s="277" t="s">
        <v>94</v>
      </c>
      <c r="B36" s="278" t="s">
        <v>27</v>
      </c>
      <c r="C36" s="558">
        <f>'[51]Sch C'!D21</f>
        <v>2005</v>
      </c>
      <c r="D36" s="558">
        <f>'[51]Sch C'!F21</f>
        <v>0</v>
      </c>
      <c r="E36" s="248">
        <f t="shared" si="4"/>
        <v>2005</v>
      </c>
      <c r="F36" s="248">
        <v>0</v>
      </c>
      <c r="G36" s="248">
        <f t="shared" si="5"/>
        <v>2005</v>
      </c>
      <c r="H36" s="279">
        <f t="shared" si="6"/>
        <v>5.8341291609271054E-4</v>
      </c>
      <c r="I36" s="629"/>
      <c r="J36" s="168"/>
      <c r="K36" s="168"/>
      <c r="M36" s="360">
        <f t="shared" si="7"/>
        <v>0.12728542407313356</v>
      </c>
      <c r="N36" s="360">
        <f>SUMMARY!J39</f>
        <v>1.3169235823352747</v>
      </c>
      <c r="P36"/>
      <c r="Q36"/>
    </row>
    <row r="37" spans="1:17" s="275" customFormat="1">
      <c r="A37" s="271">
        <v>130</v>
      </c>
      <c r="B37" s="278" t="s">
        <v>28</v>
      </c>
      <c r="C37" s="558">
        <f>'[51]Sch C'!D22</f>
        <v>0</v>
      </c>
      <c r="D37" s="558">
        <f>'[51]Sch C'!F22</f>
        <v>0</v>
      </c>
      <c r="E37" s="248">
        <f t="shared" si="4"/>
        <v>0</v>
      </c>
      <c r="F37" s="248">
        <v>0</v>
      </c>
      <c r="G37" s="248">
        <f t="shared" si="5"/>
        <v>0</v>
      </c>
      <c r="H37" s="279">
        <f t="shared" si="6"/>
        <v>0</v>
      </c>
      <c r="I37" s="629"/>
      <c r="J37" s="168"/>
      <c r="K37" s="168"/>
      <c r="M37" s="360">
        <f t="shared" si="7"/>
        <v>0</v>
      </c>
      <c r="N37" s="360">
        <f>SUMMARY!J40</f>
        <v>1.6613467841685443E-2</v>
      </c>
      <c r="P37"/>
      <c r="Q37"/>
    </row>
    <row r="38" spans="1:17" s="275" customFormat="1">
      <c r="A38" s="271">
        <v>140</v>
      </c>
      <c r="B38" s="278" t="s">
        <v>149</v>
      </c>
      <c r="C38" s="558">
        <f>'[51]Sch C'!D23</f>
        <v>24920</v>
      </c>
      <c r="D38" s="558">
        <f>'[51]Sch C'!F23</f>
        <v>0</v>
      </c>
      <c r="E38" s="248">
        <f t="shared" si="4"/>
        <v>24920</v>
      </c>
      <c r="F38" s="694">
        <f>2123-3630-1000</f>
        <v>-2507</v>
      </c>
      <c r="G38" s="248">
        <f t="shared" si="5"/>
        <v>22413</v>
      </c>
      <c r="H38" s="279">
        <f t="shared" si="6"/>
        <v>6.5217125627859956E-3</v>
      </c>
      <c r="I38" s="629"/>
      <c r="J38" s="168"/>
      <c r="K38" s="168"/>
      <c r="M38" s="360">
        <f t="shared" si="7"/>
        <v>1.422866937531742</v>
      </c>
      <c r="N38" s="360">
        <f>SUMMARY!J41</f>
        <v>0.78350447706162407</v>
      </c>
      <c r="P38"/>
      <c r="Q38"/>
    </row>
    <row r="39" spans="1:17" s="275" customFormat="1">
      <c r="A39" s="271">
        <v>150</v>
      </c>
      <c r="B39" s="278" t="s">
        <v>29</v>
      </c>
      <c r="C39" s="558">
        <f>'[51]Sch C'!D24</f>
        <v>55128</v>
      </c>
      <c r="D39" s="558">
        <f>'[51]Sch C'!F24</f>
        <v>-8000</v>
      </c>
      <c r="E39" s="248">
        <f t="shared" si="4"/>
        <v>47128</v>
      </c>
      <c r="F39" s="694">
        <f>8727-1430</f>
        <v>7297</v>
      </c>
      <c r="G39" s="248">
        <f t="shared" si="5"/>
        <v>54425</v>
      </c>
      <c r="H39" s="279">
        <f t="shared" si="6"/>
        <v>1.5836532647554E-2</v>
      </c>
      <c r="I39" s="629"/>
      <c r="J39" s="168"/>
      <c r="K39" s="168"/>
      <c r="M39" s="360">
        <f t="shared" si="7"/>
        <v>3.4551168105637378</v>
      </c>
      <c r="N39" s="360">
        <f>SUMMARY!J42</f>
        <v>1.2663707557948845</v>
      </c>
      <c r="P39"/>
      <c r="Q39"/>
    </row>
    <row r="40" spans="1:17" s="275" customFormat="1">
      <c r="A40" s="271">
        <v>160</v>
      </c>
      <c r="B40" s="278" t="s">
        <v>30</v>
      </c>
      <c r="C40" s="558">
        <f>'[51]Sch C'!D25</f>
        <v>0</v>
      </c>
      <c r="D40" s="558">
        <f>'[51]Sch C'!F25</f>
        <v>0</v>
      </c>
      <c r="E40" s="248">
        <f t="shared" si="4"/>
        <v>0</v>
      </c>
      <c r="F40" s="248">
        <v>0</v>
      </c>
      <c r="G40" s="248">
        <f t="shared" si="5"/>
        <v>0</v>
      </c>
      <c r="H40" s="279">
        <f t="shared" si="6"/>
        <v>0</v>
      </c>
      <c r="I40" s="629"/>
      <c r="J40" s="168"/>
      <c r="K40" s="168"/>
      <c r="M40" s="360">
        <f t="shared" si="7"/>
        <v>0</v>
      </c>
      <c r="N40" s="360">
        <f>SUMMARY!J43</f>
        <v>3.9859996698743162E-2</v>
      </c>
      <c r="P40"/>
      <c r="Q40"/>
    </row>
    <row r="41" spans="1:17" s="275" customFormat="1">
      <c r="A41" s="271">
        <v>170</v>
      </c>
      <c r="B41" s="278" t="s">
        <v>31</v>
      </c>
      <c r="C41" s="558">
        <f>'[51]Sch C'!D26</f>
        <v>197178</v>
      </c>
      <c r="D41" s="558">
        <f>'[51]Sch C'!F26</f>
        <v>0</v>
      </c>
      <c r="E41" s="248">
        <f t="shared" si="4"/>
        <v>197178</v>
      </c>
      <c r="F41" s="248">
        <v>35174</v>
      </c>
      <c r="G41" s="248">
        <f t="shared" si="5"/>
        <v>232352</v>
      </c>
      <c r="H41" s="279">
        <f t="shared" si="6"/>
        <v>6.7609555052355857E-2</v>
      </c>
      <c r="I41" s="629"/>
      <c r="J41" s="168"/>
      <c r="K41" s="168"/>
      <c r="M41" s="360">
        <f t="shared" si="7"/>
        <v>14.750634840020314</v>
      </c>
      <c r="N41" s="360">
        <f>SUMMARY!J44</f>
        <v>13.276275078297671</v>
      </c>
      <c r="P41"/>
      <c r="Q41"/>
    </row>
    <row r="42" spans="1:17" s="275" customFormat="1">
      <c r="A42" s="271">
        <v>180</v>
      </c>
      <c r="B42" s="278" t="s">
        <v>32</v>
      </c>
      <c r="C42" s="558">
        <f>'[51]Sch C'!D27</f>
        <v>0</v>
      </c>
      <c r="D42" s="558">
        <f>'[51]Sch C'!F27</f>
        <v>0</v>
      </c>
      <c r="E42" s="248">
        <f t="shared" si="4"/>
        <v>0</v>
      </c>
      <c r="F42" s="248">
        <v>0</v>
      </c>
      <c r="G42" s="248">
        <f t="shared" si="5"/>
        <v>0</v>
      </c>
      <c r="H42" s="279">
        <f t="shared" si="6"/>
        <v>0</v>
      </c>
      <c r="I42" s="629"/>
      <c r="J42" s="168"/>
      <c r="K42" s="168"/>
      <c r="M42" s="360">
        <f t="shared" si="7"/>
        <v>0</v>
      </c>
      <c r="N42" s="360">
        <f>SUMMARY!J45</f>
        <v>0.53704966247864372</v>
      </c>
      <c r="P42"/>
      <c r="Q42"/>
    </row>
    <row r="43" spans="1:17" s="275" customFormat="1">
      <c r="A43" s="271">
        <v>190</v>
      </c>
      <c r="B43" s="278" t="s">
        <v>33</v>
      </c>
      <c r="C43" s="558">
        <f>'[51]Sch C'!D28</f>
        <v>0</v>
      </c>
      <c r="D43" s="558">
        <f>'[51]Sch C'!F28</f>
        <v>0</v>
      </c>
      <c r="E43" s="248">
        <f t="shared" si="4"/>
        <v>0</v>
      </c>
      <c r="F43" s="248">
        <v>0</v>
      </c>
      <c r="G43" s="248">
        <f t="shared" si="5"/>
        <v>0</v>
      </c>
      <c r="H43" s="279">
        <f t="shared" si="6"/>
        <v>0</v>
      </c>
      <c r="I43" s="629"/>
      <c r="J43" s="168"/>
      <c r="K43" s="168"/>
      <c r="M43" s="360">
        <f t="shared" si="7"/>
        <v>0</v>
      </c>
      <c r="N43" s="360">
        <f>SUMMARY!J46</f>
        <v>0</v>
      </c>
      <c r="P43"/>
      <c r="Q43"/>
    </row>
    <row r="44" spans="1:17" s="275" customFormat="1">
      <c r="A44" s="271">
        <v>200</v>
      </c>
      <c r="B44" s="278" t="s">
        <v>34</v>
      </c>
      <c r="C44" s="558">
        <f>'[51]Sch C'!D29</f>
        <v>18894</v>
      </c>
      <c r="D44" s="558">
        <f>'[51]Sch C'!F29</f>
        <v>-18894</v>
      </c>
      <c r="E44" s="248">
        <f t="shared" si="4"/>
        <v>0</v>
      </c>
      <c r="F44" s="248">
        <v>0</v>
      </c>
      <c r="G44" s="248">
        <f t="shared" si="5"/>
        <v>0</v>
      </c>
      <c r="H44" s="279">
        <f t="shared" si="6"/>
        <v>0</v>
      </c>
      <c r="I44" s="629"/>
      <c r="J44" s="168"/>
      <c r="K44" s="168"/>
      <c r="M44" s="360">
        <f t="shared" si="7"/>
        <v>0</v>
      </c>
      <c r="N44" s="360">
        <f>SUMMARY!J47</f>
        <v>0</v>
      </c>
      <c r="P44"/>
      <c r="Q44"/>
    </row>
    <row r="45" spans="1:17" s="275" customFormat="1">
      <c r="A45" s="271">
        <v>210</v>
      </c>
      <c r="B45" s="278" t="s">
        <v>35</v>
      </c>
      <c r="C45" s="558">
        <f>'[51]Sch C'!D30</f>
        <v>0</v>
      </c>
      <c r="D45" s="558">
        <f>'[51]Sch C'!F30</f>
        <v>0</v>
      </c>
      <c r="E45" s="248">
        <f t="shared" si="4"/>
        <v>0</v>
      </c>
      <c r="F45" s="248">
        <v>0</v>
      </c>
      <c r="G45" s="248">
        <f t="shared" si="5"/>
        <v>0</v>
      </c>
      <c r="H45" s="279">
        <f t="shared" si="6"/>
        <v>0</v>
      </c>
      <c r="I45" s="629"/>
      <c r="J45" s="168"/>
      <c r="K45" s="168"/>
      <c r="M45" s="360">
        <f t="shared" si="7"/>
        <v>0</v>
      </c>
      <c r="N45" s="360">
        <f>SUMMARY!J48</f>
        <v>0</v>
      </c>
      <c r="P45"/>
      <c r="Q45"/>
    </row>
    <row r="46" spans="1:17" s="275" customFormat="1">
      <c r="A46" s="271">
        <v>220</v>
      </c>
      <c r="B46" s="278" t="s">
        <v>190</v>
      </c>
      <c r="C46" s="558">
        <f>'[51]Sch C'!D31</f>
        <v>44577</v>
      </c>
      <c r="D46" s="558">
        <f>'[51]Sch C'!F31</f>
        <v>0</v>
      </c>
      <c r="E46" s="248">
        <f t="shared" si="4"/>
        <v>44577</v>
      </c>
      <c r="F46" s="694">
        <f>9701-16873-3672</f>
        <v>-10844</v>
      </c>
      <c r="G46" s="248">
        <f t="shared" si="5"/>
        <v>33733</v>
      </c>
      <c r="H46" s="279">
        <f t="shared" si="6"/>
        <v>9.8155949618730209E-3</v>
      </c>
      <c r="I46" s="629"/>
      <c r="J46" s="168"/>
      <c r="K46" s="168"/>
      <c r="M46" s="360">
        <f t="shared" si="7"/>
        <v>2.141505840528187</v>
      </c>
      <c r="N46" s="360">
        <f>SUMMARY!J49</f>
        <v>1.2423066513894216</v>
      </c>
      <c r="P46"/>
      <c r="Q46"/>
    </row>
    <row r="47" spans="1:17" s="275" customFormat="1">
      <c r="A47" s="271">
        <v>230</v>
      </c>
      <c r="B47" s="278" t="s">
        <v>191</v>
      </c>
      <c r="C47" s="558">
        <f>'[51]Sch C'!D32</f>
        <v>53333</v>
      </c>
      <c r="D47" s="558">
        <f>'[51]Sch C'!F32</f>
        <v>-18229</v>
      </c>
      <c r="E47" s="248">
        <f t="shared" si="4"/>
        <v>35104</v>
      </c>
      <c r="F47" s="248">
        <v>7021</v>
      </c>
      <c r="G47" s="248">
        <f t="shared" si="5"/>
        <v>42125</v>
      </c>
      <c r="H47" s="279">
        <f t="shared" si="6"/>
        <v>1.2257490818157322E-2</v>
      </c>
      <c r="I47" s="629"/>
      <c r="J47" s="168"/>
      <c r="K47" s="168"/>
      <c r="M47" s="360">
        <f t="shared" si="7"/>
        <v>2.6742635855764347</v>
      </c>
      <c r="N47" s="360">
        <f>SUMMARY!J50</f>
        <v>2.4834328319281553</v>
      </c>
      <c r="P47"/>
      <c r="Q47"/>
    </row>
    <row r="48" spans="1:17" s="275" customFormat="1">
      <c r="A48" s="271">
        <v>240</v>
      </c>
      <c r="B48" s="278" t="s">
        <v>201</v>
      </c>
      <c r="C48" s="558">
        <f>'[51]Sch C'!D33</f>
        <v>0</v>
      </c>
      <c r="D48" s="558">
        <f>'[51]Sch C'!F33</f>
        <v>0</v>
      </c>
      <c r="E48" s="248">
        <f t="shared" si="4"/>
        <v>0</v>
      </c>
      <c r="F48" s="248">
        <v>0</v>
      </c>
      <c r="G48" s="248">
        <f t="shared" si="5"/>
        <v>0</v>
      </c>
      <c r="H48" s="279">
        <f t="shared" si="6"/>
        <v>0</v>
      </c>
      <c r="I48" s="629"/>
      <c r="J48" s="168"/>
      <c r="K48" s="168"/>
      <c r="M48" s="360">
        <f t="shared" si="7"/>
        <v>0</v>
      </c>
      <c r="N48" s="360">
        <f>SUMMARY!J51</f>
        <v>0</v>
      </c>
      <c r="P48"/>
      <c r="Q48"/>
    </row>
    <row r="49" spans="1:17" s="275" customFormat="1">
      <c r="A49" s="271">
        <v>250</v>
      </c>
      <c r="B49" s="278" t="s">
        <v>202</v>
      </c>
      <c r="C49" s="558">
        <f>'[51]Sch C'!D34</f>
        <v>0</v>
      </c>
      <c r="D49" s="558">
        <f>'[51]Sch C'!F34</f>
        <v>0</v>
      </c>
      <c r="E49" s="248">
        <f t="shared" si="4"/>
        <v>0</v>
      </c>
      <c r="F49" s="248">
        <v>0</v>
      </c>
      <c r="G49" s="248">
        <f t="shared" si="5"/>
        <v>0</v>
      </c>
      <c r="H49" s="279">
        <f t="shared" si="6"/>
        <v>0</v>
      </c>
      <c r="I49" s="629"/>
      <c r="J49" s="168"/>
      <c r="K49" s="168"/>
      <c r="M49" s="360">
        <f t="shared" si="7"/>
        <v>0</v>
      </c>
      <c r="N49" s="360">
        <f>SUMMARY!J52</f>
        <v>1.9989597825457835E-2</v>
      </c>
      <c r="P49"/>
      <c r="Q49"/>
    </row>
    <row r="50" spans="1:17" s="275" customFormat="1">
      <c r="A50" s="271">
        <v>270</v>
      </c>
      <c r="B50" s="278" t="s">
        <v>203</v>
      </c>
      <c r="C50" s="558">
        <f>'[51]Sch C'!D35</f>
        <v>101</v>
      </c>
      <c r="D50" s="558">
        <f>'[51]Sch C'!F35</f>
        <v>-101</v>
      </c>
      <c r="E50" s="248">
        <f t="shared" si="4"/>
        <v>0</v>
      </c>
      <c r="F50" s="248">
        <v>0</v>
      </c>
      <c r="G50" s="248">
        <f t="shared" si="5"/>
        <v>0</v>
      </c>
      <c r="H50" s="279">
        <f t="shared" si="6"/>
        <v>0</v>
      </c>
      <c r="I50" s="629"/>
      <c r="J50" s="168"/>
      <c r="K50" s="168"/>
      <c r="M50" s="360">
        <f t="shared" si="7"/>
        <v>0</v>
      </c>
      <c r="N50" s="360">
        <f>SUMMARY!J53</f>
        <v>0</v>
      </c>
      <c r="P50"/>
      <c r="Q50"/>
    </row>
    <row r="51" spans="1:17" s="275" customFormat="1">
      <c r="A51" s="271">
        <v>280</v>
      </c>
      <c r="B51" s="278" t="s">
        <v>204</v>
      </c>
      <c r="C51" s="558">
        <f>'[51]Sch C'!D36</f>
        <v>0</v>
      </c>
      <c r="D51" s="558">
        <f>'[51]Sch C'!F36</f>
        <v>0</v>
      </c>
      <c r="E51" s="248">
        <f t="shared" si="4"/>
        <v>0</v>
      </c>
      <c r="F51" s="248">
        <v>0</v>
      </c>
      <c r="G51" s="248">
        <f t="shared" si="5"/>
        <v>0</v>
      </c>
      <c r="H51" s="279">
        <f t="shared" si="6"/>
        <v>0</v>
      </c>
      <c r="I51" s="629"/>
      <c r="J51" s="183">
        <v>0</v>
      </c>
      <c r="K51" s="183">
        <v>0</v>
      </c>
      <c r="M51" s="360">
        <f t="shared" si="7"/>
        <v>0</v>
      </c>
      <c r="N51" s="360">
        <f>SUMMARY!J54</f>
        <v>0.71016556619157756</v>
      </c>
      <c r="P51"/>
      <c r="Q51"/>
    </row>
    <row r="52" spans="1:17" s="275" customFormat="1">
      <c r="A52" s="271">
        <v>290</v>
      </c>
      <c r="B52" s="278" t="s">
        <v>205</v>
      </c>
      <c r="C52" s="558">
        <f>'[51]Sch C'!D37</f>
        <v>0</v>
      </c>
      <c r="D52" s="558">
        <f>'[51]Sch C'!F37</f>
        <v>0</v>
      </c>
      <c r="E52" s="248">
        <f t="shared" si="4"/>
        <v>0</v>
      </c>
      <c r="F52" s="248">
        <v>0</v>
      </c>
      <c r="G52" s="248">
        <f t="shared" si="5"/>
        <v>0</v>
      </c>
      <c r="H52" s="279">
        <f t="shared" si="6"/>
        <v>0</v>
      </c>
      <c r="I52" s="629"/>
      <c r="J52" s="168"/>
      <c r="K52" s="168"/>
      <c r="M52" s="360">
        <f t="shared" si="7"/>
        <v>0</v>
      </c>
      <c r="N52" s="360">
        <f>SUMMARY!J55</f>
        <v>0.1226645084196832</v>
      </c>
      <c r="P52"/>
      <c r="Q52"/>
    </row>
    <row r="53" spans="1:17" s="275" customFormat="1">
      <c r="A53" s="271">
        <v>300</v>
      </c>
      <c r="B53" s="278" t="s">
        <v>206</v>
      </c>
      <c r="C53" s="558">
        <f>'[51]Sch C'!D38</f>
        <v>409</v>
      </c>
      <c r="D53" s="558">
        <f>'[51]Sch C'!F38</f>
        <v>-409</v>
      </c>
      <c r="E53" s="248">
        <f t="shared" si="4"/>
        <v>0</v>
      </c>
      <c r="F53" s="248">
        <v>0</v>
      </c>
      <c r="G53" s="248">
        <f t="shared" si="5"/>
        <v>0</v>
      </c>
      <c r="H53" s="279">
        <f t="shared" si="6"/>
        <v>0</v>
      </c>
      <c r="I53" s="629"/>
      <c r="J53" s="168"/>
      <c r="K53" s="168"/>
      <c r="M53" s="360">
        <f t="shared" si="7"/>
        <v>0</v>
      </c>
      <c r="N53" s="360">
        <f>SUMMARY!J56</f>
        <v>2.2357065225546585E-3</v>
      </c>
      <c r="P53"/>
      <c r="Q53"/>
    </row>
    <row r="54" spans="1:17" s="275" customFormat="1">
      <c r="A54" s="271">
        <v>310</v>
      </c>
      <c r="B54" s="278" t="s">
        <v>207</v>
      </c>
      <c r="C54" s="558">
        <f>'[51]Sch C'!D39</f>
        <v>1106</v>
      </c>
      <c r="D54" s="558">
        <f>'[51]Sch C'!F39</f>
        <v>0</v>
      </c>
      <c r="E54" s="248">
        <f t="shared" si="4"/>
        <v>1106</v>
      </c>
      <c r="F54" s="248">
        <v>317</v>
      </c>
      <c r="G54" s="248">
        <f t="shared" si="5"/>
        <v>1423</v>
      </c>
      <c r="H54" s="279">
        <f t="shared" si="6"/>
        <v>4.1406313197003846E-4</v>
      </c>
      <c r="I54" s="629"/>
      <c r="J54" s="168"/>
      <c r="K54" s="168"/>
      <c r="M54" s="360">
        <f t="shared" si="7"/>
        <v>9.0337734890807514E-2</v>
      </c>
      <c r="N54" s="360">
        <f>SUMMARY!J57</f>
        <v>0.27779592873572578</v>
      </c>
      <c r="P54"/>
      <c r="Q54"/>
    </row>
    <row r="55" spans="1:17" s="275" customFormat="1">
      <c r="A55" s="271">
        <v>320</v>
      </c>
      <c r="B55" s="278" t="s">
        <v>208</v>
      </c>
      <c r="C55" s="558">
        <f>'[51]Sch C'!D40</f>
        <v>10818</v>
      </c>
      <c r="D55" s="558">
        <f>'[51]Sch C'!F40</f>
        <v>0</v>
      </c>
      <c r="E55" s="248">
        <f t="shared" si="4"/>
        <v>10818</v>
      </c>
      <c r="F55" s="694">
        <f>33-1139</f>
        <v>-1106</v>
      </c>
      <c r="G55" s="248">
        <f t="shared" si="5"/>
        <v>9712</v>
      </c>
      <c r="H55" s="279">
        <f t="shared" si="6"/>
        <v>2.8259881501707758E-3</v>
      </c>
      <c r="I55" s="629"/>
      <c r="J55" s="168"/>
      <c r="K55" s="168"/>
      <c r="M55" s="360">
        <f t="shared" si="7"/>
        <v>0.61655662772981212</v>
      </c>
      <c r="N55" s="360">
        <f>SUMMARY!J58</f>
        <v>0.16653887337107628</v>
      </c>
      <c r="P55"/>
      <c r="Q55"/>
    </row>
    <row r="56" spans="1:17" s="275" customFormat="1">
      <c r="A56" s="271">
        <v>330</v>
      </c>
      <c r="B56" s="278" t="s">
        <v>48</v>
      </c>
      <c r="C56" s="558">
        <f>'[51]Sch C'!D41</f>
        <v>6349</v>
      </c>
      <c r="D56" s="558">
        <f>'[51]Sch C'!F41</f>
        <v>0</v>
      </c>
      <c r="E56" s="248">
        <f t="shared" si="4"/>
        <v>6349</v>
      </c>
      <c r="F56" s="248">
        <v>1685</v>
      </c>
      <c r="G56" s="248">
        <f t="shared" si="5"/>
        <v>8034</v>
      </c>
      <c r="H56" s="279">
        <f t="shared" si="6"/>
        <v>2.3377253705181233E-3</v>
      </c>
      <c r="I56" s="629"/>
      <c r="J56" s="168"/>
      <c r="K56" s="168"/>
      <c r="M56" s="360">
        <f t="shared" si="7"/>
        <v>0.51003047232097509</v>
      </c>
      <c r="N56" s="360">
        <f>SUMMARY!J59</f>
        <v>2.14994424305825</v>
      </c>
      <c r="P56"/>
      <c r="Q56"/>
    </row>
    <row r="57" spans="1:17" s="275" customFormat="1">
      <c r="A57" s="271">
        <v>340</v>
      </c>
      <c r="B57" s="278" t="s">
        <v>209</v>
      </c>
      <c r="C57" s="558">
        <f>'[51]Sch C'!D42</f>
        <v>5330</v>
      </c>
      <c r="D57" s="558">
        <f>'[51]Sch C'!F42</f>
        <v>0</v>
      </c>
      <c r="E57" s="248">
        <f t="shared" si="4"/>
        <v>5330</v>
      </c>
      <c r="F57" s="248">
        <v>929</v>
      </c>
      <c r="G57" s="248">
        <f t="shared" si="5"/>
        <v>6259</v>
      </c>
      <c r="H57" s="279">
        <f t="shared" si="6"/>
        <v>1.8212376268450252E-3</v>
      </c>
      <c r="I57" s="629"/>
      <c r="J57" s="168"/>
      <c r="K57" s="168"/>
      <c r="M57" s="360">
        <f t="shared" si="7"/>
        <v>0.39734636871508378</v>
      </c>
      <c r="N57" s="360">
        <f>SUMMARY!J60</f>
        <v>0.23079784303595582</v>
      </c>
      <c r="P57"/>
      <c r="Q57"/>
    </row>
    <row r="58" spans="1:17" s="275" customFormat="1">
      <c r="A58" s="271">
        <v>350</v>
      </c>
      <c r="B58" s="278" t="s">
        <v>210</v>
      </c>
      <c r="C58" s="558">
        <f>'[51]Sch C'!D43</f>
        <v>40</v>
      </c>
      <c r="D58" s="558">
        <f>'[51]Sch C'!F43</f>
        <v>0</v>
      </c>
      <c r="E58" s="248">
        <f t="shared" si="4"/>
        <v>40</v>
      </c>
      <c r="F58" s="694">
        <f>0+560</f>
        <v>560</v>
      </c>
      <c r="G58" s="248">
        <f t="shared" si="5"/>
        <v>600</v>
      </c>
      <c r="H58" s="279">
        <f t="shared" si="6"/>
        <v>1.7458740631203309E-4</v>
      </c>
      <c r="I58" s="629"/>
      <c r="J58" s="168"/>
      <c r="K58" s="168"/>
      <c r="M58" s="360">
        <f t="shared" si="7"/>
        <v>3.8090401218892837E-2</v>
      </c>
      <c r="N58" s="360">
        <f>SUMMARY!J61</f>
        <v>0.17688029085358925</v>
      </c>
      <c r="P58"/>
      <c r="Q58"/>
    </row>
    <row r="59" spans="1:17" s="275" customFormat="1">
      <c r="A59" s="271">
        <v>360</v>
      </c>
      <c r="B59" s="278" t="s">
        <v>211</v>
      </c>
      <c r="C59" s="558">
        <f>'[51]Sch C'!D44</f>
        <v>0</v>
      </c>
      <c r="D59" s="558">
        <f>'[51]Sch C'!F44</f>
        <v>0</v>
      </c>
      <c r="E59" s="248">
        <f t="shared" si="4"/>
        <v>0</v>
      </c>
      <c r="F59" s="248">
        <v>0</v>
      </c>
      <c r="G59" s="248">
        <f t="shared" si="5"/>
        <v>0</v>
      </c>
      <c r="H59" s="279">
        <f t="shared" si="6"/>
        <v>0</v>
      </c>
      <c r="I59" s="629"/>
      <c r="J59" s="168"/>
      <c r="K59" s="168"/>
      <c r="M59" s="360">
        <f t="shared" si="7"/>
        <v>0</v>
      </c>
      <c r="N59" s="360">
        <f>SUMMARY!J62</f>
        <v>6.0661826966981001E-3</v>
      </c>
      <c r="P59"/>
      <c r="Q59"/>
    </row>
    <row r="60" spans="1:17" s="275" customFormat="1">
      <c r="A60" s="271">
        <v>490</v>
      </c>
      <c r="B60" s="278" t="s">
        <v>36</v>
      </c>
      <c r="C60" s="558">
        <f>'[51]Sch C'!D45</f>
        <v>2322</v>
      </c>
      <c r="D60" s="558">
        <f>'[51]Sch C'!F45</f>
        <v>-7198</v>
      </c>
      <c r="E60" s="248">
        <f t="shared" si="4"/>
        <v>-4876</v>
      </c>
      <c r="F60" s="694">
        <f>-2381+1139</f>
        <v>-1242</v>
      </c>
      <c r="G60" s="248">
        <f t="shared" si="5"/>
        <v>-6118</v>
      </c>
      <c r="H60" s="279">
        <f t="shared" si="6"/>
        <v>-1.7802095863616973E-3</v>
      </c>
      <c r="I60" s="629"/>
      <c r="J60" s="168"/>
      <c r="K60" s="168"/>
      <c r="M60" s="360">
        <f t="shared" si="7"/>
        <v>-0.38839512442864399</v>
      </c>
      <c r="N60" s="360">
        <f>SUMMARY!J63</f>
        <v>0.69532317482298633</v>
      </c>
      <c r="P60"/>
      <c r="Q60"/>
    </row>
    <row r="61" spans="1:17" s="275" customFormat="1">
      <c r="A61" s="271"/>
      <c r="B61" s="278" t="s">
        <v>177</v>
      </c>
      <c r="C61" s="558">
        <f>SUM(C25:C60)</f>
        <v>1078608</v>
      </c>
      <c r="D61" s="558">
        <f>SUM(D25:D60)</f>
        <v>-103048</v>
      </c>
      <c r="E61" s="248">
        <f t="shared" ref="E61:F61" si="8">SUM(E25:E60)</f>
        <v>975560</v>
      </c>
      <c r="F61" s="248">
        <f t="shared" si="8"/>
        <v>24312</v>
      </c>
      <c r="G61" s="248">
        <f>SUM(G25:G60)</f>
        <v>999872</v>
      </c>
      <c r="H61" s="290">
        <f t="shared" si="6"/>
        <v>0.29094176520670856</v>
      </c>
      <c r="I61" s="630"/>
      <c r="J61" s="168"/>
      <c r="K61" s="168"/>
      <c r="M61" s="367">
        <f>G61/G$228</f>
        <v>63.475876079228037</v>
      </c>
      <c r="N61" s="360">
        <f>SUMMARY!J64</f>
        <v>53.728790309602623</v>
      </c>
      <c r="O61" s="355">
        <f>M61/N61-1</f>
        <v>0.18141271585419227</v>
      </c>
      <c r="P61"/>
      <c r="Q61"/>
    </row>
    <row r="62" spans="1:17" s="275" customFormat="1">
      <c r="A62" s="271"/>
      <c r="C62" s="165"/>
      <c r="D62" s="165"/>
      <c r="E62" s="273"/>
      <c r="F62" s="273"/>
      <c r="G62" s="273"/>
      <c r="H62" s="187"/>
      <c r="I62" s="610"/>
      <c r="J62" s="168"/>
      <c r="K62" s="168"/>
      <c r="M62" s="360"/>
      <c r="N62" s="360"/>
      <c r="P62"/>
      <c r="Q62"/>
    </row>
    <row r="63" spans="1:17" s="275" customFormat="1">
      <c r="A63" s="277" t="s">
        <v>162</v>
      </c>
      <c r="B63" s="278" t="s">
        <v>178</v>
      </c>
      <c r="C63" s="165"/>
      <c r="D63" s="165"/>
      <c r="E63" s="273"/>
      <c r="F63" s="273"/>
      <c r="G63" s="273"/>
      <c r="H63" s="187"/>
      <c r="I63" s="610"/>
      <c r="J63" s="168"/>
      <c r="K63" s="168"/>
      <c r="M63" s="360"/>
      <c r="N63" s="360"/>
      <c r="P63"/>
      <c r="Q63"/>
    </row>
    <row r="64" spans="1:17" s="275" customFormat="1">
      <c r="A64" s="291">
        <v>230</v>
      </c>
      <c r="B64" s="292" t="s">
        <v>253</v>
      </c>
      <c r="C64" s="558">
        <f>'[51]Sch C'!D57</f>
        <v>275000</v>
      </c>
      <c r="D64" s="558">
        <f>'[51]Sch C'!F57</f>
        <v>0</v>
      </c>
      <c r="E64" s="248">
        <f t="shared" ref="E64:E78" si="9">C64+D64</f>
        <v>275000</v>
      </c>
      <c r="F64" s="694">
        <f>30483-275000-30483</f>
        <v>-275000</v>
      </c>
      <c r="G64" s="248">
        <f t="shared" ref="G64:G78" si="10">E64+F64</f>
        <v>0</v>
      </c>
      <c r="H64" s="279">
        <f t="shared" ref="H64:H79" si="11">IF($G$208=0,0,G64/$G$208)</f>
        <v>0</v>
      </c>
      <c r="I64" s="629"/>
      <c r="J64" s="190"/>
      <c r="K64" s="168"/>
      <c r="M64" s="360">
        <f t="shared" ref="M64:M79" si="12">G64/G$228</f>
        <v>0</v>
      </c>
      <c r="N64" s="360">
        <f>SUMMARY!J67</f>
        <v>5.7390436698400178</v>
      </c>
      <c r="P64"/>
      <c r="Q64"/>
    </row>
    <row r="65" spans="1:17" s="275" customFormat="1">
      <c r="A65" s="293">
        <v>240</v>
      </c>
      <c r="B65" s="292" t="s">
        <v>254</v>
      </c>
      <c r="C65" s="558">
        <f>'[51]Sch C'!D58</f>
        <v>1318</v>
      </c>
      <c r="D65" s="558">
        <f>'[51]Sch C'!F58</f>
        <v>0</v>
      </c>
      <c r="E65" s="248">
        <f t="shared" si="9"/>
        <v>1318</v>
      </c>
      <c r="F65" s="694">
        <f>342+95433+19087</f>
        <v>114862</v>
      </c>
      <c r="G65" s="248">
        <f t="shared" si="10"/>
        <v>116180</v>
      </c>
      <c r="H65" s="279">
        <f t="shared" si="11"/>
        <v>3.380594144222001E-2</v>
      </c>
      <c r="I65" s="629"/>
      <c r="J65" s="190"/>
      <c r="K65" s="168"/>
      <c r="M65" s="360">
        <f t="shared" si="12"/>
        <v>7.3755713560182832</v>
      </c>
      <c r="N65" s="360">
        <f>SUMMARY!J68</f>
        <v>5.746156082994454</v>
      </c>
      <c r="P65"/>
      <c r="Q65"/>
    </row>
    <row r="66" spans="1:17" s="275" customFormat="1">
      <c r="A66" s="294">
        <v>250</v>
      </c>
      <c r="B66" s="292" t="s">
        <v>307</v>
      </c>
      <c r="C66" s="558">
        <f>'[51]Sch C'!D59</f>
        <v>0</v>
      </c>
      <c r="D66" s="558">
        <f>'[51]Sch C'!F59</f>
        <v>0</v>
      </c>
      <c r="E66" s="248">
        <f t="shared" si="9"/>
        <v>0</v>
      </c>
      <c r="F66" s="694">
        <f>0+56720+11344</f>
        <v>68064</v>
      </c>
      <c r="G66" s="248">
        <f t="shared" si="10"/>
        <v>68064</v>
      </c>
      <c r="H66" s="279">
        <f t="shared" si="11"/>
        <v>1.9805195372037034E-2</v>
      </c>
      <c r="I66" s="629"/>
      <c r="J66" s="190"/>
      <c r="K66" s="168"/>
      <c r="M66" s="360">
        <f t="shared" si="12"/>
        <v>4.3209751142712038</v>
      </c>
      <c r="N66" s="360">
        <f>SUMMARY!J69</f>
        <v>4.7427204071264262</v>
      </c>
      <c r="P66"/>
      <c r="Q66"/>
    </row>
    <row r="67" spans="1:17" s="275" customFormat="1">
      <c r="A67" s="294">
        <v>260</v>
      </c>
      <c r="B67" s="295" t="s">
        <v>308</v>
      </c>
      <c r="C67" s="558">
        <f>'[51]Sch C'!D60</f>
        <v>9731</v>
      </c>
      <c r="D67" s="558">
        <f>'[51]Sch C'!F60</f>
        <v>0</v>
      </c>
      <c r="E67" s="248">
        <f t="shared" si="9"/>
        <v>9731</v>
      </c>
      <c r="F67" s="248">
        <v>1914</v>
      </c>
      <c r="G67" s="248">
        <f t="shared" si="10"/>
        <v>11645</v>
      </c>
      <c r="H67" s="279">
        <f t="shared" si="11"/>
        <v>3.388450577506042E-3</v>
      </c>
      <c r="I67" s="629"/>
      <c r="J67" s="193"/>
      <c r="K67" s="168"/>
      <c r="M67" s="360">
        <f t="shared" si="12"/>
        <v>0.73927120365667853</v>
      </c>
      <c r="N67" s="360">
        <f>SUMMARY!J70</f>
        <v>1.3209605424779576</v>
      </c>
      <c r="P67"/>
      <c r="Q67"/>
    </row>
    <row r="68" spans="1:17" s="275" customFormat="1">
      <c r="A68" s="294">
        <v>270</v>
      </c>
      <c r="B68" s="295" t="s">
        <v>309</v>
      </c>
      <c r="C68" s="558">
        <f>'[51]Sch C'!D61</f>
        <v>4838</v>
      </c>
      <c r="D68" s="558">
        <f>'[51]Sch C'!F61</f>
        <v>0</v>
      </c>
      <c r="E68" s="248">
        <f t="shared" si="9"/>
        <v>4838</v>
      </c>
      <c r="F68" s="248">
        <v>929</v>
      </c>
      <c r="G68" s="248">
        <f t="shared" si="10"/>
        <v>5767</v>
      </c>
      <c r="H68" s="279">
        <f t="shared" si="11"/>
        <v>1.678075953669158E-3</v>
      </c>
      <c r="I68" s="629"/>
      <c r="J68" s="193"/>
      <c r="K68" s="168"/>
      <c r="M68" s="360">
        <f t="shared" si="12"/>
        <v>0.36611223971559165</v>
      </c>
      <c r="N68" s="360">
        <f>SUMMARY!J71</f>
        <v>0.53904014885667173</v>
      </c>
      <c r="P68"/>
      <c r="Q68"/>
    </row>
    <row r="69" spans="1:17" s="275" customFormat="1">
      <c r="A69" s="294">
        <v>280</v>
      </c>
      <c r="B69" s="296" t="s">
        <v>258</v>
      </c>
      <c r="C69" s="558">
        <f>'[51]Sch C'!D62</f>
        <v>6681</v>
      </c>
      <c r="D69" s="558">
        <f>'[51]Sch C'!F62</f>
        <v>0</v>
      </c>
      <c r="E69" s="248">
        <f t="shared" si="9"/>
        <v>6681</v>
      </c>
      <c r="F69" s="248">
        <v>1336</v>
      </c>
      <c r="G69" s="248">
        <f t="shared" si="10"/>
        <v>8017</v>
      </c>
      <c r="H69" s="279">
        <f t="shared" si="11"/>
        <v>2.3327787273392823E-3</v>
      </c>
      <c r="I69" s="629"/>
      <c r="J69" s="195"/>
      <c r="K69" s="168"/>
      <c r="M69" s="360">
        <f t="shared" si="12"/>
        <v>0.50895124428643979</v>
      </c>
      <c r="N69" s="360">
        <f>SUMMARY!J72</f>
        <v>0.16713696357256011</v>
      </c>
      <c r="P69"/>
      <c r="Q69"/>
    </row>
    <row r="70" spans="1:17" s="275" customFormat="1">
      <c r="A70" s="294">
        <v>290</v>
      </c>
      <c r="B70" s="296" t="s">
        <v>259</v>
      </c>
      <c r="C70" s="558">
        <f>'[51]Sch C'!D63</f>
        <v>0</v>
      </c>
      <c r="D70" s="558">
        <f>'[51]Sch C'!F63</f>
        <v>0</v>
      </c>
      <c r="E70" s="248">
        <f t="shared" si="9"/>
        <v>0</v>
      </c>
      <c r="F70" s="248">
        <v>0</v>
      </c>
      <c r="G70" s="248">
        <f t="shared" si="10"/>
        <v>0</v>
      </c>
      <c r="H70" s="279">
        <f t="shared" si="11"/>
        <v>0</v>
      </c>
      <c r="I70" s="629"/>
      <c r="J70" s="195"/>
      <c r="K70" s="168"/>
      <c r="M70" s="360">
        <f t="shared" si="12"/>
        <v>0</v>
      </c>
      <c r="N70" s="360">
        <f>SUMMARY!J73</f>
        <v>1.8777613191307831E-3</v>
      </c>
      <c r="P70"/>
      <c r="Q70"/>
    </row>
    <row r="71" spans="1:17" s="275" customFormat="1">
      <c r="A71" s="294">
        <v>300</v>
      </c>
      <c r="B71" s="296" t="s">
        <v>260</v>
      </c>
      <c r="C71" s="558">
        <f>'[51]Sch C'!D64</f>
        <v>0</v>
      </c>
      <c r="D71" s="558">
        <f>'[51]Sch C'!F64</f>
        <v>0</v>
      </c>
      <c r="E71" s="248">
        <f t="shared" si="9"/>
        <v>0</v>
      </c>
      <c r="F71" s="248">
        <v>0</v>
      </c>
      <c r="G71" s="248">
        <f t="shared" si="10"/>
        <v>0</v>
      </c>
      <c r="H71" s="279">
        <f t="shared" si="11"/>
        <v>0</v>
      </c>
      <c r="I71" s="629"/>
      <c r="J71" s="195"/>
      <c r="K71" s="168"/>
      <c r="M71" s="360">
        <f t="shared" si="12"/>
        <v>0</v>
      </c>
      <c r="N71" s="360">
        <f>SUMMARY!J74</f>
        <v>4.8232648572635154E-4</v>
      </c>
      <c r="P71"/>
      <c r="Q71"/>
    </row>
    <row r="72" spans="1:17" s="275" customFormat="1">
      <c r="A72" s="294">
        <v>310</v>
      </c>
      <c r="B72" s="296" t="s">
        <v>310</v>
      </c>
      <c r="C72" s="558">
        <f>'[51]Sch C'!D65</f>
        <v>7215</v>
      </c>
      <c r="D72" s="558">
        <f>'[51]Sch C'!F65</f>
        <v>0</v>
      </c>
      <c r="E72" s="248">
        <f t="shared" si="9"/>
        <v>7215</v>
      </c>
      <c r="F72" s="248">
        <v>1371</v>
      </c>
      <c r="G72" s="248">
        <f t="shared" si="10"/>
        <v>8586</v>
      </c>
      <c r="H72" s="279">
        <f t="shared" si="11"/>
        <v>2.4983457843251937E-3</v>
      </c>
      <c r="I72" s="629"/>
      <c r="J72" s="195"/>
      <c r="K72" s="168"/>
      <c r="M72" s="360">
        <f t="shared" si="12"/>
        <v>0.54507364144235648</v>
      </c>
      <c r="N72" s="360">
        <f>SUMMARY!J75</f>
        <v>0.16263825084835873</v>
      </c>
      <c r="P72"/>
      <c r="Q72"/>
    </row>
    <row r="73" spans="1:17" s="275" customFormat="1">
      <c r="A73" s="294">
        <v>320</v>
      </c>
      <c r="B73" s="296" t="s">
        <v>262</v>
      </c>
      <c r="C73" s="558">
        <f>'[51]Sch C'!D66</f>
        <v>4152</v>
      </c>
      <c r="D73" s="558">
        <f>'[51]Sch C'!F66</f>
        <v>0</v>
      </c>
      <c r="E73" s="248">
        <f t="shared" si="9"/>
        <v>4152</v>
      </c>
      <c r="F73" s="248">
        <v>1087</v>
      </c>
      <c r="G73" s="248">
        <f t="shared" si="10"/>
        <v>5239</v>
      </c>
      <c r="H73" s="279">
        <f t="shared" si="11"/>
        <v>1.5244390361145688E-3</v>
      </c>
      <c r="I73" s="629"/>
      <c r="J73" s="195"/>
      <c r="K73" s="168"/>
      <c r="M73" s="360">
        <f t="shared" si="12"/>
        <v>0.33259268664296598</v>
      </c>
      <c r="N73" s="360">
        <f>SUMMARY!J76</f>
        <v>0.81830256983551586</v>
      </c>
      <c r="P73"/>
      <c r="Q73"/>
    </row>
    <row r="74" spans="1:17" s="275" customFormat="1">
      <c r="A74" s="294">
        <v>330</v>
      </c>
      <c r="B74" s="296" t="s">
        <v>263</v>
      </c>
      <c r="C74" s="558">
        <f>'[51]Sch C'!D67</f>
        <v>25303</v>
      </c>
      <c r="D74" s="558">
        <f>'[51]Sch C'!F67</f>
        <v>-43</v>
      </c>
      <c r="E74" s="248">
        <f t="shared" si="9"/>
        <v>25260</v>
      </c>
      <c r="F74" s="248">
        <v>6851</v>
      </c>
      <c r="G74" s="248">
        <f t="shared" si="10"/>
        <v>32111</v>
      </c>
      <c r="H74" s="279">
        <f t="shared" si="11"/>
        <v>9.3436270068094907E-3</v>
      </c>
      <c r="I74" s="629"/>
      <c r="J74" s="195"/>
      <c r="K74" s="168"/>
      <c r="M74" s="360">
        <f t="shared" si="12"/>
        <v>2.0385347892331134</v>
      </c>
      <c r="N74" s="360">
        <f>SUMMARY!J77</f>
        <v>3.2132948973832529</v>
      </c>
      <c r="P74"/>
      <c r="Q74"/>
    </row>
    <row r="75" spans="1:17" s="275" customFormat="1">
      <c r="A75" s="294">
        <v>340</v>
      </c>
      <c r="B75" s="296" t="s">
        <v>264</v>
      </c>
      <c r="C75" s="558">
        <f>'[51]Sch C'!D68</f>
        <v>0</v>
      </c>
      <c r="D75" s="558">
        <f>'[51]Sch C'!F68</f>
        <v>0</v>
      </c>
      <c r="E75" s="248">
        <f t="shared" si="9"/>
        <v>0</v>
      </c>
      <c r="F75" s="248">
        <v>0</v>
      </c>
      <c r="G75" s="248">
        <f t="shared" si="10"/>
        <v>0</v>
      </c>
      <c r="H75" s="279">
        <f t="shared" si="11"/>
        <v>0</v>
      </c>
      <c r="I75" s="629"/>
      <c r="J75" s="195"/>
      <c r="K75" s="168"/>
      <c r="M75" s="360">
        <f t="shared" si="12"/>
        <v>0</v>
      </c>
      <c r="N75" s="360">
        <f>SUMMARY!J78</f>
        <v>7.1389679070674769E-2</v>
      </c>
      <c r="P75"/>
      <c r="Q75"/>
    </row>
    <row r="76" spans="1:17" s="275" customFormat="1">
      <c r="A76" s="275">
        <v>350</v>
      </c>
      <c r="B76" s="195" t="s">
        <v>311</v>
      </c>
      <c r="C76" s="558">
        <f>'[51]Sch C'!D69</f>
        <v>2096</v>
      </c>
      <c r="D76" s="558">
        <f>'[51]Sch C'!F69</f>
        <v>0</v>
      </c>
      <c r="E76" s="248">
        <f t="shared" si="9"/>
        <v>2096</v>
      </c>
      <c r="F76" s="248">
        <v>698</v>
      </c>
      <c r="G76" s="248">
        <f t="shared" si="10"/>
        <v>2794</v>
      </c>
      <c r="H76" s="279">
        <f t="shared" si="11"/>
        <v>8.1299535539303407E-4</v>
      </c>
      <c r="I76" s="629"/>
      <c r="J76" s="195"/>
      <c r="K76" s="168"/>
      <c r="M76" s="360">
        <f t="shared" si="12"/>
        <v>0.17737430167597765</v>
      </c>
      <c r="N76" s="360">
        <f>SUMMARY!J79</f>
        <v>0.13243591488759648</v>
      </c>
      <c r="P76"/>
      <c r="Q76"/>
    </row>
    <row r="77" spans="1:17" s="275" customFormat="1">
      <c r="A77" s="294">
        <v>360</v>
      </c>
      <c r="B77" s="296" t="s">
        <v>192</v>
      </c>
      <c r="C77" s="558">
        <f>'[51]Sch C'!D70</f>
        <v>0</v>
      </c>
      <c r="D77" s="558">
        <f>'[51]Sch C'!F70</f>
        <v>0</v>
      </c>
      <c r="E77" s="248">
        <f t="shared" si="9"/>
        <v>0</v>
      </c>
      <c r="F77" s="248">
        <v>0</v>
      </c>
      <c r="G77" s="248">
        <f t="shared" si="10"/>
        <v>0</v>
      </c>
      <c r="H77" s="279">
        <f t="shared" si="11"/>
        <v>0</v>
      </c>
      <c r="I77" s="629"/>
      <c r="J77" s="195"/>
      <c r="K77" s="168"/>
      <c r="M77" s="360">
        <f t="shared" si="12"/>
        <v>0</v>
      </c>
      <c r="N77" s="360">
        <f>SUMMARY!J80</f>
        <v>-5.8147137445899047E-4</v>
      </c>
      <c r="P77"/>
      <c r="Q77"/>
    </row>
    <row r="78" spans="1:17" s="275" customFormat="1">
      <c r="A78" s="294">
        <v>490</v>
      </c>
      <c r="B78" s="296" t="s">
        <v>312</v>
      </c>
      <c r="C78" s="558">
        <f>'[51]Sch C'!D71</f>
        <v>0</v>
      </c>
      <c r="D78" s="558">
        <f>'[51]Sch C'!F71</f>
        <v>0</v>
      </c>
      <c r="E78" s="248">
        <f t="shared" si="9"/>
        <v>0</v>
      </c>
      <c r="F78" s="248">
        <v>0</v>
      </c>
      <c r="G78" s="248">
        <f t="shared" si="10"/>
        <v>0</v>
      </c>
      <c r="H78" s="279">
        <f t="shared" si="11"/>
        <v>0</v>
      </c>
      <c r="I78" s="629"/>
      <c r="J78" s="195"/>
      <c r="K78" s="168"/>
      <c r="M78" s="360">
        <f t="shared" si="12"/>
        <v>0</v>
      </c>
      <c r="N78" s="360">
        <f>SUMMARY!J81</f>
        <v>1.4464221021288819E-3</v>
      </c>
      <c r="P78"/>
      <c r="Q78"/>
    </row>
    <row r="79" spans="1:17" s="275" customFormat="1">
      <c r="A79" s="271"/>
      <c r="B79" s="278" t="s">
        <v>150</v>
      </c>
      <c r="C79" s="558">
        <f>SUM(C64:C78)</f>
        <v>336334</v>
      </c>
      <c r="D79" s="558">
        <f>SUM(D64:D78)</f>
        <v>-43</v>
      </c>
      <c r="E79" s="248">
        <f t="shared" ref="E79:F79" si="13">SUM(E64:E78)</f>
        <v>336291</v>
      </c>
      <c r="F79" s="248">
        <f t="shared" si="13"/>
        <v>-77888</v>
      </c>
      <c r="G79" s="248">
        <f>SUM(G64:G78)</f>
        <v>258403</v>
      </c>
      <c r="H79" s="279">
        <f t="shared" si="11"/>
        <v>7.5189849255413804E-2</v>
      </c>
      <c r="I79" s="629"/>
      <c r="J79" s="195"/>
      <c r="K79" s="168"/>
      <c r="M79" s="360">
        <f t="shared" si="12"/>
        <v>16.404456576942611</v>
      </c>
      <c r="N79" s="360">
        <f>SUMMARY!J82</f>
        <v>22.656344165426013</v>
      </c>
      <c r="P79"/>
      <c r="Q79"/>
    </row>
    <row r="80" spans="1:17" s="275" customFormat="1">
      <c r="A80" s="271"/>
      <c r="B80" s="278"/>
      <c r="C80" s="196"/>
      <c r="D80" s="196"/>
      <c r="E80" s="297"/>
      <c r="F80" s="297"/>
      <c r="G80" s="297"/>
      <c r="H80" s="298"/>
      <c r="I80" s="629"/>
      <c r="J80" s="168"/>
      <c r="K80" s="168"/>
      <c r="M80" s="360"/>
      <c r="N80" s="360"/>
      <c r="P80"/>
      <c r="Q80"/>
    </row>
    <row r="81" spans="1:17" s="275" customFormat="1">
      <c r="A81" s="277" t="s">
        <v>163</v>
      </c>
      <c r="B81" s="278" t="s">
        <v>43</v>
      </c>
      <c r="C81" s="165"/>
      <c r="D81" s="165"/>
      <c r="E81" s="273"/>
      <c r="F81" s="273"/>
      <c r="G81" s="273"/>
      <c r="H81" s="299"/>
      <c r="I81" s="631"/>
      <c r="J81" s="168"/>
      <c r="K81" s="168"/>
      <c r="M81" s="360"/>
      <c r="N81" s="360"/>
      <c r="P81"/>
      <c r="Q81"/>
    </row>
    <row r="82" spans="1:17" s="275" customFormat="1">
      <c r="A82" s="277" t="s">
        <v>85</v>
      </c>
      <c r="B82" s="300" t="s">
        <v>44</v>
      </c>
      <c r="C82" s="558">
        <f>'[51]Sch C'!D75</f>
        <v>24201</v>
      </c>
      <c r="D82" s="558">
        <f>'[51]Sch C'!F75</f>
        <v>1445</v>
      </c>
      <c r="E82" s="248">
        <f t="shared" ref="E82:E92" si="14">C82+D82</f>
        <v>25646</v>
      </c>
      <c r="F82" s="248">
        <v>5115</v>
      </c>
      <c r="G82" s="248">
        <f t="shared" ref="G82:G92" si="15">E82+F82</f>
        <v>30761</v>
      </c>
      <c r="H82" s="279">
        <f t="shared" ref="H82:H93" si="16">IF($G$208=0,0,G82/$G$208)</f>
        <v>8.9508053426074156E-3</v>
      </c>
      <c r="I82" s="629"/>
      <c r="J82" s="183">
        <f>1613+323</f>
        <v>1936</v>
      </c>
      <c r="K82" s="183">
        <f>1709+341</f>
        <v>2050</v>
      </c>
      <c r="M82" s="360">
        <f t="shared" ref="M82:M92" si="17">G82/G$228</f>
        <v>1.9528313864906044</v>
      </c>
      <c r="N82" s="360">
        <f>SUMMARY!J85</f>
        <v>2.536968118505103</v>
      </c>
      <c r="P82"/>
      <c r="Q82"/>
    </row>
    <row r="83" spans="1:17" s="275" customFormat="1">
      <c r="A83" s="277" t="s">
        <v>86</v>
      </c>
      <c r="B83" s="301" t="s">
        <v>45</v>
      </c>
      <c r="C83" s="558">
        <f>'[51]Sch C'!D76</f>
        <v>0</v>
      </c>
      <c r="D83" s="558">
        <f>'[51]Sch C'!F76</f>
        <v>3215</v>
      </c>
      <c r="E83" s="248">
        <f t="shared" si="14"/>
        <v>3215</v>
      </c>
      <c r="F83" s="248">
        <v>628</v>
      </c>
      <c r="G83" s="248">
        <f t="shared" si="15"/>
        <v>3843</v>
      </c>
      <c r="H83" s="279">
        <f t="shared" si="16"/>
        <v>1.1182323374285719E-3</v>
      </c>
      <c r="I83" s="629"/>
      <c r="J83" s="168"/>
      <c r="K83" s="168"/>
      <c r="M83" s="360">
        <f t="shared" si="17"/>
        <v>0.24396901980700864</v>
      </c>
      <c r="N83" s="360">
        <f>SUMMARY!J86</f>
        <v>0.51085058065727817</v>
      </c>
      <c r="P83"/>
      <c r="Q83"/>
    </row>
    <row r="84" spans="1:17" s="275" customFormat="1">
      <c r="A84" s="277" t="s">
        <v>93</v>
      </c>
      <c r="B84" s="301" t="s">
        <v>47</v>
      </c>
      <c r="C84" s="558">
        <f>'[51]Sch C'!D77</f>
        <v>8481</v>
      </c>
      <c r="D84" s="558">
        <f>'[51]Sch C'!F77</f>
        <v>0</v>
      </c>
      <c r="E84" s="248">
        <f t="shared" si="14"/>
        <v>8481</v>
      </c>
      <c r="F84" s="248">
        <v>1093</v>
      </c>
      <c r="G84" s="248">
        <f t="shared" si="15"/>
        <v>9574</v>
      </c>
      <c r="H84" s="279">
        <f t="shared" si="16"/>
        <v>2.7858330467190081E-3</v>
      </c>
      <c r="I84" s="629"/>
      <c r="J84" s="168"/>
      <c r="K84" s="168"/>
      <c r="M84" s="360">
        <f t="shared" si="17"/>
        <v>0.60779583544946669</v>
      </c>
      <c r="N84" s="360">
        <f>SUMMARY!J87</f>
        <v>0.62330034041531523</v>
      </c>
      <c r="P84"/>
      <c r="Q84"/>
    </row>
    <row r="85" spans="1:17" s="275" customFormat="1">
      <c r="A85" s="277">
        <v>230</v>
      </c>
      <c r="B85" s="301" t="s">
        <v>46</v>
      </c>
      <c r="C85" s="558">
        <f>'[51]Sch C'!D78</f>
        <v>0</v>
      </c>
      <c r="D85" s="558">
        <f>'[51]Sch C'!F78</f>
        <v>0</v>
      </c>
      <c r="E85" s="248">
        <f t="shared" si="14"/>
        <v>0</v>
      </c>
      <c r="F85" s="248">
        <v>0</v>
      </c>
      <c r="G85" s="248">
        <f t="shared" si="15"/>
        <v>0</v>
      </c>
      <c r="H85" s="279">
        <f t="shared" si="16"/>
        <v>0</v>
      </c>
      <c r="I85" s="629"/>
      <c r="J85" s="168"/>
      <c r="K85" s="168"/>
      <c r="M85" s="360">
        <f t="shared" si="17"/>
        <v>0</v>
      </c>
      <c r="N85" s="360">
        <f>SUMMARY!J88</f>
        <v>0.23395364628104837</v>
      </c>
      <c r="P85"/>
      <c r="Q85"/>
    </row>
    <row r="86" spans="1:17" s="275" customFormat="1">
      <c r="A86" s="277">
        <v>240</v>
      </c>
      <c r="B86" s="302" t="s">
        <v>267</v>
      </c>
      <c r="C86" s="558">
        <f>'[51]Sch C'!D79</f>
        <v>3387</v>
      </c>
      <c r="D86" s="558">
        <f>'[51]Sch C'!F79</f>
        <v>0</v>
      </c>
      <c r="E86" s="248">
        <f t="shared" si="14"/>
        <v>3387</v>
      </c>
      <c r="F86" s="248">
        <v>416</v>
      </c>
      <c r="G86" s="248">
        <f>E86+F86</f>
        <v>3803</v>
      </c>
      <c r="H86" s="279">
        <f t="shared" si="16"/>
        <v>1.1065931770077697E-3</v>
      </c>
      <c r="I86" s="629"/>
      <c r="J86" s="168"/>
      <c r="K86" s="168"/>
      <c r="M86" s="360">
        <f t="shared" si="17"/>
        <v>0.24142965972574912</v>
      </c>
      <c r="N86" s="360">
        <f>SUMMARY!J89</f>
        <v>0.42480855389944888</v>
      </c>
      <c r="P86"/>
      <c r="Q86"/>
    </row>
    <row r="87" spans="1:17" s="275" customFormat="1">
      <c r="A87" s="277">
        <v>310</v>
      </c>
      <c r="B87" s="301" t="s">
        <v>54</v>
      </c>
      <c r="C87" s="558">
        <f>'[51]Sch C'!D80</f>
        <v>6578</v>
      </c>
      <c r="D87" s="558">
        <f>'[51]Sch C'!F80</f>
        <v>0</v>
      </c>
      <c r="E87" s="248">
        <f t="shared" si="14"/>
        <v>6578</v>
      </c>
      <c r="F87" s="248">
        <v>2450</v>
      </c>
      <c r="G87" s="248">
        <f t="shared" si="15"/>
        <v>9028</v>
      </c>
      <c r="H87" s="279">
        <f t="shared" si="16"/>
        <v>2.6269585069750578E-3</v>
      </c>
      <c r="I87" s="629"/>
      <c r="J87" s="168"/>
      <c r="K87" s="168"/>
      <c r="M87" s="360">
        <f t="shared" si="17"/>
        <v>0.57313357034027423</v>
      </c>
      <c r="N87" s="360">
        <f>SUMMARY!J90</f>
        <v>1.0101009938069276</v>
      </c>
      <c r="P87"/>
      <c r="Q87"/>
    </row>
    <row r="88" spans="1:17" s="275" customFormat="1">
      <c r="A88" s="277">
        <v>320</v>
      </c>
      <c r="B88" s="303" t="s">
        <v>313</v>
      </c>
      <c r="C88" s="558">
        <f>'[51]Sch C'!D81</f>
        <v>133</v>
      </c>
      <c r="D88" s="558">
        <f>'[51]Sch C'!F81</f>
        <v>0</v>
      </c>
      <c r="E88" s="248">
        <f t="shared" si="14"/>
        <v>133</v>
      </c>
      <c r="F88" s="248">
        <v>1015</v>
      </c>
      <c r="G88" s="248">
        <f t="shared" si="15"/>
        <v>1148</v>
      </c>
      <c r="H88" s="279">
        <f t="shared" si="16"/>
        <v>3.3404390407702333E-4</v>
      </c>
      <c r="I88" s="629"/>
      <c r="J88" s="168"/>
      <c r="K88" s="168"/>
      <c r="M88" s="360">
        <f t="shared" si="17"/>
        <v>7.2879634332148294E-2</v>
      </c>
      <c r="N88" s="360">
        <f>SUMMARY!J91</f>
        <v>0.64997885266319244</v>
      </c>
      <c r="P88"/>
      <c r="Q88"/>
    </row>
    <row r="89" spans="1:17" s="275" customFormat="1">
      <c r="A89" s="277">
        <v>330</v>
      </c>
      <c r="B89" s="303" t="s">
        <v>314</v>
      </c>
      <c r="C89" s="558">
        <f>'[51]Sch C'!D82</f>
        <v>1419</v>
      </c>
      <c r="D89" s="558">
        <f>'[51]Sch C'!F82</f>
        <v>0</v>
      </c>
      <c r="E89" s="248">
        <f t="shared" si="14"/>
        <v>1419</v>
      </c>
      <c r="F89" s="248">
        <v>0</v>
      </c>
      <c r="G89" s="248">
        <f t="shared" si="15"/>
        <v>1419</v>
      </c>
      <c r="H89" s="279">
        <f t="shared" si="16"/>
        <v>4.1289921592795823E-4</v>
      </c>
      <c r="I89" s="629"/>
      <c r="J89" s="168"/>
      <c r="K89" s="168"/>
      <c r="M89" s="360">
        <f t="shared" si="17"/>
        <v>9.0083798882681559E-2</v>
      </c>
      <c r="N89" s="360">
        <f>SUMMARY!J92</f>
        <v>0.42366280341015539</v>
      </c>
      <c r="P89"/>
      <c r="Q89"/>
    </row>
    <row r="90" spans="1:17" s="275" customFormat="1">
      <c r="A90" s="271">
        <v>340</v>
      </c>
      <c r="B90" s="303" t="s">
        <v>349</v>
      </c>
      <c r="C90" s="558">
        <f>'[51]Sch C'!D83</f>
        <v>0</v>
      </c>
      <c r="D90" s="558">
        <f>'[51]Sch C'!F83</f>
        <v>0</v>
      </c>
      <c r="E90" s="248">
        <f t="shared" si="14"/>
        <v>0</v>
      </c>
      <c r="F90" s="248">
        <v>0</v>
      </c>
      <c r="G90" s="248">
        <f t="shared" si="15"/>
        <v>0</v>
      </c>
      <c r="H90" s="279">
        <f t="shared" si="16"/>
        <v>0</v>
      </c>
      <c r="I90" s="629"/>
      <c r="J90" s="168"/>
      <c r="K90" s="168"/>
      <c r="M90" s="360">
        <f t="shared" si="17"/>
        <v>0</v>
      </c>
      <c r="N90" s="360">
        <f>SUMMARY!J93</f>
        <v>0.18635465144944469</v>
      </c>
      <c r="P90"/>
      <c r="Q90"/>
    </row>
    <row r="91" spans="1:17" s="275" customFormat="1">
      <c r="A91" s="271">
        <v>350</v>
      </c>
      <c r="B91" s="301" t="s">
        <v>49</v>
      </c>
      <c r="C91" s="558">
        <f>'[51]Sch C'!D84</f>
        <v>64042</v>
      </c>
      <c r="D91" s="558">
        <f>'[51]Sch C'!F84</f>
        <v>0</v>
      </c>
      <c r="E91" s="248">
        <f t="shared" si="14"/>
        <v>64042</v>
      </c>
      <c r="F91" s="248">
        <v>11837</v>
      </c>
      <c r="G91" s="248">
        <f t="shared" si="15"/>
        <v>75879</v>
      </c>
      <c r="H91" s="279">
        <f t="shared" si="16"/>
        <v>2.2079196339251265E-2</v>
      </c>
      <c r="I91" s="629"/>
      <c r="J91" s="168"/>
      <c r="K91" s="168"/>
      <c r="M91" s="360">
        <f t="shared" si="17"/>
        <v>4.8171025901472833</v>
      </c>
      <c r="N91" s="360">
        <f>SUMMARY!J94</f>
        <v>4.7538617738038829</v>
      </c>
      <c r="P91"/>
      <c r="Q91"/>
    </row>
    <row r="92" spans="1:17" s="275" customFormat="1">
      <c r="A92" s="271">
        <v>490</v>
      </c>
      <c r="B92" s="300" t="s">
        <v>312</v>
      </c>
      <c r="C92" s="558">
        <f>'[51]Sch C'!D85</f>
        <v>0</v>
      </c>
      <c r="D92" s="558">
        <f>'[51]Sch C'!F85</f>
        <v>0</v>
      </c>
      <c r="E92" s="248">
        <f t="shared" si="14"/>
        <v>0</v>
      </c>
      <c r="F92" s="248">
        <v>0</v>
      </c>
      <c r="G92" s="248">
        <f t="shared" si="15"/>
        <v>0</v>
      </c>
      <c r="H92" s="279">
        <f t="shared" si="16"/>
        <v>0</v>
      </c>
      <c r="I92" s="629"/>
      <c r="J92" s="168"/>
      <c r="K92" s="168"/>
      <c r="M92" s="360">
        <f t="shared" si="17"/>
        <v>0</v>
      </c>
      <c r="N92" s="360">
        <f>SUMMARY!J95</f>
        <v>0.10488413981894537</v>
      </c>
      <c r="P92"/>
      <c r="Q92"/>
    </row>
    <row r="93" spans="1:17" s="275" customFormat="1">
      <c r="A93" s="271"/>
      <c r="B93" s="278" t="s">
        <v>50</v>
      </c>
      <c r="C93" s="558">
        <f>SUM(C82:C92)</f>
        <v>108241</v>
      </c>
      <c r="D93" s="558">
        <f>SUM(D82:D92)</f>
        <v>4660</v>
      </c>
      <c r="E93" s="248">
        <f t="shared" ref="E93:F93" si="18">SUM(E82:E92)</f>
        <v>112901</v>
      </c>
      <c r="F93" s="248">
        <f t="shared" si="18"/>
        <v>22554</v>
      </c>
      <c r="G93" s="248">
        <f>SUM(G82:G92)</f>
        <v>135455</v>
      </c>
      <c r="H93" s="279">
        <f t="shared" si="16"/>
        <v>3.9414561869994071E-2</v>
      </c>
      <c r="I93" s="629"/>
      <c r="J93" s="168"/>
      <c r="K93" s="168"/>
      <c r="M93" s="367">
        <f>G93/G$228</f>
        <v>8.5992254951752152</v>
      </c>
      <c r="N93" s="360">
        <f>SUMMARY!J96</f>
        <v>11.458724454710746</v>
      </c>
      <c r="O93" s="355">
        <f>M93/N93-1</f>
        <v>-0.24954775471191071</v>
      </c>
      <c r="P93"/>
      <c r="Q93"/>
    </row>
    <row r="94" spans="1:17" s="275" customFormat="1">
      <c r="A94" s="271"/>
      <c r="C94" s="165"/>
      <c r="D94" s="165"/>
      <c r="E94" s="273"/>
      <c r="F94" s="273"/>
      <c r="G94" s="273"/>
      <c r="H94" s="299"/>
      <c r="I94" s="631"/>
      <c r="J94" s="168"/>
      <c r="K94" s="168"/>
      <c r="M94" s="360"/>
      <c r="N94" s="360"/>
      <c r="P94"/>
      <c r="Q94"/>
    </row>
    <row r="95" spans="1:17" s="275" customFormat="1">
      <c r="A95" s="277" t="s">
        <v>164</v>
      </c>
      <c r="B95" s="278" t="s">
        <v>51</v>
      </c>
      <c r="C95" s="165"/>
      <c r="D95" s="165"/>
      <c r="E95" s="273"/>
      <c r="F95" s="273"/>
      <c r="G95" s="273"/>
      <c r="H95" s="299"/>
      <c r="I95" s="631"/>
      <c r="J95" s="168"/>
      <c r="K95" s="168"/>
      <c r="M95" s="360"/>
      <c r="N95" s="360"/>
      <c r="P95"/>
      <c r="Q95"/>
    </row>
    <row r="96" spans="1:17" s="275" customFormat="1">
      <c r="A96" s="277" t="s">
        <v>85</v>
      </c>
      <c r="B96" s="278" t="s">
        <v>44</v>
      </c>
      <c r="C96" s="558">
        <f>'[51]Sch C'!D89</f>
        <v>83236</v>
      </c>
      <c r="D96" s="558">
        <f>'[51]Sch C'!F89</f>
        <v>4969</v>
      </c>
      <c r="E96" s="248">
        <f t="shared" ref="E96:E101" si="19">C96+D96</f>
        <v>88205</v>
      </c>
      <c r="F96" s="248">
        <v>17163</v>
      </c>
      <c r="G96" s="248">
        <f t="shared" ref="G96:G101" si="20">E96+F96</f>
        <v>105368</v>
      </c>
      <c r="H96" s="279">
        <f t="shared" ref="H96:H102" si="21">IF($G$208=0,0,G96/$G$208)</f>
        <v>3.065987638047717E-2</v>
      </c>
      <c r="I96" s="629"/>
      <c r="J96" s="183">
        <f>7779+1518</f>
        <v>9297</v>
      </c>
      <c r="K96" s="183">
        <f>8243+1604</f>
        <v>9847</v>
      </c>
      <c r="M96" s="367">
        <f t="shared" ref="M96:M101" si="22">G96/G$228</f>
        <v>6.6891823260538343</v>
      </c>
      <c r="N96" s="360">
        <f>SUMMARY!J99</f>
        <v>8.3100610477681069</v>
      </c>
      <c r="P96"/>
      <c r="Q96"/>
    </row>
    <row r="97" spans="1:17" s="275" customFormat="1">
      <c r="A97" s="277" t="s">
        <v>86</v>
      </c>
      <c r="B97" s="278" t="s">
        <v>45</v>
      </c>
      <c r="C97" s="558">
        <f>'[51]Sch C'!D90</f>
        <v>0</v>
      </c>
      <c r="D97" s="558">
        <f>'[51]Sch C'!F90</f>
        <v>11058</v>
      </c>
      <c r="E97" s="248">
        <f t="shared" si="19"/>
        <v>11058</v>
      </c>
      <c r="F97" s="248">
        <v>2107</v>
      </c>
      <c r="G97" s="248">
        <f t="shared" si="20"/>
        <v>13165</v>
      </c>
      <c r="H97" s="279">
        <f t="shared" si="21"/>
        <v>3.8307386734965261E-3</v>
      </c>
      <c r="I97" s="629"/>
      <c r="J97" s="168"/>
      <c r="K97" s="168"/>
      <c r="M97" s="367">
        <f t="shared" si="22"/>
        <v>0.83576688674454036</v>
      </c>
      <c r="N97" s="360">
        <f>SUMMARY!J100</f>
        <v>1.5162882954735211</v>
      </c>
      <c r="P97"/>
      <c r="Q97"/>
    </row>
    <row r="98" spans="1:17" s="275" customFormat="1">
      <c r="A98" s="277">
        <v>310</v>
      </c>
      <c r="B98" s="278" t="s">
        <v>54</v>
      </c>
      <c r="C98" s="558">
        <f>'[51]Sch C'!D91</f>
        <v>11501</v>
      </c>
      <c r="D98" s="558">
        <f>'[51]Sch C'!F91</f>
        <v>0</v>
      </c>
      <c r="E98" s="248">
        <f t="shared" si="19"/>
        <v>11501</v>
      </c>
      <c r="F98" s="248">
        <v>2402</v>
      </c>
      <c r="G98" s="248">
        <f t="shared" si="20"/>
        <v>13903</v>
      </c>
      <c r="H98" s="279">
        <f t="shared" si="21"/>
        <v>4.0454811832603271E-3</v>
      </c>
      <c r="I98" s="629"/>
      <c r="J98" s="168"/>
      <c r="K98" s="168"/>
      <c r="M98" s="367">
        <f t="shared" si="22"/>
        <v>0.88261808024377852</v>
      </c>
      <c r="N98" s="360">
        <f>SUMMARY!J101</f>
        <v>2.5247120350104719</v>
      </c>
      <c r="P98"/>
      <c r="Q98"/>
    </row>
    <row r="99" spans="1:17" s="275" customFormat="1">
      <c r="A99" s="277">
        <v>380</v>
      </c>
      <c r="B99" s="278" t="s">
        <v>52</v>
      </c>
      <c r="C99" s="558">
        <f>'[51]Sch C'!D92</f>
        <v>88676</v>
      </c>
      <c r="D99" s="558">
        <f>'[51]Sch C'!F92</f>
        <v>0</v>
      </c>
      <c r="E99" s="248">
        <f t="shared" si="19"/>
        <v>88676</v>
      </c>
      <c r="F99" s="248">
        <v>15128</v>
      </c>
      <c r="G99" s="248">
        <f t="shared" si="20"/>
        <v>103804</v>
      </c>
      <c r="H99" s="279">
        <f t="shared" si="21"/>
        <v>3.0204785208023804E-2</v>
      </c>
      <c r="I99" s="629"/>
      <c r="J99" s="168"/>
      <c r="K99" s="168"/>
      <c r="M99" s="367">
        <f t="shared" si="22"/>
        <v>6.589893346876587</v>
      </c>
      <c r="N99" s="360">
        <f>SUMMARY!J102</f>
        <v>6.7604047844643738</v>
      </c>
      <c r="P99"/>
      <c r="Q99"/>
    </row>
    <row r="100" spans="1:17" s="275" customFormat="1">
      <c r="A100" s="277">
        <v>390</v>
      </c>
      <c r="B100" s="278" t="s">
        <v>53</v>
      </c>
      <c r="C100" s="558">
        <f>'[51]Sch C'!D93</f>
        <v>7970</v>
      </c>
      <c r="D100" s="558">
        <f>'[51]Sch C'!F93</f>
        <v>0</v>
      </c>
      <c r="E100" s="248">
        <f t="shared" si="19"/>
        <v>7970</v>
      </c>
      <c r="F100" s="248">
        <v>1286</v>
      </c>
      <c r="G100" s="248">
        <f t="shared" si="20"/>
        <v>9256</v>
      </c>
      <c r="H100" s="279">
        <f t="shared" si="21"/>
        <v>2.6933017213736305E-3</v>
      </c>
      <c r="I100" s="629"/>
      <c r="J100" s="168"/>
      <c r="K100" s="168"/>
      <c r="M100" s="367">
        <f t="shared" si="22"/>
        <v>0.58760792280345353</v>
      </c>
      <c r="N100" s="360">
        <f>SUMMARY!J103</f>
        <v>0.72385493548615287</v>
      </c>
      <c r="P100"/>
      <c r="Q100"/>
    </row>
    <row r="101" spans="1:17" s="275" customFormat="1">
      <c r="A101" s="277">
        <v>490</v>
      </c>
      <c r="B101" s="23" t="s">
        <v>312</v>
      </c>
      <c r="C101" s="558">
        <f>'[51]Sch C'!D94</f>
        <v>0</v>
      </c>
      <c r="D101" s="558">
        <f>'[51]Sch C'!F94</f>
        <v>0</v>
      </c>
      <c r="E101" s="248">
        <f t="shared" si="19"/>
        <v>0</v>
      </c>
      <c r="F101" s="248">
        <v>0</v>
      </c>
      <c r="G101" s="248">
        <f t="shared" si="20"/>
        <v>0</v>
      </c>
      <c r="H101" s="279">
        <f t="shared" si="21"/>
        <v>0</v>
      </c>
      <c r="I101" s="629"/>
      <c r="J101" s="168"/>
      <c r="K101" s="168"/>
      <c r="M101" s="367">
        <f t="shared" si="22"/>
        <v>0</v>
      </c>
      <c r="N101" s="360">
        <f>SUMMARY!J104</f>
        <v>6.5755939582712558E-2</v>
      </c>
      <c r="P101"/>
      <c r="Q101"/>
    </row>
    <row r="102" spans="1:17" s="275" customFormat="1">
      <c r="A102" s="277"/>
      <c r="B102" s="278" t="s">
        <v>55</v>
      </c>
      <c r="C102" s="558">
        <f>SUM(C96:C101)</f>
        <v>191383</v>
      </c>
      <c r="D102" s="558">
        <f>SUM(D96:D101)</f>
        <v>16027</v>
      </c>
      <c r="E102" s="248">
        <f t="shared" ref="E102:F102" si="23">SUM(E96:E101)</f>
        <v>207410</v>
      </c>
      <c r="F102" s="248">
        <f t="shared" si="23"/>
        <v>38086</v>
      </c>
      <c r="G102" s="248">
        <f>SUM(G96:G101)</f>
        <v>245496</v>
      </c>
      <c r="H102" s="279">
        <f t="shared" si="21"/>
        <v>7.1434183166631457E-2</v>
      </c>
      <c r="I102" s="629"/>
      <c r="J102" s="168"/>
      <c r="K102" s="168"/>
      <c r="M102" s="367">
        <f>G102/G$228</f>
        <v>15.585068562722194</v>
      </c>
      <c r="N102" s="360">
        <f>SUMMARY!J105</f>
        <v>19.901077037785338</v>
      </c>
      <c r="O102" s="355">
        <f>M102/N102-1</f>
        <v>-0.21687311027782674</v>
      </c>
      <c r="P102"/>
      <c r="Q102"/>
    </row>
    <row r="103" spans="1:17" s="275" customFormat="1">
      <c r="A103" s="271"/>
      <c r="C103" s="165"/>
      <c r="D103" s="165"/>
      <c r="E103" s="273"/>
      <c r="F103" s="273"/>
      <c r="G103" s="273"/>
      <c r="H103" s="299"/>
      <c r="I103" s="631"/>
      <c r="J103" s="168"/>
      <c r="K103" s="168"/>
      <c r="M103" s="360"/>
      <c r="N103" s="360"/>
      <c r="P103"/>
      <c r="Q103"/>
    </row>
    <row r="104" spans="1:17" s="275" customFormat="1">
      <c r="A104" s="277" t="s">
        <v>165</v>
      </c>
      <c r="B104" s="278" t="s">
        <v>56</v>
      </c>
      <c r="C104" s="165"/>
      <c r="D104" s="165"/>
      <c r="E104" s="273"/>
      <c r="F104" s="273"/>
      <c r="G104" s="273"/>
      <c r="H104" s="299"/>
      <c r="I104" s="631"/>
      <c r="J104" s="168"/>
      <c r="K104" s="168"/>
      <c r="M104" s="360"/>
      <c r="N104" s="360"/>
      <c r="P104"/>
      <c r="Q104"/>
    </row>
    <row r="105" spans="1:17" s="275" customFormat="1">
      <c r="A105" s="277" t="s">
        <v>85</v>
      </c>
      <c r="B105" s="278" t="s">
        <v>44</v>
      </c>
      <c r="C105" s="558">
        <f>'[51]Sch C'!D98</f>
        <v>0</v>
      </c>
      <c r="D105" s="558">
        <f>'[51]Sch C'!F98</f>
        <v>0</v>
      </c>
      <c r="E105" s="248">
        <f t="shared" ref="E105:E110" si="24">C105+D105</f>
        <v>0</v>
      </c>
      <c r="F105" s="248">
        <v>0</v>
      </c>
      <c r="G105" s="248">
        <f t="shared" ref="G105:G110" si="25">E105+F105</f>
        <v>0</v>
      </c>
      <c r="H105" s="279">
        <f t="shared" ref="H105:H111" si="26">IF($G$208=0,0,G105/$G$208)</f>
        <v>0</v>
      </c>
      <c r="I105" s="629"/>
      <c r="J105" s="183">
        <v>0</v>
      </c>
      <c r="K105" s="183">
        <v>0</v>
      </c>
      <c r="M105" s="367">
        <f t="shared" ref="M105:M110" si="27">G105/G$228</f>
        <v>0</v>
      </c>
      <c r="N105" s="360">
        <f>SUMMARY!J108</f>
        <v>1.037156498380404</v>
      </c>
      <c r="P105"/>
      <c r="Q105"/>
    </row>
    <row r="106" spans="1:17" s="275" customFormat="1">
      <c r="A106" s="277" t="s">
        <v>86</v>
      </c>
      <c r="B106" s="278" t="s">
        <v>45</v>
      </c>
      <c r="C106" s="558">
        <f>'[51]Sch C'!D99</f>
        <v>0</v>
      </c>
      <c r="D106" s="558">
        <f>'[51]Sch C'!F99</f>
        <v>0</v>
      </c>
      <c r="E106" s="248">
        <f t="shared" si="24"/>
        <v>0</v>
      </c>
      <c r="F106" s="248">
        <v>0</v>
      </c>
      <c r="G106" s="248">
        <f t="shared" si="25"/>
        <v>0</v>
      </c>
      <c r="H106" s="279">
        <f t="shared" si="26"/>
        <v>0</v>
      </c>
      <c r="I106" s="629"/>
      <c r="J106" s="168"/>
      <c r="K106" s="168"/>
      <c r="M106" s="367">
        <f t="shared" si="27"/>
        <v>0</v>
      </c>
      <c r="N106" s="360">
        <f>SUMMARY!J109</f>
        <v>0.20576729906268329</v>
      </c>
      <c r="P106"/>
      <c r="Q106"/>
    </row>
    <row r="107" spans="1:17" s="275" customFormat="1">
      <c r="A107" s="277">
        <v>110</v>
      </c>
      <c r="B107" s="278" t="s">
        <v>47</v>
      </c>
      <c r="C107" s="558">
        <f>'[51]Sch C'!D100</f>
        <v>100</v>
      </c>
      <c r="D107" s="558">
        <f>'[51]Sch C'!F100</f>
        <v>0</v>
      </c>
      <c r="E107" s="248">
        <f t="shared" si="24"/>
        <v>100</v>
      </c>
      <c r="F107" s="248">
        <v>50</v>
      </c>
      <c r="G107" s="248">
        <f t="shared" si="25"/>
        <v>150</v>
      </c>
      <c r="H107" s="279">
        <f t="shared" si="26"/>
        <v>4.3646851578008273E-5</v>
      </c>
      <c r="I107" s="629"/>
      <c r="J107" s="168"/>
      <c r="K107" s="168"/>
      <c r="M107" s="367">
        <f t="shared" si="27"/>
        <v>9.5226003047232093E-3</v>
      </c>
      <c r="N107" s="360">
        <f>SUMMARY!J110</f>
        <v>0.1677349841046627</v>
      </c>
      <c r="P107"/>
      <c r="Q107"/>
    </row>
    <row r="108" spans="1:17" s="275" customFormat="1">
      <c r="A108" s="277">
        <v>310</v>
      </c>
      <c r="B108" s="278" t="s">
        <v>54</v>
      </c>
      <c r="C108" s="558">
        <f>'[51]Sch C'!D101</f>
        <v>0</v>
      </c>
      <c r="D108" s="558">
        <f>'[51]Sch C'!F101</f>
        <v>0</v>
      </c>
      <c r="E108" s="248">
        <f t="shared" si="24"/>
        <v>0</v>
      </c>
      <c r="F108" s="248">
        <v>0</v>
      </c>
      <c r="G108" s="248">
        <f t="shared" si="25"/>
        <v>0</v>
      </c>
      <c r="H108" s="279">
        <f t="shared" si="26"/>
        <v>0</v>
      </c>
      <c r="I108" s="629"/>
      <c r="J108" s="168"/>
      <c r="K108" s="168"/>
      <c r="M108" s="367">
        <f t="shared" si="27"/>
        <v>0</v>
      </c>
      <c r="N108" s="360">
        <f>SUMMARY!J111</f>
        <v>0.75134712715626728</v>
      </c>
      <c r="P108"/>
      <c r="Q108"/>
    </row>
    <row r="109" spans="1:17" s="275" customFormat="1">
      <c r="A109" s="277">
        <v>410</v>
      </c>
      <c r="B109" s="278" t="s">
        <v>57</v>
      </c>
      <c r="C109" s="558">
        <f>'[51]Sch C'!D102</f>
        <v>0</v>
      </c>
      <c r="D109" s="558">
        <f>'[51]Sch C'!F102</f>
        <v>0</v>
      </c>
      <c r="E109" s="248">
        <f t="shared" si="24"/>
        <v>0</v>
      </c>
      <c r="F109" s="248">
        <v>84</v>
      </c>
      <c r="G109" s="248">
        <f t="shared" si="25"/>
        <v>84</v>
      </c>
      <c r="H109" s="279">
        <f t="shared" si="26"/>
        <v>2.4442236883684632E-5</v>
      </c>
      <c r="I109" s="629"/>
      <c r="J109" s="168"/>
      <c r="K109" s="168"/>
      <c r="M109" s="367">
        <f t="shared" si="27"/>
        <v>5.3326561706449971E-3</v>
      </c>
      <c r="N109" s="360">
        <f>SUMMARY!J112</f>
        <v>0.24781104699146178</v>
      </c>
      <c r="P109"/>
      <c r="Q109"/>
    </row>
    <row r="110" spans="1:17" s="275" customFormat="1">
      <c r="A110" s="277">
        <v>490</v>
      </c>
      <c r="B110" s="23" t="s">
        <v>312</v>
      </c>
      <c r="C110" s="558">
        <f>'[51]Sch C'!D103</f>
        <v>0</v>
      </c>
      <c r="D110" s="558">
        <f>'[51]Sch C'!F103</f>
        <v>0</v>
      </c>
      <c r="E110" s="248">
        <f t="shared" si="24"/>
        <v>0</v>
      </c>
      <c r="F110" s="248">
        <v>0</v>
      </c>
      <c r="G110" s="248">
        <f t="shared" si="25"/>
        <v>0</v>
      </c>
      <c r="H110" s="279">
        <f t="shared" si="26"/>
        <v>0</v>
      </c>
      <c r="I110" s="629"/>
      <c r="J110" s="168"/>
      <c r="K110" s="168"/>
      <c r="M110" s="367">
        <f t="shared" si="27"/>
        <v>0</v>
      </c>
      <c r="N110" s="360">
        <f>SUMMARY!J113</f>
        <v>1.442148153547029E-2</v>
      </c>
      <c r="P110"/>
      <c r="Q110"/>
    </row>
    <row r="111" spans="1:17" s="275" customFormat="1">
      <c r="A111" s="271"/>
      <c r="B111" s="278" t="s">
        <v>58</v>
      </c>
      <c r="C111" s="558">
        <f>SUM(C105:C110)</f>
        <v>100</v>
      </c>
      <c r="D111" s="558">
        <f>SUM(D105:D110)</f>
        <v>0</v>
      </c>
      <c r="E111" s="248">
        <f t="shared" ref="E111:F111" si="28">SUM(E105:E110)</f>
        <v>100</v>
      </c>
      <c r="F111" s="248">
        <f t="shared" si="28"/>
        <v>134</v>
      </c>
      <c r="G111" s="248">
        <f>SUM(G105:G110)</f>
        <v>234</v>
      </c>
      <c r="H111" s="279">
        <f t="shared" si="26"/>
        <v>6.8089088461692905E-5</v>
      </c>
      <c r="I111" s="629"/>
      <c r="J111" s="168"/>
      <c r="K111" s="168"/>
      <c r="M111" s="367">
        <f>G111/G$228</f>
        <v>1.4855256475368207E-2</v>
      </c>
      <c r="N111" s="360">
        <f>SUMMARY!J114</f>
        <v>2.4242384372309496</v>
      </c>
      <c r="O111" s="355">
        <f>M111/N111-1</f>
        <v>-0.99387219662586634</v>
      </c>
      <c r="P111"/>
      <c r="Q111"/>
    </row>
    <row r="112" spans="1:17" s="275" customFormat="1">
      <c r="A112" s="271"/>
      <c r="C112" s="165"/>
      <c r="D112" s="165"/>
      <c r="E112" s="273"/>
      <c r="F112" s="273"/>
      <c r="G112" s="273"/>
      <c r="H112" s="299"/>
      <c r="I112" s="631"/>
      <c r="J112" s="168"/>
      <c r="K112" s="168"/>
      <c r="M112" s="360"/>
      <c r="N112" s="360"/>
      <c r="P112"/>
      <c r="Q112"/>
    </row>
    <row r="113" spans="1:17" s="275" customFormat="1">
      <c r="A113" s="277" t="s">
        <v>166</v>
      </c>
      <c r="B113" s="278" t="s">
        <v>59</v>
      </c>
      <c r="C113" s="165"/>
      <c r="D113" s="165"/>
      <c r="E113" s="273"/>
      <c r="F113" s="273"/>
      <c r="G113" s="273"/>
      <c r="H113" s="299"/>
      <c r="I113" s="631"/>
      <c r="J113" s="168"/>
      <c r="K113" s="168"/>
      <c r="M113" s="360"/>
      <c r="N113" s="360"/>
      <c r="P113"/>
      <c r="Q113"/>
    </row>
    <row r="114" spans="1:17" s="275" customFormat="1">
      <c r="A114" s="277" t="s">
        <v>85</v>
      </c>
      <c r="B114" s="278" t="s">
        <v>44</v>
      </c>
      <c r="C114" s="558">
        <f>'[51]Sch C'!D115</f>
        <v>48312</v>
      </c>
      <c r="D114" s="558">
        <f>'[51]Sch C'!F115</f>
        <v>2884</v>
      </c>
      <c r="E114" s="248">
        <f t="shared" ref="E114:E118" si="29">C114+D114</f>
        <v>51196</v>
      </c>
      <c r="F114" s="248">
        <v>10499</v>
      </c>
      <c r="G114" s="248">
        <f>E114+F114</f>
        <v>61695</v>
      </c>
      <c r="H114" s="279">
        <f t="shared" ref="H114:H119" si="30">IF($G$208=0,0,G114/$G$208)</f>
        <v>1.7951950054034802E-2</v>
      </c>
      <c r="I114" s="629"/>
      <c r="J114" s="183">
        <f>3336+686</f>
        <v>4022</v>
      </c>
      <c r="K114" s="183">
        <f>3535+725</f>
        <v>4260</v>
      </c>
      <c r="M114" s="367">
        <f t="shared" ref="M114:M119" si="31">G114/G$228</f>
        <v>3.9166455053326561</v>
      </c>
      <c r="N114" s="360">
        <f>SUMMARY!J117</f>
        <v>3.2429359621060407</v>
      </c>
      <c r="P114"/>
      <c r="Q114"/>
    </row>
    <row r="115" spans="1:17" s="275" customFormat="1">
      <c r="A115" s="277" t="s">
        <v>86</v>
      </c>
      <c r="B115" s="278" t="s">
        <v>151</v>
      </c>
      <c r="C115" s="558">
        <f>'[51]Sch C'!D116</f>
        <v>0</v>
      </c>
      <c r="D115" s="558">
        <f>'[51]Sch C'!F116</f>
        <v>6418</v>
      </c>
      <c r="E115" s="248">
        <f t="shared" si="29"/>
        <v>6418</v>
      </c>
      <c r="F115" s="248">
        <v>1289</v>
      </c>
      <c r="G115" s="248">
        <f>E115+F115</f>
        <v>7707</v>
      </c>
      <c r="H115" s="279">
        <f t="shared" si="30"/>
        <v>2.2425752340780652E-3</v>
      </c>
      <c r="I115" s="629"/>
      <c r="J115" s="168"/>
      <c r="K115" s="168"/>
      <c r="M115" s="367">
        <f t="shared" si="31"/>
        <v>0.48927120365667853</v>
      </c>
      <c r="N115" s="360">
        <f>SUMMARY!J118</f>
        <v>0.64416765619740102</v>
      </c>
      <c r="P115"/>
      <c r="Q115"/>
    </row>
    <row r="116" spans="1:17" s="275" customFormat="1">
      <c r="A116" s="277" t="s">
        <v>93</v>
      </c>
      <c r="B116" s="278" t="s">
        <v>47</v>
      </c>
      <c r="C116" s="558">
        <f>'[51]Sch C'!D117</f>
        <v>13571</v>
      </c>
      <c r="D116" s="558">
        <f>'[51]Sch C'!F117</f>
        <v>0</v>
      </c>
      <c r="E116" s="248">
        <f t="shared" si="29"/>
        <v>13571</v>
      </c>
      <c r="F116" s="248">
        <v>2871</v>
      </c>
      <c r="G116" s="248">
        <f>E116+F116</f>
        <v>16442</v>
      </c>
      <c r="H116" s="279">
        <f t="shared" si="30"/>
        <v>4.7842768909707465E-3</v>
      </c>
      <c r="I116" s="629"/>
      <c r="J116" s="168"/>
      <c r="K116" s="168"/>
      <c r="M116" s="367">
        <f t="shared" si="31"/>
        <v>1.0438039614017267</v>
      </c>
      <c r="N116" s="360">
        <f>SUMMARY!J119</f>
        <v>0.86820957192988468</v>
      </c>
      <c r="P116"/>
      <c r="Q116"/>
    </row>
    <row r="117" spans="1:17" s="275" customFormat="1">
      <c r="A117" s="277">
        <v>310</v>
      </c>
      <c r="B117" s="278" t="s">
        <v>60</v>
      </c>
      <c r="C117" s="558">
        <f>'[51]Sch C'!D118</f>
        <v>410</v>
      </c>
      <c r="D117" s="558">
        <f>'[51]Sch C'!F118</f>
        <v>0</v>
      </c>
      <c r="E117" s="248">
        <f t="shared" si="29"/>
        <v>410</v>
      </c>
      <c r="F117" s="248">
        <v>59</v>
      </c>
      <c r="G117" s="248">
        <f>E117+F117</f>
        <v>469</v>
      </c>
      <c r="H117" s="279">
        <f t="shared" si="30"/>
        <v>1.3646915593390585E-4</v>
      </c>
      <c r="I117" s="629"/>
      <c r="J117" s="168"/>
      <c r="K117" s="168"/>
      <c r="M117" s="367">
        <f t="shared" si="31"/>
        <v>2.9773996952767903E-2</v>
      </c>
      <c r="N117" s="360">
        <f>SUMMARY!J120</f>
        <v>1.260502321598151</v>
      </c>
      <c r="P117"/>
      <c r="Q117"/>
    </row>
    <row r="118" spans="1:17" s="275" customFormat="1">
      <c r="A118" s="277">
        <v>490</v>
      </c>
      <c r="B118" s="23" t="s">
        <v>312</v>
      </c>
      <c r="C118" s="558">
        <f>'[51]Sch C'!D119</f>
        <v>53</v>
      </c>
      <c r="D118" s="558">
        <f>'[51]Sch C'!F119</f>
        <v>0</v>
      </c>
      <c r="E118" s="248">
        <f t="shared" si="29"/>
        <v>53</v>
      </c>
      <c r="F118" s="248">
        <v>0</v>
      </c>
      <c r="G118" s="248">
        <f>E118+F118</f>
        <v>53</v>
      </c>
      <c r="H118" s="279">
        <f t="shared" si="30"/>
        <v>1.5421887557562924E-5</v>
      </c>
      <c r="I118" s="629"/>
      <c r="J118" s="168"/>
      <c r="K118" s="168"/>
      <c r="M118" s="367">
        <f t="shared" si="31"/>
        <v>3.3646521076688674E-3</v>
      </c>
      <c r="N118" s="360">
        <f>SUMMARY!J121</f>
        <v>8.9442087594777155E-3</v>
      </c>
      <c r="P118"/>
      <c r="Q118"/>
    </row>
    <row r="119" spans="1:17" s="275" customFormat="1">
      <c r="A119" s="271"/>
      <c r="B119" s="278" t="s">
        <v>61</v>
      </c>
      <c r="C119" s="558">
        <f>SUM(C114:C118)</f>
        <v>62346</v>
      </c>
      <c r="D119" s="558">
        <f>SUM(D114:D118)</f>
        <v>9302</v>
      </c>
      <c r="E119" s="248">
        <f t="shared" ref="E119:F119" si="32">SUM(E114:E118)</f>
        <v>71648</v>
      </c>
      <c r="F119" s="248">
        <f t="shared" si="32"/>
        <v>14718</v>
      </c>
      <c r="G119" s="248">
        <f>SUM(G114:G118)</f>
        <v>86366</v>
      </c>
      <c r="H119" s="279">
        <f t="shared" si="30"/>
        <v>2.5130693222575082E-2</v>
      </c>
      <c r="I119" s="629"/>
      <c r="J119" s="168"/>
      <c r="K119" s="168"/>
      <c r="M119" s="367">
        <f t="shared" si="31"/>
        <v>5.4828593194514985</v>
      </c>
      <c r="N119" s="360">
        <f>SUMMARY!J122</f>
        <v>6.0247597205909562</v>
      </c>
      <c r="O119" s="355">
        <f>M119/N119-1</f>
        <v>-8.9945562357846787E-2</v>
      </c>
      <c r="P119"/>
      <c r="Q119"/>
    </row>
    <row r="120" spans="1:17" s="275" customFormat="1">
      <c r="A120" s="271"/>
      <c r="B120" s="278"/>
      <c r="C120" s="196"/>
      <c r="D120" s="196"/>
      <c r="E120" s="297"/>
      <c r="F120" s="297"/>
      <c r="G120" s="297"/>
      <c r="H120" s="298"/>
      <c r="I120" s="629"/>
      <c r="J120" s="203"/>
      <c r="K120" s="203"/>
      <c r="M120" s="360"/>
      <c r="N120" s="360"/>
      <c r="P120"/>
      <c r="Q120"/>
    </row>
    <row r="121" spans="1:17" s="275" customFormat="1">
      <c r="A121" s="277" t="s">
        <v>167</v>
      </c>
      <c r="B121" s="278" t="s">
        <v>62</v>
      </c>
      <c r="C121" s="165"/>
      <c r="D121" s="165"/>
      <c r="E121" s="273"/>
      <c r="F121" s="273"/>
      <c r="G121" s="273"/>
      <c r="H121" s="299"/>
      <c r="I121" s="631"/>
      <c r="J121" s="204"/>
      <c r="K121" s="204"/>
      <c r="M121" s="360"/>
      <c r="N121" s="360"/>
      <c r="P121"/>
      <c r="Q121"/>
    </row>
    <row r="122" spans="1:17" s="275" customFormat="1">
      <c r="A122" s="277" t="s">
        <v>85</v>
      </c>
      <c r="B122" s="278" t="s">
        <v>63</v>
      </c>
      <c r="C122" s="165"/>
      <c r="D122" s="165"/>
      <c r="E122" s="273"/>
      <c r="F122" s="273"/>
      <c r="G122" s="273"/>
      <c r="H122" s="299"/>
      <c r="I122" s="631"/>
      <c r="J122" s="204"/>
      <c r="K122" s="204"/>
      <c r="M122" s="360"/>
      <c r="N122" s="360"/>
      <c r="P122"/>
      <c r="Q122"/>
    </row>
    <row r="123" spans="1:17" s="275" customFormat="1">
      <c r="B123" s="271" t="s">
        <v>232</v>
      </c>
      <c r="C123" s="558">
        <f>'[51]Sch C'!D124</f>
        <v>0</v>
      </c>
      <c r="D123" s="558">
        <f>'[51]Sch C'!F124</f>
        <v>0</v>
      </c>
      <c r="E123" s="248">
        <f t="shared" ref="E123:E127" si="33">C123+D123</f>
        <v>0</v>
      </c>
      <c r="F123" s="248">
        <v>0</v>
      </c>
      <c r="G123" s="248">
        <f>E123+F123</f>
        <v>0</v>
      </c>
      <c r="H123" s="279">
        <f>IF($G$208=0,0,G123/$G$208)</f>
        <v>0</v>
      </c>
      <c r="I123" s="629"/>
      <c r="J123" s="183">
        <v>0</v>
      </c>
      <c r="K123" s="183">
        <v>0</v>
      </c>
      <c r="M123" s="367">
        <f t="shared" ref="M123:M160" si="34">G123/G$228</f>
        <v>0</v>
      </c>
      <c r="N123" s="360">
        <f>SUMMARY!J126</f>
        <v>0.56496190692599402</v>
      </c>
      <c r="P123"/>
      <c r="Q123"/>
    </row>
    <row r="124" spans="1:17" s="275" customFormat="1">
      <c r="B124" s="271" t="s">
        <v>194</v>
      </c>
      <c r="C124" s="558">
        <f>'[51]Sch C'!D125</f>
        <v>80332</v>
      </c>
      <c r="D124" s="558">
        <f>'[51]Sch C'!F125</f>
        <v>4796</v>
      </c>
      <c r="E124" s="248">
        <f t="shared" si="33"/>
        <v>85128</v>
      </c>
      <c r="F124" s="248">
        <v>19617</v>
      </c>
      <c r="G124" s="248">
        <f>E124+F124</f>
        <v>104745</v>
      </c>
      <c r="H124" s="279">
        <f>IF($G$208=0,0,G124/$G$208)</f>
        <v>3.0478596456923177E-2</v>
      </c>
      <c r="I124" s="629"/>
      <c r="J124" s="183">
        <f>2416+558</f>
        <v>2974</v>
      </c>
      <c r="K124" s="183">
        <f>2560+590</f>
        <v>3150</v>
      </c>
      <c r="M124" s="367">
        <f t="shared" si="34"/>
        <v>6.6496317927882176</v>
      </c>
      <c r="N124" s="360">
        <f>SUMMARY!J127</f>
        <v>7.6528583695016472</v>
      </c>
      <c r="P124"/>
      <c r="Q124"/>
    </row>
    <row r="125" spans="1:17" s="275" customFormat="1">
      <c r="A125" s="271" t="s">
        <v>198</v>
      </c>
      <c r="B125" s="271" t="s">
        <v>195</v>
      </c>
      <c r="C125" s="558">
        <f>'[51]Sch C'!D126</f>
        <v>43603</v>
      </c>
      <c r="D125" s="558">
        <f>'[51]Sch C'!F126</f>
        <v>2603</v>
      </c>
      <c r="E125" s="248">
        <f t="shared" si="33"/>
        <v>46206</v>
      </c>
      <c r="F125" s="248">
        <v>9859</v>
      </c>
      <c r="G125" s="248">
        <f>E125+F125</f>
        <v>56065</v>
      </c>
      <c r="H125" s="279">
        <f>IF($G$208=0,0,G125/$G$208)</f>
        <v>1.6313738224806893E-2</v>
      </c>
      <c r="I125" s="629"/>
      <c r="J125" s="183">
        <f>1667+357</f>
        <v>2024</v>
      </c>
      <c r="K125" s="183">
        <f>1767+377</f>
        <v>2144</v>
      </c>
      <c r="M125" s="367">
        <f t="shared" si="34"/>
        <v>3.5592305738953782</v>
      </c>
      <c r="N125" s="360">
        <f>SUMMARY!J128</f>
        <v>0.56709274435895785</v>
      </c>
      <c r="P125"/>
      <c r="Q125"/>
    </row>
    <row r="126" spans="1:17" s="275" customFormat="1">
      <c r="A126" s="277"/>
      <c r="B126" s="271" t="s">
        <v>196</v>
      </c>
      <c r="C126" s="558">
        <f>'[51]Sch C'!D127</f>
        <v>0</v>
      </c>
      <c r="D126" s="558">
        <f>'[51]Sch C'!F127</f>
        <v>0</v>
      </c>
      <c r="E126" s="248">
        <f t="shared" si="33"/>
        <v>0</v>
      </c>
      <c r="F126" s="248">
        <v>0</v>
      </c>
      <c r="G126" s="248">
        <f>E126+F126</f>
        <v>0</v>
      </c>
      <c r="H126" s="279">
        <f>IF($G$208=0,0,G126/$G$208)</f>
        <v>0</v>
      </c>
      <c r="I126" s="629"/>
      <c r="J126" s="183">
        <v>0</v>
      </c>
      <c r="K126" s="183">
        <v>0</v>
      </c>
      <c r="M126" s="367">
        <f t="shared" si="34"/>
        <v>0</v>
      </c>
      <c r="N126" s="360">
        <f>SUMMARY!J129</f>
        <v>1.0158975245767685E-2</v>
      </c>
      <c r="P126"/>
      <c r="Q126"/>
    </row>
    <row r="127" spans="1:17" s="275" customFormat="1">
      <c r="A127" s="277"/>
      <c r="B127" s="271" t="s">
        <v>197</v>
      </c>
      <c r="C127" s="558">
        <f>'[51]Sch C'!D128</f>
        <v>23583</v>
      </c>
      <c r="D127" s="558">
        <f>'[51]Sch C'!F128</f>
        <v>1408</v>
      </c>
      <c r="E127" s="248">
        <f t="shared" si="33"/>
        <v>24991</v>
      </c>
      <c r="F127" s="248">
        <v>4180</v>
      </c>
      <c r="G127" s="248">
        <f>E127+F127</f>
        <v>29171</v>
      </c>
      <c r="H127" s="279">
        <f>IF($G$208=0,0,G127/$G$208)</f>
        <v>8.4881487158805294E-3</v>
      </c>
      <c r="I127" s="629"/>
      <c r="J127" s="183">
        <f>1699+285</f>
        <v>1984</v>
      </c>
      <c r="K127" s="183">
        <f>1800+301</f>
        <v>2101</v>
      </c>
      <c r="M127" s="367">
        <f t="shared" si="34"/>
        <v>1.8518918232605384</v>
      </c>
      <c r="N127" s="360">
        <f>SUMMARY!J130</f>
        <v>3.5158276990454227</v>
      </c>
      <c r="P127"/>
      <c r="Q127"/>
    </row>
    <row r="128" spans="1:17" s="275" customFormat="1">
      <c r="A128" s="277" t="s">
        <v>95</v>
      </c>
      <c r="B128" s="278" t="s">
        <v>152</v>
      </c>
      <c r="C128" s="562"/>
      <c r="D128" s="562"/>
      <c r="E128" s="304"/>
      <c r="F128" s="304"/>
      <c r="G128" s="304"/>
      <c r="H128" s="305"/>
      <c r="I128" s="632"/>
      <c r="J128" s="207"/>
      <c r="K128" s="207"/>
      <c r="M128" s="367"/>
      <c r="N128" s="360"/>
      <c r="P128"/>
      <c r="Q128"/>
    </row>
    <row r="129" spans="1:17" s="275" customFormat="1">
      <c r="A129" s="277"/>
      <c r="B129" s="271" t="s">
        <v>232</v>
      </c>
      <c r="C129" s="558">
        <f>'[51]Sch C'!D130</f>
        <v>0</v>
      </c>
      <c r="D129" s="558">
        <f>'[51]Sch C'!F130</f>
        <v>0</v>
      </c>
      <c r="E129" s="248">
        <f t="shared" ref="E129:E133" si="35">C129+D129</f>
        <v>0</v>
      </c>
      <c r="F129" s="248">
        <v>0</v>
      </c>
      <c r="G129" s="248">
        <f>E129+F129</f>
        <v>0</v>
      </c>
      <c r="H129" s="279">
        <f>IF($G$208=0,0,G129/$G$208)</f>
        <v>0</v>
      </c>
      <c r="I129" s="629"/>
      <c r="J129" s="204"/>
      <c r="K129" s="204"/>
      <c r="M129" s="367">
        <f t="shared" si="34"/>
        <v>0</v>
      </c>
      <c r="N129" s="360">
        <f>SUMMARY!J132</f>
        <v>0.13432903677023547</v>
      </c>
      <c r="P129"/>
      <c r="Q129"/>
    </row>
    <row r="130" spans="1:17" s="275" customFormat="1">
      <c r="A130" s="277"/>
      <c r="B130" s="271" t="s">
        <v>194</v>
      </c>
      <c r="C130" s="558">
        <f>'[51]Sch C'!D131</f>
        <v>0</v>
      </c>
      <c r="D130" s="558">
        <f>'[51]Sch C'!F131</f>
        <v>10672</v>
      </c>
      <c r="E130" s="248">
        <f t="shared" si="35"/>
        <v>10672</v>
      </c>
      <c r="F130" s="248">
        <v>2408</v>
      </c>
      <c r="G130" s="248">
        <f>E130+F130</f>
        <v>13080</v>
      </c>
      <c r="H130" s="279">
        <f>IF($G$208=0,0,G130/$G$208)</f>
        <v>3.8060054576023214E-3</v>
      </c>
      <c r="I130" s="629"/>
      <c r="J130" s="204"/>
      <c r="K130" s="204"/>
      <c r="M130" s="367">
        <f t="shared" si="34"/>
        <v>0.83037074657186394</v>
      </c>
      <c r="N130" s="360">
        <f>SUMMARY!J133</f>
        <v>1.2770660565872531</v>
      </c>
      <c r="P130"/>
      <c r="Q130"/>
    </row>
    <row r="131" spans="1:17" s="275" customFormat="1">
      <c r="B131" s="271" t="s">
        <v>195</v>
      </c>
      <c r="C131" s="558">
        <f>'[51]Sch C'!D132</f>
        <v>0</v>
      </c>
      <c r="D131" s="558">
        <f>'[51]Sch C'!F132</f>
        <v>5792</v>
      </c>
      <c r="E131" s="248">
        <f t="shared" si="35"/>
        <v>5792</v>
      </c>
      <c r="F131" s="248">
        <v>1210</v>
      </c>
      <c r="G131" s="248">
        <f>E131+F131</f>
        <v>7002</v>
      </c>
      <c r="H131" s="279">
        <f>IF($G$208=0,0,G131/$G$208)</f>
        <v>2.0374350316614263E-3</v>
      </c>
      <c r="I131" s="629"/>
      <c r="J131" s="168"/>
      <c r="K131" s="168"/>
      <c r="M131" s="367">
        <f t="shared" si="34"/>
        <v>0.44451498222447944</v>
      </c>
      <c r="N131" s="360">
        <f>SUMMARY!J134</f>
        <v>7.5896927014028476E-2</v>
      </c>
      <c r="P131"/>
      <c r="Q131"/>
    </row>
    <row r="132" spans="1:17" s="275" customFormat="1">
      <c r="B132" s="271" t="s">
        <v>196</v>
      </c>
      <c r="C132" s="558">
        <f>'[51]Sch C'!D133</f>
        <v>0</v>
      </c>
      <c r="D132" s="558">
        <f>'[51]Sch C'!F133</f>
        <v>0</v>
      </c>
      <c r="E132" s="248">
        <f t="shared" si="35"/>
        <v>0</v>
      </c>
      <c r="F132" s="248">
        <v>0</v>
      </c>
      <c r="G132" s="248">
        <f>E132+F132</f>
        <v>0</v>
      </c>
      <c r="H132" s="279">
        <f>IF($G$208=0,0,G132/$G$208)</f>
        <v>0</v>
      </c>
      <c r="I132" s="629"/>
      <c r="J132" s="168"/>
      <c r="K132" s="168"/>
      <c r="M132" s="367">
        <f t="shared" si="34"/>
        <v>0</v>
      </c>
      <c r="N132" s="360">
        <f>SUMMARY!J135</f>
        <v>1.8821090394045043E-3</v>
      </c>
      <c r="P132"/>
      <c r="Q132"/>
    </row>
    <row r="133" spans="1:17" s="275" customFormat="1">
      <c r="B133" s="271" t="s">
        <v>197</v>
      </c>
      <c r="C133" s="558">
        <f>'[51]Sch C'!D134</f>
        <v>0</v>
      </c>
      <c r="D133" s="558">
        <f>'[51]Sch C'!F134</f>
        <v>3133</v>
      </c>
      <c r="E133" s="248">
        <f t="shared" si="35"/>
        <v>3133</v>
      </c>
      <c r="F133" s="248">
        <v>513</v>
      </c>
      <c r="G133" s="248">
        <f>E133+F133</f>
        <v>3646</v>
      </c>
      <c r="H133" s="279">
        <f>IF($G$208=0,0,G133/$G$208)</f>
        <v>1.0609094723561211E-3</v>
      </c>
      <c r="I133" s="629"/>
      <c r="J133" s="168"/>
      <c r="K133" s="168"/>
      <c r="M133" s="367">
        <f t="shared" si="34"/>
        <v>0.23146267140680549</v>
      </c>
      <c r="N133" s="360">
        <f>SUMMARY!J136</f>
        <v>0.68147708722106659</v>
      </c>
      <c r="P133"/>
      <c r="Q133"/>
    </row>
    <row r="134" spans="1:17" s="275" customFormat="1">
      <c r="A134" s="277" t="s">
        <v>86</v>
      </c>
      <c r="B134" s="278" t="s">
        <v>64</v>
      </c>
      <c r="C134" s="196"/>
      <c r="D134" s="196"/>
      <c r="E134" s="297"/>
      <c r="F134" s="297"/>
      <c r="G134" s="297"/>
      <c r="H134" s="298"/>
      <c r="I134" s="629"/>
      <c r="J134" s="204"/>
      <c r="K134" s="204"/>
      <c r="M134" s="367"/>
      <c r="N134" s="360"/>
      <c r="P134"/>
      <c r="Q134"/>
    </row>
    <row r="135" spans="1:17" s="275" customFormat="1">
      <c r="A135" s="277"/>
      <c r="B135" s="271" t="s">
        <v>194</v>
      </c>
      <c r="C135" s="558">
        <f>'[51]Sch C'!D136</f>
        <v>190168</v>
      </c>
      <c r="D135" s="558">
        <f>'[51]Sch C'!F136</f>
        <v>11353</v>
      </c>
      <c r="E135" s="248">
        <f t="shared" ref="E135:E138" si="36">C135+D135</f>
        <v>201521</v>
      </c>
      <c r="F135" s="248">
        <v>32492</v>
      </c>
      <c r="G135" s="248">
        <f>E135+F135</f>
        <v>234013</v>
      </c>
      <c r="H135" s="279">
        <f>IF($G$208=0,0,G135/$G$208)</f>
        <v>6.809287118882966E-2</v>
      </c>
      <c r="I135" s="629"/>
      <c r="J135" s="183">
        <f>7487+1211</f>
        <v>8698</v>
      </c>
      <c r="K135" s="183">
        <f>7934+1280</f>
        <v>9214</v>
      </c>
      <c r="M135" s="367">
        <f t="shared" si="34"/>
        <v>14.856081767394617</v>
      </c>
      <c r="N135" s="360">
        <f>SUMMARY!J138</f>
        <v>22.831883555057285</v>
      </c>
      <c r="P135"/>
      <c r="Q135"/>
    </row>
    <row r="136" spans="1:17" s="275" customFormat="1">
      <c r="A136" s="277"/>
      <c r="B136" s="271" t="s">
        <v>195</v>
      </c>
      <c r="C136" s="558">
        <f>'[51]Sch C'!D137</f>
        <v>112813</v>
      </c>
      <c r="D136" s="558">
        <f>'[51]Sch C'!F137</f>
        <v>6735</v>
      </c>
      <c r="E136" s="248">
        <f t="shared" si="36"/>
        <v>119548</v>
      </c>
      <c r="F136" s="248">
        <v>26173</v>
      </c>
      <c r="G136" s="248">
        <f>E136+F136</f>
        <v>145721</v>
      </c>
      <c r="H136" s="279">
        <f>IF($G$208=0,0,G136/$G$208)</f>
        <v>4.2401752391992953E-2</v>
      </c>
      <c r="I136" s="629"/>
      <c r="J136" s="183">
        <f>6384+1402</f>
        <v>7786</v>
      </c>
      <c r="K136" s="183">
        <f>6765+1482</f>
        <v>8247</v>
      </c>
      <c r="M136" s="367">
        <f t="shared" si="34"/>
        <v>9.2509522600304717</v>
      </c>
      <c r="N136" s="360">
        <f>SUMMARY!J139</f>
        <v>12.148107264801752</v>
      </c>
      <c r="P136"/>
      <c r="Q136"/>
    </row>
    <row r="137" spans="1:17" s="275" customFormat="1">
      <c r="A137" s="277"/>
      <c r="B137" s="271" t="s">
        <v>196</v>
      </c>
      <c r="C137" s="558">
        <f>'[51]Sch C'!D138</f>
        <v>230399</v>
      </c>
      <c r="D137" s="558">
        <f>'[51]Sch C'!F138</f>
        <v>13755</v>
      </c>
      <c r="E137" s="248">
        <f t="shared" si="36"/>
        <v>244154</v>
      </c>
      <c r="F137" s="248">
        <v>52535</v>
      </c>
      <c r="G137" s="248">
        <f>E137+F137</f>
        <v>296689</v>
      </c>
      <c r="H137" s="279">
        <f>IF($G$208=0,0,G137/$G$208)</f>
        <v>8.633027165218464E-2</v>
      </c>
      <c r="I137" s="629"/>
      <c r="J137" s="183">
        <f>9961+2149</f>
        <v>12110</v>
      </c>
      <c r="K137" s="183">
        <f>10556+2271</f>
        <v>12827</v>
      </c>
      <c r="M137" s="367">
        <f t="shared" si="34"/>
        <v>18.835005078720162</v>
      </c>
      <c r="N137" s="360">
        <f>SUMMARY!J140</f>
        <v>29.755103028612584</v>
      </c>
      <c r="P137"/>
      <c r="Q137"/>
    </row>
    <row r="138" spans="1:17" s="275" customFormat="1">
      <c r="A138" s="277"/>
      <c r="B138" s="271" t="s">
        <v>197</v>
      </c>
      <c r="C138" s="558">
        <f>'[51]Sch C'!D139</f>
        <v>70491</v>
      </c>
      <c r="D138" s="558">
        <f>'[51]Sch C'!F139</f>
        <v>4208</v>
      </c>
      <c r="E138" s="248">
        <f t="shared" si="36"/>
        <v>74699</v>
      </c>
      <c r="F138" s="248">
        <v>12971</v>
      </c>
      <c r="G138" s="248">
        <f>E138+F138</f>
        <v>87670</v>
      </c>
      <c r="H138" s="279">
        <f>IF($G$208=0,0,G138/$G$208)</f>
        <v>2.5510129852293235E-2</v>
      </c>
      <c r="I138" s="629"/>
      <c r="J138" s="183">
        <f>8362+1456</f>
        <v>9818</v>
      </c>
      <c r="K138" s="183">
        <f>8861+1539</f>
        <v>10400</v>
      </c>
      <c r="M138" s="367">
        <f t="shared" si="34"/>
        <v>5.5656424581005588</v>
      </c>
      <c r="N138" s="360">
        <f>SUMMARY!J141</f>
        <v>2.6137536270315449</v>
      </c>
      <c r="P138"/>
      <c r="Q138"/>
    </row>
    <row r="139" spans="1:17" s="275" customFormat="1">
      <c r="A139" s="277" t="s">
        <v>96</v>
      </c>
      <c r="B139" s="278" t="s">
        <v>153</v>
      </c>
      <c r="C139" s="196"/>
      <c r="D139" s="196"/>
      <c r="E139" s="297"/>
      <c r="F139" s="297"/>
      <c r="G139" s="297"/>
      <c r="H139" s="298"/>
      <c r="I139" s="629"/>
      <c r="J139" s="404"/>
      <c r="K139" s="404"/>
      <c r="M139" s="367"/>
      <c r="N139" s="360"/>
      <c r="P139"/>
      <c r="Q139"/>
    </row>
    <row r="140" spans="1:17" s="275" customFormat="1">
      <c r="A140" s="277"/>
      <c r="B140" s="271" t="s">
        <v>194</v>
      </c>
      <c r="C140" s="558">
        <f>'[51]Sch C'!D141</f>
        <v>0</v>
      </c>
      <c r="D140" s="558">
        <f>'[51]Sch C'!F141</f>
        <v>25264</v>
      </c>
      <c r="E140" s="248">
        <f t="shared" ref="E140:E143" si="37">C140+D140</f>
        <v>25264</v>
      </c>
      <c r="F140" s="248">
        <v>3988</v>
      </c>
      <c r="G140" s="248">
        <f>E140+F140</f>
        <v>29252</v>
      </c>
      <c r="H140" s="279">
        <f>IF($G$208=0,0,G140/$G$208)</f>
        <v>8.5117180157326527E-3</v>
      </c>
      <c r="I140" s="629"/>
      <c r="J140" s="168"/>
      <c r="K140" s="168"/>
      <c r="M140" s="367">
        <f t="shared" si="34"/>
        <v>1.8570340274250889</v>
      </c>
      <c r="N140" s="360">
        <f>SUMMARY!J143</f>
        <v>4.2102596407658526</v>
      </c>
      <c r="P140"/>
      <c r="Q140"/>
    </row>
    <row r="141" spans="1:17" s="275" customFormat="1">
      <c r="A141" s="277"/>
      <c r="B141" s="271" t="s">
        <v>195</v>
      </c>
      <c r="C141" s="558">
        <f>'[51]Sch C'!D142</f>
        <v>0</v>
      </c>
      <c r="D141" s="558">
        <f>'[51]Sch C'!F142</f>
        <v>14987</v>
      </c>
      <c r="E141" s="248">
        <f t="shared" si="37"/>
        <v>14987</v>
      </c>
      <c r="F141" s="248">
        <v>3212</v>
      </c>
      <c r="G141" s="248">
        <f>E141+F141</f>
        <v>18199</v>
      </c>
      <c r="H141" s="279">
        <f>IF($G$208=0,0,G141/$G$208)</f>
        <v>5.295527012454484E-3</v>
      </c>
      <c r="I141" s="629"/>
      <c r="J141" s="168"/>
      <c r="K141" s="168"/>
      <c r="M141" s="367">
        <f t="shared" si="34"/>
        <v>1.1553453529710513</v>
      </c>
      <c r="N141" s="360">
        <f>SUMMARY!J144</f>
        <v>2.2256603513522144</v>
      </c>
      <c r="P141"/>
      <c r="Q141"/>
    </row>
    <row r="142" spans="1:17" s="275" customFormat="1">
      <c r="A142" s="277"/>
      <c r="B142" s="271" t="s">
        <v>196</v>
      </c>
      <c r="C142" s="558">
        <f>'[51]Sch C'!D143</f>
        <v>0</v>
      </c>
      <c r="D142" s="558">
        <f>'[51]Sch C'!F143</f>
        <v>30609</v>
      </c>
      <c r="E142" s="248">
        <f t="shared" si="37"/>
        <v>30609</v>
      </c>
      <c r="F142" s="248">
        <v>6449</v>
      </c>
      <c r="G142" s="248">
        <f>E142+F142</f>
        <v>37058</v>
      </c>
      <c r="H142" s="279">
        <f>IF($G$208=0,0,G142/$G$208)</f>
        <v>1.0783100171852203E-2</v>
      </c>
      <c r="I142" s="629"/>
      <c r="J142" s="168"/>
      <c r="K142" s="168"/>
      <c r="M142" s="367">
        <f t="shared" si="34"/>
        <v>2.3525901472828847</v>
      </c>
      <c r="N142" s="360">
        <f>SUMMARY!J145</f>
        <v>5.5063490246705751</v>
      </c>
      <c r="P142"/>
      <c r="Q142"/>
    </row>
    <row r="143" spans="1:17" s="275" customFormat="1">
      <c r="A143" s="277"/>
      <c r="B143" s="271" t="s">
        <v>197</v>
      </c>
      <c r="C143" s="558">
        <f>'[51]Sch C'!D144</f>
        <v>0</v>
      </c>
      <c r="D143" s="558">
        <f>'[51]Sch C'!F144</f>
        <v>9365</v>
      </c>
      <c r="E143" s="248">
        <f t="shared" si="37"/>
        <v>9365</v>
      </c>
      <c r="F143" s="248">
        <v>1593</v>
      </c>
      <c r="G143" s="248">
        <f>E143+F143</f>
        <v>10958</v>
      </c>
      <c r="H143" s="279">
        <f>IF($G$208=0,0,G143/$G$208)</f>
        <v>3.1885479972787643E-3</v>
      </c>
      <c r="I143" s="629"/>
      <c r="J143" s="168"/>
      <c r="K143" s="168"/>
      <c r="M143" s="367">
        <f t="shared" si="34"/>
        <v>0.69565769426104618</v>
      </c>
      <c r="N143" s="360">
        <f>SUMMARY!J146</f>
        <v>0.55064368222190041</v>
      </c>
      <c r="P143"/>
      <c r="Q143"/>
    </row>
    <row r="144" spans="1:17" s="275" customFormat="1">
      <c r="A144" s="277" t="s">
        <v>87</v>
      </c>
      <c r="B144" s="278" t="s">
        <v>98</v>
      </c>
      <c r="C144" s="196"/>
      <c r="D144" s="196"/>
      <c r="E144" s="297"/>
      <c r="F144" s="297"/>
      <c r="G144" s="297"/>
      <c r="H144" s="298"/>
      <c r="I144" s="629"/>
      <c r="J144" s="204"/>
      <c r="K144" s="204"/>
      <c r="M144" s="367"/>
      <c r="N144" s="360"/>
      <c r="P144"/>
      <c r="Q144"/>
    </row>
    <row r="145" spans="1:17" s="275" customFormat="1">
      <c r="A145" s="277"/>
      <c r="B145" s="271" t="s">
        <v>232</v>
      </c>
      <c r="C145" s="558">
        <f>'[51]Sch C'!D146</f>
        <v>15036</v>
      </c>
      <c r="D145" s="558">
        <f>'[51]Sch C'!F146</f>
        <v>0</v>
      </c>
      <c r="E145" s="248">
        <f t="shared" ref="E145:E153" si="38">C145+D145</f>
        <v>15036</v>
      </c>
      <c r="F145" s="248">
        <v>3000</v>
      </c>
      <c r="G145" s="248">
        <f t="shared" ref="G145:G153" si="39">E145+F145</f>
        <v>18036</v>
      </c>
      <c r="H145" s="279">
        <f t="shared" ref="H145:H153" si="40">IF($G$208=0,0,G145/$G$208)</f>
        <v>5.2480974337397145E-3</v>
      </c>
      <c r="I145" s="629"/>
      <c r="J145" s="183">
        <v>0</v>
      </c>
      <c r="K145" s="183">
        <v>0</v>
      </c>
      <c r="M145" s="367">
        <f t="shared" si="34"/>
        <v>1.1449974606399187</v>
      </c>
      <c r="N145" s="360">
        <f>SUMMARY!J148</f>
        <v>1.6451259729597054</v>
      </c>
      <c r="P145"/>
      <c r="Q145"/>
    </row>
    <row r="146" spans="1:17" s="275" customFormat="1">
      <c r="A146" s="277"/>
      <c r="B146" s="271" t="s">
        <v>194</v>
      </c>
      <c r="C146" s="558">
        <f>'[51]Sch C'!D147</f>
        <v>0</v>
      </c>
      <c r="D146" s="558">
        <f>'[51]Sch C'!F147</f>
        <v>0</v>
      </c>
      <c r="E146" s="248">
        <f t="shared" si="38"/>
        <v>0</v>
      </c>
      <c r="F146" s="248">
        <v>0</v>
      </c>
      <c r="G146" s="248">
        <f t="shared" si="39"/>
        <v>0</v>
      </c>
      <c r="H146" s="279">
        <f t="shared" si="40"/>
        <v>0</v>
      </c>
      <c r="I146" s="629"/>
      <c r="J146" s="183">
        <v>0</v>
      </c>
      <c r="K146" s="183">
        <v>0</v>
      </c>
      <c r="M146" s="367">
        <f t="shared" si="34"/>
        <v>0</v>
      </c>
      <c r="N146" s="360">
        <f>SUMMARY!J149</f>
        <v>0.46540336428082985</v>
      </c>
      <c r="P146"/>
      <c r="Q146"/>
    </row>
    <row r="147" spans="1:17" s="275" customFormat="1">
      <c r="A147" s="277"/>
      <c r="B147" s="271" t="s">
        <v>195</v>
      </c>
      <c r="C147" s="558">
        <f>'[51]Sch C'!D148</f>
        <v>0</v>
      </c>
      <c r="D147" s="558">
        <f>'[51]Sch C'!F148</f>
        <v>0</v>
      </c>
      <c r="E147" s="248">
        <f t="shared" si="38"/>
        <v>0</v>
      </c>
      <c r="F147" s="248">
        <v>0</v>
      </c>
      <c r="G147" s="248">
        <f t="shared" si="39"/>
        <v>0</v>
      </c>
      <c r="H147" s="279">
        <f t="shared" si="40"/>
        <v>0</v>
      </c>
      <c r="I147" s="629"/>
      <c r="J147" s="183">
        <v>0</v>
      </c>
      <c r="K147" s="183">
        <v>0</v>
      </c>
      <c r="M147" s="367">
        <f t="shared" si="34"/>
        <v>0</v>
      </c>
      <c r="N147" s="360">
        <f>SUMMARY!J150</f>
        <v>0.21006426087323665</v>
      </c>
      <c r="P147"/>
      <c r="Q147"/>
    </row>
    <row r="148" spans="1:17" s="275" customFormat="1">
      <c r="A148" s="277"/>
      <c r="B148" s="271" t="s">
        <v>196</v>
      </c>
      <c r="C148" s="558">
        <f>'[51]Sch C'!D149</f>
        <v>0</v>
      </c>
      <c r="D148" s="558">
        <f>'[51]Sch C'!F149</f>
        <v>0</v>
      </c>
      <c r="E148" s="248">
        <f t="shared" si="38"/>
        <v>0</v>
      </c>
      <c r="F148" s="248">
        <v>0</v>
      </c>
      <c r="G148" s="248">
        <f t="shared" si="39"/>
        <v>0</v>
      </c>
      <c r="H148" s="279">
        <f t="shared" si="40"/>
        <v>0</v>
      </c>
      <c r="I148" s="629"/>
      <c r="J148" s="183">
        <v>0</v>
      </c>
      <c r="K148" s="183">
        <v>0</v>
      </c>
      <c r="M148" s="367">
        <f t="shared" si="34"/>
        <v>0</v>
      </c>
      <c r="N148" s="360">
        <f>SUMMARY!J151</f>
        <v>0.30946371189888716</v>
      </c>
      <c r="P148"/>
      <c r="Q148"/>
    </row>
    <row r="149" spans="1:17" s="275" customFormat="1">
      <c r="A149" s="277"/>
      <c r="B149" s="271" t="s">
        <v>197</v>
      </c>
      <c r="C149" s="558">
        <f>'[51]Sch C'!D150</f>
        <v>4991</v>
      </c>
      <c r="D149" s="558">
        <f>'[51]Sch C'!F150</f>
        <v>0</v>
      </c>
      <c r="E149" s="248">
        <f t="shared" si="38"/>
        <v>4991</v>
      </c>
      <c r="F149" s="248">
        <v>1122</v>
      </c>
      <c r="G149" s="248">
        <f t="shared" si="39"/>
        <v>6113</v>
      </c>
      <c r="H149" s="279">
        <f t="shared" si="40"/>
        <v>1.778754691309097E-3</v>
      </c>
      <c r="I149" s="629"/>
      <c r="J149" s="183">
        <v>0</v>
      </c>
      <c r="K149" s="183">
        <v>0</v>
      </c>
      <c r="M149" s="367">
        <f t="shared" si="34"/>
        <v>0.38807770441848655</v>
      </c>
      <c r="N149" s="360">
        <f>SUMMARY!J152</f>
        <v>0.63962211863516594</v>
      </c>
      <c r="P149"/>
      <c r="Q149"/>
    </row>
    <row r="150" spans="1:17" s="275" customFormat="1">
      <c r="A150" s="277">
        <v>110</v>
      </c>
      <c r="B150" s="275" t="s">
        <v>65</v>
      </c>
      <c r="C150" s="558">
        <f>'[51]Sch C'!D151</f>
        <v>53430</v>
      </c>
      <c r="D150" s="558">
        <f>'[51]Sch C'!F151</f>
        <v>0</v>
      </c>
      <c r="E150" s="248">
        <f t="shared" si="38"/>
        <v>53430</v>
      </c>
      <c r="F150" s="248">
        <v>10968</v>
      </c>
      <c r="G150" s="248">
        <f t="shared" si="39"/>
        <v>64398</v>
      </c>
      <c r="H150" s="279">
        <f t="shared" si="40"/>
        <v>1.8738466319470511E-2</v>
      </c>
      <c r="I150" s="629"/>
      <c r="J150" s="168"/>
      <c r="K150" s="168"/>
      <c r="M150" s="367">
        <f t="shared" si="34"/>
        <v>4.0882427628237688</v>
      </c>
      <c r="N150" s="360">
        <f>SUMMARY!J153</f>
        <v>5.6321022575023187</v>
      </c>
      <c r="P150"/>
      <c r="Q150"/>
    </row>
    <row r="151" spans="1:17" s="275" customFormat="1">
      <c r="A151" s="277">
        <v>111</v>
      </c>
      <c r="B151" s="278" t="s">
        <v>97</v>
      </c>
      <c r="C151" s="558">
        <f>'[51]Sch C'!D152</f>
        <v>1940</v>
      </c>
      <c r="D151" s="558">
        <f>'[51]Sch C'!F152</f>
        <v>0</v>
      </c>
      <c r="E151" s="248">
        <f t="shared" si="38"/>
        <v>1940</v>
      </c>
      <c r="F151" s="248">
        <v>52</v>
      </c>
      <c r="G151" s="248">
        <f t="shared" si="39"/>
        <v>1992</v>
      </c>
      <c r="H151" s="279">
        <f t="shared" si="40"/>
        <v>5.7963018895594988E-4</v>
      </c>
      <c r="I151" s="629"/>
      <c r="J151" s="168"/>
      <c r="K151" s="168"/>
      <c r="M151" s="367">
        <f t="shared" si="34"/>
        <v>0.12646013204672424</v>
      </c>
      <c r="N151" s="360">
        <f>SUMMARY!J154</f>
        <v>0.34937544615199928</v>
      </c>
      <c r="P151"/>
      <c r="Q151"/>
    </row>
    <row r="152" spans="1:17" s="275" customFormat="1">
      <c r="A152" s="277">
        <v>230</v>
      </c>
      <c r="B152" s="278" t="s">
        <v>66</v>
      </c>
      <c r="C152" s="558">
        <f>'[51]Sch C'!D153</f>
        <v>0</v>
      </c>
      <c r="D152" s="558">
        <f>'[51]Sch C'!F153</f>
        <v>0</v>
      </c>
      <c r="E152" s="248">
        <f t="shared" si="38"/>
        <v>0</v>
      </c>
      <c r="F152" s="248">
        <v>0</v>
      </c>
      <c r="G152" s="248">
        <f t="shared" si="39"/>
        <v>0</v>
      </c>
      <c r="H152" s="279">
        <f t="shared" si="40"/>
        <v>0</v>
      </c>
      <c r="I152" s="629"/>
      <c r="J152" s="168"/>
      <c r="K152" s="168"/>
      <c r="M152" s="367">
        <f t="shared" si="34"/>
        <v>0</v>
      </c>
      <c r="N152" s="360">
        <f>SUMMARY!J155</f>
        <v>0.16440170079037233</v>
      </c>
      <c r="P152"/>
      <c r="Q152"/>
    </row>
    <row r="153" spans="1:17" s="275" customFormat="1">
      <c r="A153" s="277">
        <v>430</v>
      </c>
      <c r="B153" s="278" t="s">
        <v>99</v>
      </c>
      <c r="C153" s="558">
        <f>'[51]Sch C'!D154</f>
        <v>0</v>
      </c>
      <c r="D153" s="558">
        <f>'[51]Sch C'!F154</f>
        <v>0</v>
      </c>
      <c r="E153" s="248">
        <f t="shared" si="38"/>
        <v>0</v>
      </c>
      <c r="F153" s="248">
        <v>0</v>
      </c>
      <c r="G153" s="248">
        <f t="shared" si="39"/>
        <v>0</v>
      </c>
      <c r="H153" s="279">
        <f t="shared" si="40"/>
        <v>0</v>
      </c>
      <c r="I153" s="629"/>
      <c r="J153" s="168"/>
      <c r="K153" s="168"/>
      <c r="M153" s="367">
        <f t="shared" si="34"/>
        <v>0</v>
      </c>
      <c r="N153" s="360">
        <f>SUMMARY!J156</f>
        <v>0.93843811429637136</v>
      </c>
      <c r="P153"/>
      <c r="Q153"/>
    </row>
    <row r="154" spans="1:17" s="275" customFormat="1">
      <c r="A154" s="277"/>
      <c r="B154" s="209" t="s">
        <v>302</v>
      </c>
      <c r="C154" s="557"/>
      <c r="D154" s="557"/>
      <c r="E154" s="306"/>
      <c r="F154" s="306"/>
      <c r="G154" s="306"/>
      <c r="H154" s="307"/>
      <c r="I154" s="629"/>
      <c r="J154" s="168"/>
      <c r="K154" s="168"/>
      <c r="M154" s="367"/>
      <c r="N154" s="360"/>
      <c r="P154"/>
      <c r="Q154"/>
    </row>
    <row r="155" spans="1:17" s="275" customFormat="1">
      <c r="A155" s="277">
        <v>440.1</v>
      </c>
      <c r="B155" s="271" t="s">
        <v>223</v>
      </c>
      <c r="C155" s="558">
        <f>'[51]Sch C'!D156</f>
        <v>0</v>
      </c>
      <c r="D155" s="558">
        <f>'[51]Sch C'!F156</f>
        <v>0</v>
      </c>
      <c r="E155" s="248">
        <f t="shared" ref="E155:E160" si="41">C155+D155</f>
        <v>0</v>
      </c>
      <c r="F155" s="248">
        <v>0</v>
      </c>
      <c r="G155" s="248">
        <f t="shared" ref="G155:G160" si="42">E155+F155</f>
        <v>0</v>
      </c>
      <c r="H155" s="279">
        <f t="shared" ref="H155:H161" si="43">IF($G$208=0,0,G155/$G$208)</f>
        <v>0</v>
      </c>
      <c r="I155" s="629"/>
      <c r="J155" s="168"/>
      <c r="K155" s="168"/>
      <c r="M155" s="367">
        <f t="shared" si="34"/>
        <v>0</v>
      </c>
      <c r="N155" s="360">
        <f>SUMMARY!J158</f>
        <v>4.8822158721856251E-4</v>
      </c>
      <c r="P155"/>
      <c r="Q155"/>
    </row>
    <row r="156" spans="1:17" s="275" customFormat="1">
      <c r="A156" s="277">
        <v>440.2</v>
      </c>
      <c r="B156" s="271" t="s">
        <v>224</v>
      </c>
      <c r="C156" s="558">
        <f>'[51]Sch C'!D157</f>
        <v>0</v>
      </c>
      <c r="D156" s="558">
        <f>'[51]Sch C'!F157</f>
        <v>0</v>
      </c>
      <c r="E156" s="248">
        <f t="shared" si="41"/>
        <v>0</v>
      </c>
      <c r="F156" s="694">
        <f>0+3630+1000</f>
        <v>4630</v>
      </c>
      <c r="G156" s="248">
        <f t="shared" si="42"/>
        <v>4630</v>
      </c>
      <c r="H156" s="279">
        <f t="shared" si="43"/>
        <v>1.3472328187078553E-3</v>
      </c>
      <c r="I156" s="629"/>
      <c r="J156" s="168"/>
      <c r="K156" s="168"/>
      <c r="M156" s="367">
        <f t="shared" si="34"/>
        <v>0.29393092940578974</v>
      </c>
      <c r="N156" s="360">
        <f>SUMMARY!J159</f>
        <v>1.2467276061937458E-2</v>
      </c>
      <c r="P156"/>
      <c r="Q156"/>
    </row>
    <row r="157" spans="1:17" s="275" customFormat="1">
      <c r="A157" s="277">
        <v>440.3</v>
      </c>
      <c r="B157" s="271" t="s">
        <v>225</v>
      </c>
      <c r="C157" s="558">
        <f>'[51]Sch C'!D158</f>
        <v>0</v>
      </c>
      <c r="D157" s="558">
        <f>'[51]Sch C'!F158</f>
        <v>0</v>
      </c>
      <c r="E157" s="248">
        <f t="shared" si="41"/>
        <v>0</v>
      </c>
      <c r="F157" s="248">
        <v>0</v>
      </c>
      <c r="G157" s="248">
        <f t="shared" si="42"/>
        <v>0</v>
      </c>
      <c r="H157" s="279">
        <f t="shared" si="43"/>
        <v>0</v>
      </c>
      <c r="I157" s="629"/>
      <c r="J157" s="168"/>
      <c r="K157" s="168"/>
      <c r="M157" s="367">
        <f t="shared" si="34"/>
        <v>0</v>
      </c>
      <c r="N157" s="360">
        <f>SUMMARY!J160</f>
        <v>8.8924926418415019E-3</v>
      </c>
      <c r="P157"/>
      <c r="Q157"/>
    </row>
    <row r="158" spans="1:17" s="275" customFormat="1">
      <c r="A158" s="277">
        <v>440.4</v>
      </c>
      <c r="B158" s="271" t="s">
        <v>226</v>
      </c>
      <c r="C158" s="558">
        <f>'[51]Sch C'!D159</f>
        <v>0</v>
      </c>
      <c r="D158" s="558">
        <f>'[51]Sch C'!F159</f>
        <v>0</v>
      </c>
      <c r="E158" s="248">
        <f t="shared" si="41"/>
        <v>0</v>
      </c>
      <c r="F158" s="248">
        <v>0</v>
      </c>
      <c r="G158" s="248">
        <f t="shared" si="42"/>
        <v>0</v>
      </c>
      <c r="H158" s="279">
        <f t="shared" si="43"/>
        <v>0</v>
      </c>
      <c r="I158" s="629"/>
      <c r="J158" s="168"/>
      <c r="K158" s="168"/>
      <c r="M158" s="367">
        <f t="shared" si="34"/>
        <v>0</v>
      </c>
      <c r="N158" s="360">
        <f>SUMMARY!J161</f>
        <v>5.6176565792548166E-4</v>
      </c>
      <c r="P158"/>
      <c r="Q158"/>
    </row>
    <row r="159" spans="1:17" s="275" customFormat="1">
      <c r="A159" s="277">
        <v>440.5</v>
      </c>
      <c r="B159" s="271" t="s">
        <v>301</v>
      </c>
      <c r="C159" s="558">
        <f>'[51]Sch C'!D160</f>
        <v>0</v>
      </c>
      <c r="D159" s="558">
        <f>'[51]Sch C'!F160</f>
        <v>0</v>
      </c>
      <c r="E159" s="248">
        <f t="shared" si="41"/>
        <v>0</v>
      </c>
      <c r="F159" s="248">
        <v>0</v>
      </c>
      <c r="G159" s="248">
        <f t="shared" si="42"/>
        <v>0</v>
      </c>
      <c r="H159" s="279">
        <f t="shared" si="43"/>
        <v>0</v>
      </c>
      <c r="I159" s="629"/>
      <c r="J159" s="168"/>
      <c r="K159" s="168"/>
      <c r="M159" s="367">
        <f t="shared" si="34"/>
        <v>0</v>
      </c>
      <c r="N159" s="360">
        <f>SUMMARY!J162</f>
        <v>1.6643468549097623E-2</v>
      </c>
      <c r="P159"/>
      <c r="Q159"/>
    </row>
    <row r="160" spans="1:17" s="275" customFormat="1">
      <c r="A160" s="277">
        <v>490</v>
      </c>
      <c r="B160" s="23" t="s">
        <v>315</v>
      </c>
      <c r="C160" s="558">
        <f>'[51]Sch C'!D161</f>
        <v>3116</v>
      </c>
      <c r="D160" s="558">
        <f>'[51]Sch C'!F161</f>
        <v>0</v>
      </c>
      <c r="E160" s="248">
        <f t="shared" si="41"/>
        <v>3116</v>
      </c>
      <c r="F160" s="248">
        <v>0</v>
      </c>
      <c r="G160" s="248">
        <f t="shared" si="42"/>
        <v>3116</v>
      </c>
      <c r="H160" s="279">
        <f t="shared" si="43"/>
        <v>9.0669059678049181E-4</v>
      </c>
      <c r="I160" s="629"/>
      <c r="J160" s="168"/>
      <c r="K160" s="168"/>
      <c r="M160" s="367">
        <f t="shared" si="34"/>
        <v>0.19781615033011682</v>
      </c>
      <c r="N160" s="360">
        <f>SUMMARY!J163</f>
        <v>0.85264911391265397</v>
      </c>
      <c r="P160"/>
      <c r="Q160"/>
    </row>
    <row r="161" spans="1:17" s="275" customFormat="1">
      <c r="A161" s="277"/>
      <c r="B161" s="278" t="s">
        <v>233</v>
      </c>
      <c r="C161" s="558">
        <f>SUM(C123:C160)</f>
        <v>829902</v>
      </c>
      <c r="D161" s="558">
        <f>SUM(D123:D160)</f>
        <v>144680</v>
      </c>
      <c r="E161" s="248">
        <f t="shared" ref="E161:F161" si="44">SUM(E123:E160)</f>
        <v>974582</v>
      </c>
      <c r="F161" s="248">
        <f t="shared" si="44"/>
        <v>196972</v>
      </c>
      <c r="G161" s="248">
        <f>SUM(G123:G160)</f>
        <v>1171554</v>
      </c>
      <c r="H161" s="279">
        <f t="shared" si="43"/>
        <v>0.34089762369081267</v>
      </c>
      <c r="I161" s="629"/>
      <c r="J161" s="168"/>
      <c r="K161" s="168"/>
      <c r="M161" s="367">
        <f>G161/G$228</f>
        <v>74.374936515997973</v>
      </c>
      <c r="N161" s="360">
        <f>SUMMARY!J164</f>
        <v>105.56901037202306</v>
      </c>
      <c r="O161" s="355">
        <f>M161/N161-1</f>
        <v>-0.2954851404412886</v>
      </c>
      <c r="P161"/>
      <c r="Q161"/>
    </row>
    <row r="162" spans="1:17" s="275" customFormat="1">
      <c r="A162" s="277"/>
      <c r="B162" s="170"/>
      <c r="C162" s="196"/>
      <c r="D162" s="196"/>
      <c r="E162" s="297"/>
      <c r="F162" s="297"/>
      <c r="G162" s="297"/>
      <c r="H162" s="298"/>
      <c r="I162" s="629"/>
      <c r="J162" s="168"/>
      <c r="K162" s="168"/>
      <c r="M162" s="360"/>
      <c r="N162" s="360"/>
      <c r="P162"/>
      <c r="Q162"/>
    </row>
    <row r="163" spans="1:17" s="275" customFormat="1" ht="26.5">
      <c r="A163" s="277" t="s">
        <v>168</v>
      </c>
      <c r="B163" s="212" t="s">
        <v>100</v>
      </c>
      <c r="C163" s="213"/>
      <c r="D163" s="213"/>
      <c r="E163" s="308"/>
      <c r="F163" s="308"/>
      <c r="G163" s="308"/>
      <c r="H163" s="309"/>
      <c r="I163" s="629"/>
      <c r="J163" s="168"/>
      <c r="K163" s="168"/>
      <c r="M163" s="360"/>
      <c r="N163" s="360"/>
      <c r="P163"/>
      <c r="Q163"/>
    </row>
    <row r="164" spans="1:17" s="311" customFormat="1">
      <c r="A164" s="310" t="s">
        <v>95</v>
      </c>
      <c r="B164" s="300" t="s">
        <v>102</v>
      </c>
      <c r="C164" s="558">
        <f>'[51]Sch C'!D175</f>
        <v>0</v>
      </c>
      <c r="D164" s="558">
        <f>'[51]Sch C'!F175</f>
        <v>0</v>
      </c>
      <c r="E164" s="248">
        <f t="shared" ref="E164:E196" si="45">C164+D164</f>
        <v>0</v>
      </c>
      <c r="F164" s="216">
        <v>0</v>
      </c>
      <c r="G164" s="248">
        <f t="shared" ref="G164:G196" si="46">E164+F164</f>
        <v>0</v>
      </c>
      <c r="H164" s="279">
        <f t="shared" ref="H164:H196" si="47">IF($G$208=0,0,G164/$G$208)</f>
        <v>0</v>
      </c>
      <c r="I164" s="633"/>
      <c r="J164" s="217">
        <v>0</v>
      </c>
      <c r="K164" s="217">
        <v>0</v>
      </c>
      <c r="L164" s="220"/>
      <c r="M164" s="367">
        <f>G164/G$228</f>
        <v>0</v>
      </c>
      <c r="N164" s="360">
        <f>SUMMARY!J167</f>
        <v>0</v>
      </c>
      <c r="O164" s="220"/>
      <c r="P164"/>
      <c r="Q164"/>
    </row>
    <row r="165" spans="1:17" s="311" customFormat="1">
      <c r="A165" s="310" t="s">
        <v>123</v>
      </c>
      <c r="B165" s="300" t="s">
        <v>103</v>
      </c>
      <c r="C165" s="558">
        <f>'[51]Sch C'!D176</f>
        <v>0</v>
      </c>
      <c r="D165" s="558">
        <f>'[51]Sch C'!F176</f>
        <v>0</v>
      </c>
      <c r="E165" s="248">
        <f t="shared" si="45"/>
        <v>0</v>
      </c>
      <c r="F165" s="216">
        <v>0</v>
      </c>
      <c r="G165" s="248">
        <f t="shared" si="46"/>
        <v>0</v>
      </c>
      <c r="H165" s="279">
        <f t="shared" si="47"/>
        <v>0</v>
      </c>
      <c r="I165" s="634"/>
      <c r="J165" s="222"/>
      <c r="K165" s="222"/>
      <c r="L165" s="220"/>
      <c r="M165" s="367">
        <f t="shared" ref="M165:M196" si="48">G165/G$228</f>
        <v>0</v>
      </c>
      <c r="N165" s="360">
        <f>SUMMARY!J168</f>
        <v>0</v>
      </c>
      <c r="O165" s="220"/>
      <c r="P165"/>
      <c r="Q165"/>
    </row>
    <row r="166" spans="1:17" s="311" customFormat="1">
      <c r="A166" s="310" t="s">
        <v>124</v>
      </c>
      <c r="B166" s="300" t="s">
        <v>104</v>
      </c>
      <c r="C166" s="558">
        <f>'[51]Sch C'!D177</f>
        <v>151380</v>
      </c>
      <c r="D166" s="558">
        <f>'[51]Sch C'!F177</f>
        <v>9038</v>
      </c>
      <c r="E166" s="248">
        <f t="shared" si="45"/>
        <v>160418</v>
      </c>
      <c r="F166" s="216">
        <v>35421</v>
      </c>
      <c r="G166" s="248">
        <f t="shared" si="46"/>
        <v>195839</v>
      </c>
      <c r="H166" s="279">
        <f t="shared" si="47"/>
        <v>5.6985038441237076E-2</v>
      </c>
      <c r="I166" s="633"/>
      <c r="J166" s="217">
        <f>4692+1039</f>
        <v>5731</v>
      </c>
      <c r="K166" s="217">
        <f>4972+1098</f>
        <v>6070</v>
      </c>
      <c r="L166" s="220"/>
      <c r="M166" s="367">
        <f t="shared" si="48"/>
        <v>12.432643473844591</v>
      </c>
      <c r="N166" s="360">
        <f>SUMMARY!J169</f>
        <v>4.9060338253170936</v>
      </c>
      <c r="O166" s="220"/>
      <c r="P166"/>
      <c r="Q166"/>
    </row>
    <row r="167" spans="1:17" s="311" customFormat="1">
      <c r="A167" s="310" t="s">
        <v>157</v>
      </c>
      <c r="B167" s="300" t="s">
        <v>105</v>
      </c>
      <c r="C167" s="558">
        <f>'[51]Sch C'!D178</f>
        <v>0</v>
      </c>
      <c r="D167" s="558">
        <f>'[51]Sch C'!F178</f>
        <v>20111</v>
      </c>
      <c r="E167" s="248">
        <f t="shared" si="45"/>
        <v>20111</v>
      </c>
      <c r="F167" s="216">
        <v>4348</v>
      </c>
      <c r="G167" s="248">
        <f t="shared" si="46"/>
        <v>24459</v>
      </c>
      <c r="H167" s="279">
        <f t="shared" si="47"/>
        <v>7.1170556183100288E-3</v>
      </c>
      <c r="I167" s="634"/>
      <c r="J167" s="222"/>
      <c r="K167" s="222"/>
      <c r="L167" s="220"/>
      <c r="M167" s="367">
        <f t="shared" si="48"/>
        <v>1.5527552056881666</v>
      </c>
      <c r="N167" s="360">
        <f>SUMMARY!J170</f>
        <v>0.8546059303297695</v>
      </c>
      <c r="O167" s="220"/>
      <c r="P167"/>
      <c r="Q167"/>
    </row>
    <row r="168" spans="1:17" s="311" customFormat="1">
      <c r="A168" s="310" t="s">
        <v>158</v>
      </c>
      <c r="B168" s="300" t="s">
        <v>316</v>
      </c>
      <c r="C168" s="558">
        <f>'[51]Sch C'!D179</f>
        <v>0</v>
      </c>
      <c r="D168" s="558">
        <f>'[51]Sch C'!F179</f>
        <v>0</v>
      </c>
      <c r="E168" s="248">
        <f t="shared" si="45"/>
        <v>0</v>
      </c>
      <c r="F168" s="216">
        <v>0</v>
      </c>
      <c r="G168" s="248">
        <f t="shared" si="46"/>
        <v>0</v>
      </c>
      <c r="H168" s="279">
        <f t="shared" si="47"/>
        <v>0</v>
      </c>
      <c r="I168" s="633"/>
      <c r="J168" s="217">
        <v>0</v>
      </c>
      <c r="K168" s="217">
        <v>0</v>
      </c>
      <c r="L168" s="220"/>
      <c r="M168" s="367">
        <f t="shared" si="48"/>
        <v>0</v>
      </c>
      <c r="N168" s="360">
        <f>SUMMARY!J171</f>
        <v>0.79511806658504303</v>
      </c>
      <c r="O168" s="220"/>
      <c r="P168"/>
      <c r="Q168"/>
    </row>
    <row r="169" spans="1:17" s="311" customFormat="1">
      <c r="A169" s="310" t="s">
        <v>86</v>
      </c>
      <c r="B169" s="300" t="s">
        <v>317</v>
      </c>
      <c r="C169" s="558">
        <f>'[51]Sch C'!D180</f>
        <v>0</v>
      </c>
      <c r="D169" s="558">
        <f>'[51]Sch C'!F180</f>
        <v>0</v>
      </c>
      <c r="E169" s="248">
        <f t="shared" si="45"/>
        <v>0</v>
      </c>
      <c r="F169" s="216">
        <v>0</v>
      </c>
      <c r="G169" s="248">
        <f t="shared" si="46"/>
        <v>0</v>
      </c>
      <c r="H169" s="279">
        <f t="shared" si="47"/>
        <v>0</v>
      </c>
      <c r="I169" s="634"/>
      <c r="J169" s="222"/>
      <c r="K169" s="222"/>
      <c r="L169" s="220"/>
      <c r="M169" s="367">
        <f t="shared" si="48"/>
        <v>0</v>
      </c>
      <c r="N169" s="360">
        <f>SUMMARY!J172</f>
        <v>0.1405217057636943</v>
      </c>
      <c r="O169" s="220"/>
      <c r="P169"/>
      <c r="Q169"/>
    </row>
    <row r="170" spans="1:17" s="311" customFormat="1">
      <c r="A170" s="310" t="s">
        <v>96</v>
      </c>
      <c r="B170" s="300" t="s">
        <v>318</v>
      </c>
      <c r="C170" s="558">
        <f>'[51]Sch C'!D181</f>
        <v>0</v>
      </c>
      <c r="D170" s="558">
        <f>'[51]Sch C'!F181</f>
        <v>0</v>
      </c>
      <c r="E170" s="248">
        <f t="shared" si="45"/>
        <v>0</v>
      </c>
      <c r="F170" s="216">
        <v>0</v>
      </c>
      <c r="G170" s="248">
        <f t="shared" si="46"/>
        <v>0</v>
      </c>
      <c r="H170" s="279">
        <f t="shared" si="47"/>
        <v>0</v>
      </c>
      <c r="I170" s="633"/>
      <c r="J170" s="217">
        <v>0</v>
      </c>
      <c r="K170" s="217">
        <v>0</v>
      </c>
      <c r="L170" s="220"/>
      <c r="M170" s="367">
        <f t="shared" si="48"/>
        <v>0</v>
      </c>
      <c r="N170" s="360">
        <f>SUMMARY!J173</f>
        <v>0.14856138086857354</v>
      </c>
      <c r="O170" s="220"/>
      <c r="P170"/>
      <c r="Q170"/>
    </row>
    <row r="171" spans="1:17" s="311" customFormat="1">
      <c r="A171" s="310" t="s">
        <v>125</v>
      </c>
      <c r="B171" s="300" t="s">
        <v>109</v>
      </c>
      <c r="C171" s="558">
        <f>'[51]Sch C'!D182</f>
        <v>0</v>
      </c>
      <c r="D171" s="558">
        <f>'[51]Sch C'!F182</f>
        <v>0</v>
      </c>
      <c r="E171" s="248">
        <f t="shared" si="45"/>
        <v>0</v>
      </c>
      <c r="F171" s="216">
        <v>0</v>
      </c>
      <c r="G171" s="248">
        <f t="shared" si="46"/>
        <v>0</v>
      </c>
      <c r="H171" s="279">
        <f t="shared" si="47"/>
        <v>0</v>
      </c>
      <c r="I171" s="634"/>
      <c r="J171" s="222"/>
      <c r="K171" s="222"/>
      <c r="L171" s="220"/>
      <c r="M171" s="367">
        <f t="shared" si="48"/>
        <v>0</v>
      </c>
      <c r="N171" s="360">
        <f>SUMMARY!J174</f>
        <v>2.2545547697802093E-2</v>
      </c>
      <c r="O171" s="220"/>
      <c r="P171"/>
      <c r="Q171"/>
    </row>
    <row r="172" spans="1:17" s="311" customFormat="1">
      <c r="A172" s="310" t="s">
        <v>126</v>
      </c>
      <c r="B172" s="300" t="s">
        <v>319</v>
      </c>
      <c r="C172" s="558">
        <f>'[51]Sch C'!D183</f>
        <v>47260</v>
      </c>
      <c r="D172" s="558">
        <f>'[51]Sch C'!F183</f>
        <v>2822</v>
      </c>
      <c r="E172" s="248">
        <f t="shared" si="45"/>
        <v>50082</v>
      </c>
      <c r="F172" s="216">
        <v>10290</v>
      </c>
      <c r="G172" s="248">
        <f t="shared" si="46"/>
        <v>60372</v>
      </c>
      <c r="H172" s="279">
        <f t="shared" si="47"/>
        <v>1.756698482311677E-2</v>
      </c>
      <c r="I172" s="633"/>
      <c r="J172" s="217">
        <f>1703+351</f>
        <v>2054</v>
      </c>
      <c r="K172" s="217">
        <f>1805+371</f>
        <v>2176</v>
      </c>
      <c r="L172" s="220"/>
      <c r="M172" s="367">
        <f t="shared" si="48"/>
        <v>3.8326561706449973</v>
      </c>
      <c r="N172" s="360">
        <f>SUMMARY!J175</f>
        <v>2.8660001223726335</v>
      </c>
      <c r="O172" s="220"/>
      <c r="P172"/>
      <c r="Q172"/>
    </row>
    <row r="173" spans="1:17" s="311" customFormat="1">
      <c r="A173" s="310" t="s">
        <v>127</v>
      </c>
      <c r="B173" s="312" t="s">
        <v>111</v>
      </c>
      <c r="C173" s="558">
        <f>'[51]Sch C'!D184</f>
        <v>0</v>
      </c>
      <c r="D173" s="558">
        <f>'[51]Sch C'!F184</f>
        <v>6278</v>
      </c>
      <c r="E173" s="248">
        <f t="shared" si="45"/>
        <v>6278</v>
      </c>
      <c r="F173" s="216">
        <v>1263</v>
      </c>
      <c r="G173" s="248">
        <f t="shared" si="46"/>
        <v>7541</v>
      </c>
      <c r="H173" s="279">
        <f t="shared" si="47"/>
        <v>2.1942727183317358E-3</v>
      </c>
      <c r="I173" s="634"/>
      <c r="J173" s="222"/>
      <c r="K173" s="222"/>
      <c r="L173" s="220"/>
      <c r="M173" s="367">
        <f t="shared" si="48"/>
        <v>0.47873285931945148</v>
      </c>
      <c r="N173" s="360">
        <f>SUMMARY!J176</f>
        <v>0.45922325087038773</v>
      </c>
      <c r="O173" s="220"/>
      <c r="P173"/>
      <c r="Q173"/>
    </row>
    <row r="174" spans="1:17" s="311" customFormat="1">
      <c r="A174" s="310" t="s">
        <v>128</v>
      </c>
      <c r="B174" s="300" t="s">
        <v>320</v>
      </c>
      <c r="C174" s="558">
        <f>'[51]Sch C'!D185</f>
        <v>0</v>
      </c>
      <c r="D174" s="558">
        <f>'[51]Sch C'!F185</f>
        <v>0</v>
      </c>
      <c r="E174" s="248">
        <f t="shared" si="45"/>
        <v>0</v>
      </c>
      <c r="F174" s="216">
        <v>0</v>
      </c>
      <c r="G174" s="248">
        <f t="shared" si="46"/>
        <v>0</v>
      </c>
      <c r="H174" s="279">
        <f t="shared" si="47"/>
        <v>0</v>
      </c>
      <c r="I174" s="633"/>
      <c r="J174" s="217">
        <v>0</v>
      </c>
      <c r="K174" s="217">
        <v>0</v>
      </c>
      <c r="L174" s="220"/>
      <c r="M174" s="367">
        <f t="shared" si="48"/>
        <v>0</v>
      </c>
      <c r="N174" s="360">
        <f>SUMMARY!J177</f>
        <v>0</v>
      </c>
      <c r="O174" s="220"/>
      <c r="P174"/>
      <c r="Q174"/>
    </row>
    <row r="175" spans="1:17" s="311" customFormat="1">
      <c r="A175" s="310" t="s">
        <v>129</v>
      </c>
      <c r="B175" s="312" t="s">
        <v>321</v>
      </c>
      <c r="C175" s="558">
        <f>'[51]Sch C'!D186</f>
        <v>0</v>
      </c>
      <c r="D175" s="558">
        <f>'[51]Sch C'!F186</f>
        <v>0</v>
      </c>
      <c r="E175" s="248">
        <f t="shared" si="45"/>
        <v>0</v>
      </c>
      <c r="F175" s="216">
        <v>0</v>
      </c>
      <c r="G175" s="248">
        <f t="shared" si="46"/>
        <v>0</v>
      </c>
      <c r="H175" s="279">
        <f t="shared" si="47"/>
        <v>0</v>
      </c>
      <c r="I175" s="629"/>
      <c r="J175" s="223"/>
      <c r="K175" s="218"/>
      <c r="L175" s="220"/>
      <c r="M175" s="367">
        <f t="shared" si="48"/>
        <v>0</v>
      </c>
      <c r="N175" s="360">
        <f>SUMMARY!J178</f>
        <v>0</v>
      </c>
      <c r="P175"/>
      <c r="Q175"/>
    </row>
    <row r="176" spans="1:17" s="311" customFormat="1">
      <c r="A176" s="313" t="s">
        <v>293</v>
      </c>
      <c r="B176" s="300" t="s">
        <v>154</v>
      </c>
      <c r="C176" s="558">
        <f>'[51]Sch C'!D187</f>
        <v>0</v>
      </c>
      <c r="D176" s="558">
        <f>'[51]Sch C'!F187</f>
        <v>0</v>
      </c>
      <c r="E176" s="248">
        <f t="shared" si="45"/>
        <v>0</v>
      </c>
      <c r="F176" s="216">
        <v>0</v>
      </c>
      <c r="G176" s="248">
        <f t="shared" si="46"/>
        <v>0</v>
      </c>
      <c r="H176" s="279">
        <f t="shared" si="47"/>
        <v>0</v>
      </c>
      <c r="I176" s="629"/>
      <c r="J176" s="223"/>
      <c r="K176" s="218"/>
      <c r="L176" s="220"/>
      <c r="M176" s="367">
        <f t="shared" si="48"/>
        <v>0</v>
      </c>
      <c r="N176" s="360">
        <f>SUMMARY!J179</f>
        <v>0</v>
      </c>
      <c r="P176"/>
      <c r="Q176"/>
    </row>
    <row r="177" spans="1:17" s="311" customFormat="1">
      <c r="A177" s="313" t="s">
        <v>294</v>
      </c>
      <c r="B177" s="300" t="s">
        <v>322</v>
      </c>
      <c r="C177" s="558">
        <f>'[51]Sch C'!D188</f>
        <v>1652</v>
      </c>
      <c r="D177" s="558">
        <f>'[51]Sch C'!F188</f>
        <v>0</v>
      </c>
      <c r="E177" s="248">
        <f t="shared" si="45"/>
        <v>1652</v>
      </c>
      <c r="F177" s="216">
        <v>0</v>
      </c>
      <c r="G177" s="248">
        <f t="shared" si="46"/>
        <v>1652</v>
      </c>
      <c r="H177" s="279">
        <f t="shared" si="47"/>
        <v>4.8069732537913112E-4</v>
      </c>
      <c r="I177" s="629"/>
      <c r="J177" s="223"/>
      <c r="K177" s="218"/>
      <c r="L177" s="220"/>
      <c r="M177" s="367">
        <f t="shared" si="48"/>
        <v>0.10487557135601829</v>
      </c>
      <c r="N177" s="360">
        <f>SUMMARY!J180</f>
        <v>0.30705480193530821</v>
      </c>
      <c r="P177"/>
      <c r="Q177"/>
    </row>
    <row r="178" spans="1:17" s="311" customFormat="1">
      <c r="A178" s="313" t="s">
        <v>295</v>
      </c>
      <c r="B178" s="300" t="s">
        <v>323</v>
      </c>
      <c r="C178" s="558">
        <f>'[51]Sch C'!D189</f>
        <v>0</v>
      </c>
      <c r="D178" s="558">
        <f>'[51]Sch C'!F189</f>
        <v>0</v>
      </c>
      <c r="E178" s="248">
        <f t="shared" si="45"/>
        <v>0</v>
      </c>
      <c r="F178" s="216">
        <v>0</v>
      </c>
      <c r="G178" s="248">
        <f t="shared" si="46"/>
        <v>0</v>
      </c>
      <c r="H178" s="279">
        <f t="shared" si="47"/>
        <v>0</v>
      </c>
      <c r="I178" s="629"/>
      <c r="J178" s="223"/>
      <c r="K178" s="218"/>
      <c r="L178" s="220"/>
      <c r="M178" s="367">
        <f t="shared" si="48"/>
        <v>0</v>
      </c>
      <c r="N178" s="360">
        <f>SUMMARY!J181</f>
        <v>5.3584457511323957E-2</v>
      </c>
      <c r="P178"/>
      <c r="Q178"/>
    </row>
    <row r="179" spans="1:17" s="311" customFormat="1">
      <c r="A179" s="313" t="s">
        <v>296</v>
      </c>
      <c r="B179" s="300" t="s">
        <v>324</v>
      </c>
      <c r="C179" s="558">
        <f>'[51]Sch C'!D190</f>
        <v>0</v>
      </c>
      <c r="D179" s="558">
        <f>'[51]Sch C'!F190</f>
        <v>0</v>
      </c>
      <c r="E179" s="248">
        <f t="shared" si="45"/>
        <v>0</v>
      </c>
      <c r="F179" s="216">
        <v>0</v>
      </c>
      <c r="G179" s="248">
        <f t="shared" si="46"/>
        <v>0</v>
      </c>
      <c r="H179" s="279">
        <f t="shared" si="47"/>
        <v>0</v>
      </c>
      <c r="I179" s="629"/>
      <c r="J179" s="223"/>
      <c r="K179" s="218"/>
      <c r="L179" s="220"/>
      <c r="M179" s="367">
        <f t="shared" si="48"/>
        <v>0</v>
      </c>
      <c r="N179" s="360">
        <f>SUMMARY!J182</f>
        <v>0</v>
      </c>
      <c r="P179"/>
      <c r="Q179"/>
    </row>
    <row r="180" spans="1:17" s="311" customFormat="1">
      <c r="A180" s="313" t="s">
        <v>297</v>
      </c>
      <c r="B180" s="300" t="s">
        <v>325</v>
      </c>
      <c r="C180" s="558">
        <f>'[51]Sch C'!D191</f>
        <v>0</v>
      </c>
      <c r="D180" s="558">
        <f>'[51]Sch C'!F191</f>
        <v>0</v>
      </c>
      <c r="E180" s="248">
        <f t="shared" si="45"/>
        <v>0</v>
      </c>
      <c r="F180" s="216">
        <v>0</v>
      </c>
      <c r="G180" s="248">
        <f t="shared" si="46"/>
        <v>0</v>
      </c>
      <c r="H180" s="279">
        <f t="shared" si="47"/>
        <v>0</v>
      </c>
      <c r="I180" s="629"/>
      <c r="J180" s="223"/>
      <c r="K180" s="218"/>
      <c r="L180" s="220"/>
      <c r="M180" s="367">
        <f t="shared" si="48"/>
        <v>0</v>
      </c>
      <c r="N180" s="360">
        <f>SUMMARY!J183</f>
        <v>0.1333235617560114</v>
      </c>
      <c r="P180"/>
      <c r="Q180"/>
    </row>
    <row r="181" spans="1:17" s="311" customFormat="1">
      <c r="A181" s="313" t="s">
        <v>298</v>
      </c>
      <c r="B181" s="300" t="s">
        <v>117</v>
      </c>
      <c r="C181" s="558">
        <f>'[51]Sch C'!D192</f>
        <v>0</v>
      </c>
      <c r="D181" s="558">
        <f>'[51]Sch C'!F192</f>
        <v>0</v>
      </c>
      <c r="E181" s="248">
        <f t="shared" si="45"/>
        <v>0</v>
      </c>
      <c r="F181" s="216">
        <v>0</v>
      </c>
      <c r="G181" s="248">
        <f t="shared" si="46"/>
        <v>0</v>
      </c>
      <c r="H181" s="279">
        <f t="shared" si="47"/>
        <v>0</v>
      </c>
      <c r="I181" s="629"/>
      <c r="J181" s="223"/>
      <c r="K181" s="218"/>
      <c r="L181" s="220"/>
      <c r="M181" s="367">
        <f t="shared" si="48"/>
        <v>0</v>
      </c>
      <c r="N181" s="360">
        <f>SUMMARY!J184</f>
        <v>0.29174571104570529</v>
      </c>
      <c r="P181"/>
      <c r="Q181"/>
    </row>
    <row r="182" spans="1:17" s="311" customFormat="1">
      <c r="A182" s="313" t="s">
        <v>132</v>
      </c>
      <c r="B182" s="300" t="s">
        <v>118</v>
      </c>
      <c r="C182" s="558">
        <f>'[51]Sch C'!D193</f>
        <v>0</v>
      </c>
      <c r="D182" s="558">
        <f>'[51]Sch C'!F193</f>
        <v>0</v>
      </c>
      <c r="E182" s="248">
        <f t="shared" si="45"/>
        <v>0</v>
      </c>
      <c r="F182" s="216">
        <v>0</v>
      </c>
      <c r="G182" s="248">
        <f t="shared" si="46"/>
        <v>0</v>
      </c>
      <c r="H182" s="279">
        <f t="shared" si="47"/>
        <v>0</v>
      </c>
      <c r="I182" s="629"/>
      <c r="J182" s="223"/>
      <c r="K182" s="218"/>
      <c r="L182" s="220"/>
      <c r="M182" s="367">
        <f t="shared" si="48"/>
        <v>0</v>
      </c>
      <c r="N182" s="360">
        <f>SUMMARY!J185</f>
        <v>7.0915905841295299E-2</v>
      </c>
      <c r="P182"/>
      <c r="Q182"/>
    </row>
    <row r="183" spans="1:17" s="311" customFormat="1">
      <c r="A183" s="313" t="s">
        <v>133</v>
      </c>
      <c r="B183" s="300" t="s">
        <v>119</v>
      </c>
      <c r="C183" s="558">
        <f>'[51]Sch C'!D194</f>
        <v>330</v>
      </c>
      <c r="D183" s="558">
        <f>'[51]Sch C'!F194</f>
        <v>0</v>
      </c>
      <c r="E183" s="248">
        <f t="shared" si="45"/>
        <v>330</v>
      </c>
      <c r="F183" s="216">
        <v>-330</v>
      </c>
      <c r="G183" s="248">
        <f t="shared" si="46"/>
        <v>0</v>
      </c>
      <c r="H183" s="279">
        <f t="shared" si="47"/>
        <v>0</v>
      </c>
      <c r="I183" s="629"/>
      <c r="J183" s="223"/>
      <c r="K183" s="218"/>
      <c r="L183" s="220"/>
      <c r="M183" s="367">
        <f t="shared" si="48"/>
        <v>0</v>
      </c>
      <c r="N183" s="360">
        <f>SUMMARY!J186</f>
        <v>7.2780776577335544</v>
      </c>
      <c r="P183"/>
      <c r="Q183"/>
    </row>
    <row r="184" spans="1:17" s="311" customFormat="1">
      <c r="A184" s="313" t="s">
        <v>134</v>
      </c>
      <c r="B184" s="300" t="s">
        <v>326</v>
      </c>
      <c r="C184" s="558">
        <f>'[51]Sch C'!D195</f>
        <v>7085</v>
      </c>
      <c r="D184" s="558">
        <f>'[51]Sch C'!F195</f>
        <v>0</v>
      </c>
      <c r="E184" s="248">
        <f t="shared" si="45"/>
        <v>7085</v>
      </c>
      <c r="F184" s="216">
        <v>1642</v>
      </c>
      <c r="G184" s="248">
        <f t="shared" si="46"/>
        <v>8727</v>
      </c>
      <c r="H184" s="279">
        <f t="shared" si="47"/>
        <v>2.5393738248085211E-3</v>
      </c>
      <c r="I184" s="629"/>
      <c r="J184" s="223"/>
      <c r="K184" s="218"/>
      <c r="L184" s="220"/>
      <c r="M184" s="367">
        <f t="shared" si="48"/>
        <v>0.55402488572879638</v>
      </c>
      <c r="N184" s="360">
        <f>SUMMARY!J187</f>
        <v>1.7471448792019588</v>
      </c>
      <c r="P184"/>
      <c r="Q184"/>
    </row>
    <row r="185" spans="1:17" s="311" customFormat="1">
      <c r="A185" s="313" t="s">
        <v>135</v>
      </c>
      <c r="B185" s="300" t="s">
        <v>327</v>
      </c>
      <c r="C185" s="558">
        <f>'[51]Sch C'!D196</f>
        <v>0</v>
      </c>
      <c r="D185" s="558">
        <f>'[51]Sch C'!F196</f>
        <v>0</v>
      </c>
      <c r="E185" s="248">
        <f t="shared" si="45"/>
        <v>0</v>
      </c>
      <c r="F185" s="216">
        <v>0</v>
      </c>
      <c r="G185" s="248">
        <f t="shared" si="46"/>
        <v>0</v>
      </c>
      <c r="H185" s="279">
        <f t="shared" si="47"/>
        <v>0</v>
      </c>
      <c r="I185" s="629"/>
      <c r="J185" s="223"/>
      <c r="K185" s="218"/>
      <c r="L185" s="220"/>
      <c r="M185" s="367">
        <f t="shared" si="48"/>
        <v>0</v>
      </c>
      <c r="N185" s="360">
        <f>SUMMARY!J188</f>
        <v>0.10202169826083787</v>
      </c>
      <c r="P185"/>
      <c r="Q185"/>
    </row>
    <row r="186" spans="1:17" s="311" customFormat="1">
      <c r="A186" s="313" t="s">
        <v>136</v>
      </c>
      <c r="B186" s="300" t="s">
        <v>328</v>
      </c>
      <c r="C186" s="558">
        <f>'[51]Sch C'!D197</f>
        <v>44229</v>
      </c>
      <c r="D186" s="558">
        <f>'[51]Sch C'!F197</f>
        <v>0</v>
      </c>
      <c r="E186" s="248">
        <f t="shared" si="45"/>
        <v>44229</v>
      </c>
      <c r="F186" s="216">
        <v>13292</v>
      </c>
      <c r="G186" s="248">
        <f t="shared" si="46"/>
        <v>57521</v>
      </c>
      <c r="H186" s="279">
        <f t="shared" si="47"/>
        <v>1.673740366412409E-2</v>
      </c>
      <c r="I186" s="629"/>
      <c r="J186" s="223"/>
      <c r="K186" s="218"/>
      <c r="L186" s="220"/>
      <c r="M186" s="367">
        <f t="shared" si="48"/>
        <v>3.6516632808532248</v>
      </c>
      <c r="N186" s="360">
        <f>SUMMARY!J189</f>
        <v>5.0164683871805966</v>
      </c>
      <c r="P186"/>
      <c r="Q186"/>
    </row>
    <row r="187" spans="1:17" s="311" customFormat="1">
      <c r="A187" s="313" t="s">
        <v>137</v>
      </c>
      <c r="B187" s="300" t="s">
        <v>122</v>
      </c>
      <c r="C187" s="558">
        <f>'[51]Sch C'!D198</f>
        <v>16392</v>
      </c>
      <c r="D187" s="558">
        <f>'[51]Sch C'!F198</f>
        <v>0</v>
      </c>
      <c r="E187" s="248">
        <f t="shared" si="45"/>
        <v>16392</v>
      </c>
      <c r="F187" s="216">
        <v>2498</v>
      </c>
      <c r="G187" s="248">
        <f t="shared" si="46"/>
        <v>18890</v>
      </c>
      <c r="H187" s="279">
        <f t="shared" si="47"/>
        <v>5.4965935087238418E-3</v>
      </c>
      <c r="I187" s="629"/>
      <c r="J187" s="223"/>
      <c r="K187" s="218"/>
      <c r="L187" s="220"/>
      <c r="M187" s="367">
        <f t="shared" si="48"/>
        <v>1.1992127983748095</v>
      </c>
      <c r="N187" s="360">
        <f>SUMMARY!J190</f>
        <v>1.4762344610483848</v>
      </c>
      <c r="P187"/>
      <c r="Q187"/>
    </row>
    <row r="188" spans="1:17" s="311" customFormat="1">
      <c r="A188" s="313" t="s">
        <v>275</v>
      </c>
      <c r="B188" s="300" t="s">
        <v>329</v>
      </c>
      <c r="C188" s="558">
        <f>'[51]Sch C'!D199</f>
        <v>166</v>
      </c>
      <c r="D188" s="558">
        <f>'[51]Sch C'!F199</f>
        <v>0</v>
      </c>
      <c r="E188" s="248">
        <f t="shared" si="45"/>
        <v>166</v>
      </c>
      <c r="F188" s="216">
        <v>0</v>
      </c>
      <c r="G188" s="248">
        <f t="shared" si="46"/>
        <v>166</v>
      </c>
      <c r="H188" s="279">
        <f t="shared" si="47"/>
        <v>4.8302515746329154E-5</v>
      </c>
      <c r="I188" s="629"/>
      <c r="J188" s="223"/>
      <c r="K188" s="218"/>
      <c r="L188" s="220"/>
      <c r="M188" s="367">
        <f t="shared" si="48"/>
        <v>1.0538344337227019E-2</v>
      </c>
      <c r="N188" s="360">
        <f>SUMMARY!J191</f>
        <v>0.3719273123267644</v>
      </c>
      <c r="P188"/>
      <c r="Q188"/>
    </row>
    <row r="189" spans="1:17" s="311" customFormat="1">
      <c r="A189" s="313" t="s">
        <v>277</v>
      </c>
      <c r="B189" s="300" t="s">
        <v>278</v>
      </c>
      <c r="C189" s="558">
        <f>'[51]Sch C'!D200</f>
        <v>0</v>
      </c>
      <c r="D189" s="558">
        <f>'[51]Sch C'!F200</f>
        <v>0</v>
      </c>
      <c r="E189" s="248">
        <f t="shared" si="45"/>
        <v>0</v>
      </c>
      <c r="F189" s="216">
        <v>0</v>
      </c>
      <c r="G189" s="248">
        <f t="shared" si="46"/>
        <v>0</v>
      </c>
      <c r="H189" s="279">
        <f t="shared" si="47"/>
        <v>0</v>
      </c>
      <c r="I189" s="629"/>
      <c r="J189" s="223"/>
      <c r="K189" s="218"/>
      <c r="L189" s="220"/>
      <c r="M189" s="367">
        <f t="shared" si="48"/>
        <v>0</v>
      </c>
      <c r="N189" s="360">
        <f>SUMMARY!J192</f>
        <v>1.1168537736152406E-3</v>
      </c>
      <c r="P189"/>
      <c r="Q189"/>
    </row>
    <row r="190" spans="1:17" s="311" customFormat="1">
      <c r="A190" s="314" t="s">
        <v>279</v>
      </c>
      <c r="B190" s="315" t="s">
        <v>280</v>
      </c>
      <c r="C190" s="558">
        <f>'[51]Sch C'!D201</f>
        <v>0</v>
      </c>
      <c r="D190" s="558">
        <f>'[51]Sch C'!F201</f>
        <v>0</v>
      </c>
      <c r="E190" s="248">
        <f t="shared" si="45"/>
        <v>0</v>
      </c>
      <c r="F190" s="216">
        <v>0</v>
      </c>
      <c r="G190" s="248">
        <f t="shared" si="46"/>
        <v>0</v>
      </c>
      <c r="H190" s="279">
        <f t="shared" si="47"/>
        <v>0</v>
      </c>
      <c r="I190" s="629"/>
      <c r="J190" s="223"/>
      <c r="K190" s="218"/>
      <c r="L190" s="220"/>
      <c r="M190" s="367">
        <f t="shared" si="48"/>
        <v>0</v>
      </c>
      <c r="N190" s="360">
        <f>SUMMARY!J193</f>
        <v>9.491156275925049E-3</v>
      </c>
      <c r="P190"/>
      <c r="Q190"/>
    </row>
    <row r="191" spans="1:17" s="311" customFormat="1">
      <c r="A191" s="314" t="s">
        <v>281</v>
      </c>
      <c r="B191" s="315" t="s">
        <v>282</v>
      </c>
      <c r="C191" s="558">
        <f>'[51]Sch C'!D202</f>
        <v>0</v>
      </c>
      <c r="D191" s="558">
        <f>'[51]Sch C'!F202</f>
        <v>0</v>
      </c>
      <c r="E191" s="248">
        <f t="shared" si="45"/>
        <v>0</v>
      </c>
      <c r="F191" s="216">
        <v>0</v>
      </c>
      <c r="G191" s="248">
        <f t="shared" si="46"/>
        <v>0</v>
      </c>
      <c r="H191" s="279">
        <f t="shared" si="47"/>
        <v>0</v>
      </c>
      <c r="I191" s="629"/>
      <c r="J191" s="223"/>
      <c r="K191" s="218"/>
      <c r="L191" s="220"/>
      <c r="M191" s="367">
        <f t="shared" si="48"/>
        <v>0</v>
      </c>
      <c r="N191" s="360">
        <f>SUMMARY!J194</f>
        <v>1.256942821802872E-4</v>
      </c>
      <c r="P191"/>
      <c r="Q191"/>
    </row>
    <row r="192" spans="1:17" s="311" customFormat="1">
      <c r="A192" s="314" t="s">
        <v>283</v>
      </c>
      <c r="B192" s="315" t="s">
        <v>330</v>
      </c>
      <c r="C192" s="558">
        <f>'[51]Sch C'!D203</f>
        <v>0</v>
      </c>
      <c r="D192" s="558">
        <f>'[51]Sch C'!F203</f>
        <v>0</v>
      </c>
      <c r="E192" s="248">
        <f t="shared" si="45"/>
        <v>0</v>
      </c>
      <c r="F192" s="216">
        <v>0</v>
      </c>
      <c r="G192" s="248">
        <f t="shared" si="46"/>
        <v>0</v>
      </c>
      <c r="H192" s="279">
        <f t="shared" si="47"/>
        <v>0</v>
      </c>
      <c r="I192" s="629"/>
      <c r="J192" s="223"/>
      <c r="K192" s="218"/>
      <c r="L192" s="220"/>
      <c r="M192" s="367">
        <f t="shared" si="48"/>
        <v>0</v>
      </c>
      <c r="N192" s="360">
        <f>SUMMARY!J195</f>
        <v>6.3845219287057137E-2</v>
      </c>
      <c r="P192"/>
      <c r="Q192"/>
    </row>
    <row r="193" spans="1:17" s="311" customFormat="1">
      <c r="A193" s="314" t="s">
        <v>285</v>
      </c>
      <c r="B193" s="315" t="s">
        <v>331</v>
      </c>
      <c r="C193" s="558">
        <f>'[51]Sch C'!D204</f>
        <v>0</v>
      </c>
      <c r="D193" s="558">
        <f>'[51]Sch C'!F204</f>
        <v>0</v>
      </c>
      <c r="E193" s="248">
        <f t="shared" si="45"/>
        <v>0</v>
      </c>
      <c r="F193" s="216">
        <v>0</v>
      </c>
      <c r="G193" s="248">
        <f t="shared" si="46"/>
        <v>0</v>
      </c>
      <c r="H193" s="279">
        <f t="shared" si="47"/>
        <v>0</v>
      </c>
      <c r="I193" s="629"/>
      <c r="J193" s="223"/>
      <c r="K193" s="218"/>
      <c r="L193" s="220"/>
      <c r="M193" s="367">
        <f t="shared" si="48"/>
        <v>0</v>
      </c>
      <c r="N193" s="360">
        <f>SUMMARY!J196</f>
        <v>0</v>
      </c>
      <c r="P193"/>
      <c r="Q193"/>
    </row>
    <row r="194" spans="1:17" s="311" customFormat="1">
      <c r="A194" s="313" t="s">
        <v>138</v>
      </c>
      <c r="B194" s="300" t="s">
        <v>332</v>
      </c>
      <c r="C194" s="558">
        <f>'[51]Sch C'!D205</f>
        <v>58210</v>
      </c>
      <c r="D194" s="558">
        <f>'[51]Sch C'!F205</f>
        <v>0</v>
      </c>
      <c r="E194" s="248">
        <f t="shared" si="45"/>
        <v>58210</v>
      </c>
      <c r="F194" s="216">
        <v>12012</v>
      </c>
      <c r="G194" s="248">
        <f t="shared" si="46"/>
        <v>70222</v>
      </c>
      <c r="H194" s="279">
        <f t="shared" si="47"/>
        <v>2.0433128076739311E-2</v>
      </c>
      <c r="I194" s="629"/>
      <c r="J194" s="223"/>
      <c r="K194" s="218"/>
      <c r="L194" s="220"/>
      <c r="M194" s="367">
        <f t="shared" si="48"/>
        <v>4.457973590655155</v>
      </c>
      <c r="N194" s="360">
        <f>SUMMARY!J197</f>
        <v>9.4138592764245246</v>
      </c>
      <c r="P194"/>
      <c r="Q194"/>
    </row>
    <row r="195" spans="1:17" s="311" customFormat="1">
      <c r="A195" s="313" t="s">
        <v>139</v>
      </c>
      <c r="B195" s="300" t="s">
        <v>67</v>
      </c>
      <c r="C195" s="558">
        <f>'[51]Sch C'!D206</f>
        <v>3061</v>
      </c>
      <c r="D195" s="558">
        <f>'[51]Sch C'!F206</f>
        <v>0</v>
      </c>
      <c r="E195" s="248">
        <f t="shared" si="45"/>
        <v>3061</v>
      </c>
      <c r="F195" s="216">
        <v>336</v>
      </c>
      <c r="G195" s="248">
        <f t="shared" si="46"/>
        <v>3397</v>
      </c>
      <c r="H195" s="279">
        <f t="shared" si="47"/>
        <v>9.8845569873662743E-4</v>
      </c>
      <c r="I195" s="629"/>
      <c r="J195" s="223"/>
      <c r="K195" s="218"/>
      <c r="L195" s="220"/>
      <c r="M195" s="367">
        <f t="shared" si="48"/>
        <v>0.21565515490096496</v>
      </c>
      <c r="N195" s="360">
        <f>SUMMARY!J198</f>
        <v>0.50303072526897752</v>
      </c>
      <c r="P195"/>
      <c r="Q195"/>
    </row>
    <row r="196" spans="1:17" s="311" customFormat="1">
      <c r="A196" s="314" t="s">
        <v>143</v>
      </c>
      <c r="B196" s="296" t="s">
        <v>333</v>
      </c>
      <c r="C196" s="558">
        <f>'[51]Sch C'!D207</f>
        <v>6406</v>
      </c>
      <c r="D196" s="558">
        <f>'[51]Sch C'!F207</f>
        <v>-627</v>
      </c>
      <c r="E196" s="248">
        <f t="shared" si="45"/>
        <v>5779</v>
      </c>
      <c r="F196" s="216">
        <v>1431</v>
      </c>
      <c r="G196" s="248">
        <f t="shared" si="46"/>
        <v>7210</v>
      </c>
      <c r="H196" s="279">
        <f t="shared" si="47"/>
        <v>2.0979586658495977E-3</v>
      </c>
      <c r="I196" s="629"/>
      <c r="J196" s="223"/>
      <c r="K196" s="218"/>
      <c r="L196" s="220"/>
      <c r="M196" s="367">
        <f t="shared" si="48"/>
        <v>0.45771965464702896</v>
      </c>
      <c r="N196" s="360">
        <f>SUMMARY!J199</f>
        <v>0.37420738931321718</v>
      </c>
      <c r="P196"/>
      <c r="Q196"/>
    </row>
    <row r="197" spans="1:17" s="275" customFormat="1" ht="26.5">
      <c r="A197" s="271"/>
      <c r="B197" s="316" t="s">
        <v>130</v>
      </c>
      <c r="C197" s="558">
        <f>SUM(C164:C196)</f>
        <v>336171</v>
      </c>
      <c r="D197" s="558">
        <f>SUM(D164:D196)</f>
        <v>37622</v>
      </c>
      <c r="E197" s="248">
        <f t="shared" ref="E197:F197" si="49">SUM(E164:E196)</f>
        <v>373793</v>
      </c>
      <c r="F197" s="248">
        <f t="shared" si="49"/>
        <v>82203</v>
      </c>
      <c r="G197" s="248">
        <f>SUM(G164:G196)</f>
        <v>455996</v>
      </c>
      <c r="H197" s="279">
        <f>IF($G$208=0,0,G197/$G$208)</f>
        <v>0.13268526488110308</v>
      </c>
      <c r="I197" s="629"/>
      <c r="J197" s="168"/>
      <c r="K197" s="168"/>
      <c r="M197" s="367">
        <f>G197/G$228</f>
        <v>28.94845099035043</v>
      </c>
      <c r="N197" s="360">
        <f>SUMMARY!J200</f>
        <v>37.406784978272242</v>
      </c>
      <c r="O197" s="355"/>
      <c r="P197"/>
      <c r="Q197"/>
    </row>
    <row r="198" spans="1:17" s="275" customFormat="1">
      <c r="A198" s="271"/>
      <c r="C198" s="165"/>
      <c r="D198" s="165"/>
      <c r="E198" s="273"/>
      <c r="F198" s="273"/>
      <c r="G198" s="273"/>
      <c r="H198" s="299"/>
      <c r="I198" s="631"/>
      <c r="J198" s="168"/>
      <c r="K198" s="168"/>
      <c r="M198" s="360"/>
      <c r="N198" s="360"/>
      <c r="P198"/>
      <c r="Q198"/>
    </row>
    <row r="199" spans="1:17" s="275" customFormat="1">
      <c r="A199" s="277" t="s">
        <v>169</v>
      </c>
      <c r="B199" s="278" t="s">
        <v>68</v>
      </c>
      <c r="C199" s="165"/>
      <c r="D199" s="165"/>
      <c r="E199" s="273"/>
      <c r="F199" s="273"/>
      <c r="G199" s="273"/>
      <c r="H199" s="299"/>
      <c r="I199" s="631"/>
      <c r="J199" s="168"/>
      <c r="K199" s="168"/>
      <c r="M199" s="360"/>
      <c r="N199" s="360"/>
      <c r="P199"/>
      <c r="Q199"/>
    </row>
    <row r="200" spans="1:17" s="275" customFormat="1">
      <c r="A200" s="277" t="s">
        <v>85</v>
      </c>
      <c r="B200" s="278" t="s">
        <v>69</v>
      </c>
      <c r="C200" s="558">
        <f>'[51]Sch C'!D211</f>
        <v>50943</v>
      </c>
      <c r="D200" s="558">
        <f>'[51]Sch C'!F211</f>
        <v>3041</v>
      </c>
      <c r="E200" s="248">
        <f t="shared" ref="E200:E205" si="50">C200+D200</f>
        <v>53984</v>
      </c>
      <c r="F200" s="248">
        <v>12464</v>
      </c>
      <c r="G200" s="248">
        <f t="shared" ref="G200:G205" si="51">E200+F200</f>
        <v>66448</v>
      </c>
      <c r="H200" s="279">
        <f t="shared" ref="H200:H206" si="52">IF($G$208=0,0,G200/$G$208)</f>
        <v>1.9334973291036624E-2</v>
      </c>
      <c r="I200" s="629"/>
      <c r="J200" s="183">
        <f>3608+835</f>
        <v>4443</v>
      </c>
      <c r="K200" s="183">
        <f>3823+882</f>
        <v>4705</v>
      </c>
      <c r="M200" s="367">
        <f t="shared" ref="M200:M205" si="53">G200/G$228</f>
        <v>4.2183849669883191</v>
      </c>
      <c r="N200" s="360">
        <f>SUMMARY!J203</f>
        <v>5.2601700809246292</v>
      </c>
      <c r="P200"/>
      <c r="Q200"/>
    </row>
    <row r="201" spans="1:17" s="275" customFormat="1">
      <c r="A201" s="277" t="s">
        <v>86</v>
      </c>
      <c r="B201" s="278" t="s">
        <v>45</v>
      </c>
      <c r="C201" s="558">
        <f>'[51]Sch C'!D212</f>
        <v>0</v>
      </c>
      <c r="D201" s="558">
        <f>'[51]Sch C'!F212</f>
        <v>6768</v>
      </c>
      <c r="E201" s="248">
        <f t="shared" si="50"/>
        <v>6768</v>
      </c>
      <c r="F201" s="248">
        <v>1530</v>
      </c>
      <c r="G201" s="248">
        <f t="shared" si="51"/>
        <v>8298</v>
      </c>
      <c r="H201" s="279">
        <f t="shared" si="52"/>
        <v>2.4145438292954174E-3</v>
      </c>
      <c r="I201" s="629"/>
      <c r="J201" s="168"/>
      <c r="K201" s="168"/>
      <c r="M201" s="367">
        <f t="shared" si="53"/>
        <v>0.52679024885728798</v>
      </c>
      <c r="N201" s="360">
        <f>SUMMARY!J204</f>
        <v>1.0692430699343443</v>
      </c>
      <c r="P201"/>
      <c r="Q201"/>
    </row>
    <row r="202" spans="1:17" s="275" customFormat="1">
      <c r="A202" s="277" t="s">
        <v>140</v>
      </c>
      <c r="B202" s="278" t="s">
        <v>54</v>
      </c>
      <c r="C202" s="558">
        <f>'[51]Sch C'!D213</f>
        <v>3570</v>
      </c>
      <c r="D202" s="558">
        <f>'[51]Sch C'!F213</f>
        <v>0</v>
      </c>
      <c r="E202" s="248">
        <f t="shared" si="50"/>
        <v>3570</v>
      </c>
      <c r="F202" s="248">
        <v>787</v>
      </c>
      <c r="G202" s="248">
        <f t="shared" si="51"/>
        <v>4357</v>
      </c>
      <c r="H202" s="279">
        <f t="shared" si="52"/>
        <v>1.2677955488358803E-3</v>
      </c>
      <c r="I202" s="629"/>
      <c r="J202" s="168"/>
      <c r="K202" s="168"/>
      <c r="M202" s="367">
        <f t="shared" si="53"/>
        <v>0.27659979685119351</v>
      </c>
      <c r="N202" s="360">
        <f>SUMMARY!J205</f>
        <v>0.45326453571252473</v>
      </c>
      <c r="P202"/>
      <c r="Q202"/>
    </row>
    <row r="203" spans="1:17" s="275" customFormat="1">
      <c r="A203" s="277" t="s">
        <v>141</v>
      </c>
      <c r="B203" s="278" t="s">
        <v>70</v>
      </c>
      <c r="C203" s="558">
        <f>'[51]Sch C'!D214</f>
        <v>0</v>
      </c>
      <c r="D203" s="558">
        <f>'[51]Sch C'!F214</f>
        <v>0</v>
      </c>
      <c r="E203" s="248">
        <f t="shared" si="50"/>
        <v>0</v>
      </c>
      <c r="F203" s="248">
        <v>0</v>
      </c>
      <c r="G203" s="248">
        <f t="shared" si="51"/>
        <v>0</v>
      </c>
      <c r="H203" s="279">
        <f t="shared" si="52"/>
        <v>0</v>
      </c>
      <c r="I203" s="629"/>
      <c r="J203" s="168"/>
      <c r="K203" s="168"/>
      <c r="M203" s="367">
        <f t="shared" si="53"/>
        <v>0</v>
      </c>
      <c r="N203" s="360">
        <f>SUMMARY!J206</f>
        <v>6.3990415636810301E-3</v>
      </c>
      <c r="P203"/>
      <c r="Q203"/>
    </row>
    <row r="204" spans="1:17" s="275" customFormat="1">
      <c r="A204" s="277" t="s">
        <v>142</v>
      </c>
      <c r="B204" s="23" t="s">
        <v>71</v>
      </c>
      <c r="C204" s="558">
        <f>'[51]Sch C'!D215</f>
        <v>0</v>
      </c>
      <c r="D204" s="558">
        <f>'[51]Sch C'!F215</f>
        <v>0</v>
      </c>
      <c r="E204" s="248">
        <f t="shared" si="50"/>
        <v>0</v>
      </c>
      <c r="F204" s="248">
        <v>0</v>
      </c>
      <c r="G204" s="248">
        <f t="shared" si="51"/>
        <v>0</v>
      </c>
      <c r="H204" s="279">
        <f t="shared" si="52"/>
        <v>0</v>
      </c>
      <c r="I204" s="629"/>
      <c r="J204" s="168"/>
      <c r="K204" s="168"/>
      <c r="M204" s="367">
        <f t="shared" si="53"/>
        <v>0</v>
      </c>
      <c r="N204" s="360">
        <f>SUMMARY!J207</f>
        <v>0</v>
      </c>
      <c r="P204"/>
      <c r="Q204"/>
    </row>
    <row r="205" spans="1:17" s="275" customFormat="1">
      <c r="A205" s="277" t="s">
        <v>143</v>
      </c>
      <c r="B205" s="278" t="s">
        <v>312</v>
      </c>
      <c r="C205" s="558">
        <f>'[51]Sch C'!D216</f>
        <v>3202</v>
      </c>
      <c r="D205" s="558">
        <f>'[51]Sch C'!F216</f>
        <v>0</v>
      </c>
      <c r="E205" s="248">
        <f t="shared" si="50"/>
        <v>3202</v>
      </c>
      <c r="F205" s="248">
        <v>993</v>
      </c>
      <c r="G205" s="248">
        <f t="shared" si="51"/>
        <v>4195</v>
      </c>
      <c r="H205" s="279">
        <f t="shared" si="52"/>
        <v>1.2206569491316314E-3</v>
      </c>
      <c r="I205" s="629"/>
      <c r="J205" s="168"/>
      <c r="K205" s="168"/>
      <c r="M205" s="367">
        <f t="shared" si="53"/>
        <v>0.26631538852209241</v>
      </c>
      <c r="N205" s="360">
        <f>SUMMARY!J208</f>
        <v>0.36243287087155324</v>
      </c>
      <c r="P205"/>
      <c r="Q205"/>
    </row>
    <row r="206" spans="1:17" s="275" customFormat="1">
      <c r="A206" s="271"/>
      <c r="B206" s="278" t="s">
        <v>144</v>
      </c>
      <c r="C206" s="558">
        <f>SUM(C200:C205)</f>
        <v>57715</v>
      </c>
      <c r="D206" s="558">
        <f>SUM(D200:D205)</f>
        <v>9809</v>
      </c>
      <c r="E206" s="248">
        <f t="shared" ref="E206:F206" si="54">SUM(E200:E205)</f>
        <v>67524</v>
      </c>
      <c r="F206" s="248">
        <f t="shared" si="54"/>
        <v>15774</v>
      </c>
      <c r="G206" s="248">
        <f>SUM(G200:G205)</f>
        <v>83298</v>
      </c>
      <c r="H206" s="279">
        <f t="shared" si="52"/>
        <v>2.4237969618299552E-2</v>
      </c>
      <c r="I206" s="629"/>
      <c r="J206" s="168"/>
      <c r="K206" s="168"/>
      <c r="M206" s="367">
        <f>G206/G$228</f>
        <v>5.2880904012188932</v>
      </c>
      <c r="N206" s="360">
        <f>SUMMARY!J209</f>
        <v>7.1515095990067339</v>
      </c>
      <c r="O206" s="355">
        <f>M206/N206-1</f>
        <v>-0.26056305623174292</v>
      </c>
      <c r="P206"/>
      <c r="Q206"/>
    </row>
    <row r="207" spans="1:17" s="275" customFormat="1">
      <c r="A207" s="271"/>
      <c r="C207" s="165"/>
      <c r="D207" s="165"/>
      <c r="E207" s="273"/>
      <c r="F207" s="273"/>
      <c r="G207" s="273"/>
      <c r="H207" s="299"/>
      <c r="I207" s="631"/>
      <c r="J207" s="168"/>
      <c r="K207" s="168"/>
      <c r="M207" s="360"/>
      <c r="N207" s="360"/>
      <c r="P207"/>
      <c r="Q207"/>
    </row>
    <row r="208" spans="1:17" s="275" customFormat="1">
      <c r="A208" s="227"/>
      <c r="B208" s="284" t="s">
        <v>145</v>
      </c>
      <c r="C208" s="558">
        <f>SUM(C25:C206)/2</f>
        <v>3000800</v>
      </c>
      <c r="D208" s="558">
        <f>SUM(D25:D206)/2</f>
        <v>119009</v>
      </c>
      <c r="E208" s="248">
        <f t="shared" ref="E208:F208" si="55">SUM(E25:E206)/2</f>
        <v>3119809</v>
      </c>
      <c r="F208" s="248">
        <f t="shared" si="55"/>
        <v>316865</v>
      </c>
      <c r="G208" s="248">
        <f>SUM(G25:G206)/2</f>
        <v>3436674</v>
      </c>
      <c r="H208" s="279">
        <f>IF($G$208=0,0,G208/$G$208)</f>
        <v>1</v>
      </c>
      <c r="I208" s="348"/>
      <c r="J208" s="183">
        <f>SUM(J25:J200)</f>
        <v>83475</v>
      </c>
      <c r="K208" s="183">
        <f>SUM(K25:K200)</f>
        <v>88414</v>
      </c>
      <c r="M208" s="367">
        <f>G208/G$228</f>
        <v>218.17381919756221</v>
      </c>
      <c r="N208" s="360">
        <f>SUMMARY!J211</f>
        <v>266.32123907464864</v>
      </c>
      <c r="O208" s="358" t="s">
        <v>466</v>
      </c>
      <c r="P208"/>
      <c r="Q208"/>
    </row>
    <row r="209" spans="1:17" s="275" customFormat="1">
      <c r="A209" s="271"/>
      <c r="B209" s="278"/>
      <c r="C209" s="165"/>
      <c r="D209" s="165"/>
      <c r="E209" s="273"/>
      <c r="F209"/>
      <c r="G209"/>
      <c r="I209" s="344"/>
      <c r="J209" s="168"/>
      <c r="K209" s="168"/>
      <c r="O209" s="554">
        <f>SUM(O61:O206)</f>
        <v>-1.9248741047922897</v>
      </c>
      <c r="P209"/>
      <c r="Q209"/>
    </row>
    <row r="210" spans="1:17" s="275" customFormat="1">
      <c r="A210" s="271"/>
      <c r="B210" s="278"/>
      <c r="C210" s="165"/>
      <c r="D210" s="165"/>
      <c r="E210" s="273"/>
      <c r="F210"/>
      <c r="G210"/>
      <c r="I210" s="344"/>
      <c r="J210" s="168"/>
      <c r="K210" s="168"/>
      <c r="P210"/>
      <c r="Q210"/>
    </row>
    <row r="211" spans="1:17" s="275" customFormat="1">
      <c r="A211" s="271"/>
      <c r="B211" s="228" t="s">
        <v>181</v>
      </c>
      <c r="C211" s="558">
        <f>'[51]Sch C'!D221</f>
        <v>3000800.1400000006</v>
      </c>
      <c r="D211" s="196"/>
      <c r="E211" s="273"/>
      <c r="F211" s="628" t="s">
        <v>524</v>
      </c>
      <c r="G211"/>
      <c r="I211" s="344"/>
      <c r="J211" s="168"/>
      <c r="K211" s="168"/>
      <c r="P211"/>
      <c r="Q211"/>
    </row>
    <row r="212" spans="1:17" s="275" customFormat="1">
      <c r="A212" s="271"/>
      <c r="B212" s="278" t="s">
        <v>147</v>
      </c>
      <c r="C212" s="558">
        <f>C208-C211</f>
        <v>-0.14000000059604645</v>
      </c>
      <c r="D212" s="229"/>
      <c r="E212" s="273"/>
      <c r="F212" s="628" t="s">
        <v>552</v>
      </c>
      <c r="G212"/>
      <c r="I212" s="344"/>
      <c r="J212" s="168"/>
      <c r="K212" s="168"/>
      <c r="P212"/>
      <c r="Q212"/>
    </row>
    <row r="213" spans="1:17" s="275" customFormat="1">
      <c r="A213" s="271"/>
      <c r="B213" s="317"/>
      <c r="C213" s="576"/>
      <c r="D213" s="232"/>
      <c r="E213" s="318"/>
      <c r="F213" s="460" t="s">
        <v>551</v>
      </c>
      <c r="G213" s="318"/>
      <c r="H213" s="274"/>
      <c r="I213" s="347"/>
      <c r="J213" s="168"/>
      <c r="K213" s="168"/>
      <c r="P213"/>
      <c r="Q213"/>
    </row>
    <row r="214" spans="1:17" s="275" customFormat="1">
      <c r="A214" s="277"/>
      <c r="B214" s="284"/>
      <c r="C214" s="165"/>
      <c r="D214" s="165"/>
      <c r="E214" s="273"/>
      <c r="F214" s="273"/>
      <c r="G214" s="273"/>
      <c r="I214" s="344"/>
      <c r="J214" s="168"/>
      <c r="K214" s="168"/>
      <c r="P214"/>
      <c r="Q214"/>
    </row>
    <row r="215" spans="1:17" s="275" customFormat="1">
      <c r="A215" s="271"/>
      <c r="B215" s="284" t="s">
        <v>78</v>
      </c>
      <c r="C215" s="558">
        <f>C21-C208</f>
        <v>130834</v>
      </c>
      <c r="D215" s="558">
        <f>D21-D208</f>
        <v>-119009</v>
      </c>
      <c r="E215" s="248">
        <f t="shared" ref="E215:F215" si="56">E21-E208</f>
        <v>11825</v>
      </c>
      <c r="F215" s="248">
        <f t="shared" si="56"/>
        <v>410657</v>
      </c>
      <c r="G215" s="248">
        <f>G21-G208</f>
        <v>422482</v>
      </c>
      <c r="I215" s="344"/>
      <c r="J215" s="168"/>
      <c r="K215" s="168"/>
      <c r="M215" s="357"/>
      <c r="N215" s="360"/>
      <c r="P215"/>
      <c r="Q215"/>
    </row>
    <row r="216" spans="1:17" s="275" customFormat="1">
      <c r="A216" s="271"/>
      <c r="B216" s="284"/>
      <c r="C216" s="196"/>
      <c r="D216" s="196"/>
      <c r="E216" s="297"/>
      <c r="F216" s="297"/>
      <c r="G216" s="297"/>
      <c r="I216" s="344"/>
      <c r="J216" s="168"/>
      <c r="K216" s="168"/>
      <c r="P216"/>
      <c r="Q216"/>
    </row>
    <row r="217" spans="1:17" s="275" customFormat="1">
      <c r="A217" s="271"/>
      <c r="B217" s="284"/>
      <c r="C217" s="196"/>
      <c r="D217" s="196"/>
      <c r="E217" s="297"/>
      <c r="F217" s="606" t="s">
        <v>479</v>
      </c>
      <c r="G217" s="297"/>
      <c r="I217" s="344"/>
      <c r="J217" s="168"/>
      <c r="K217" s="168"/>
      <c r="P217"/>
      <c r="Q217"/>
    </row>
    <row r="218" spans="1:17">
      <c r="A218" s="271"/>
      <c r="B218" s="272" t="s">
        <v>159</v>
      </c>
      <c r="C218" s="165"/>
      <c r="D218" s="165"/>
      <c r="E218" s="273"/>
      <c r="F218" s="579" t="s">
        <v>530</v>
      </c>
      <c r="G218" s="273"/>
      <c r="H218" s="274"/>
      <c r="I218" s="347"/>
      <c r="J218" s="168"/>
      <c r="K218" s="168"/>
    </row>
    <row r="219" spans="1:17">
      <c r="A219" s="271"/>
      <c r="B219" s="278" t="s">
        <v>218</v>
      </c>
      <c r="C219" s="592">
        <f>'[51]Sch D'!C9</f>
        <v>7399</v>
      </c>
      <c r="D219" s="592"/>
      <c r="E219" s="320">
        <f t="shared" ref="E219:G227" si="57">C219+D219</f>
        <v>7399</v>
      </c>
      <c r="F219" s="319">
        <v>1358</v>
      </c>
      <c r="G219" s="320">
        <f t="shared" si="57"/>
        <v>8757</v>
      </c>
      <c r="H219" s="279">
        <f t="shared" ref="H219:H228" si="58">IF($G$228=0,0,G219/$G$228)</f>
        <v>0.55592940578974104</v>
      </c>
      <c r="I219" s="348"/>
      <c r="J219" s="168"/>
      <c r="K219" s="168"/>
    </row>
    <row r="220" spans="1:17">
      <c r="A220" s="271"/>
      <c r="B220" s="278" t="s">
        <v>217</v>
      </c>
      <c r="C220" s="592">
        <f>'[51]Sch D'!D9</f>
        <v>0</v>
      </c>
      <c r="D220" s="592"/>
      <c r="E220" s="320">
        <f t="shared" ref="E220:E227" si="59">C220+D220</f>
        <v>0</v>
      </c>
      <c r="F220" s="319">
        <v>0</v>
      </c>
      <c r="G220" s="320">
        <f t="shared" si="57"/>
        <v>0</v>
      </c>
      <c r="H220" s="279">
        <f t="shared" si="58"/>
        <v>0</v>
      </c>
      <c r="I220" s="348"/>
      <c r="J220" s="168"/>
      <c r="K220" s="168"/>
    </row>
    <row r="221" spans="1:17">
      <c r="A221" s="271"/>
      <c r="B221" s="278" t="s">
        <v>72</v>
      </c>
      <c r="C221" s="592">
        <f>'[51]Sch D'!E9</f>
        <v>2285</v>
      </c>
      <c r="D221" s="592"/>
      <c r="E221" s="320">
        <f t="shared" si="59"/>
        <v>2285</v>
      </c>
      <c r="F221" s="319">
        <v>584</v>
      </c>
      <c r="G221" s="320">
        <f t="shared" si="57"/>
        <v>2869</v>
      </c>
      <c r="H221" s="279">
        <f t="shared" si="58"/>
        <v>0.18213560182833927</v>
      </c>
      <c r="I221" s="348"/>
      <c r="J221" s="168"/>
      <c r="K221" s="168"/>
    </row>
    <row r="222" spans="1:17">
      <c r="A222" s="271"/>
      <c r="B222" s="321" t="s">
        <v>334</v>
      </c>
      <c r="C222" s="592">
        <f>'[51]Sch D'!F9</f>
        <v>165</v>
      </c>
      <c r="D222" s="592"/>
      <c r="E222" s="320">
        <f>C222+D222</f>
        <v>165</v>
      </c>
      <c r="F222" s="319">
        <v>35</v>
      </c>
      <c r="G222" s="320">
        <f>E222+F222</f>
        <v>200</v>
      </c>
      <c r="H222" s="279">
        <f t="shared" si="58"/>
        <v>1.2696800406297613E-2</v>
      </c>
      <c r="I222" s="348"/>
      <c r="J222" s="168"/>
      <c r="K222" s="168"/>
    </row>
    <row r="223" spans="1:17">
      <c r="A223" s="271"/>
      <c r="B223" s="278" t="s">
        <v>73</v>
      </c>
      <c r="C223" s="592">
        <f>'[51]Sch D'!G9</f>
        <v>0</v>
      </c>
      <c r="D223" s="592"/>
      <c r="E223" s="320">
        <f t="shared" si="59"/>
        <v>0</v>
      </c>
      <c r="F223" s="319">
        <v>0</v>
      </c>
      <c r="G223" s="320">
        <f t="shared" si="57"/>
        <v>0</v>
      </c>
      <c r="H223" s="279">
        <f t="shared" si="58"/>
        <v>0</v>
      </c>
      <c r="I223" s="348"/>
      <c r="J223" s="168"/>
      <c r="K223" s="168"/>
    </row>
    <row r="224" spans="1:17">
      <c r="A224" s="271"/>
      <c r="B224" s="278" t="s">
        <v>74</v>
      </c>
      <c r="C224" s="592">
        <f>'[51]Sch D'!H9</f>
        <v>3314</v>
      </c>
      <c r="D224" s="592"/>
      <c r="E224" s="320">
        <f t="shared" si="59"/>
        <v>3314</v>
      </c>
      <c r="F224" s="319">
        <v>485</v>
      </c>
      <c r="G224" s="320">
        <f t="shared" si="57"/>
        <v>3799</v>
      </c>
      <c r="H224" s="279">
        <f t="shared" si="58"/>
        <v>0.24117572371762316</v>
      </c>
      <c r="I224" s="348"/>
      <c r="J224" s="168"/>
      <c r="K224" s="168"/>
    </row>
    <row r="225" spans="1:11">
      <c r="A225" s="271"/>
      <c r="B225" s="278" t="s">
        <v>236</v>
      </c>
      <c r="C225" s="592">
        <f>'[51]Sch D'!I9</f>
        <v>0</v>
      </c>
      <c r="D225" s="592"/>
      <c r="E225" s="320">
        <f t="shared" si="59"/>
        <v>0</v>
      </c>
      <c r="F225" s="319">
        <v>0</v>
      </c>
      <c r="G225" s="320">
        <f t="shared" si="57"/>
        <v>0</v>
      </c>
      <c r="H225" s="279">
        <f t="shared" si="58"/>
        <v>0</v>
      </c>
      <c r="I225" s="348"/>
      <c r="J225" s="168"/>
      <c r="K225" s="168"/>
    </row>
    <row r="226" spans="1:11">
      <c r="A226" s="271"/>
      <c r="B226" s="278" t="s">
        <v>235</v>
      </c>
      <c r="C226" s="592">
        <f>'[51]Sch D'!J9</f>
        <v>50</v>
      </c>
      <c r="D226" s="592"/>
      <c r="E226" s="320">
        <f>C226+D226</f>
        <v>50</v>
      </c>
      <c r="F226" s="319">
        <v>77</v>
      </c>
      <c r="G226" s="320">
        <f>E226+F226</f>
        <v>127</v>
      </c>
      <c r="H226" s="279">
        <f t="shared" si="58"/>
        <v>8.0624682579989847E-3</v>
      </c>
      <c r="I226" s="348"/>
      <c r="J226" s="168"/>
      <c r="K226" s="168"/>
    </row>
    <row r="227" spans="1:11">
      <c r="A227" s="271"/>
      <c r="B227" s="278" t="s">
        <v>179</v>
      </c>
      <c r="C227" s="592">
        <f>'[51]Sch D'!K9</f>
        <v>0</v>
      </c>
      <c r="D227" s="592"/>
      <c r="E227" s="320">
        <f t="shared" si="59"/>
        <v>0</v>
      </c>
      <c r="F227" s="319">
        <v>0</v>
      </c>
      <c r="G227" s="320">
        <f t="shared" si="57"/>
        <v>0</v>
      </c>
      <c r="H227" s="279">
        <f t="shared" si="58"/>
        <v>0</v>
      </c>
      <c r="I227" s="348"/>
      <c r="J227" s="168"/>
      <c r="K227" s="168"/>
    </row>
    <row r="228" spans="1:11" ht="16" thickBot="1">
      <c r="A228" s="271"/>
      <c r="B228" s="322" t="s">
        <v>75</v>
      </c>
      <c r="C228" s="592">
        <f>SUM(C219:C227)</f>
        <v>13213</v>
      </c>
      <c r="D228" s="592">
        <f>SUM(D219:D227)</f>
        <v>0</v>
      </c>
      <c r="E228" s="323">
        <f>SUM(E219:E227)</f>
        <v>13213</v>
      </c>
      <c r="F228" s="323">
        <f>SUM(F219:F227)</f>
        <v>2539</v>
      </c>
      <c r="G228" s="323">
        <f>SUM(G219:G227)</f>
        <v>15752</v>
      </c>
      <c r="H228" s="279">
        <f t="shared" si="58"/>
        <v>1</v>
      </c>
      <c r="I228" s="348"/>
      <c r="J228" s="168"/>
      <c r="K228" s="168"/>
    </row>
    <row r="229" spans="1:11" ht="16" thickTop="1">
      <c r="A229" s="271"/>
      <c r="B229" s="275"/>
      <c r="C229" s="577"/>
      <c r="D229" s="238"/>
      <c r="E229" s="318"/>
      <c r="F229" s="324"/>
      <c r="G229" s="318"/>
      <c r="H229" s="275"/>
      <c r="J229" s="168"/>
      <c r="K229" s="168"/>
    </row>
    <row r="230" spans="1:11">
      <c r="A230" s="271"/>
      <c r="B230" s="272" t="s">
        <v>160</v>
      </c>
      <c r="C230" s="576"/>
      <c r="D230" s="232"/>
      <c r="E230" s="318"/>
      <c r="F230" s="318"/>
      <c r="G230" s="318"/>
      <c r="H230" s="275"/>
      <c r="J230" s="168"/>
      <c r="K230" s="168"/>
    </row>
    <row r="231" spans="1:11">
      <c r="A231" s="271"/>
      <c r="B231" s="23" t="s">
        <v>219</v>
      </c>
      <c r="C231" s="593">
        <f>'[51]Sch D'!N22</f>
        <v>100</v>
      </c>
      <c r="D231" s="559"/>
      <c r="E231" s="320">
        <f>C231+D231</f>
        <v>100</v>
      </c>
      <c r="F231" s="320"/>
      <c r="G231" s="320">
        <f>E231+F231</f>
        <v>100</v>
      </c>
      <c r="H231" s="275"/>
      <c r="J231" s="168"/>
      <c r="K231" s="168"/>
    </row>
    <row r="232" spans="1:11">
      <c r="A232" s="271"/>
      <c r="B232" s="23" t="s">
        <v>290</v>
      </c>
      <c r="C232" s="593">
        <f>'[51]Sch D'!N24</f>
        <v>100</v>
      </c>
      <c r="D232" s="559"/>
      <c r="E232" s="320">
        <f>C232+D232</f>
        <v>100</v>
      </c>
      <c r="F232" s="320"/>
      <c r="G232" s="320">
        <f>E232+F232</f>
        <v>100</v>
      </c>
      <c r="H232" s="275"/>
      <c r="J232" s="168"/>
      <c r="K232" s="168"/>
    </row>
    <row r="233" spans="1:11">
      <c r="A233" s="271"/>
      <c r="B233" s="23" t="s">
        <v>76</v>
      </c>
      <c r="C233" s="593">
        <f>$C$4-$C$3+1-61</f>
        <v>305</v>
      </c>
      <c r="D233" s="483"/>
      <c r="E233" s="320">
        <f>C233+D233</f>
        <v>305</v>
      </c>
      <c r="F233" s="325">
        <v>61</v>
      </c>
      <c r="G233" s="320">
        <f>E233+F233</f>
        <v>366</v>
      </c>
      <c r="H233" s="275"/>
      <c r="J233" s="168"/>
      <c r="K233" s="168"/>
    </row>
    <row r="234" spans="1:11">
      <c r="A234" s="271"/>
      <c r="B234" s="326"/>
      <c r="C234" s="578"/>
      <c r="D234" s="239"/>
      <c r="E234" s="327"/>
      <c r="F234" s="325"/>
      <c r="G234" s="327"/>
      <c r="H234" s="275"/>
      <c r="J234" s="168"/>
      <c r="K234" s="168"/>
    </row>
    <row r="235" spans="1:11" ht="26.5">
      <c r="A235" s="271"/>
      <c r="B235" s="328" t="s">
        <v>237</v>
      </c>
      <c r="C235" s="593">
        <f>'[51]Sch D'!N28</f>
        <v>30500</v>
      </c>
      <c r="D235" s="483"/>
      <c r="E235" s="319">
        <f>E231*E233</f>
        <v>30500</v>
      </c>
      <c r="F235" s="325"/>
      <c r="G235" s="319">
        <f>G231*G233</f>
        <v>36600</v>
      </c>
      <c r="H235" s="275"/>
      <c r="J235" s="168"/>
      <c r="K235" s="168"/>
    </row>
    <row r="236" spans="1:11" ht="26.5">
      <c r="A236" s="271"/>
      <c r="B236" s="328" t="s">
        <v>238</v>
      </c>
      <c r="C236" s="594">
        <f>'[51]Sch D'!N30</f>
        <v>0.43321311475409835</v>
      </c>
      <c r="D236" s="239"/>
      <c r="E236" s="329">
        <f>E228/E235</f>
        <v>0.43321311475409835</v>
      </c>
      <c r="F236" s="330"/>
      <c r="G236" s="329">
        <f>G228/G235</f>
        <v>0.43038251366120217</v>
      </c>
      <c r="H236" s="275"/>
      <c r="J236" s="168"/>
      <c r="K236" s="168"/>
    </row>
    <row r="237" spans="1:11" ht="26.5">
      <c r="A237" s="271"/>
      <c r="B237" s="328" t="s">
        <v>239</v>
      </c>
      <c r="C237" s="594">
        <f>'[51]Sch D'!N32</f>
        <v>0.24259016393442623</v>
      </c>
      <c r="D237" s="239"/>
      <c r="E237" s="329">
        <f>(E219+E220)/E235</f>
        <v>0.24259016393442623</v>
      </c>
      <c r="F237" s="330"/>
      <c r="G237" s="329">
        <f>(G219+G220)/G235</f>
        <v>0.23926229508196722</v>
      </c>
      <c r="H237" s="275"/>
      <c r="J237" s="168"/>
      <c r="K237" s="168"/>
    </row>
    <row r="238" spans="1:11" ht="39.5">
      <c r="A238" s="271"/>
      <c r="B238" s="328" t="s">
        <v>240</v>
      </c>
      <c r="C238" s="594">
        <f>'[51]Sch D'!N34</f>
        <v>0.55997880874895933</v>
      </c>
      <c r="D238" s="239"/>
      <c r="E238" s="329">
        <f>(E237/E236)</f>
        <v>0.55997880874895933</v>
      </c>
      <c r="F238" s="330"/>
      <c r="G238" s="329">
        <f>(G237/G236)</f>
        <v>0.55592940578974104</v>
      </c>
      <c r="H238" s="275"/>
      <c r="J238" s="168"/>
      <c r="K238" s="168"/>
    </row>
    <row r="239" spans="1:11">
      <c r="C239" s="140"/>
      <c r="D239" s="140"/>
      <c r="J239" s="141"/>
      <c r="K239" s="141"/>
    </row>
    <row r="240" spans="1:11">
      <c r="C240" s="140"/>
      <c r="D240" s="140"/>
      <c r="J240" s="141"/>
      <c r="K240" s="141"/>
    </row>
    <row r="241" spans="2:11">
      <c r="B241" s="256" t="s">
        <v>339</v>
      </c>
      <c r="C241" s="140"/>
      <c r="D241"/>
      <c r="E241"/>
      <c r="F241" s="251" t="s">
        <v>340</v>
      </c>
      <c r="G241" s="558">
        <v>132.75680131904369</v>
      </c>
      <c r="J241" s="141"/>
      <c r="K241" s="141"/>
    </row>
    <row r="242" spans="2:11">
      <c r="C242" s="140"/>
      <c r="D242"/>
      <c r="E242"/>
      <c r="F242" s="251" t="s">
        <v>341</v>
      </c>
      <c r="G242" s="558">
        <v>133.84534270650263</v>
      </c>
      <c r="J242" s="141"/>
      <c r="K242" s="141"/>
    </row>
    <row r="243" spans="2:11">
      <c r="C243" s="140"/>
      <c r="D243"/>
      <c r="E243"/>
      <c r="F243" s="251" t="s">
        <v>342</v>
      </c>
      <c r="G243" s="558">
        <v>133.67926988265972</v>
      </c>
      <c r="J243" s="141"/>
      <c r="K243" s="141"/>
    </row>
    <row r="244" spans="2:11">
      <c r="C244" s="140"/>
      <c r="D244"/>
      <c r="E244"/>
      <c r="F244" s="251" t="s">
        <v>343</v>
      </c>
      <c r="G244" s="558">
        <f>135*1/3+135*2/3</f>
        <v>135</v>
      </c>
      <c r="J244" s="141"/>
      <c r="K244" s="141"/>
    </row>
    <row r="245" spans="2:11">
      <c r="C245" s="140"/>
      <c r="D245" s="140"/>
      <c r="F245" s="251"/>
      <c r="J245" s="141"/>
      <c r="K245" s="141"/>
    </row>
    <row r="246" spans="2:11">
      <c r="C246" s="140"/>
      <c r="D246" s="140"/>
      <c r="J246" s="141"/>
      <c r="K246" s="141"/>
    </row>
    <row r="247" spans="2:11">
      <c r="C247" s="140"/>
      <c r="D247" s="140"/>
      <c r="J247" s="141"/>
      <c r="K247" s="141"/>
    </row>
    <row r="248" spans="2:11">
      <c r="C248" s="140"/>
      <c r="D248" s="140"/>
      <c r="J248" s="141"/>
      <c r="K248" s="141"/>
    </row>
    <row r="249" spans="2:11">
      <c r="C249" s="140"/>
      <c r="D249" s="140"/>
      <c r="J249" s="141"/>
      <c r="K249" s="141"/>
    </row>
    <row r="250" spans="2:11">
      <c r="C250" s="140"/>
      <c r="D250" s="140"/>
      <c r="J250" s="141"/>
      <c r="K250" s="141"/>
    </row>
    <row r="251" spans="2:11">
      <c r="C251" s="140"/>
      <c r="D251" s="140"/>
      <c r="J251" s="141"/>
      <c r="K251" s="141"/>
    </row>
    <row r="252" spans="2:11">
      <c r="J252" s="141"/>
      <c r="K252" s="141"/>
    </row>
    <row r="253" spans="2:11">
      <c r="J253" s="141"/>
      <c r="K253" s="141"/>
    </row>
    <row r="254" spans="2:11">
      <c r="J254" s="141"/>
      <c r="K254" s="141"/>
    </row>
  </sheetData>
  <customSheetViews>
    <customSheetView guid="{00D6F160-3E2B-11D5-8BE5-C1A1C12816BD}" showPageBreaks="1" showGridLines="0" showRuler="0">
      <selection activeCell="F20" sqref="F20"/>
      <pageMargins left="0" right="0" top="0" bottom="1" header="0.5" footer="0.5"/>
      <printOptions horizontalCentered="1"/>
      <pageSetup scale="75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" right="0" top="0" bottom="1" header="0.5" footer="0.5"/>
      <printOptions horizontalCentered="1"/>
      <pageSetup scale="75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5">
    <tabColor rgb="FFE28CAB"/>
  </sheetPr>
  <dimension ref="A1:T245"/>
  <sheetViews>
    <sheetView showGridLines="0" zoomScale="125" zoomScaleNormal="125" workbookViewId="0">
      <pane xSplit="2" ySplit="8" topLeftCell="C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359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92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93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'[52]Sch B'!E10</f>
        <v>1766948</v>
      </c>
      <c r="D11" s="558">
        <f>'[52]Sch B'!G10</f>
        <v>0</v>
      </c>
      <c r="E11" s="171">
        <f>C11+D11</f>
        <v>1766948</v>
      </c>
      <c r="F11" s="171"/>
      <c r="G11" s="171">
        <f t="shared" ref="G11:G20" si="0">E11+F11</f>
        <v>1766948</v>
      </c>
      <c r="H11" s="172">
        <f t="shared" ref="H11:H21" si="1">IF($G$21=0,0,G11/$G$21)</f>
        <v>0.51069809599672589</v>
      </c>
      <c r="I11" s="336"/>
      <c r="J11" s="368" t="s">
        <v>344</v>
      </c>
      <c r="K11" s="369">
        <f>G21</f>
        <v>3459868</v>
      </c>
      <c r="M11" s="359">
        <f>IFERROR(G11/G219,0)</f>
        <v>212.04224168966758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'[52]Sch B'!E15</f>
        <v>0</v>
      </c>
      <c r="D12" s="558">
        <f>'[52]Sch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3258988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'[52]Sch B'!E21</f>
        <v>597734</v>
      </c>
      <c r="D13" s="558">
        <f>'[52]Sch B'!G21</f>
        <v>0</v>
      </c>
      <c r="E13" s="171">
        <f t="shared" si="2"/>
        <v>597734</v>
      </c>
      <c r="F13" s="171"/>
      <c r="G13" s="171">
        <f t="shared" si="0"/>
        <v>597734</v>
      </c>
      <c r="H13" s="172">
        <f t="shared" si="1"/>
        <v>0.17276208225284895</v>
      </c>
      <c r="I13" s="336"/>
      <c r="J13" s="370" t="s">
        <v>346</v>
      </c>
      <c r="K13" s="371">
        <f>G228</f>
        <v>14974</v>
      </c>
      <c r="M13" s="359">
        <f t="shared" si="3"/>
        <v>558.10830999066297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'[52]Sch B'!E27</f>
        <v>214026</v>
      </c>
      <c r="D14" s="558">
        <f>'[52]Sch B'!G27</f>
        <v>0</v>
      </c>
      <c r="E14" s="171">
        <f t="shared" si="2"/>
        <v>214026</v>
      </c>
      <c r="F14" s="175"/>
      <c r="G14" s="175">
        <f>E14+F14</f>
        <v>214026</v>
      </c>
      <c r="H14" s="176">
        <f t="shared" si="1"/>
        <v>6.1859585394587309E-2</v>
      </c>
      <c r="I14" s="337"/>
      <c r="J14" s="370" t="s">
        <v>347</v>
      </c>
      <c r="K14" s="371">
        <f>G231</f>
        <v>72</v>
      </c>
      <c r="M14" s="359">
        <f t="shared" si="3"/>
        <v>355.52491694352159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'[52]Sch B'!E32</f>
        <v>295417</v>
      </c>
      <c r="D15" s="558">
        <f>'[52]Sch B'!G32</f>
        <v>0</v>
      </c>
      <c r="E15" s="171">
        <f t="shared" si="2"/>
        <v>295417</v>
      </c>
      <c r="F15" s="171"/>
      <c r="G15" s="171">
        <f t="shared" si="0"/>
        <v>295417</v>
      </c>
      <c r="H15" s="172">
        <f t="shared" si="1"/>
        <v>8.538389325835552E-2</v>
      </c>
      <c r="I15" s="336"/>
      <c r="J15" s="370" t="s">
        <v>348</v>
      </c>
      <c r="K15" s="371">
        <f>G235</f>
        <v>26352</v>
      </c>
      <c r="M15" s="359">
        <f t="shared" si="3"/>
        <v>213.29747292418773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'[52]Sch B'!E37</f>
        <v>399936</v>
      </c>
      <c r="D16" s="558">
        <f>'[52]Sch B'!G37</f>
        <v>0</v>
      </c>
      <c r="E16" s="171">
        <f t="shared" si="2"/>
        <v>399936</v>
      </c>
      <c r="F16" s="171"/>
      <c r="G16" s="171">
        <f t="shared" si="0"/>
        <v>399936</v>
      </c>
      <c r="H16" s="172">
        <f t="shared" si="1"/>
        <v>0.11559284920696397</v>
      </c>
      <c r="I16" s="336"/>
      <c r="J16" s="372"/>
      <c r="K16" s="371"/>
      <c r="M16" s="359">
        <f t="shared" si="3"/>
        <v>137.38783923050499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'[52]Sch B'!E42</f>
        <v>128552</v>
      </c>
      <c r="D17" s="558">
        <f>'[52]Sch B'!G42</f>
        <v>0</v>
      </c>
      <c r="E17" s="171">
        <f t="shared" si="2"/>
        <v>128552</v>
      </c>
      <c r="F17" s="171"/>
      <c r="G17" s="171">
        <f>E17+F17</f>
        <v>128552</v>
      </c>
      <c r="H17" s="172">
        <f t="shared" si="1"/>
        <v>3.7155174706087056E-2</v>
      </c>
      <c r="I17" s="336"/>
      <c r="J17" s="370" t="s">
        <v>156</v>
      </c>
      <c r="K17" s="371">
        <f>J208</f>
        <v>72602</v>
      </c>
      <c r="M17" s="359">
        <f t="shared" si="3"/>
        <v>191.29761904761904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'[52]Sch B'!E47</f>
        <v>0</v>
      </c>
      <c r="D18" s="558">
        <f>'[52]Sch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77946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'[52]Sch B'!E52</f>
        <v>8457</v>
      </c>
      <c r="D19" s="558">
        <f>'[52]Sch B'!G52</f>
        <v>0</v>
      </c>
      <c r="E19" s="171">
        <f t="shared" si="2"/>
        <v>8457</v>
      </c>
      <c r="F19" s="171"/>
      <c r="G19" s="171">
        <f t="shared" si="0"/>
        <v>8457</v>
      </c>
      <c r="H19" s="172">
        <f t="shared" si="1"/>
        <v>2.4443129044229434E-3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'[52]Sch B'!E67</f>
        <v>54581</v>
      </c>
      <c r="D20" s="558">
        <f>'[52]Sch B'!G67</f>
        <v>-5783</v>
      </c>
      <c r="E20" s="171">
        <f t="shared" si="2"/>
        <v>48798</v>
      </c>
      <c r="F20" s="171"/>
      <c r="G20" s="171">
        <f t="shared" si="0"/>
        <v>48798</v>
      </c>
      <c r="H20" s="172">
        <f t="shared" si="1"/>
        <v>1.4104006280008369E-2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3465651</v>
      </c>
      <c r="D21" s="558">
        <f>SUM(D11:D20)</f>
        <v>-5783</v>
      </c>
      <c r="E21" s="171">
        <f>SUM(E11:E20)</f>
        <v>3459868</v>
      </c>
      <c r="F21" s="171">
        <f>SUM(F11:F20)</f>
        <v>0</v>
      </c>
      <c r="G21" s="171">
        <f>SUM(G11:G20)</f>
        <v>3459868</v>
      </c>
      <c r="H21" s="172">
        <f t="shared" si="1"/>
        <v>1</v>
      </c>
      <c r="I21" s="336"/>
      <c r="J21" s="168"/>
      <c r="K21" s="168"/>
      <c r="M21" s="359">
        <f>IFERROR(G21/G228,0)</f>
        <v>231.05836783758514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'[52]Sch C'!D10</f>
        <v>0</v>
      </c>
      <c r="D25" s="558">
        <f>'[52]Sch C'!F10</f>
        <v>100515</v>
      </c>
      <c r="E25" s="171">
        <f t="shared" ref="E25:E60" si="4">C25+D25</f>
        <v>100515</v>
      </c>
      <c r="F25" s="171"/>
      <c r="G25" s="182">
        <f>E25+F25</f>
        <v>100515</v>
      </c>
      <c r="H25" s="172">
        <f>IF($G$208=0,0,G25/$G$208)</f>
        <v>3.084239647399745E-2</v>
      </c>
      <c r="I25" s="336"/>
      <c r="J25" s="183">
        <v>1921</v>
      </c>
      <c r="K25" s="183">
        <v>2080</v>
      </c>
      <c r="M25" s="359">
        <f>G25/G$228</f>
        <v>6.7126352344063038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'[52]Sch C'!D11</f>
        <v>0</v>
      </c>
      <c r="D26" s="558">
        <f>'[52]Sch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'[52]Sch C'!D12</f>
        <v>177172</v>
      </c>
      <c r="D27" s="558">
        <f>'[52]Sch C'!F12</f>
        <v>-100515</v>
      </c>
      <c r="E27" s="171">
        <f t="shared" si="4"/>
        <v>76657</v>
      </c>
      <c r="F27" s="171"/>
      <c r="G27" s="171">
        <f t="shared" si="5"/>
        <v>76657</v>
      </c>
      <c r="H27" s="172">
        <f t="shared" si="6"/>
        <v>2.3521719012159603E-2</v>
      </c>
      <c r="I27" s="336"/>
      <c r="J27" s="185">
        <v>3701</v>
      </c>
      <c r="K27" s="185">
        <v>4141</v>
      </c>
      <c r="M27" s="359">
        <f t="shared" si="7"/>
        <v>5.1193401896620809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'[52]Sch C'!D13</f>
        <v>35390</v>
      </c>
      <c r="D28" s="558">
        <f>'[52]Sch C'!F13</f>
        <v>0</v>
      </c>
      <c r="E28" s="171">
        <f t="shared" si="4"/>
        <v>35390</v>
      </c>
      <c r="F28" s="171"/>
      <c r="G28" s="171">
        <f t="shared" si="5"/>
        <v>35390</v>
      </c>
      <c r="H28" s="172">
        <f t="shared" si="6"/>
        <v>1.0859199236081876E-2</v>
      </c>
      <c r="I28" s="336"/>
      <c r="J28" s="168"/>
      <c r="K28" s="168"/>
      <c r="M28" s="359">
        <f t="shared" si="7"/>
        <v>2.3634299452384133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'[52]Sch C'!D14</f>
        <v>0</v>
      </c>
      <c r="D29" s="558">
        <f>'[52]Sch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'[52]Sch C'!D15</f>
        <v>0</v>
      </c>
      <c r="D30" s="558">
        <f>'[52]Sch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'[52]Sch C'!D16</f>
        <v>172379</v>
      </c>
      <c r="D31" s="558">
        <f>'[52]Sch C'!F16</f>
        <v>-36268</v>
      </c>
      <c r="E31" s="171">
        <f t="shared" si="4"/>
        <v>136111</v>
      </c>
      <c r="F31" s="171"/>
      <c r="G31" s="171">
        <f t="shared" si="5"/>
        <v>136111</v>
      </c>
      <c r="H31" s="172">
        <f t="shared" si="6"/>
        <v>4.1764805516313654E-2</v>
      </c>
      <c r="I31" s="336"/>
      <c r="J31" s="168"/>
      <c r="K31" s="168"/>
      <c r="M31" s="359">
        <f t="shared" si="7"/>
        <v>9.0898223587551765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'[52]Sch C'!D17</f>
        <v>432</v>
      </c>
      <c r="D32" s="558">
        <f>'[52]Sch C'!F17</f>
        <v>-432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'[52]Sch C'!D18</f>
        <v>6666</v>
      </c>
      <c r="D33" s="558">
        <f>'[52]Sch C'!F18</f>
        <v>0</v>
      </c>
      <c r="E33" s="171">
        <f t="shared" si="4"/>
        <v>6666</v>
      </c>
      <c r="F33" s="171"/>
      <c r="G33" s="171">
        <f t="shared" si="5"/>
        <v>6666</v>
      </c>
      <c r="H33" s="172">
        <f t="shared" si="6"/>
        <v>2.0454202347477191E-3</v>
      </c>
      <c r="I33" s="336"/>
      <c r="J33" s="168"/>
      <c r="K33" s="168"/>
      <c r="M33" s="359">
        <f t="shared" si="7"/>
        <v>0.44517163082676642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'[52]Sch C'!D19</f>
        <v>6962</v>
      </c>
      <c r="D34" s="558">
        <f>'[52]Sch C'!F19</f>
        <v>0</v>
      </c>
      <c r="E34" s="171">
        <f t="shared" si="4"/>
        <v>6962</v>
      </c>
      <c r="F34" s="171"/>
      <c r="G34" s="171">
        <f t="shared" si="5"/>
        <v>6962</v>
      </c>
      <c r="H34" s="172">
        <f t="shared" si="6"/>
        <v>2.1362459757446176E-3</v>
      </c>
      <c r="I34" s="336"/>
      <c r="J34" s="168"/>
      <c r="K34" s="168"/>
      <c r="M34" s="359">
        <f t="shared" si="7"/>
        <v>0.46493922799519166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'[52]Sch C'!D20</f>
        <v>5631</v>
      </c>
      <c r="D35" s="558">
        <f>'[52]Sch C'!F20</f>
        <v>0</v>
      </c>
      <c r="E35" s="171">
        <f t="shared" si="4"/>
        <v>5631</v>
      </c>
      <c r="F35" s="171"/>
      <c r="G35" s="171">
        <f t="shared" si="5"/>
        <v>5631</v>
      </c>
      <c r="H35" s="172">
        <f t="shared" si="6"/>
        <v>1.7278369849781589E-3</v>
      </c>
      <c r="I35" s="336"/>
      <c r="J35" s="168"/>
      <c r="K35" s="168"/>
      <c r="M35" s="359">
        <f t="shared" si="7"/>
        <v>0.37605182316014424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'[52]Sch C'!D21</f>
        <v>7002</v>
      </c>
      <c r="D36" s="558">
        <f>'[52]Sch C'!F21</f>
        <v>0</v>
      </c>
      <c r="E36" s="171">
        <f t="shared" si="4"/>
        <v>7002</v>
      </c>
      <c r="F36" s="171"/>
      <c r="G36" s="171">
        <f t="shared" si="5"/>
        <v>7002</v>
      </c>
      <c r="H36" s="172">
        <f t="shared" si="6"/>
        <v>2.1485197245279821E-3</v>
      </c>
      <c r="I36" s="336"/>
      <c r="J36" s="168"/>
      <c r="K36" s="168"/>
      <c r="M36" s="359">
        <f t="shared" si="7"/>
        <v>0.46761052490984373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'[52]Sch C'!D22</f>
        <v>0</v>
      </c>
      <c r="D37" s="558">
        <f>'[52]Sch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'[52]Sch C'!D23</f>
        <v>1772</v>
      </c>
      <c r="D38" s="558">
        <f>'[52]Sch C'!F23</f>
        <v>0</v>
      </c>
      <c r="E38" s="171">
        <f t="shared" si="4"/>
        <v>1772</v>
      </c>
      <c r="F38" s="677">
        <v>875</v>
      </c>
      <c r="G38" s="171">
        <f t="shared" si="5"/>
        <v>2647</v>
      </c>
      <c r="H38" s="172">
        <f t="shared" si="6"/>
        <v>8.1221532573915584E-4</v>
      </c>
      <c r="I38" s="336"/>
      <c r="J38" s="168"/>
      <c r="K38" s="168"/>
      <c r="M38" s="359">
        <f t="shared" si="7"/>
        <v>0.17677307332710029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'[52]Sch C'!D24</f>
        <v>10795</v>
      </c>
      <c r="D39" s="558">
        <f>'[52]Sch C'!F24</f>
        <v>0</v>
      </c>
      <c r="E39" s="171">
        <f t="shared" si="4"/>
        <v>10795</v>
      </c>
      <c r="F39" s="171"/>
      <c r="G39" s="171">
        <f t="shared" si="5"/>
        <v>10795</v>
      </c>
      <c r="H39" s="172">
        <f t="shared" si="6"/>
        <v>3.3123779529105352E-3</v>
      </c>
      <c r="I39" s="336"/>
      <c r="J39" s="168"/>
      <c r="K39" s="168"/>
      <c r="M39" s="359">
        <f t="shared" si="7"/>
        <v>0.72091625484172561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'[52]Sch C'!D25</f>
        <v>2853</v>
      </c>
      <c r="D40" s="558">
        <f>'[52]Sch C'!F25</f>
        <v>0</v>
      </c>
      <c r="E40" s="171">
        <f t="shared" si="4"/>
        <v>2853</v>
      </c>
      <c r="F40" s="171"/>
      <c r="G40" s="171">
        <f t="shared" si="5"/>
        <v>2853</v>
      </c>
      <c r="H40" s="172">
        <f t="shared" si="6"/>
        <v>8.7542513197348378E-4</v>
      </c>
      <c r="I40" s="336"/>
      <c r="J40" s="168"/>
      <c r="K40" s="168"/>
      <c r="M40" s="359">
        <f t="shared" si="7"/>
        <v>0.19053025243755844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'[52]Sch C'!D26</f>
        <v>243290</v>
      </c>
      <c r="D41" s="558">
        <f>'[52]Sch C'!F26</f>
        <v>0</v>
      </c>
      <c r="E41" s="171">
        <f t="shared" si="4"/>
        <v>243290</v>
      </c>
      <c r="F41" s="171"/>
      <c r="G41" s="171">
        <f t="shared" si="5"/>
        <v>243290</v>
      </c>
      <c r="H41" s="172">
        <f t="shared" si="6"/>
        <v>7.4652008537619649E-2</v>
      </c>
      <c r="I41" s="336"/>
      <c r="J41" s="168"/>
      <c r="K41" s="168"/>
      <c r="M41" s="359">
        <f t="shared" si="7"/>
        <v>16.247495659142512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'[52]Sch C'!D27</f>
        <v>13974</v>
      </c>
      <c r="D42" s="558">
        <f>'[52]Sch C'!F27</f>
        <v>0</v>
      </c>
      <c r="E42" s="171">
        <f t="shared" si="4"/>
        <v>13974</v>
      </c>
      <c r="F42" s="171"/>
      <c r="G42" s="171">
        <f t="shared" si="5"/>
        <v>13974</v>
      </c>
      <c r="H42" s="172">
        <f t="shared" si="6"/>
        <v>4.2878341374684411E-3</v>
      </c>
      <c r="I42" s="336"/>
      <c r="J42" s="168"/>
      <c r="K42" s="168"/>
      <c r="M42" s="359">
        <f t="shared" si="7"/>
        <v>0.93321757713369846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'[52]Sch C'!D28</f>
        <v>0</v>
      </c>
      <c r="D43" s="558">
        <f>'[52]Sch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'[52]Sch C'!D29</f>
        <v>119671</v>
      </c>
      <c r="D44" s="558">
        <f>'[52]Sch C'!F29</f>
        <v>-119671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'[52]Sch C'!D30</f>
        <v>0</v>
      </c>
      <c r="D45" s="558">
        <f>'[52]Sch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'[52]Sch C'!D31</f>
        <v>0</v>
      </c>
      <c r="D46" s="558">
        <f>'[52]Sch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'[52]Sch C'!D32</f>
        <v>48855</v>
      </c>
      <c r="D47" s="558">
        <f>'[52]Sch C'!F32</f>
        <v>0</v>
      </c>
      <c r="E47" s="171">
        <f t="shared" si="4"/>
        <v>48855</v>
      </c>
      <c r="F47" s="171"/>
      <c r="G47" s="171">
        <f t="shared" si="5"/>
        <v>48855</v>
      </c>
      <c r="H47" s="172">
        <f t="shared" si="6"/>
        <v>1.4990849920282002E-2</v>
      </c>
      <c r="I47" s="336"/>
      <c r="J47" s="168"/>
      <c r="K47" s="168"/>
      <c r="M47" s="359">
        <f t="shared" si="7"/>
        <v>3.2626552691331643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'[52]Sch C'!D33</f>
        <v>0</v>
      </c>
      <c r="D48" s="558">
        <f>'[52]Sch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'[52]Sch C'!D34</f>
        <v>290</v>
      </c>
      <c r="D49" s="558">
        <f>'[52]Sch C'!F34</f>
        <v>0</v>
      </c>
      <c r="E49" s="171">
        <f t="shared" si="4"/>
        <v>290</v>
      </c>
      <c r="F49" s="171"/>
      <c r="G49" s="171">
        <f t="shared" si="5"/>
        <v>290</v>
      </c>
      <c r="H49" s="172">
        <f t="shared" si="6"/>
        <v>8.8984678679393731E-5</v>
      </c>
      <c r="I49" s="336"/>
      <c r="J49" s="168"/>
      <c r="K49" s="168"/>
      <c r="M49" s="359">
        <f t="shared" si="7"/>
        <v>1.9366902631227461E-2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'[52]Sch C'!D35</f>
        <v>0</v>
      </c>
      <c r="D50" s="558">
        <f>'[52]Sch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'[52]Sch C'!D36</f>
        <v>19627</v>
      </c>
      <c r="D51" s="558">
        <f>'[52]Sch C'!F36</f>
        <v>0</v>
      </c>
      <c r="E51" s="171">
        <f t="shared" si="4"/>
        <v>19627</v>
      </c>
      <c r="F51" s="171"/>
      <c r="G51" s="171">
        <f t="shared" si="5"/>
        <v>19627</v>
      </c>
      <c r="H51" s="172">
        <f t="shared" si="6"/>
        <v>6.0224216842774507E-3</v>
      </c>
      <c r="I51" s="336"/>
      <c r="J51" s="183">
        <v>1769</v>
      </c>
      <c r="K51" s="183">
        <v>1849</v>
      </c>
      <c r="M51" s="359">
        <f t="shared" si="7"/>
        <v>1.3107386135969012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'[52]Sch C'!D37</f>
        <v>2278</v>
      </c>
      <c r="D52" s="558">
        <f>'[52]Sch C'!F37</f>
        <v>0</v>
      </c>
      <c r="E52" s="171">
        <f t="shared" si="4"/>
        <v>2278</v>
      </c>
      <c r="F52" s="171"/>
      <c r="G52" s="171">
        <f t="shared" si="5"/>
        <v>2278</v>
      </c>
      <c r="H52" s="172">
        <f t="shared" si="6"/>
        <v>6.9898999321261687E-4</v>
      </c>
      <c r="I52" s="336"/>
      <c r="J52" s="168"/>
      <c r="K52" s="168"/>
      <c r="M52" s="359">
        <f t="shared" si="7"/>
        <v>0.15213035928943502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'[52]Sch C'!D38</f>
        <v>164</v>
      </c>
      <c r="D53" s="558">
        <f>'[52]Sch C'!F38</f>
        <v>-164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'[52]Sch C'!D39</f>
        <v>2466</v>
      </c>
      <c r="D54" s="558">
        <f>'[52]Sch C'!F39</f>
        <v>0</v>
      </c>
      <c r="E54" s="171">
        <f t="shared" si="4"/>
        <v>2466</v>
      </c>
      <c r="F54" s="171"/>
      <c r="G54" s="171">
        <f t="shared" si="5"/>
        <v>2466</v>
      </c>
      <c r="H54" s="172">
        <f t="shared" si="6"/>
        <v>7.5667661249443079E-4</v>
      </c>
      <c r="I54" s="336"/>
      <c r="J54" s="168"/>
      <c r="K54" s="168"/>
      <c r="M54" s="359">
        <f t="shared" si="7"/>
        <v>0.16468545478829971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'[52]Sch C'!D40</f>
        <v>1647</v>
      </c>
      <c r="D55" s="558">
        <f>'[52]Sch C'!F40</f>
        <v>-1650</v>
      </c>
      <c r="E55" s="171">
        <f t="shared" si="4"/>
        <v>-3</v>
      </c>
      <c r="F55" s="171"/>
      <c r="G55" s="171">
        <f t="shared" si="5"/>
        <v>-3</v>
      </c>
      <c r="H55" s="172">
        <f t="shared" si="6"/>
        <v>-9.2053115875234892E-7</v>
      </c>
      <c r="I55" s="336"/>
      <c r="J55" s="168"/>
      <c r="K55" s="168"/>
      <c r="M55" s="359">
        <f t="shared" si="7"/>
        <v>-2.0034726859890478E-4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'[52]Sch C'!D41</f>
        <v>29688</v>
      </c>
      <c r="D56" s="558">
        <f>'[52]Sch C'!F41</f>
        <v>0</v>
      </c>
      <c r="E56" s="171">
        <f t="shared" si="4"/>
        <v>29688</v>
      </c>
      <c r="F56" s="171"/>
      <c r="G56" s="171">
        <f t="shared" si="5"/>
        <v>29688</v>
      </c>
      <c r="H56" s="172">
        <f t="shared" si="6"/>
        <v>9.109576347013244E-3</v>
      </c>
      <c r="I56" s="336"/>
      <c r="J56" s="168"/>
      <c r="K56" s="168"/>
      <c r="M56" s="359">
        <f t="shared" si="7"/>
        <v>1.9826365700547617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'[52]Sch C'!D42</f>
        <v>400</v>
      </c>
      <c r="D57" s="558">
        <f>'[52]Sch C'!F42</f>
        <v>0</v>
      </c>
      <c r="E57" s="171">
        <f t="shared" si="4"/>
        <v>400</v>
      </c>
      <c r="F57" s="171"/>
      <c r="G57" s="171">
        <f t="shared" si="5"/>
        <v>400</v>
      </c>
      <c r="H57" s="172">
        <f t="shared" si="6"/>
        <v>1.2273748783364651E-4</v>
      </c>
      <c r="I57" s="336"/>
      <c r="J57" s="168"/>
      <c r="K57" s="168"/>
      <c r="M57" s="359">
        <f t="shared" si="7"/>
        <v>2.6712969146520636E-2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'[52]Sch C'!D43</f>
        <v>9182</v>
      </c>
      <c r="D58" s="558">
        <f>'[52]Sch C'!F43</f>
        <v>-9182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'[52]Sch C'!D44</f>
        <v>0</v>
      </c>
      <c r="D59" s="558">
        <f>'[52]Sch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'[52]Sch C'!D45</f>
        <v>5033</v>
      </c>
      <c r="D60" s="558">
        <f>'[52]Sch C'!F45</f>
        <v>-3785</v>
      </c>
      <c r="E60" s="171">
        <f t="shared" si="4"/>
        <v>1248</v>
      </c>
      <c r="F60" s="677">
        <f>-875-277</f>
        <v>-1152</v>
      </c>
      <c r="G60" s="171">
        <f t="shared" si="5"/>
        <v>96</v>
      </c>
      <c r="H60" s="172">
        <f t="shared" si="6"/>
        <v>2.9456997080075165E-5</v>
      </c>
      <c r="I60" s="336"/>
      <c r="J60" s="168"/>
      <c r="K60" s="168"/>
      <c r="M60" s="359">
        <f t="shared" si="7"/>
        <v>6.411112595164953E-3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923619</v>
      </c>
      <c r="D61" s="558">
        <f>SUM(D25:D60)</f>
        <v>-171152</v>
      </c>
      <c r="E61" s="171">
        <f t="shared" ref="E61:F61" si="8">SUM(E25:E60)</f>
        <v>752467</v>
      </c>
      <c r="F61" s="171">
        <f t="shared" si="8"/>
        <v>-277</v>
      </c>
      <c r="G61" s="171">
        <f>SUM(G25:G60)</f>
        <v>752190</v>
      </c>
      <c r="H61" s="186">
        <f t="shared" si="6"/>
        <v>0.23080477743397643</v>
      </c>
      <c r="I61" s="338"/>
      <c r="J61" s="168"/>
      <c r="K61" s="168"/>
      <c r="M61" s="364">
        <f>G61/G$228</f>
        <v>50.233070655803395</v>
      </c>
      <c r="N61" s="359">
        <f>SUMMARY!J64</f>
        <v>53.728790309602623</v>
      </c>
      <c r="O61" s="354">
        <f>M61/N61-1</f>
        <v>-6.5062318240477035E-2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'[52]Sch C'!D57</f>
        <v>0</v>
      </c>
      <c r="D64" s="558">
        <f>'[52]Sch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'[52]Sch C'!D58</f>
        <v>109611</v>
      </c>
      <c r="D65" s="558">
        <f>'[52]Sch C'!F58</f>
        <v>0</v>
      </c>
      <c r="E65" s="171">
        <f t="shared" si="9"/>
        <v>109611</v>
      </c>
      <c r="F65" s="171"/>
      <c r="G65" s="171">
        <f t="shared" si="10"/>
        <v>109611</v>
      </c>
      <c r="H65" s="172">
        <f t="shared" si="11"/>
        <v>3.3633446947334569E-2</v>
      </c>
      <c r="I65" s="336"/>
      <c r="J65" s="190"/>
      <c r="K65" s="168"/>
      <c r="M65" s="359">
        <f t="shared" si="12"/>
        <v>7.3200881527981831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'[52]Sch C'!D59</f>
        <v>52011</v>
      </c>
      <c r="D66" s="558">
        <f>'[52]Sch C'!F59</f>
        <v>0</v>
      </c>
      <c r="E66" s="171">
        <f t="shared" si="9"/>
        <v>52011</v>
      </c>
      <c r="F66" s="171"/>
      <c r="G66" s="171">
        <f t="shared" si="10"/>
        <v>52011</v>
      </c>
      <c r="H66" s="172">
        <f t="shared" si="11"/>
        <v>1.5959248699289472E-2</v>
      </c>
      <c r="I66" s="336"/>
      <c r="J66" s="190"/>
      <c r="K66" s="168"/>
      <c r="M66" s="359">
        <f t="shared" si="12"/>
        <v>3.4734205956992121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'[52]Sch C'!D60</f>
        <v>16854</v>
      </c>
      <c r="D67" s="558">
        <f>'[52]Sch C'!F60</f>
        <v>0</v>
      </c>
      <c r="E67" s="171">
        <f t="shared" si="9"/>
        <v>16854</v>
      </c>
      <c r="F67" s="171"/>
      <c r="G67" s="171">
        <f t="shared" si="10"/>
        <v>16854</v>
      </c>
      <c r="H67" s="172">
        <f t="shared" si="11"/>
        <v>5.1715440498706963E-3</v>
      </c>
      <c r="I67" s="336"/>
      <c r="J67" s="193"/>
      <c r="K67" s="168"/>
      <c r="M67" s="359">
        <f t="shared" si="12"/>
        <v>1.1255509549886469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'[52]Sch C'!D61</f>
        <v>4462</v>
      </c>
      <c r="D68" s="558">
        <f>'[52]Sch C'!F61</f>
        <v>0</v>
      </c>
      <c r="E68" s="171">
        <f t="shared" si="9"/>
        <v>4462</v>
      </c>
      <c r="F68" s="171"/>
      <c r="G68" s="171">
        <f t="shared" si="10"/>
        <v>4462</v>
      </c>
      <c r="H68" s="172">
        <f t="shared" si="11"/>
        <v>1.3691366767843269E-3</v>
      </c>
      <c r="I68" s="336"/>
      <c r="J68" s="193"/>
      <c r="K68" s="168"/>
      <c r="M68" s="359">
        <f t="shared" si="12"/>
        <v>0.2979831708294377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'[52]Sch C'!D62</f>
        <v>900</v>
      </c>
      <c r="D69" s="558">
        <f>'[52]Sch C'!F62</f>
        <v>0</v>
      </c>
      <c r="E69" s="171">
        <f t="shared" si="9"/>
        <v>900</v>
      </c>
      <c r="F69" s="171"/>
      <c r="G69" s="171">
        <f t="shared" si="10"/>
        <v>900</v>
      </c>
      <c r="H69" s="172">
        <f t="shared" si="11"/>
        <v>2.7615934762570464E-4</v>
      </c>
      <c r="I69" s="336"/>
      <c r="J69" s="195"/>
      <c r="K69" s="168"/>
      <c r="M69" s="359">
        <f t="shared" si="12"/>
        <v>6.0104180579671429E-2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'[52]Sch C'!D63</f>
        <v>0</v>
      </c>
      <c r="D70" s="558">
        <f>'[52]Sch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'[52]Sch C'!D64</f>
        <v>0</v>
      </c>
      <c r="D71" s="558">
        <f>'[52]Sch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'[52]Sch C'!D65</f>
        <v>4240</v>
      </c>
      <c r="D72" s="558">
        <f>'[52]Sch C'!F65</f>
        <v>0</v>
      </c>
      <c r="E72" s="171">
        <f t="shared" si="9"/>
        <v>4240</v>
      </c>
      <c r="F72" s="171"/>
      <c r="G72" s="171">
        <f t="shared" si="10"/>
        <v>4240</v>
      </c>
      <c r="H72" s="172">
        <f t="shared" si="11"/>
        <v>1.301017371036653E-3</v>
      </c>
      <c r="I72" s="336"/>
      <c r="J72" s="195"/>
      <c r="K72" s="168"/>
      <c r="M72" s="359">
        <f t="shared" si="12"/>
        <v>0.28315747295311872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'[52]Sch C'!D66</f>
        <v>44257</v>
      </c>
      <c r="D73" s="558">
        <f>'[52]Sch C'!F66</f>
        <v>175</v>
      </c>
      <c r="E73" s="171">
        <f t="shared" si="9"/>
        <v>44432</v>
      </c>
      <c r="F73" s="171"/>
      <c r="G73" s="171">
        <f t="shared" si="10"/>
        <v>44432</v>
      </c>
      <c r="H73" s="172">
        <f t="shared" si="11"/>
        <v>1.3633680148561455E-2</v>
      </c>
      <c r="I73" s="336"/>
      <c r="J73" s="195"/>
      <c r="K73" s="168"/>
      <c r="M73" s="359">
        <f t="shared" si="12"/>
        <v>2.9672766127955121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'[52]Sch C'!D67</f>
        <v>18899</v>
      </c>
      <c r="D74" s="558">
        <f>'[52]Sch C'!F67</f>
        <v>0</v>
      </c>
      <c r="E74" s="171">
        <f t="shared" si="9"/>
        <v>18899</v>
      </c>
      <c r="F74" s="677">
        <f>127+104</f>
        <v>231</v>
      </c>
      <c r="G74" s="171">
        <f t="shared" si="10"/>
        <v>19130</v>
      </c>
      <c r="H74" s="172">
        <f t="shared" si="11"/>
        <v>5.869920355644145E-3</v>
      </c>
      <c r="I74" s="336"/>
      <c r="J74" s="195"/>
      <c r="K74" s="168"/>
      <c r="M74" s="359">
        <f t="shared" si="12"/>
        <v>1.2775477494323495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'[52]Sch C'!D68</f>
        <v>0</v>
      </c>
      <c r="D75" s="558">
        <f>'[52]Sch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'[52]Sch C'!D69</f>
        <v>1938</v>
      </c>
      <c r="D76" s="558">
        <f>'[52]Sch C'!F69</f>
        <v>0</v>
      </c>
      <c r="E76" s="171">
        <f t="shared" si="9"/>
        <v>1938</v>
      </c>
      <c r="F76" s="171"/>
      <c r="G76" s="171">
        <f t="shared" si="10"/>
        <v>1938</v>
      </c>
      <c r="H76" s="172">
        <f t="shared" si="11"/>
        <v>5.9466312855401742E-4</v>
      </c>
      <c r="I76" s="336"/>
      <c r="J76" s="195"/>
      <c r="K76" s="168"/>
      <c r="M76" s="359">
        <f t="shared" si="12"/>
        <v>0.12942433551489249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'[52]Sch C'!D70</f>
        <v>0</v>
      </c>
      <c r="D77" s="558">
        <f>'[52]Sch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'[52]Sch C'!D71</f>
        <v>0</v>
      </c>
      <c r="D78" s="558">
        <f>'[52]Sch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253172</v>
      </c>
      <c r="D79" s="558">
        <f>SUM(D64:D78)</f>
        <v>175</v>
      </c>
      <c r="E79" s="171">
        <f t="shared" ref="E79:F79" si="13">SUM(E64:E78)</f>
        <v>253347</v>
      </c>
      <c r="F79" s="171">
        <f t="shared" si="13"/>
        <v>231</v>
      </c>
      <c r="G79" s="171">
        <f>SUM(G64:G78)</f>
        <v>253578</v>
      </c>
      <c r="H79" s="172">
        <f t="shared" si="11"/>
        <v>7.7808816724701038E-2</v>
      </c>
      <c r="I79" s="336"/>
      <c r="J79" s="195"/>
      <c r="K79" s="168"/>
      <c r="M79" s="359">
        <f t="shared" si="12"/>
        <v>16.934553225591024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'[52]Sch C'!D75</f>
        <v>31371</v>
      </c>
      <c r="D82" s="558">
        <f>'[52]Sch C'!F75</f>
        <v>0</v>
      </c>
      <c r="E82" s="171">
        <f t="shared" ref="E82:E92" si="14">C82+D82</f>
        <v>31371</v>
      </c>
      <c r="F82" s="171"/>
      <c r="G82" s="171">
        <f t="shared" ref="G82:G92" si="15">E82+F82</f>
        <v>31371</v>
      </c>
      <c r="H82" s="172">
        <f t="shared" ref="H82:H93" si="16">IF($G$208=0,0,G82/$G$208)</f>
        <v>9.6259943270733117E-3</v>
      </c>
      <c r="I82" s="336"/>
      <c r="J82" s="183">
        <v>1784</v>
      </c>
      <c r="K82" s="183">
        <v>1975</v>
      </c>
      <c r="M82" s="359">
        <f t="shared" ref="M82:M92" si="17">G82/G$228</f>
        <v>2.095031387738747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'[52]Sch C'!D76</f>
        <v>3566</v>
      </c>
      <c r="D83" s="558">
        <f>'[52]Sch C'!F76</f>
        <v>0</v>
      </c>
      <c r="E83" s="171">
        <f t="shared" si="14"/>
        <v>3566</v>
      </c>
      <c r="F83" s="171"/>
      <c r="G83" s="171">
        <f t="shared" si="15"/>
        <v>3566</v>
      </c>
      <c r="H83" s="172">
        <f t="shared" si="16"/>
        <v>1.0942047040369588E-3</v>
      </c>
      <c r="I83" s="336"/>
      <c r="J83" s="168"/>
      <c r="K83" s="168"/>
      <c r="M83" s="359">
        <f t="shared" si="17"/>
        <v>0.23814611994123147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'[52]Sch C'!D77</f>
        <v>4744</v>
      </c>
      <c r="D84" s="558">
        <f>'[52]Sch C'!F77</f>
        <v>0</v>
      </c>
      <c r="E84" s="171">
        <f t="shared" si="14"/>
        <v>4744</v>
      </c>
      <c r="F84" s="171"/>
      <c r="G84" s="171">
        <f t="shared" si="15"/>
        <v>4744</v>
      </c>
      <c r="H84" s="172">
        <f t="shared" si="16"/>
        <v>1.4556666057070477E-3</v>
      </c>
      <c r="I84" s="336"/>
      <c r="J84" s="168"/>
      <c r="K84" s="168"/>
      <c r="M84" s="359">
        <f t="shared" si="17"/>
        <v>0.31681581407773474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'[52]Sch C'!D78</f>
        <v>0</v>
      </c>
      <c r="D85" s="558">
        <f>'[52]Sch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'[52]Sch C'!D79</f>
        <v>1330</v>
      </c>
      <c r="D86" s="558">
        <f>'[52]Sch C'!F79</f>
        <v>0</v>
      </c>
      <c r="E86" s="171">
        <f t="shared" si="14"/>
        <v>1330</v>
      </c>
      <c r="F86" s="677">
        <v>427</v>
      </c>
      <c r="G86" s="171">
        <f>E86+F86</f>
        <v>1757</v>
      </c>
      <c r="H86" s="172">
        <f t="shared" si="16"/>
        <v>5.3912441530929237E-4</v>
      </c>
      <c r="I86" s="336"/>
      <c r="J86" s="168"/>
      <c r="K86" s="168"/>
      <c r="M86" s="359">
        <f t="shared" si="17"/>
        <v>0.1173367169760919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'[52]Sch C'!D80</f>
        <v>7198</v>
      </c>
      <c r="D87" s="558">
        <f>'[52]Sch C'!F80</f>
        <v>0</v>
      </c>
      <c r="E87" s="171">
        <f t="shared" si="14"/>
        <v>7198</v>
      </c>
      <c r="F87" s="171"/>
      <c r="G87" s="171">
        <f t="shared" si="15"/>
        <v>7198</v>
      </c>
      <c r="H87" s="172">
        <f t="shared" si="16"/>
        <v>2.208661093566469E-3</v>
      </c>
      <c r="I87" s="336"/>
      <c r="J87" s="168"/>
      <c r="K87" s="168"/>
      <c r="M87" s="359">
        <f t="shared" si="17"/>
        <v>0.48069987979163886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'[52]Sch C'!D81</f>
        <v>10872</v>
      </c>
      <c r="D88" s="558">
        <f>'[52]Sch C'!F81</f>
        <v>0</v>
      </c>
      <c r="E88" s="171">
        <f t="shared" si="14"/>
        <v>10872</v>
      </c>
      <c r="F88" s="171"/>
      <c r="G88" s="171">
        <f t="shared" si="15"/>
        <v>10872</v>
      </c>
      <c r="H88" s="172">
        <f t="shared" si="16"/>
        <v>3.3360049193185124E-3</v>
      </c>
      <c r="I88" s="336"/>
      <c r="J88" s="168"/>
      <c r="K88" s="168"/>
      <c r="M88" s="359">
        <f t="shared" si="17"/>
        <v>0.72605850140243089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'[52]Sch C'!D82</f>
        <v>10992</v>
      </c>
      <c r="D89" s="558">
        <f>'[52]Sch C'!F82</f>
        <v>0</v>
      </c>
      <c r="E89" s="171">
        <f t="shared" si="14"/>
        <v>10992</v>
      </c>
      <c r="F89" s="677">
        <v>277</v>
      </c>
      <c r="G89" s="171">
        <f t="shared" si="15"/>
        <v>11269</v>
      </c>
      <c r="H89" s="172">
        <f t="shared" si="16"/>
        <v>3.4578218759934065E-3</v>
      </c>
      <c r="I89" s="336"/>
      <c r="J89" s="168"/>
      <c r="K89" s="168"/>
      <c r="M89" s="359">
        <f t="shared" si="17"/>
        <v>0.75257112328035258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'[52]Sch C'!D83</f>
        <v>5732</v>
      </c>
      <c r="D90" s="558">
        <f>'[52]Sch C'!F83</f>
        <v>0</v>
      </c>
      <c r="E90" s="171">
        <f t="shared" si="14"/>
        <v>5732</v>
      </c>
      <c r="F90" s="171"/>
      <c r="G90" s="171">
        <f t="shared" si="15"/>
        <v>5732</v>
      </c>
      <c r="H90" s="172">
        <f t="shared" si="16"/>
        <v>1.7588282006561547E-3</v>
      </c>
      <c r="I90" s="336"/>
      <c r="J90" s="168"/>
      <c r="K90" s="168"/>
      <c r="M90" s="359">
        <f t="shared" si="17"/>
        <v>0.38279684786964069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'[52]Sch C'!D84</f>
        <v>64596</v>
      </c>
      <c r="D91" s="558">
        <f>'[52]Sch C'!F84</f>
        <v>0</v>
      </c>
      <c r="E91" s="171">
        <f t="shared" si="14"/>
        <v>64596</v>
      </c>
      <c r="F91" s="171"/>
      <c r="G91" s="171">
        <f t="shared" si="15"/>
        <v>64596</v>
      </c>
      <c r="H91" s="172">
        <f t="shared" si="16"/>
        <v>1.9820876910255577E-2</v>
      </c>
      <c r="I91" s="336"/>
      <c r="J91" s="168"/>
      <c r="K91" s="168"/>
      <c r="M91" s="359">
        <f t="shared" si="17"/>
        <v>4.3138773874716172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'[52]Sch C'!D85</f>
        <v>0</v>
      </c>
      <c r="D92" s="558">
        <f>'[52]Sch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140401</v>
      </c>
      <c r="D93" s="558">
        <f>SUM(D82:D92)</f>
        <v>0</v>
      </c>
      <c r="E93" s="171">
        <f t="shared" ref="E93:F93" si="18">SUM(E82:E92)</f>
        <v>140401</v>
      </c>
      <c r="F93" s="171">
        <f t="shared" si="18"/>
        <v>704</v>
      </c>
      <c r="G93" s="171">
        <f>SUM(G82:G92)</f>
        <v>141105</v>
      </c>
      <c r="H93" s="172">
        <f t="shared" si="16"/>
        <v>4.3297183051916731E-2</v>
      </c>
      <c r="I93" s="336"/>
      <c r="J93" s="168"/>
      <c r="K93" s="168"/>
      <c r="M93" s="364">
        <f>G93/G$228</f>
        <v>9.4233337785494857</v>
      </c>
      <c r="N93" s="359">
        <f>SUMMARY!J96</f>
        <v>11.458724454710746</v>
      </c>
      <c r="O93" s="354">
        <f>M93/N93-1</f>
        <v>-0.17762803217809287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'[52]Sch C'!D89</f>
        <v>84526</v>
      </c>
      <c r="D96" s="558">
        <f>'[52]Sch C'!F89</f>
        <v>0</v>
      </c>
      <c r="E96" s="171">
        <f t="shared" ref="E96:E101" si="19">C96+D96</f>
        <v>84526</v>
      </c>
      <c r="F96" s="171"/>
      <c r="G96" s="171">
        <f t="shared" ref="G96:G101" si="20">E96+F96</f>
        <v>84526</v>
      </c>
      <c r="H96" s="172">
        <f t="shared" ref="H96:H102" si="21">IF($G$208=0,0,G96/$G$208)</f>
        <v>2.5936272241567013E-2</v>
      </c>
      <c r="I96" s="336"/>
      <c r="J96" s="183">
        <v>6404</v>
      </c>
      <c r="K96" s="183">
        <v>7165</v>
      </c>
      <c r="M96" s="364">
        <f t="shared" ref="M96:M101" si="22">G96/G$228</f>
        <v>5.6448510751970078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'[52]Sch C'!D90</f>
        <v>18776</v>
      </c>
      <c r="D97" s="558">
        <f>'[52]Sch C'!F90</f>
        <v>0</v>
      </c>
      <c r="E97" s="171">
        <f t="shared" si="19"/>
        <v>18776</v>
      </c>
      <c r="F97" s="171"/>
      <c r="G97" s="171">
        <f t="shared" si="20"/>
        <v>18776</v>
      </c>
      <c r="H97" s="172">
        <f t="shared" si="21"/>
        <v>5.7612976789113675E-3</v>
      </c>
      <c r="I97" s="336"/>
      <c r="J97" s="168"/>
      <c r="K97" s="168"/>
      <c r="M97" s="364">
        <f t="shared" si="22"/>
        <v>1.2539067717376786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'[52]Sch C'!D91</f>
        <v>145935</v>
      </c>
      <c r="D98" s="558">
        <f>'[52]Sch C'!F91</f>
        <v>0</v>
      </c>
      <c r="E98" s="171">
        <f t="shared" si="19"/>
        <v>145935</v>
      </c>
      <c r="F98" s="683">
        <v>-1882</v>
      </c>
      <c r="G98" s="171">
        <f t="shared" si="20"/>
        <v>144053</v>
      </c>
      <c r="H98" s="172">
        <f t="shared" si="21"/>
        <v>4.4201758337250707E-2</v>
      </c>
      <c r="I98" s="336"/>
      <c r="J98" s="168"/>
      <c r="K98" s="168"/>
      <c r="M98" s="364">
        <f t="shared" si="22"/>
        <v>9.6202083611593423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'[52]Sch C'!D92</f>
        <v>52357</v>
      </c>
      <c r="D99" s="558">
        <f>'[52]Sch C'!F92</f>
        <v>-1998</v>
      </c>
      <c r="E99" s="171">
        <f t="shared" si="19"/>
        <v>50359</v>
      </c>
      <c r="F99" s="677">
        <v>1882</v>
      </c>
      <c r="G99" s="171">
        <f t="shared" si="20"/>
        <v>52241</v>
      </c>
      <c r="H99" s="172">
        <f t="shared" si="21"/>
        <v>1.602982275479382E-2</v>
      </c>
      <c r="I99" s="336"/>
      <c r="J99" s="168"/>
      <c r="K99" s="168"/>
      <c r="M99" s="364">
        <f t="shared" si="22"/>
        <v>3.4887805529584615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'[52]Sch C'!D93</f>
        <v>10856</v>
      </c>
      <c r="D100" s="558">
        <f>'[52]Sch C'!F93</f>
        <v>0</v>
      </c>
      <c r="E100" s="171">
        <f t="shared" si="19"/>
        <v>10856</v>
      </c>
      <c r="F100" s="171"/>
      <c r="G100" s="171">
        <f t="shared" si="20"/>
        <v>10856</v>
      </c>
      <c r="H100" s="172">
        <f t="shared" si="21"/>
        <v>3.3310954198051664E-3</v>
      </c>
      <c r="I100" s="336"/>
      <c r="J100" s="168"/>
      <c r="K100" s="168"/>
      <c r="M100" s="364">
        <f t="shared" si="22"/>
        <v>0.72498998263657011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'[52]Sch C'!D94</f>
        <v>0</v>
      </c>
      <c r="D101" s="558">
        <f>'[52]Sch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312450</v>
      </c>
      <c r="D102" s="558">
        <f>SUM(D96:D101)</f>
        <v>-1998</v>
      </c>
      <c r="E102" s="171">
        <f t="shared" ref="E102:F102" si="23">SUM(E96:E101)</f>
        <v>310452</v>
      </c>
      <c r="F102" s="171">
        <f t="shared" si="23"/>
        <v>0</v>
      </c>
      <c r="G102" s="171">
        <f>SUM(G96:G101)</f>
        <v>310452</v>
      </c>
      <c r="H102" s="172">
        <f t="shared" si="21"/>
        <v>9.5260246432328069E-2</v>
      </c>
      <c r="I102" s="336"/>
      <c r="J102" s="168"/>
      <c r="K102" s="168"/>
      <c r="M102" s="364">
        <f>G102/G$228</f>
        <v>20.73273674368906</v>
      </c>
      <c r="N102" s="359">
        <f>SUMMARY!J105</f>
        <v>19.901077037785338</v>
      </c>
      <c r="O102" s="354">
        <f>M102/N102-1</f>
        <v>4.1789683258081078E-2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'[52]Sch C'!D98</f>
        <v>0</v>
      </c>
      <c r="D105" s="558">
        <f>'[52]Sch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'[52]Sch C'!D99</f>
        <v>0</v>
      </c>
      <c r="D106" s="558">
        <f>'[52]Sch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'[52]Sch C'!D100</f>
        <v>285</v>
      </c>
      <c r="D107" s="558">
        <f>'[52]Sch C'!F100</f>
        <v>0</v>
      </c>
      <c r="E107" s="171">
        <f t="shared" si="24"/>
        <v>285</v>
      </c>
      <c r="F107" s="171"/>
      <c r="G107" s="171">
        <f t="shared" si="25"/>
        <v>285</v>
      </c>
      <c r="H107" s="172">
        <f t="shared" si="26"/>
        <v>8.7450460081473148E-5</v>
      </c>
      <c r="I107" s="336"/>
      <c r="J107" s="168"/>
      <c r="K107" s="168"/>
      <c r="M107" s="364">
        <f t="shared" si="27"/>
        <v>1.9032990516895953E-2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'[52]Sch C'!D101</f>
        <v>42397</v>
      </c>
      <c r="D108" s="558">
        <f>'[52]Sch C'!F101</f>
        <v>0</v>
      </c>
      <c r="E108" s="171">
        <f t="shared" si="24"/>
        <v>42397</v>
      </c>
      <c r="F108" s="171"/>
      <c r="G108" s="171">
        <f t="shared" si="25"/>
        <v>42397</v>
      </c>
      <c r="H108" s="172">
        <f t="shared" si="26"/>
        <v>1.3009253179207779E-2</v>
      </c>
      <c r="I108" s="336"/>
      <c r="J108" s="168"/>
      <c r="K108" s="168"/>
      <c r="M108" s="364">
        <f t="shared" si="27"/>
        <v>2.8313743822625885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'[52]Sch C'!D102</f>
        <v>7893</v>
      </c>
      <c r="D109" s="558">
        <f>'[52]Sch C'!F102</f>
        <v>0</v>
      </c>
      <c r="E109" s="171">
        <f t="shared" si="24"/>
        <v>7893</v>
      </c>
      <c r="F109" s="171"/>
      <c r="G109" s="171">
        <f t="shared" si="25"/>
        <v>7893</v>
      </c>
      <c r="H109" s="172">
        <f t="shared" si="26"/>
        <v>2.4219174786774297E-3</v>
      </c>
      <c r="I109" s="336"/>
      <c r="J109" s="168"/>
      <c r="K109" s="168"/>
      <c r="M109" s="364">
        <f t="shared" si="27"/>
        <v>0.52711366368371848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'[52]Sch C'!D103</f>
        <v>0</v>
      </c>
      <c r="D110" s="558">
        <f>'[52]Sch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50575</v>
      </c>
      <c r="D111" s="558">
        <f>SUM(D105:D110)</f>
        <v>0</v>
      </c>
      <c r="E111" s="171">
        <f t="shared" ref="E111:F111" si="28">SUM(E105:E110)</f>
        <v>50575</v>
      </c>
      <c r="F111" s="171">
        <f t="shared" si="28"/>
        <v>0</v>
      </c>
      <c r="G111" s="171">
        <f>SUM(G105:G110)</f>
        <v>50575</v>
      </c>
      <c r="H111" s="172">
        <f t="shared" si="26"/>
        <v>1.5518621117966681E-2</v>
      </c>
      <c r="I111" s="336"/>
      <c r="J111" s="168"/>
      <c r="K111" s="168"/>
      <c r="M111" s="364">
        <f>G111/G$228</f>
        <v>3.3775210364632029</v>
      </c>
      <c r="N111" s="359">
        <f>SUMMARY!J114</f>
        <v>2.4242384372309496</v>
      </c>
      <c r="O111" s="354">
        <f>M111/N111-1</f>
        <v>0.39322971890550762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'[52]Sch C'!D115</f>
        <v>0</v>
      </c>
      <c r="D114" s="558">
        <f>'[52]Sch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'[52]Sch C'!D116</f>
        <v>0</v>
      </c>
      <c r="D115" s="558">
        <f>'[52]Sch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'[52]Sch C'!D117</f>
        <v>5841</v>
      </c>
      <c r="D116" s="558">
        <f>'[52]Sch C'!F117</f>
        <v>0</v>
      </c>
      <c r="E116" s="171">
        <f t="shared" si="29"/>
        <v>5841</v>
      </c>
      <c r="F116" s="171"/>
      <c r="G116" s="171">
        <f>E116+F116</f>
        <v>5841</v>
      </c>
      <c r="H116" s="172">
        <f t="shared" si="30"/>
        <v>1.7922741660908233E-3</v>
      </c>
      <c r="I116" s="336"/>
      <c r="J116" s="168"/>
      <c r="K116" s="168"/>
      <c r="M116" s="364">
        <f t="shared" si="31"/>
        <v>0.39007613196206758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'[52]Sch C'!D118</f>
        <v>63596</v>
      </c>
      <c r="D117" s="558">
        <f>'[52]Sch C'!F118</f>
        <v>0</v>
      </c>
      <c r="E117" s="171">
        <f t="shared" si="29"/>
        <v>63596</v>
      </c>
      <c r="F117" s="171"/>
      <c r="G117" s="171">
        <f>E117+F117</f>
        <v>63596</v>
      </c>
      <c r="H117" s="172">
        <f t="shared" si="30"/>
        <v>1.9514033190671461E-2</v>
      </c>
      <c r="I117" s="336"/>
      <c r="J117" s="168"/>
      <c r="K117" s="168"/>
      <c r="M117" s="364">
        <f t="shared" si="31"/>
        <v>4.2470949646053162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'[52]Sch C'!D119</f>
        <v>29</v>
      </c>
      <c r="D118" s="558">
        <f>'[52]Sch C'!F119</f>
        <v>0</v>
      </c>
      <c r="E118" s="171">
        <f t="shared" si="29"/>
        <v>29</v>
      </c>
      <c r="F118" s="171"/>
      <c r="G118" s="171">
        <f>E118+F118</f>
        <v>29</v>
      </c>
      <c r="H118" s="172">
        <f t="shared" si="30"/>
        <v>8.8984678679393731E-6</v>
      </c>
      <c r="I118" s="336"/>
      <c r="J118" s="168"/>
      <c r="K118" s="168"/>
      <c r="M118" s="364">
        <f t="shared" si="31"/>
        <v>1.9366902631227461E-3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69466</v>
      </c>
      <c r="D119" s="558">
        <f>SUM(D114:D118)</f>
        <v>0</v>
      </c>
      <c r="E119" s="171">
        <f t="shared" ref="E119:F119" si="32">SUM(E114:E118)</f>
        <v>69466</v>
      </c>
      <c r="F119" s="171">
        <f t="shared" si="32"/>
        <v>0</v>
      </c>
      <c r="G119" s="171">
        <f>SUM(G114:G118)</f>
        <v>69466</v>
      </c>
      <c r="H119" s="172">
        <f t="shared" si="30"/>
        <v>2.1315205824630222E-2</v>
      </c>
      <c r="I119" s="336"/>
      <c r="J119" s="168"/>
      <c r="K119" s="168"/>
      <c r="M119" s="364">
        <f t="shared" si="31"/>
        <v>4.6391077868305066</v>
      </c>
      <c r="N119" s="359">
        <f>SUMMARY!J122</f>
        <v>6.0247597205909562</v>
      </c>
      <c r="O119" s="354">
        <f>M119/N119-1</f>
        <v>-0.2299928956543571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'[52]Sch C'!D124</f>
        <v>0</v>
      </c>
      <c r="D123" s="558">
        <f>'[52]Sch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'[52]Sch C'!D125</f>
        <v>146595</v>
      </c>
      <c r="D124" s="558">
        <f>'[52]Sch C'!F125</f>
        <v>0</v>
      </c>
      <c r="E124" s="171">
        <f t="shared" si="33"/>
        <v>146595</v>
      </c>
      <c r="F124" s="171"/>
      <c r="G124" s="171">
        <f>E124+F124</f>
        <v>146595</v>
      </c>
      <c r="H124" s="172">
        <f>IF($G$208=0,0,G124/$G$208)</f>
        <v>4.498175507243353E-2</v>
      </c>
      <c r="I124" s="336"/>
      <c r="J124" s="183">
        <v>3824</v>
      </c>
      <c r="K124" s="183">
        <v>4253</v>
      </c>
      <c r="M124" s="364">
        <f t="shared" si="34"/>
        <v>9.7899692800854812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'[52]Sch C'!D126</f>
        <v>0</v>
      </c>
      <c r="D125" s="558">
        <f>'[52]Sch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'[52]Sch C'!D127</f>
        <v>0</v>
      </c>
      <c r="D126" s="558">
        <f>'[52]Sch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'[52]Sch C'!D128</f>
        <v>27361</v>
      </c>
      <c r="D127" s="558">
        <f>'[52]Sch C'!F128</f>
        <v>0</v>
      </c>
      <c r="E127" s="171">
        <f t="shared" si="33"/>
        <v>27361</v>
      </c>
      <c r="F127" s="171"/>
      <c r="G127" s="171">
        <f>E127+F127</f>
        <v>27361</v>
      </c>
      <c r="H127" s="172">
        <f>IF($G$208=0,0,G127/$G$208)</f>
        <v>8.3955510115410054E-3</v>
      </c>
      <c r="I127" s="336"/>
      <c r="J127" s="183">
        <v>2258</v>
      </c>
      <c r="K127" s="183">
        <v>2384</v>
      </c>
      <c r="M127" s="364">
        <f t="shared" si="34"/>
        <v>1.8272338720448777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'[52]Sch C'!D130</f>
        <v>0</v>
      </c>
      <c r="D129" s="558">
        <f>'[52]Sch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'[52]Sch C'!D131</f>
        <v>34077</v>
      </c>
      <c r="D130" s="558">
        <f>'[52]Sch C'!F131</f>
        <v>0</v>
      </c>
      <c r="E130" s="171">
        <f t="shared" si="35"/>
        <v>34077</v>
      </c>
      <c r="F130" s="171"/>
      <c r="G130" s="171">
        <f>E130+F130</f>
        <v>34077</v>
      </c>
      <c r="H130" s="172">
        <f>IF($G$208=0,0,G130/$G$208)</f>
        <v>1.0456313432267932E-2</v>
      </c>
      <c r="I130" s="336"/>
      <c r="J130" s="204"/>
      <c r="K130" s="204"/>
      <c r="M130" s="364">
        <f t="shared" si="34"/>
        <v>2.2757446240149592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'[52]Sch C'!D132</f>
        <v>0</v>
      </c>
      <c r="D131" s="558">
        <f>'[52]Sch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'[52]Sch C'!D133</f>
        <v>0</v>
      </c>
      <c r="D132" s="558">
        <f>'[52]Sch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'[52]Sch C'!D134</f>
        <v>3184</v>
      </c>
      <c r="D133" s="558">
        <f>'[52]Sch C'!F134</f>
        <v>0</v>
      </c>
      <c r="E133" s="171">
        <f t="shared" si="35"/>
        <v>3184</v>
      </c>
      <c r="F133" s="171"/>
      <c r="G133" s="171">
        <f>E133+F133</f>
        <v>3184</v>
      </c>
      <c r="H133" s="172">
        <f>IF($G$208=0,0,G133/$G$208)</f>
        <v>9.7699040315582628E-4</v>
      </c>
      <c r="I133" s="336"/>
      <c r="J133" s="168"/>
      <c r="K133" s="168"/>
      <c r="M133" s="364">
        <f t="shared" si="34"/>
        <v>0.21263523440630427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'[52]Sch C'!D136</f>
        <v>191177</v>
      </c>
      <c r="D135" s="558">
        <f>'[52]Sch C'!F136</f>
        <v>0</v>
      </c>
      <c r="E135" s="171">
        <f t="shared" ref="E135:E138" si="36">C135+D135</f>
        <v>191177</v>
      </c>
      <c r="F135" s="171"/>
      <c r="G135" s="171">
        <f>E135+F135</f>
        <v>191177</v>
      </c>
      <c r="H135" s="172">
        <f>IF($G$208=0,0,G135/$G$208)</f>
        <v>5.8661461778932604E-2</v>
      </c>
      <c r="I135" s="336"/>
      <c r="J135" s="183">
        <v>6666</v>
      </c>
      <c r="K135" s="183">
        <v>7026</v>
      </c>
      <c r="M135" s="364">
        <f t="shared" si="34"/>
        <v>12.767263256310939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'[52]Sch C'!D137</f>
        <v>195996</v>
      </c>
      <c r="D136" s="558">
        <f>'[52]Sch C'!F137</f>
        <v>0</v>
      </c>
      <c r="E136" s="171">
        <f t="shared" si="36"/>
        <v>195996</v>
      </c>
      <c r="F136" s="171"/>
      <c r="G136" s="171">
        <f>E136+F136</f>
        <v>195996</v>
      </c>
      <c r="H136" s="172">
        <f>IF($G$208=0,0,G136/$G$208)</f>
        <v>6.0140141663608461E-2</v>
      </c>
      <c r="I136" s="336"/>
      <c r="J136" s="183">
        <v>9223</v>
      </c>
      <c r="K136" s="183">
        <v>10006</v>
      </c>
      <c r="M136" s="364">
        <f t="shared" si="34"/>
        <v>13.089087752103646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'[52]Sch C'!D138</f>
        <v>318051</v>
      </c>
      <c r="D137" s="558">
        <f>'[52]Sch C'!F138</f>
        <v>3936</v>
      </c>
      <c r="E137" s="171">
        <f t="shared" si="36"/>
        <v>321987</v>
      </c>
      <c r="F137" s="171"/>
      <c r="G137" s="171">
        <f>E137+F137</f>
        <v>321987</v>
      </c>
      <c r="H137" s="172">
        <f>IF($G$208=0,0,G137/$G$208)</f>
        <v>9.8799688737730859E-2</v>
      </c>
      <c r="I137" s="336"/>
      <c r="J137" s="183">
        <v>29809</v>
      </c>
      <c r="K137" s="183">
        <v>31534</v>
      </c>
      <c r="M137" s="364">
        <f t="shared" si="34"/>
        <v>21.503071991451851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'[52]Sch C'!D139</f>
        <v>3936</v>
      </c>
      <c r="D138" s="558">
        <f>'[52]Sch C'!F139</f>
        <v>-3936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'[52]Sch C'!D141</f>
        <v>183868</v>
      </c>
      <c r="D140" s="558">
        <f>'[52]Sch C'!F141</f>
        <v>-134300</v>
      </c>
      <c r="E140" s="171">
        <f t="shared" ref="E140:E143" si="37">C140+D140</f>
        <v>49568</v>
      </c>
      <c r="F140" s="171"/>
      <c r="G140" s="171">
        <f>E140+F140</f>
        <v>49568</v>
      </c>
      <c r="H140" s="172">
        <f>IF($G$208=0,0,G140/$G$208)</f>
        <v>1.5209629492345476E-2</v>
      </c>
      <c r="I140" s="336"/>
      <c r="J140" s="168"/>
      <c r="K140" s="168"/>
      <c r="M140" s="364">
        <f t="shared" si="34"/>
        <v>3.3102711366368371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'[52]Sch C'!D142</f>
        <v>0</v>
      </c>
      <c r="D141" s="558">
        <f>'[52]Sch C'!F142</f>
        <v>50817</v>
      </c>
      <c r="E141" s="171">
        <f t="shared" si="37"/>
        <v>50817</v>
      </c>
      <c r="F141" s="171"/>
      <c r="G141" s="171">
        <f>E141+F141</f>
        <v>50817</v>
      </c>
      <c r="H141" s="172">
        <f>IF($G$208=0,0,G141/$G$208)</f>
        <v>1.5592877298106038E-2</v>
      </c>
      <c r="I141" s="336"/>
      <c r="J141" s="168"/>
      <c r="K141" s="168"/>
      <c r="M141" s="364">
        <f t="shared" si="34"/>
        <v>3.3936823827968481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'[52]Sch C'!D143</f>
        <v>0</v>
      </c>
      <c r="D142" s="558">
        <f>'[52]Sch C'!F143</f>
        <v>83483</v>
      </c>
      <c r="E142" s="171">
        <f t="shared" si="37"/>
        <v>83483</v>
      </c>
      <c r="F142" s="171"/>
      <c r="G142" s="171">
        <f>E142+F142</f>
        <v>83483</v>
      </c>
      <c r="H142" s="172">
        <f>IF($G$208=0,0,G142/$G$208)</f>
        <v>2.5616234242040781E-2</v>
      </c>
      <c r="I142" s="336"/>
      <c r="J142" s="168"/>
      <c r="K142" s="168"/>
      <c r="M142" s="364">
        <f t="shared" si="34"/>
        <v>5.5751970081474553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'[52]Sch C'!D144</f>
        <v>0</v>
      </c>
      <c r="D143" s="558">
        <f>'[52]Sch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'[52]Sch C'!D146</f>
        <v>16125</v>
      </c>
      <c r="D145" s="558">
        <f>'[52]Sch C'!F146</f>
        <v>0</v>
      </c>
      <c r="E145" s="171">
        <f t="shared" ref="E145:E153" si="38">C145+D145</f>
        <v>16125</v>
      </c>
      <c r="F145" s="171"/>
      <c r="G145" s="171">
        <f t="shared" ref="G145:G153" si="39">E145+F145</f>
        <v>16125</v>
      </c>
      <c r="H145" s="172">
        <f t="shared" ref="H145:H153" si="40">IF($G$208=0,0,G145/$G$208)</f>
        <v>4.9478549782938754E-3</v>
      </c>
      <c r="I145" s="336"/>
      <c r="J145" s="183">
        <v>108</v>
      </c>
      <c r="K145" s="183">
        <v>108</v>
      </c>
      <c r="M145" s="364">
        <f t="shared" si="34"/>
        <v>1.0768665687191132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'[52]Sch C'!D147</f>
        <v>0</v>
      </c>
      <c r="D146" s="558">
        <f>'[52]Sch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'[52]Sch C'!D148</f>
        <v>0</v>
      </c>
      <c r="D147" s="558">
        <f>'[52]Sch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'[52]Sch C'!D149</f>
        <v>0</v>
      </c>
      <c r="D148" s="558">
        <f>'[52]Sch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'[52]Sch C'!D150</f>
        <v>300</v>
      </c>
      <c r="D149" s="558">
        <f>'[52]Sch C'!F150</f>
        <v>0</v>
      </c>
      <c r="E149" s="171">
        <f t="shared" si="38"/>
        <v>300</v>
      </c>
      <c r="F149" s="171"/>
      <c r="G149" s="171">
        <f t="shared" si="39"/>
        <v>300</v>
      </c>
      <c r="H149" s="172">
        <f t="shared" si="40"/>
        <v>9.2053115875234884E-5</v>
      </c>
      <c r="I149" s="336"/>
      <c r="J149" s="183">
        <v>0</v>
      </c>
      <c r="K149" s="183">
        <v>0</v>
      </c>
      <c r="M149" s="364">
        <f t="shared" si="34"/>
        <v>2.0034726859890477E-2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'[52]Sch C'!D151</f>
        <v>95235</v>
      </c>
      <c r="D150" s="558">
        <f>'[52]Sch C'!F151</f>
        <v>-113</v>
      </c>
      <c r="E150" s="171">
        <f t="shared" si="38"/>
        <v>95122</v>
      </c>
      <c r="F150" s="171"/>
      <c r="G150" s="171">
        <f t="shared" si="39"/>
        <v>95122</v>
      </c>
      <c r="H150" s="172">
        <f t="shared" si="40"/>
        <v>2.9187588294280309E-2</v>
      </c>
      <c r="I150" s="336"/>
      <c r="J150" s="168"/>
      <c r="K150" s="168"/>
      <c r="M150" s="364">
        <f t="shared" si="34"/>
        <v>6.3524776278883399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'[52]Sch C'!D152</f>
        <v>8538</v>
      </c>
      <c r="D151" s="558">
        <f>'[52]Sch C'!F152</f>
        <v>0</v>
      </c>
      <c r="E151" s="171">
        <f t="shared" si="38"/>
        <v>8538</v>
      </c>
      <c r="F151" s="683">
        <f>-427-695-778</f>
        <v>-1900</v>
      </c>
      <c r="G151" s="171">
        <f t="shared" si="39"/>
        <v>6638</v>
      </c>
      <c r="H151" s="172">
        <f t="shared" si="40"/>
        <v>2.0368286105993641E-3</v>
      </c>
      <c r="I151" s="336"/>
      <c r="J151" s="168"/>
      <c r="K151" s="168"/>
      <c r="M151" s="364">
        <f t="shared" si="34"/>
        <v>0.44330172298650994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'[52]Sch C'!D153</f>
        <v>0</v>
      </c>
      <c r="D152" s="558">
        <f>'[52]Sch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'[52]Sch C'!D154</f>
        <v>0</v>
      </c>
      <c r="D153" s="558">
        <f>'[52]Sch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'[52]Sch C'!D156</f>
        <v>0</v>
      </c>
      <c r="D155" s="558">
        <f>'[52]Sch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'[52]Sch C'!D157</f>
        <v>0</v>
      </c>
      <c r="D156" s="558">
        <f>'[52]Sch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'[52]Sch C'!D158</f>
        <v>0</v>
      </c>
      <c r="D157" s="558">
        <f>'[52]Sch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'[52]Sch C'!D159</f>
        <v>0</v>
      </c>
      <c r="D158" s="558">
        <f>'[52]Sch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'[52]Sch C'!D160</f>
        <v>0</v>
      </c>
      <c r="D159" s="558">
        <f>'[52]Sch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'[52]Sch C'!D161</f>
        <v>8662</v>
      </c>
      <c r="D160" s="558">
        <f>'[52]Sch C'!F161</f>
        <v>-79</v>
      </c>
      <c r="E160" s="171">
        <f t="shared" si="41"/>
        <v>8583</v>
      </c>
      <c r="F160" s="171"/>
      <c r="G160" s="171">
        <f t="shared" si="42"/>
        <v>8583</v>
      </c>
      <c r="H160" s="172">
        <f t="shared" si="43"/>
        <v>2.6336396451904702E-3</v>
      </c>
      <c r="I160" s="336"/>
      <c r="J160" s="168"/>
      <c r="K160" s="168"/>
      <c r="M160" s="364">
        <f t="shared" si="34"/>
        <v>0.57319353546146656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1233105</v>
      </c>
      <c r="D161" s="558">
        <f>SUM(D123:D160)</f>
        <v>-192</v>
      </c>
      <c r="E161" s="171">
        <f t="shared" ref="E161:F161" si="44">SUM(E123:E160)</f>
        <v>1232913</v>
      </c>
      <c r="F161" s="171">
        <f t="shared" si="44"/>
        <v>-1900</v>
      </c>
      <c r="G161" s="171">
        <f>SUM(G123:G160)</f>
        <v>1231013</v>
      </c>
      <c r="H161" s="172">
        <f t="shared" si="43"/>
        <v>0.37772860777640177</v>
      </c>
      <c r="I161" s="336"/>
      <c r="J161" s="168"/>
      <c r="K161" s="168"/>
      <c r="M161" s="364">
        <f>G161/G$228</f>
        <v>82.210030719914513</v>
      </c>
      <c r="N161" s="359">
        <f>SUMMARY!J164</f>
        <v>105.56901037202306</v>
      </c>
      <c r="O161" s="354">
        <f>M161/N161-1</f>
        <v>-0.22126739248375993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'[52]Sch C'!D175</f>
        <v>0</v>
      </c>
      <c r="D164" s="558">
        <f>'[52]Sch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'[52]Sch C'!D176</f>
        <v>0</v>
      </c>
      <c r="D165" s="558">
        <f>'[52]Sch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'[52]Sch C'!D177</f>
        <v>0</v>
      </c>
      <c r="D166" s="558">
        <f>'[52]Sch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'[52]Sch C'!D178</f>
        <v>0</v>
      </c>
      <c r="D167" s="558">
        <f>'[52]Sch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'[52]Sch C'!D179</f>
        <v>0</v>
      </c>
      <c r="D168" s="558">
        <f>'[52]Sch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'[52]Sch C'!D180</f>
        <v>0</v>
      </c>
      <c r="D169" s="558">
        <f>'[52]Sch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'[52]Sch C'!D181</f>
        <v>0</v>
      </c>
      <c r="D170" s="558">
        <f>'[52]Sch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'[52]Sch C'!D182</f>
        <v>0</v>
      </c>
      <c r="D171" s="558">
        <f>'[52]Sch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'[52]Sch C'!D183</f>
        <v>0</v>
      </c>
      <c r="D172" s="558">
        <f>'[52]Sch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'[52]Sch C'!D184</f>
        <v>0</v>
      </c>
      <c r="D173" s="558">
        <f>'[52]Sch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'[52]Sch C'!D185</f>
        <v>0</v>
      </c>
      <c r="D174" s="558">
        <f>'[52]Sch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'[52]Sch C'!D186</f>
        <v>0</v>
      </c>
      <c r="D175" s="558">
        <f>'[52]Sch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'[52]Sch C'!D187</f>
        <v>0</v>
      </c>
      <c r="D176" s="558">
        <f>'[52]Sch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'[52]Sch C'!D188</f>
        <v>153</v>
      </c>
      <c r="D177" s="558">
        <f>'[52]Sch C'!F188</f>
        <v>0</v>
      </c>
      <c r="E177" s="171">
        <f t="shared" si="45"/>
        <v>153</v>
      </c>
      <c r="F177" s="216"/>
      <c r="G177" s="171">
        <f t="shared" si="46"/>
        <v>153</v>
      </c>
      <c r="H177" s="172">
        <f t="shared" si="47"/>
        <v>4.6947089096369791E-5</v>
      </c>
      <c r="I177" s="336"/>
      <c r="J177" s="223"/>
      <c r="K177" s="218"/>
      <c r="L177" s="220"/>
      <c r="M177" s="364">
        <f t="shared" si="48"/>
        <v>1.0217710698544144E-2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'[52]Sch C'!D189</f>
        <v>0</v>
      </c>
      <c r="D178" s="558">
        <f>'[52]Sch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'[52]Sch C'!D190</f>
        <v>0</v>
      </c>
      <c r="D179" s="558">
        <f>'[52]Sch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'[52]Sch C'!D191</f>
        <v>415</v>
      </c>
      <c r="D180" s="558">
        <f>'[52]Sch C'!F191</f>
        <v>0</v>
      </c>
      <c r="E180" s="171">
        <f t="shared" si="45"/>
        <v>415</v>
      </c>
      <c r="F180" s="216"/>
      <c r="G180" s="171">
        <f t="shared" si="46"/>
        <v>415</v>
      </c>
      <c r="H180" s="172">
        <f t="shared" si="47"/>
        <v>1.2734014362740826E-4</v>
      </c>
      <c r="I180" s="336"/>
      <c r="J180" s="223"/>
      <c r="K180" s="218"/>
      <c r="L180" s="220"/>
      <c r="M180" s="364">
        <f t="shared" si="48"/>
        <v>2.771470548951516E-2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'[52]Sch C'!D192</f>
        <v>768</v>
      </c>
      <c r="D181" s="558">
        <f>'[52]Sch C'!F192</f>
        <v>0</v>
      </c>
      <c r="E181" s="171">
        <f t="shared" si="45"/>
        <v>768</v>
      </c>
      <c r="F181" s="216"/>
      <c r="G181" s="171">
        <f t="shared" si="46"/>
        <v>768</v>
      </c>
      <c r="H181" s="172">
        <f t="shared" si="47"/>
        <v>2.3565597664060132E-4</v>
      </c>
      <c r="I181" s="336"/>
      <c r="J181" s="223"/>
      <c r="K181" s="218"/>
      <c r="L181" s="220"/>
      <c r="M181" s="364">
        <f t="shared" si="48"/>
        <v>5.1288900761319624E-2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'[52]Sch C'!D193</f>
        <v>1763</v>
      </c>
      <c r="D182" s="558">
        <f>'[52]Sch C'!F193</f>
        <v>0</v>
      </c>
      <c r="E182" s="171">
        <f t="shared" si="45"/>
        <v>1763</v>
      </c>
      <c r="F182" s="216"/>
      <c r="G182" s="171">
        <f t="shared" si="46"/>
        <v>1763</v>
      </c>
      <c r="H182" s="172">
        <f t="shared" si="47"/>
        <v>5.4096547762679708E-4</v>
      </c>
      <c r="I182" s="336"/>
      <c r="J182" s="223"/>
      <c r="K182" s="218"/>
      <c r="L182" s="220"/>
      <c r="M182" s="364">
        <f t="shared" si="48"/>
        <v>0.1177374115132897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'[52]Sch C'!D194</f>
        <v>136519</v>
      </c>
      <c r="D183" s="558">
        <f>'[52]Sch C'!F194</f>
        <v>-1843</v>
      </c>
      <c r="E183" s="171">
        <f t="shared" si="45"/>
        <v>134676</v>
      </c>
      <c r="F183" s="216"/>
      <c r="G183" s="171">
        <f t="shared" si="46"/>
        <v>134676</v>
      </c>
      <c r="H183" s="172">
        <f t="shared" si="47"/>
        <v>4.1324484778710445E-2</v>
      </c>
      <c r="I183" s="336"/>
      <c r="J183" s="223"/>
      <c r="K183" s="218"/>
      <c r="M183" s="364">
        <f t="shared" si="48"/>
        <v>8.9939895819420332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'[52]Sch C'!D195</f>
        <v>12343</v>
      </c>
      <c r="D184" s="558">
        <f>'[52]Sch C'!F195</f>
        <v>-167</v>
      </c>
      <c r="E184" s="171">
        <f t="shared" si="45"/>
        <v>12176</v>
      </c>
      <c r="F184" s="216"/>
      <c r="G184" s="171">
        <f t="shared" si="46"/>
        <v>12176</v>
      </c>
      <c r="H184" s="172">
        <f t="shared" si="47"/>
        <v>3.7361291296562002E-3</v>
      </c>
      <c r="I184" s="336"/>
      <c r="J184" s="223"/>
      <c r="K184" s="218"/>
      <c r="M184" s="364">
        <f t="shared" si="48"/>
        <v>0.81314278082008817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'[52]Sch C'!D196</f>
        <v>0</v>
      </c>
      <c r="D185" s="558">
        <f>'[52]Sch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'[52]Sch C'!D197</f>
        <v>100807</v>
      </c>
      <c r="D186" s="558">
        <f>'[52]Sch C'!F197</f>
        <v>-1361</v>
      </c>
      <c r="E186" s="171">
        <f t="shared" si="45"/>
        <v>99446</v>
      </c>
      <c r="F186" s="216"/>
      <c r="G186" s="171">
        <f t="shared" si="46"/>
        <v>99446</v>
      </c>
      <c r="H186" s="172">
        <f t="shared" si="47"/>
        <v>3.051438053776203E-2</v>
      </c>
      <c r="I186" s="336"/>
      <c r="J186" s="223"/>
      <c r="K186" s="218"/>
      <c r="M186" s="364">
        <f t="shared" si="48"/>
        <v>6.6412448243622277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'[52]Sch C'!D198</f>
        <v>6949</v>
      </c>
      <c r="D187" s="558">
        <f>'[52]Sch C'!F198</f>
        <v>-49</v>
      </c>
      <c r="E187" s="171">
        <f t="shared" si="45"/>
        <v>6900</v>
      </c>
      <c r="F187" s="216"/>
      <c r="G187" s="171">
        <f t="shared" si="46"/>
        <v>6900</v>
      </c>
      <c r="H187" s="172">
        <f t="shared" si="47"/>
        <v>2.1172216651304024E-3</v>
      </c>
      <c r="I187" s="336"/>
      <c r="J187" s="223"/>
      <c r="K187" s="218"/>
      <c r="M187" s="364">
        <f t="shared" si="48"/>
        <v>0.46079871777748099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'[52]Sch C'!D199</f>
        <v>0</v>
      </c>
      <c r="D188" s="558">
        <f>'[52]Sch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'[52]Sch C'!D200</f>
        <v>0</v>
      </c>
      <c r="D189" s="558">
        <f>'[52]Sch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'[52]Sch C'!D201</f>
        <v>0</v>
      </c>
      <c r="D190" s="558">
        <f>'[52]Sch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'[52]Sch C'!D202</f>
        <v>0</v>
      </c>
      <c r="D191" s="558">
        <f>'[52]Sch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'[52]Sch C'!D203</f>
        <v>0</v>
      </c>
      <c r="D192" s="558">
        <f>'[52]Sch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'[52]Sch C'!D204</f>
        <v>0</v>
      </c>
      <c r="D193" s="558">
        <f>'[52]Sch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'[52]Sch C'!D205</f>
        <v>87965</v>
      </c>
      <c r="D194" s="558">
        <f>'[52]Sch C'!F205</f>
        <v>-1340</v>
      </c>
      <c r="E194" s="171">
        <f t="shared" si="45"/>
        <v>86625</v>
      </c>
      <c r="F194" s="216"/>
      <c r="G194" s="171">
        <f t="shared" si="46"/>
        <v>86625</v>
      </c>
      <c r="H194" s="172">
        <f t="shared" si="47"/>
        <v>2.6580337208974073E-2</v>
      </c>
      <c r="I194" s="336"/>
      <c r="J194" s="223"/>
      <c r="K194" s="218"/>
      <c r="M194" s="364">
        <f t="shared" si="48"/>
        <v>5.785027380793375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'[52]Sch C'!D206</f>
        <v>3645</v>
      </c>
      <c r="D195" s="558">
        <f>'[52]Sch C'!F206</f>
        <v>0</v>
      </c>
      <c r="E195" s="171">
        <f t="shared" si="45"/>
        <v>3645</v>
      </c>
      <c r="F195" s="216"/>
      <c r="G195" s="171">
        <f t="shared" si="46"/>
        <v>3645</v>
      </c>
      <c r="H195" s="172">
        <f t="shared" si="47"/>
        <v>1.1184453578841039E-3</v>
      </c>
      <c r="I195" s="336"/>
      <c r="J195" s="223"/>
      <c r="K195" s="218"/>
      <c r="M195" s="364">
        <f t="shared" si="48"/>
        <v>0.24342193134766929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'[52]Sch C'!D207</f>
        <v>3286</v>
      </c>
      <c r="D196" s="558">
        <f>'[52]Sch C'!F207</f>
        <v>-38</v>
      </c>
      <c r="E196" s="171">
        <f t="shared" si="45"/>
        <v>3248</v>
      </c>
      <c r="F196" s="216"/>
      <c r="G196" s="171">
        <f t="shared" si="46"/>
        <v>3248</v>
      </c>
      <c r="H196" s="172">
        <f t="shared" si="47"/>
        <v>9.9662840120920979E-4</v>
      </c>
      <c r="I196" s="336"/>
      <c r="J196" s="223"/>
      <c r="K196" s="218"/>
      <c r="M196" s="364">
        <f t="shared" si="48"/>
        <v>0.21690930946974757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354613</v>
      </c>
      <c r="D197" s="558">
        <f>SUM(D164:D196)</f>
        <v>-4798</v>
      </c>
      <c r="E197" s="171">
        <f t="shared" ref="E197:F197" si="49">SUM(E164:E196)</f>
        <v>349815</v>
      </c>
      <c r="F197" s="171">
        <f t="shared" si="49"/>
        <v>0</v>
      </c>
      <c r="G197" s="171">
        <f>SUM(G164:G196)</f>
        <v>349815</v>
      </c>
      <c r="H197" s="172">
        <f>IF($G$208=0,0,G197/$G$208)</f>
        <v>0.10733853576631765</v>
      </c>
      <c r="I197" s="336"/>
      <c r="J197" s="168"/>
      <c r="K197" s="168"/>
      <c r="M197" s="364">
        <f>G197/G$228</f>
        <v>23.36149325497529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'[52]Sch C'!D211</f>
        <v>74286</v>
      </c>
      <c r="D200" s="558">
        <f>'[52]Sch C'!F211</f>
        <v>0</v>
      </c>
      <c r="E200" s="171">
        <f t="shared" ref="E200:E205" si="50">C200+D200</f>
        <v>74286</v>
      </c>
      <c r="F200" s="171"/>
      <c r="G200" s="171">
        <f t="shared" ref="G200:G205" si="51">E200+F200</f>
        <v>74286</v>
      </c>
      <c r="H200" s="172">
        <f t="shared" ref="H200:H206" si="52">IF($G$208=0,0,G200/$G$208)</f>
        <v>2.2794192553025665E-2</v>
      </c>
      <c r="I200" s="336"/>
      <c r="J200" s="183">
        <v>5135</v>
      </c>
      <c r="K200" s="183">
        <v>5425</v>
      </c>
      <c r="M200" s="364">
        <f t="shared" ref="M200:M205" si="53">G200/G$228</f>
        <v>4.9609990650460798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'[52]Sch C'!D212</f>
        <v>22403</v>
      </c>
      <c r="D201" s="558">
        <f>'[52]Sch C'!F212</f>
        <v>0</v>
      </c>
      <c r="E201" s="171">
        <f t="shared" si="50"/>
        <v>22403</v>
      </c>
      <c r="F201" s="171"/>
      <c r="G201" s="171">
        <f t="shared" si="51"/>
        <v>22403</v>
      </c>
      <c r="H201" s="172">
        <f t="shared" si="52"/>
        <v>6.8742198498429573E-3</v>
      </c>
      <c r="I201" s="336"/>
      <c r="J201" s="168"/>
      <c r="K201" s="168"/>
      <c r="M201" s="364">
        <f t="shared" si="53"/>
        <v>1.4961266194737546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'[52]Sch C'!D213</f>
        <v>2684</v>
      </c>
      <c r="D202" s="558">
        <f>'[52]Sch C'!F213</f>
        <v>0</v>
      </c>
      <c r="E202" s="171">
        <f t="shared" si="50"/>
        <v>2684</v>
      </c>
      <c r="F202" s="171"/>
      <c r="G202" s="171">
        <f t="shared" si="51"/>
        <v>2684</v>
      </c>
      <c r="H202" s="172">
        <f t="shared" si="52"/>
        <v>8.2356854336376815E-4</v>
      </c>
      <c r="I202" s="336"/>
      <c r="J202" s="168"/>
      <c r="K202" s="168"/>
      <c r="M202" s="364">
        <f t="shared" si="53"/>
        <v>0.17924402297315348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'[52]Sch C'!D214</f>
        <v>0</v>
      </c>
      <c r="D203" s="558">
        <f>'[52]Sch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'[52]Sch C'!D215</f>
        <v>0</v>
      </c>
      <c r="D204" s="558">
        <f>'[52]Sch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'[52]Sch C'!D216</f>
        <v>1421</v>
      </c>
      <c r="D205" s="558">
        <f>'[52]Sch C'!F216</f>
        <v>0</v>
      </c>
      <c r="E205" s="171">
        <f t="shared" si="50"/>
        <v>1421</v>
      </c>
      <c r="F205" s="171"/>
      <c r="G205" s="171">
        <f t="shared" si="51"/>
        <v>1421</v>
      </c>
      <c r="H205" s="172">
        <f t="shared" si="52"/>
        <v>4.3602492552902926E-4</v>
      </c>
      <c r="I205" s="336"/>
      <c r="J205" s="168"/>
      <c r="K205" s="168"/>
      <c r="M205" s="364">
        <f t="shared" si="53"/>
        <v>9.4897822893014558E-2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100794</v>
      </c>
      <c r="D206" s="558">
        <f>SUM(D200:D205)</f>
        <v>0</v>
      </c>
      <c r="E206" s="171">
        <f t="shared" ref="E206:F206" si="54">SUM(E200:E205)</f>
        <v>100794</v>
      </c>
      <c r="F206" s="171">
        <f t="shared" si="54"/>
        <v>0</v>
      </c>
      <c r="G206" s="171">
        <f>SUM(G200:G205)</f>
        <v>100794</v>
      </c>
      <c r="H206" s="172">
        <f t="shared" si="52"/>
        <v>3.0928005871761418E-2</v>
      </c>
      <c r="I206" s="336"/>
      <c r="J206" s="168"/>
      <c r="K206" s="168"/>
      <c r="M206" s="364">
        <f>G206/G$228</f>
        <v>6.7312675303860026</v>
      </c>
      <c r="N206" s="359">
        <f>SUMMARY!J209</f>
        <v>7.1515095990067339</v>
      </c>
      <c r="O206" s="354">
        <f>M206/N206-1</f>
        <v>-5.8762707761602972E-2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3438195</v>
      </c>
      <c r="D208" s="558">
        <f>SUM(D25:D206)/2</f>
        <v>-177965</v>
      </c>
      <c r="E208" s="171">
        <f t="shared" ref="E208:F208" si="55">SUM(E25:E206)/2</f>
        <v>3260230</v>
      </c>
      <c r="F208" s="171">
        <f t="shared" si="55"/>
        <v>-1242</v>
      </c>
      <c r="G208" s="171">
        <f>SUM(G25:G206)/2</f>
        <v>3258988</v>
      </c>
      <c r="H208" s="172">
        <f>IF($G$208=0,0,G208/$G$208)</f>
        <v>1</v>
      </c>
      <c r="I208" s="336"/>
      <c r="J208" s="183">
        <f>SUM(J25:J200)</f>
        <v>72602</v>
      </c>
      <c r="K208" s="183">
        <f>SUM(K25:K200)</f>
        <v>77946</v>
      </c>
      <c r="M208" s="364">
        <f>G208/G$228</f>
        <v>217.64311473220249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-0.3176939441547012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'[52]Sch C'!D221</f>
        <v>3438195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741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27456</v>
      </c>
      <c r="D215" s="558">
        <f>D21-D208</f>
        <v>172182</v>
      </c>
      <c r="E215" s="171">
        <f t="shared" ref="E215:F215" si="56">E21-E208</f>
        <v>199638</v>
      </c>
      <c r="F215" s="171">
        <f t="shared" si="56"/>
        <v>1242</v>
      </c>
      <c r="G215" s="171">
        <f>G21-G208</f>
        <v>200880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'[52]Sch D'!C9</f>
        <v>8333</v>
      </c>
      <c r="D219" s="592"/>
      <c r="E219" s="235">
        <f t="shared" ref="E219:G227" si="57">C219+D219</f>
        <v>8333</v>
      </c>
      <c r="F219" s="234"/>
      <c r="G219" s="235">
        <f t="shared" si="57"/>
        <v>8333</v>
      </c>
      <c r="H219" s="172">
        <f t="shared" ref="H219:H228" si="58">IF($G$228=0,0,G219/$G$228)</f>
        <v>0.5564979297448911</v>
      </c>
      <c r="I219" s="336"/>
      <c r="J219" s="168"/>
      <c r="K219" s="168"/>
    </row>
    <row r="220" spans="1:17">
      <c r="A220" s="163"/>
      <c r="B220" s="170" t="s">
        <v>217</v>
      </c>
      <c r="C220" s="592">
        <f>'[52]Sch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'[52]Sch D'!E9</f>
        <v>1071</v>
      </c>
      <c r="D221" s="592"/>
      <c r="E221" s="235">
        <f t="shared" si="59"/>
        <v>1071</v>
      </c>
      <c r="F221" s="234"/>
      <c r="G221" s="235">
        <f t="shared" si="57"/>
        <v>1071</v>
      </c>
      <c r="H221" s="172">
        <f t="shared" si="58"/>
        <v>7.1523974889809008E-2</v>
      </c>
      <c r="I221" s="336"/>
      <c r="J221" s="168"/>
      <c r="K221" s="168"/>
    </row>
    <row r="222" spans="1:17">
      <c r="A222" s="163"/>
      <c r="B222" s="202" t="s">
        <v>334</v>
      </c>
      <c r="C222" s="592">
        <f>'[52]Sch D'!F9</f>
        <v>602</v>
      </c>
      <c r="D222" s="592"/>
      <c r="E222" s="235">
        <f>C222+D222</f>
        <v>602</v>
      </c>
      <c r="F222" s="234"/>
      <c r="G222" s="235">
        <f>E222+F222</f>
        <v>602</v>
      </c>
      <c r="H222" s="172">
        <f t="shared" si="58"/>
        <v>4.020301856551356E-2</v>
      </c>
      <c r="I222" s="336"/>
      <c r="J222" s="168"/>
      <c r="K222" s="168"/>
    </row>
    <row r="223" spans="1:17">
      <c r="A223" s="163"/>
      <c r="B223" s="170" t="s">
        <v>73</v>
      </c>
      <c r="C223" s="592">
        <f>'[52]Sch D'!G9</f>
        <v>1385</v>
      </c>
      <c r="D223" s="592"/>
      <c r="E223" s="235">
        <f t="shared" si="59"/>
        <v>1385</v>
      </c>
      <c r="F223" s="234"/>
      <c r="G223" s="235">
        <f t="shared" si="57"/>
        <v>1385</v>
      </c>
      <c r="H223" s="172">
        <f t="shared" si="58"/>
        <v>9.2493655669827701E-2</v>
      </c>
      <c r="I223" s="336"/>
      <c r="J223" s="168"/>
      <c r="K223" s="168"/>
    </row>
    <row r="224" spans="1:17">
      <c r="A224" s="163"/>
      <c r="B224" s="170" t="s">
        <v>74</v>
      </c>
      <c r="C224" s="592">
        <f>'[52]Sch D'!H9</f>
        <v>2911</v>
      </c>
      <c r="D224" s="592"/>
      <c r="E224" s="235">
        <f t="shared" si="59"/>
        <v>2911</v>
      </c>
      <c r="F224" s="234"/>
      <c r="G224" s="235">
        <f t="shared" si="57"/>
        <v>2911</v>
      </c>
      <c r="H224" s="172">
        <f t="shared" si="58"/>
        <v>0.19440363296380392</v>
      </c>
      <c r="I224" s="336"/>
      <c r="J224" s="168"/>
      <c r="K224" s="168"/>
    </row>
    <row r="225" spans="1:11">
      <c r="A225" s="163"/>
      <c r="B225" s="170" t="s">
        <v>236</v>
      </c>
      <c r="C225" s="592">
        <f>'[52]Sch D'!I9</f>
        <v>672</v>
      </c>
      <c r="D225" s="592"/>
      <c r="E225" s="235">
        <f t="shared" si="59"/>
        <v>672</v>
      </c>
      <c r="F225" s="234"/>
      <c r="G225" s="235">
        <f t="shared" si="57"/>
        <v>672</v>
      </c>
      <c r="H225" s="172">
        <f t="shared" si="58"/>
        <v>4.4877788166154668E-2</v>
      </c>
      <c r="I225" s="336"/>
      <c r="J225" s="168"/>
      <c r="K225" s="168"/>
    </row>
    <row r="226" spans="1:11">
      <c r="A226" s="163"/>
      <c r="B226" s="170" t="s">
        <v>235</v>
      </c>
      <c r="C226" s="592">
        <f>'[52]Sch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'[52]Sch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14974</v>
      </c>
      <c r="D228" s="592">
        <f>SUM(D219:D227)</f>
        <v>0</v>
      </c>
      <c r="E228" s="237">
        <f>SUM(E219:E227)</f>
        <v>14974</v>
      </c>
      <c r="F228" s="237">
        <f>SUM(F219:F227)</f>
        <v>0</v>
      </c>
      <c r="G228" s="237">
        <f>SUM(G219:G227)</f>
        <v>14974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'[52]Sch D'!N22</f>
        <v>72</v>
      </c>
      <c r="D231" s="559"/>
      <c r="E231" s="235">
        <f>C231+D231</f>
        <v>72</v>
      </c>
      <c r="F231" s="235"/>
      <c r="G231" s="235">
        <f>E231+F231</f>
        <v>72</v>
      </c>
      <c r="H231" s="167"/>
      <c r="J231" s="168"/>
      <c r="K231" s="168"/>
    </row>
    <row r="232" spans="1:11">
      <c r="A232" s="163"/>
      <c r="B232" s="202" t="s">
        <v>290</v>
      </c>
      <c r="C232" s="593">
        <f>'[52]Sch D'!N24</f>
        <v>72</v>
      </c>
      <c r="D232" s="559"/>
      <c r="E232" s="235">
        <f>C232+D232</f>
        <v>72</v>
      </c>
      <c r="F232" s="235"/>
      <c r="G232" s="235">
        <f>E232+F232</f>
        <v>72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'[52]Sch D'!N28</f>
        <v>26352</v>
      </c>
      <c r="D235" s="483"/>
      <c r="E235" s="234">
        <f>E231*E233</f>
        <v>26352</v>
      </c>
      <c r="F235" s="239"/>
      <c r="G235" s="234">
        <f>G231*G233</f>
        <v>26352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'[52]Sch D'!N30</f>
        <v>0.56823011536126289</v>
      </c>
      <c r="D236" s="239"/>
      <c r="E236" s="244">
        <f>E228/E235</f>
        <v>0.56823011536126289</v>
      </c>
      <c r="F236" s="245"/>
      <c r="G236" s="244">
        <f>G228/G235</f>
        <v>0.56823011536126289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'[52]Sch D'!N32</f>
        <v>0.31621888281724347</v>
      </c>
      <c r="D237" s="239"/>
      <c r="E237" s="244">
        <f>(E219+E220)/E235</f>
        <v>0.31621888281724347</v>
      </c>
      <c r="F237" s="245"/>
      <c r="G237" s="244">
        <f>(G219+G220)/G235</f>
        <v>0.31621888281724347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'[52]Sch D'!N34</f>
        <v>0.55649792974489121</v>
      </c>
      <c r="D238" s="239"/>
      <c r="E238" s="244">
        <f>(E237/E236)</f>
        <v>0.55649792974489121</v>
      </c>
      <c r="F238" s="245"/>
      <c r="G238" s="244">
        <f>(G237/G236)</f>
        <v>0.55649792974489121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137.38804220398592</v>
      </c>
    </row>
    <row r="242" spans="2:7">
      <c r="F242" s="142" t="s">
        <v>341</v>
      </c>
      <c r="G242" s="558">
        <v>137.39032620922384</v>
      </c>
    </row>
    <row r="243" spans="2:7">
      <c r="F243" s="142" t="s">
        <v>342</v>
      </c>
      <c r="G243" s="558">
        <v>137.38366718027734</v>
      </c>
    </row>
    <row r="244" spans="2:7">
      <c r="F244" s="142" t="s">
        <v>343</v>
      </c>
      <c r="G244" s="558">
        <v>137.38846153846154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9">
    <tabColor rgb="FFE28CAB"/>
  </sheetPr>
  <dimension ref="A1:Q245"/>
  <sheetViews>
    <sheetView showGridLines="0" topLeftCell="A222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1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9140625" style="332" customWidth="1"/>
    <col min="10" max="10" width="14.6640625" style="141" customWidth="1"/>
    <col min="11" max="11" width="13" style="141" customWidth="1"/>
    <col min="12" max="12" width="2.5820312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/>
      <c r="H1" s="472"/>
      <c r="I1" s="473"/>
    </row>
    <row r="2" spans="1:17" ht="23">
      <c r="B2" s="143" t="s">
        <v>189</v>
      </c>
      <c r="C2" s="246" t="s">
        <v>553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400"/>
      <c r="F3" s="628" t="s">
        <v>524</v>
      </c>
    </row>
    <row r="4" spans="1:17">
      <c r="A4" s="145"/>
      <c r="B4" s="148" t="s">
        <v>80</v>
      </c>
      <c r="C4" s="489">
        <v>42551</v>
      </c>
      <c r="D4" s="144"/>
      <c r="E4" s="400"/>
      <c r="F4" s="628" t="s">
        <v>554</v>
      </c>
      <c r="G4" s="150"/>
    </row>
    <row r="5" spans="1:17">
      <c r="A5" s="145"/>
      <c r="B5" s="148"/>
      <c r="C5" s="151"/>
      <c r="D5" s="144"/>
      <c r="F5" s="460" t="s">
        <v>555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0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5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'[53]Sch B'!E10</f>
        <v>4159763</v>
      </c>
      <c r="D11" s="558">
        <f>'[53]Sch B'!G10</f>
        <v>0</v>
      </c>
      <c r="E11" s="171">
        <f>C11+D11</f>
        <v>4159763</v>
      </c>
      <c r="F11" s="672">
        <f>796168-110970.74</f>
        <v>685197.26</v>
      </c>
      <c r="G11" s="171">
        <f>E11+F11-110970.74</f>
        <v>4733989.5199999996</v>
      </c>
      <c r="H11" s="172">
        <f t="shared" ref="H11:H21" si="0">IF($G$21=0,0,G11/$G$21)</f>
        <v>0.47033238485077289</v>
      </c>
      <c r="I11" s="555" t="s">
        <v>420</v>
      </c>
      <c r="J11" s="368" t="s">
        <v>344</v>
      </c>
      <c r="K11" s="369">
        <f>G21</f>
        <v>10065200</v>
      </c>
      <c r="M11" s="359">
        <f>IFERROR(G11/G219,0)</f>
        <v>234.65795181917318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'[53]Sch B'!E15</f>
        <v>0</v>
      </c>
      <c r="D12" s="558">
        <f>'[53]Sch B'!G15</f>
        <v>0</v>
      </c>
      <c r="E12" s="171">
        <f t="shared" ref="E12:E20" si="1">C12+D12</f>
        <v>0</v>
      </c>
      <c r="F12" s="171">
        <v>0</v>
      </c>
      <c r="G12" s="171">
        <f>E12+F12</f>
        <v>0</v>
      </c>
      <c r="H12" s="172">
        <f t="shared" si="0"/>
        <v>0</v>
      </c>
      <c r="I12" s="336"/>
      <c r="J12" s="370" t="s">
        <v>345</v>
      </c>
      <c r="K12" s="371">
        <f>G208</f>
        <v>9931202</v>
      </c>
      <c r="M12" s="359">
        <f t="shared" ref="M12:M19" si="2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'[53]Sch B'!E21</f>
        <v>1984731</v>
      </c>
      <c r="D13" s="558">
        <f>'[53]Sch B'!G21</f>
        <v>0</v>
      </c>
      <c r="E13" s="171">
        <f t="shared" si="1"/>
        <v>1984731</v>
      </c>
      <c r="F13" s="171">
        <v>403548</v>
      </c>
      <c r="G13" s="171">
        <f t="shared" ref="G13:G19" si="3">E13+F13</f>
        <v>2388279</v>
      </c>
      <c r="H13" s="172">
        <f t="shared" si="0"/>
        <v>0.2372808289949529</v>
      </c>
      <c r="I13" s="336"/>
      <c r="J13" s="370" t="s">
        <v>346</v>
      </c>
      <c r="K13" s="371">
        <f>G228</f>
        <v>32425</v>
      </c>
      <c r="M13" s="359">
        <f t="shared" si="2"/>
        <v>539.84606690777582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'[53]Sch B'!E27</f>
        <v>1557834</v>
      </c>
      <c r="D14" s="558">
        <f>'[53]Sch B'!G27</f>
        <v>0</v>
      </c>
      <c r="E14" s="171">
        <f t="shared" si="1"/>
        <v>1557834</v>
      </c>
      <c r="F14" s="175">
        <v>288993</v>
      </c>
      <c r="G14" s="175">
        <f>E14+F14</f>
        <v>1846827</v>
      </c>
      <c r="H14" s="176">
        <f t="shared" si="0"/>
        <v>0.18348636887493541</v>
      </c>
      <c r="I14" s="337"/>
      <c r="J14" s="370" t="s">
        <v>347</v>
      </c>
      <c r="K14" s="371">
        <f>G231</f>
        <v>220</v>
      </c>
      <c r="M14" s="359">
        <f t="shared" si="2"/>
        <v>418.21263586956519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'[53]Sch B'!E32</f>
        <v>0</v>
      </c>
      <c r="D15" s="558">
        <f>'[53]Sch B'!G32</f>
        <v>0</v>
      </c>
      <c r="E15" s="171">
        <f t="shared" si="1"/>
        <v>0</v>
      </c>
      <c r="F15" s="171">
        <v>0</v>
      </c>
      <c r="G15" s="171">
        <f t="shared" si="3"/>
        <v>0</v>
      </c>
      <c r="H15" s="172">
        <f t="shared" si="0"/>
        <v>0</v>
      </c>
      <c r="I15" s="336"/>
      <c r="J15" s="370" t="s">
        <v>348</v>
      </c>
      <c r="K15" s="371">
        <f>G235</f>
        <v>80520</v>
      </c>
      <c r="M15" s="359">
        <f t="shared" si="2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'[53]Sch B'!E37</f>
        <v>355352</v>
      </c>
      <c r="D16" s="558">
        <f>'[53]Sch B'!G37</f>
        <v>0</v>
      </c>
      <c r="E16" s="171">
        <f t="shared" si="1"/>
        <v>355352</v>
      </c>
      <c r="F16" s="171">
        <v>67825</v>
      </c>
      <c r="G16" s="171">
        <f t="shared" si="3"/>
        <v>423177</v>
      </c>
      <c r="H16" s="172">
        <f t="shared" si="0"/>
        <v>4.2043575885228314E-2</v>
      </c>
      <c r="I16" s="336"/>
      <c r="J16" s="372"/>
      <c r="K16" s="371"/>
      <c r="M16" s="359">
        <f t="shared" si="2"/>
        <v>389.30726770929164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'[53]Sch B'!E42</f>
        <v>0</v>
      </c>
      <c r="D17" s="558">
        <f>'[53]Sch B'!G42</f>
        <v>0</v>
      </c>
      <c r="E17" s="171">
        <f t="shared" si="1"/>
        <v>0</v>
      </c>
      <c r="F17" s="171">
        <v>0</v>
      </c>
      <c r="G17" s="171">
        <f>E17+F17</f>
        <v>0</v>
      </c>
      <c r="H17" s="172">
        <f t="shared" si="0"/>
        <v>0</v>
      </c>
      <c r="I17" s="336"/>
      <c r="J17" s="370" t="s">
        <v>156</v>
      </c>
      <c r="K17" s="371">
        <f>J208</f>
        <v>236169.72107843138</v>
      </c>
      <c r="M17" s="359">
        <f t="shared" si="2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'[53]Sch B'!E47</f>
        <v>308205</v>
      </c>
      <c r="D18" s="558">
        <f>'[53]Sch B'!G47</f>
        <v>0</v>
      </c>
      <c r="E18" s="171">
        <f t="shared" si="1"/>
        <v>308205</v>
      </c>
      <c r="F18" s="171">
        <v>127822</v>
      </c>
      <c r="G18" s="171">
        <f>E18+F18</f>
        <v>436027</v>
      </c>
      <c r="H18" s="172">
        <f t="shared" si="0"/>
        <v>4.3320251957238806E-2</v>
      </c>
      <c r="I18" s="336"/>
      <c r="J18" s="373" t="s">
        <v>252</v>
      </c>
      <c r="K18" s="374">
        <f>K208</f>
        <v>247401</v>
      </c>
      <c r="M18" s="359">
        <f t="shared" si="2"/>
        <v>187.61919104991395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'[53]Sch B'!E52</f>
        <v>0</v>
      </c>
      <c r="D19" s="558">
        <f>'[53]Sch B'!G52</f>
        <v>0</v>
      </c>
      <c r="E19" s="171">
        <f t="shared" si="1"/>
        <v>0</v>
      </c>
      <c r="F19" s="171">
        <v>0</v>
      </c>
      <c r="G19" s="171">
        <f t="shared" si="3"/>
        <v>0</v>
      </c>
      <c r="H19" s="172">
        <f t="shared" si="0"/>
        <v>0</v>
      </c>
      <c r="I19" s="336"/>
      <c r="J19" s="168"/>
      <c r="K19" s="168"/>
      <c r="M19" s="359">
        <f t="shared" si="2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'[53]Sch B'!E67</f>
        <v>14740</v>
      </c>
      <c r="D20" s="558">
        <f>'[53]Sch B'!G67</f>
        <v>0</v>
      </c>
      <c r="E20" s="171">
        <f t="shared" si="1"/>
        <v>14740</v>
      </c>
      <c r="F20" s="575">
        <f>219+110970.74</f>
        <v>111189.74</v>
      </c>
      <c r="G20" s="171">
        <f>E20+F20+110970.74</f>
        <v>236900.48000000001</v>
      </c>
      <c r="H20" s="172">
        <f t="shared" si="0"/>
        <v>2.3536589436871598E-2</v>
      </c>
      <c r="I20" s="555" t="s">
        <v>692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8380625</v>
      </c>
      <c r="D21" s="558">
        <f>SUM(D11:D20)</f>
        <v>0</v>
      </c>
      <c r="E21" s="171">
        <f>SUM(E11:E20)</f>
        <v>8380625</v>
      </c>
      <c r="F21" s="171">
        <f>SUM(F11:F20)</f>
        <v>1684575</v>
      </c>
      <c r="G21" s="171">
        <f>SUM(G11:G20)</f>
        <v>10065200</v>
      </c>
      <c r="H21" s="172">
        <f t="shared" si="0"/>
        <v>1</v>
      </c>
      <c r="I21" s="336"/>
      <c r="J21" s="168"/>
      <c r="K21" s="168"/>
      <c r="M21" s="359">
        <f>IFERROR(G21/G228,0)</f>
        <v>310.41480339244413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0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575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'[53]Sch C'!D10</f>
        <v>67375</v>
      </c>
      <c r="D25" s="558">
        <f>'[53]Sch C'!F10</f>
        <v>4153</v>
      </c>
      <c r="E25" s="171">
        <f t="shared" ref="E25:E60" si="4">C25+D25</f>
        <v>71528</v>
      </c>
      <c r="F25" s="171">
        <v>16227</v>
      </c>
      <c r="G25" s="182">
        <f>E25+F25</f>
        <v>87755</v>
      </c>
      <c r="H25" s="172">
        <f>IF($G$208=0,0,G25/$G$208)</f>
        <v>8.8362919211591902E-3</v>
      </c>
      <c r="I25" s="608"/>
      <c r="J25" s="183">
        <f>1808+412</f>
        <v>2220</v>
      </c>
      <c r="K25" s="183">
        <f>1919+436</f>
        <v>2355</v>
      </c>
      <c r="L25" s="238"/>
      <c r="M25" s="359">
        <f>G25/G$228</f>
        <v>2.7063993831919815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'[53]Sch C'!D11</f>
        <v>0</v>
      </c>
      <c r="D26" s="558">
        <f>'[53]Sch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608"/>
      <c r="J26" s="183">
        <v>0</v>
      </c>
      <c r="K26" s="183">
        <v>0</v>
      </c>
      <c r="L26" s="238"/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'[53]Sch C'!D12</f>
        <v>271757</v>
      </c>
      <c r="D27" s="558">
        <f>'[53]Sch C'!F12</f>
        <v>16749</v>
      </c>
      <c r="E27" s="171">
        <f t="shared" si="4"/>
        <v>288506</v>
      </c>
      <c r="F27" s="171">
        <v>73752</v>
      </c>
      <c r="G27" s="171">
        <f t="shared" si="5"/>
        <v>362258</v>
      </c>
      <c r="H27" s="172">
        <f t="shared" si="6"/>
        <v>3.6476752763663453E-2</v>
      </c>
      <c r="I27" s="608"/>
      <c r="J27" s="185">
        <f>13718+3522</f>
        <v>17240</v>
      </c>
      <c r="K27" s="185">
        <f>14563+3723</f>
        <v>18286</v>
      </c>
      <c r="L27" s="238"/>
      <c r="M27" s="359">
        <f t="shared" si="7"/>
        <v>11.172181958365458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'[53]Sch C'!D13</f>
        <v>768895</v>
      </c>
      <c r="D28" s="558">
        <f>'[53]Sch C'!F13</f>
        <v>-680617</v>
      </c>
      <c r="E28" s="171">
        <f t="shared" si="4"/>
        <v>88278</v>
      </c>
      <c r="F28" s="171">
        <v>15110</v>
      </c>
      <c r="G28" s="171">
        <f t="shared" si="5"/>
        <v>103388</v>
      </c>
      <c r="H28" s="172">
        <f t="shared" si="6"/>
        <v>1.0410421618652002E-2</v>
      </c>
      <c r="I28" s="608"/>
      <c r="J28" s="168"/>
      <c r="K28" s="168"/>
      <c r="L28" s="238"/>
      <c r="M28" s="359">
        <f t="shared" si="7"/>
        <v>3.1885273708558213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'[53]Sch C'!D14</f>
        <v>0</v>
      </c>
      <c r="D29" s="558">
        <f>'[53]Sch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608"/>
      <c r="J29" s="168"/>
      <c r="K29" s="168"/>
      <c r="L29" s="23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'[53]Sch C'!D15</f>
        <v>0</v>
      </c>
      <c r="D30" s="558">
        <f>'[53]Sch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608"/>
      <c r="J30" s="168"/>
      <c r="K30" s="168"/>
      <c r="L30" s="23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'[53]Sch C'!D16</f>
        <v>417332</v>
      </c>
      <c r="D31" s="558">
        <f>'[53]Sch C'!F16</f>
        <v>197284</v>
      </c>
      <c r="E31" s="171">
        <f t="shared" si="4"/>
        <v>614616</v>
      </c>
      <c r="F31" s="171">
        <v>121002</v>
      </c>
      <c r="G31" s="171">
        <f t="shared" si="5"/>
        <v>735618</v>
      </c>
      <c r="H31" s="172">
        <f t="shared" si="6"/>
        <v>7.4071396392903902E-2</v>
      </c>
      <c r="I31" s="608"/>
      <c r="J31" s="168"/>
      <c r="K31" s="168"/>
      <c r="L31" s="238"/>
      <c r="M31" s="359">
        <f t="shared" si="7"/>
        <v>22.686754047802623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'[53]Sch C'!D17</f>
        <v>0</v>
      </c>
      <c r="D32" s="558">
        <f>'[53]Sch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608"/>
      <c r="J32" s="168"/>
      <c r="K32" s="168"/>
      <c r="L32" s="23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'[53]Sch C'!D18</f>
        <v>16014</v>
      </c>
      <c r="D33" s="558">
        <f>'[53]Sch C'!F18</f>
        <v>0</v>
      </c>
      <c r="E33" s="171">
        <f t="shared" si="4"/>
        <v>16014</v>
      </c>
      <c r="F33" s="171">
        <v>3250</v>
      </c>
      <c r="G33" s="171">
        <f t="shared" si="5"/>
        <v>19264</v>
      </c>
      <c r="H33" s="172">
        <f t="shared" si="6"/>
        <v>1.9397450580503749E-3</v>
      </c>
      <c r="I33" s="608"/>
      <c r="J33" s="168"/>
      <c r="K33" s="168"/>
      <c r="L33" s="238"/>
      <c r="M33" s="359">
        <f t="shared" si="7"/>
        <v>0.59410948342328451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'[53]Sch C'!D19</f>
        <v>18768</v>
      </c>
      <c r="D34" s="558">
        <f>'[53]Sch C'!F19</f>
        <v>-3135</v>
      </c>
      <c r="E34" s="171">
        <f t="shared" si="4"/>
        <v>15633</v>
      </c>
      <c r="F34" s="171">
        <v>2413</v>
      </c>
      <c r="G34" s="171">
        <f t="shared" si="5"/>
        <v>18046</v>
      </c>
      <c r="H34" s="172">
        <f t="shared" si="6"/>
        <v>1.817101293478876E-3</v>
      </c>
      <c r="I34" s="608"/>
      <c r="J34" s="168"/>
      <c r="K34" s="168"/>
      <c r="L34" s="238"/>
      <c r="M34" s="359">
        <f t="shared" si="7"/>
        <v>0.55654587509637621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'[53]Sch C'!D20</f>
        <v>28483</v>
      </c>
      <c r="D35" s="558">
        <f>'[53]Sch C'!F20</f>
        <v>0</v>
      </c>
      <c r="E35" s="171">
        <f t="shared" si="4"/>
        <v>28483</v>
      </c>
      <c r="F35" s="171">
        <v>5370</v>
      </c>
      <c r="G35" s="171">
        <f t="shared" si="5"/>
        <v>33853</v>
      </c>
      <c r="H35" s="172">
        <f t="shared" si="6"/>
        <v>3.4087515287676154E-3</v>
      </c>
      <c r="I35" s="608"/>
      <c r="J35" s="168"/>
      <c r="K35" s="168"/>
      <c r="L35" s="238"/>
      <c r="M35" s="359">
        <f t="shared" si="7"/>
        <v>1.0440400925212028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'[53]Sch C'!D21</f>
        <v>3913</v>
      </c>
      <c r="D36" s="558">
        <f>'[53]Sch C'!F21</f>
        <v>0</v>
      </c>
      <c r="E36" s="171">
        <f t="shared" si="4"/>
        <v>3913</v>
      </c>
      <c r="F36" s="171">
        <v>1897</v>
      </c>
      <c r="G36" s="171">
        <f t="shared" si="5"/>
        <v>5810</v>
      </c>
      <c r="H36" s="172">
        <f t="shared" si="6"/>
        <v>5.8502485399048376E-4</v>
      </c>
      <c r="I36" s="608"/>
      <c r="J36" s="168"/>
      <c r="K36" s="168"/>
      <c r="L36" s="238"/>
      <c r="M36" s="359">
        <f t="shared" si="7"/>
        <v>0.17918272937548188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'[53]Sch C'!D22</f>
        <v>0</v>
      </c>
      <c r="D37" s="558">
        <f>'[53]Sch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608"/>
      <c r="J37" s="168"/>
      <c r="K37" s="168"/>
      <c r="L37" s="23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'[53]Sch C'!D23</f>
        <v>10299</v>
      </c>
      <c r="D38" s="558">
        <f>'[53]Sch C'!F23</f>
        <v>0</v>
      </c>
      <c r="E38" s="171">
        <f t="shared" si="4"/>
        <v>10299</v>
      </c>
      <c r="F38" s="171">
        <v>1488</v>
      </c>
      <c r="G38" s="171">
        <f t="shared" si="5"/>
        <v>11787</v>
      </c>
      <c r="H38" s="172">
        <f t="shared" si="6"/>
        <v>1.1868653965552206E-3</v>
      </c>
      <c r="I38" s="608"/>
      <c r="J38" s="168"/>
      <c r="K38" s="168"/>
      <c r="L38" s="238"/>
      <c r="M38" s="359">
        <f t="shared" si="7"/>
        <v>0.36351580570547415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'[53]Sch C'!D24</f>
        <v>74423</v>
      </c>
      <c r="D39" s="558">
        <f>'[53]Sch C'!F24</f>
        <v>-11400</v>
      </c>
      <c r="E39" s="171">
        <f t="shared" si="4"/>
        <v>63023</v>
      </c>
      <c r="F39" s="171">
        <v>13872</v>
      </c>
      <c r="G39" s="171">
        <f t="shared" si="5"/>
        <v>76895</v>
      </c>
      <c r="H39" s="172">
        <f t="shared" si="6"/>
        <v>7.7427687001029684E-3</v>
      </c>
      <c r="I39" s="608"/>
      <c r="J39" s="168"/>
      <c r="K39" s="168"/>
      <c r="L39" s="238"/>
      <c r="M39" s="359">
        <f t="shared" si="7"/>
        <v>2.3714726291441788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'[53]Sch C'!D25</f>
        <v>0</v>
      </c>
      <c r="D40" s="558">
        <f>'[53]Sch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608"/>
      <c r="J40" s="168"/>
      <c r="K40" s="168"/>
      <c r="L40" s="23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'[53]Sch C'!D26</f>
        <v>359443</v>
      </c>
      <c r="D41" s="558">
        <f>'[53]Sch C'!F26</f>
        <v>0</v>
      </c>
      <c r="E41" s="171">
        <f t="shared" si="4"/>
        <v>359443</v>
      </c>
      <c r="F41" s="171">
        <v>71865</v>
      </c>
      <c r="G41" s="171">
        <f t="shared" si="5"/>
        <v>431308</v>
      </c>
      <c r="H41" s="172">
        <f t="shared" si="6"/>
        <v>4.3429586871760337E-2</v>
      </c>
      <c r="I41" s="608"/>
      <c r="J41" s="168"/>
      <c r="K41" s="168"/>
      <c r="L41" s="238"/>
      <c r="M41" s="359">
        <f t="shared" si="7"/>
        <v>13.30171164225135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'[53]Sch C'!D27</f>
        <v>0</v>
      </c>
      <c r="D42" s="558">
        <f>'[53]Sch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608"/>
      <c r="J42" s="168"/>
      <c r="K42" s="168"/>
      <c r="L42" s="23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'[53]Sch C'!D28</f>
        <v>0</v>
      </c>
      <c r="D43" s="558">
        <f>'[53]Sch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608"/>
      <c r="J43" s="168"/>
      <c r="K43" s="168"/>
      <c r="L43" s="23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'[53]Sch C'!D29</f>
        <v>81662</v>
      </c>
      <c r="D44" s="558">
        <f>'[53]Sch C'!F29</f>
        <v>-81662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608"/>
      <c r="J44" s="168"/>
      <c r="K44" s="168"/>
      <c r="L44" s="23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'[53]Sch C'!D30</f>
        <v>0</v>
      </c>
      <c r="D45" s="558">
        <f>'[53]Sch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608"/>
      <c r="J45" s="168"/>
      <c r="K45" s="168"/>
      <c r="L45" s="23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'[53]Sch C'!D31</f>
        <v>90280</v>
      </c>
      <c r="D46" s="558">
        <f>'[53]Sch C'!F31</f>
        <v>0</v>
      </c>
      <c r="E46" s="171">
        <f t="shared" si="4"/>
        <v>90280</v>
      </c>
      <c r="F46" s="171">
        <v>26418</v>
      </c>
      <c r="G46" s="171">
        <f t="shared" si="5"/>
        <v>116698</v>
      </c>
      <c r="H46" s="172">
        <f t="shared" si="6"/>
        <v>1.1750642067294573E-2</v>
      </c>
      <c r="I46" s="608"/>
      <c r="J46" s="168"/>
      <c r="K46" s="168"/>
      <c r="L46" s="238"/>
      <c r="M46" s="359">
        <f t="shared" si="7"/>
        <v>3.5990131071703932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'[53]Sch C'!D32</f>
        <v>177833</v>
      </c>
      <c r="D47" s="558">
        <f>'[53]Sch C'!F32</f>
        <v>-60782</v>
      </c>
      <c r="E47" s="171">
        <f t="shared" si="4"/>
        <v>117051</v>
      </c>
      <c r="F47" s="171">
        <v>23411</v>
      </c>
      <c r="G47" s="171">
        <f t="shared" si="5"/>
        <v>140462</v>
      </c>
      <c r="H47" s="172">
        <f t="shared" si="6"/>
        <v>1.41435044821362E-2</v>
      </c>
      <c r="I47" s="608"/>
      <c r="J47" s="168"/>
      <c r="K47" s="168"/>
      <c r="L47" s="238"/>
      <c r="M47" s="359">
        <f t="shared" si="7"/>
        <v>4.3319043947571316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'[53]Sch C'!D33</f>
        <v>0</v>
      </c>
      <c r="D48" s="558">
        <f>'[53]Sch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608"/>
      <c r="J48" s="168"/>
      <c r="K48" s="168"/>
      <c r="L48" s="23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'[53]Sch C'!D34</f>
        <v>0</v>
      </c>
      <c r="D49" s="558">
        <f>'[53]Sch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608"/>
      <c r="J49" s="168"/>
      <c r="K49" s="168"/>
      <c r="L49" s="23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'[53]Sch C'!D35</f>
        <v>110</v>
      </c>
      <c r="D50" s="558">
        <f>'[53]Sch C'!F35</f>
        <v>-110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608"/>
      <c r="J50" s="168"/>
      <c r="K50" s="168"/>
      <c r="L50" s="23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'[53]Sch C'!D36</f>
        <v>0</v>
      </c>
      <c r="D51" s="558">
        <f>'[53]Sch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608"/>
      <c r="J51" s="183">
        <v>0</v>
      </c>
      <c r="K51" s="183">
        <v>0</v>
      </c>
      <c r="L51" s="238"/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'[53]Sch C'!D37</f>
        <v>0</v>
      </c>
      <c r="D52" s="558">
        <f>'[53]Sch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608"/>
      <c r="J52" s="168"/>
      <c r="K52" s="168"/>
      <c r="L52" s="23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'[53]Sch C'!D38</f>
        <v>0</v>
      </c>
      <c r="D53" s="558">
        <f>'[53]Sch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608"/>
      <c r="J53" s="168"/>
      <c r="K53" s="168"/>
      <c r="L53" s="23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'[53]Sch C'!D39</f>
        <v>8267</v>
      </c>
      <c r="D54" s="558">
        <f>'[53]Sch C'!F39</f>
        <v>0</v>
      </c>
      <c r="E54" s="171">
        <f t="shared" si="4"/>
        <v>8267</v>
      </c>
      <c r="F54" s="171">
        <v>1996</v>
      </c>
      <c r="G54" s="171">
        <f t="shared" si="5"/>
        <v>10263</v>
      </c>
      <c r="H54" s="172">
        <f t="shared" si="6"/>
        <v>1.0334096517219163E-3</v>
      </c>
      <c r="I54" s="608"/>
      <c r="J54" s="168"/>
      <c r="K54" s="168"/>
      <c r="L54" s="238"/>
      <c r="M54" s="359">
        <f t="shared" si="7"/>
        <v>0.31651503469545106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'[53]Sch C'!D40</f>
        <v>8164</v>
      </c>
      <c r="D55" s="558">
        <f>'[53]Sch C'!F40</f>
        <v>0</v>
      </c>
      <c r="E55" s="171">
        <f t="shared" si="4"/>
        <v>8164</v>
      </c>
      <c r="F55" s="171">
        <v>808</v>
      </c>
      <c r="G55" s="171">
        <f t="shared" si="5"/>
        <v>8972</v>
      </c>
      <c r="H55" s="172">
        <f t="shared" si="6"/>
        <v>9.0341531669580377E-4</v>
      </c>
      <c r="I55" s="608"/>
      <c r="J55" s="168"/>
      <c r="K55" s="168"/>
      <c r="L55" s="238"/>
      <c r="M55" s="359">
        <f t="shared" si="7"/>
        <v>0.27670007710100231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'[53]Sch C'!D41</f>
        <v>45580</v>
      </c>
      <c r="D56" s="558">
        <f>'[53]Sch C'!F41</f>
        <v>0</v>
      </c>
      <c r="E56" s="171">
        <f t="shared" si="4"/>
        <v>45580</v>
      </c>
      <c r="F56" s="171">
        <v>7552</v>
      </c>
      <c r="G56" s="171">
        <f t="shared" si="5"/>
        <v>53132</v>
      </c>
      <c r="H56" s="172">
        <f t="shared" si="6"/>
        <v>5.350006978007295E-3</v>
      </c>
      <c r="I56" s="608"/>
      <c r="J56" s="168"/>
      <c r="K56" s="168"/>
      <c r="L56" s="238"/>
      <c r="M56" s="359">
        <f t="shared" si="7"/>
        <v>1.6386121819583654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'[53]Sch C'!D42</f>
        <v>9523</v>
      </c>
      <c r="D57" s="558">
        <f>'[53]Sch C'!F42</f>
        <v>0</v>
      </c>
      <c r="E57" s="171">
        <f t="shared" si="4"/>
        <v>9523</v>
      </c>
      <c r="F57" s="171">
        <v>3023</v>
      </c>
      <c r="G57" s="171">
        <f t="shared" si="5"/>
        <v>12546</v>
      </c>
      <c r="H57" s="172">
        <f t="shared" si="6"/>
        <v>1.2632911907340119E-3</v>
      </c>
      <c r="I57" s="608"/>
      <c r="J57" s="168"/>
      <c r="K57" s="168"/>
      <c r="L57" s="238"/>
      <c r="M57" s="359">
        <f t="shared" si="7"/>
        <v>0.38692367000771011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'[53]Sch C'!D43</f>
        <v>8112</v>
      </c>
      <c r="D58" s="558">
        <f>'[53]Sch C'!F43</f>
        <v>0</v>
      </c>
      <c r="E58" s="171">
        <f t="shared" si="4"/>
        <v>8112</v>
      </c>
      <c r="F58" s="171">
        <v>1513</v>
      </c>
      <c r="G58" s="171">
        <f t="shared" si="5"/>
        <v>9625</v>
      </c>
      <c r="H58" s="172">
        <f t="shared" si="6"/>
        <v>9.6916767980351226E-4</v>
      </c>
      <c r="I58" s="608"/>
      <c r="J58" s="168"/>
      <c r="K58" s="168"/>
      <c r="L58" s="238"/>
      <c r="M58" s="359">
        <f t="shared" si="7"/>
        <v>0.29683885890516576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'[53]Sch C'!D44</f>
        <v>42</v>
      </c>
      <c r="D59" s="558">
        <f>'[53]Sch C'!F44</f>
        <v>0</v>
      </c>
      <c r="E59" s="171">
        <f t="shared" si="4"/>
        <v>42</v>
      </c>
      <c r="F59" s="171">
        <v>0</v>
      </c>
      <c r="G59" s="171">
        <f t="shared" si="5"/>
        <v>42</v>
      </c>
      <c r="H59" s="172">
        <f t="shared" si="6"/>
        <v>4.2290953300516899E-6</v>
      </c>
      <c r="I59" s="608"/>
      <c r="J59" s="168"/>
      <c r="K59" s="168"/>
      <c r="L59" s="238"/>
      <c r="M59" s="359">
        <f t="shared" si="7"/>
        <v>1.2952968388589051E-3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'[53]Sch C'!D45</f>
        <v>17518</v>
      </c>
      <c r="D60" s="558">
        <f>'[53]Sch C'!F45</f>
        <v>-12852</v>
      </c>
      <c r="E60" s="171">
        <f t="shared" si="4"/>
        <v>4666</v>
      </c>
      <c r="F60" s="171">
        <v>2560</v>
      </c>
      <c r="G60" s="171">
        <f t="shared" si="5"/>
        <v>7226</v>
      </c>
      <c r="H60" s="172">
        <f t="shared" si="6"/>
        <v>7.2760578226079779E-4</v>
      </c>
      <c r="I60" s="608"/>
      <c r="J60" s="168"/>
      <c r="K60" s="168"/>
      <c r="L60" s="238"/>
      <c r="M60" s="359">
        <f t="shared" si="7"/>
        <v>0.22285273708558212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2483793</v>
      </c>
      <c r="D61" s="558">
        <f>SUM(D25:D60)</f>
        <v>-632372</v>
      </c>
      <c r="E61" s="171">
        <f t="shared" ref="E61:F61" si="8">SUM(E25:E60)</f>
        <v>1851421</v>
      </c>
      <c r="F61" s="171">
        <f t="shared" si="8"/>
        <v>393527</v>
      </c>
      <c r="G61" s="171">
        <f>SUM(G25:G60)</f>
        <v>2244948</v>
      </c>
      <c r="H61" s="186">
        <f t="shared" si="6"/>
        <v>0.22604997864306858</v>
      </c>
      <c r="I61" s="609"/>
      <c r="J61" s="168"/>
      <c r="K61" s="168"/>
      <c r="L61" s="238"/>
      <c r="M61" s="364">
        <f>G61/G$228</f>
        <v>69.235096376252898</v>
      </c>
      <c r="N61" s="359">
        <f>SUMMARY!J64</f>
        <v>53.728790309602623</v>
      </c>
      <c r="O61" s="354">
        <f>M61/N61-1</f>
        <v>0.28860329773475146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610"/>
      <c r="J62" s="168"/>
      <c r="K62" s="168"/>
      <c r="L62" s="23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610"/>
      <c r="J63" s="168"/>
      <c r="K63" s="168"/>
      <c r="L63" s="23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'[53]Sch C'!D57</f>
        <v>960000</v>
      </c>
      <c r="D64" s="558">
        <f>'[53]Sch C'!F57</f>
        <v>0</v>
      </c>
      <c r="E64" s="171">
        <f t="shared" ref="E64:E78" si="9">C64+D64</f>
        <v>960000</v>
      </c>
      <c r="F64" s="171">
        <v>146628</v>
      </c>
      <c r="G64" s="171">
        <f t="shared" ref="G64:G78" si="10">E64+F64</f>
        <v>1106628</v>
      </c>
      <c r="H64" s="172">
        <f t="shared" ref="H64:H79" si="11">IF($G$208=0,0,G64/$G$208)</f>
        <v>0.11142941206915336</v>
      </c>
      <c r="I64" s="608"/>
      <c r="J64" s="190"/>
      <c r="K64" s="168"/>
      <c r="L64" s="238"/>
      <c r="M64" s="359">
        <f t="shared" ref="M64:M79" si="12">G64/G$228</f>
        <v>34.128851195065536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'[53]Sch C'!D58</f>
        <v>16159</v>
      </c>
      <c r="D65" s="558">
        <f>'[53]Sch C'!F58</f>
        <v>0</v>
      </c>
      <c r="E65" s="171">
        <f t="shared" si="9"/>
        <v>16159</v>
      </c>
      <c r="F65" s="171">
        <v>3250</v>
      </c>
      <c r="G65" s="171">
        <f t="shared" si="10"/>
        <v>19409</v>
      </c>
      <c r="H65" s="172">
        <f t="shared" si="11"/>
        <v>1.9543455062136488E-3</v>
      </c>
      <c r="I65" s="608"/>
      <c r="J65" s="190"/>
      <c r="K65" s="168"/>
      <c r="L65" s="238"/>
      <c r="M65" s="359">
        <f t="shared" si="12"/>
        <v>0.59858134155744025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'[53]Sch C'!D59</f>
        <v>0</v>
      </c>
      <c r="D66" s="558">
        <f>'[53]Sch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608"/>
      <c r="J66" s="190"/>
      <c r="K66" s="168"/>
      <c r="L66" s="23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'[53]Sch C'!D60</f>
        <v>66434</v>
      </c>
      <c r="D67" s="558">
        <f>'[53]Sch C'!F60</f>
        <v>0</v>
      </c>
      <c r="E67" s="171">
        <f t="shared" si="9"/>
        <v>66434</v>
      </c>
      <c r="F67" s="171">
        <v>13826</v>
      </c>
      <c r="G67" s="171">
        <f t="shared" si="10"/>
        <v>80260</v>
      </c>
      <c r="H67" s="172">
        <f t="shared" si="11"/>
        <v>8.0815997902368708E-3</v>
      </c>
      <c r="I67" s="608"/>
      <c r="J67" s="193"/>
      <c r="K67" s="168"/>
      <c r="L67" s="238"/>
      <c r="M67" s="359">
        <f t="shared" si="12"/>
        <v>2.4752505782575174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'[53]Sch C'!D61</f>
        <v>9617</v>
      </c>
      <c r="D68" s="558">
        <f>'[53]Sch C'!F61</f>
        <v>0</v>
      </c>
      <c r="E68" s="171">
        <f t="shared" si="9"/>
        <v>9617</v>
      </c>
      <c r="F68" s="171">
        <v>1830</v>
      </c>
      <c r="G68" s="171">
        <f t="shared" si="10"/>
        <v>11447</v>
      </c>
      <c r="H68" s="172">
        <f t="shared" si="11"/>
        <v>1.1526298629309926E-3</v>
      </c>
      <c r="I68" s="608"/>
      <c r="J68" s="193"/>
      <c r="K68" s="168"/>
      <c r="L68" s="238"/>
      <c r="M68" s="359">
        <f t="shared" si="12"/>
        <v>0.35303006939090209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'[53]Sch C'!D62</f>
        <v>7651</v>
      </c>
      <c r="D69" s="558">
        <f>'[53]Sch C'!F62</f>
        <v>0</v>
      </c>
      <c r="E69" s="171">
        <f t="shared" si="9"/>
        <v>7651</v>
      </c>
      <c r="F69" s="171">
        <v>2514</v>
      </c>
      <c r="G69" s="171">
        <f t="shared" si="10"/>
        <v>10165</v>
      </c>
      <c r="H69" s="172">
        <f t="shared" si="11"/>
        <v>1.0235417626184625E-3</v>
      </c>
      <c r="I69" s="608"/>
      <c r="J69" s="195"/>
      <c r="K69" s="168"/>
      <c r="L69" s="238"/>
      <c r="M69" s="359">
        <f t="shared" si="12"/>
        <v>0.31349267540478026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'[53]Sch C'!D63</f>
        <v>0</v>
      </c>
      <c r="D70" s="558">
        <f>'[53]Sch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608"/>
      <c r="J70" s="195"/>
      <c r="K70" s="168"/>
      <c r="L70" s="23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'[53]Sch C'!D64</f>
        <v>0</v>
      </c>
      <c r="D71" s="558">
        <f>'[53]Sch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608"/>
      <c r="J71" s="195"/>
      <c r="K71" s="168"/>
      <c r="L71" s="23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'[53]Sch C'!D65</f>
        <v>5968</v>
      </c>
      <c r="D72" s="558">
        <f>'[53]Sch C'!F65</f>
        <v>0</v>
      </c>
      <c r="E72" s="171">
        <f t="shared" si="9"/>
        <v>5968</v>
      </c>
      <c r="F72" s="171">
        <v>1282</v>
      </c>
      <c r="G72" s="171">
        <f t="shared" si="10"/>
        <v>7250</v>
      </c>
      <c r="H72" s="172">
        <f t="shared" si="11"/>
        <v>7.3002240816368448E-4</v>
      </c>
      <c r="I72" s="608"/>
      <c r="J72" s="195"/>
      <c r="K72" s="168"/>
      <c r="L72" s="238"/>
      <c r="M72" s="359">
        <f t="shared" si="12"/>
        <v>0.2235929067077872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'[53]Sch C'!D66</f>
        <v>6708</v>
      </c>
      <c r="D73" s="558">
        <f>'[53]Sch C'!F66</f>
        <v>0</v>
      </c>
      <c r="E73" s="171">
        <f t="shared" si="9"/>
        <v>6708</v>
      </c>
      <c r="F73" s="171">
        <v>1436</v>
      </c>
      <c r="G73" s="171">
        <f t="shared" si="10"/>
        <v>8144</v>
      </c>
      <c r="H73" s="172">
        <f t="shared" si="11"/>
        <v>8.2004172304621337E-4</v>
      </c>
      <c r="I73" s="608"/>
      <c r="J73" s="195"/>
      <c r="K73" s="168"/>
      <c r="L73" s="238"/>
      <c r="M73" s="359">
        <f t="shared" si="12"/>
        <v>0.25116422513492676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'[53]Sch C'!D67</f>
        <v>121114</v>
      </c>
      <c r="D74" s="558">
        <f>'[53]Sch C'!F67</f>
        <v>0</v>
      </c>
      <c r="E74" s="171">
        <f t="shared" si="9"/>
        <v>121114</v>
      </c>
      <c r="F74" s="171">
        <v>22891</v>
      </c>
      <c r="G74" s="171">
        <f t="shared" si="10"/>
        <v>144005</v>
      </c>
      <c r="H74" s="172">
        <f t="shared" si="11"/>
        <v>1.4500258881049846E-2</v>
      </c>
      <c r="I74" s="608"/>
      <c r="J74" s="195"/>
      <c r="K74" s="168"/>
      <c r="L74" s="238"/>
      <c r="M74" s="359">
        <f t="shared" si="12"/>
        <v>4.4411719352351584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'[53]Sch C'!D68</f>
        <v>0</v>
      </c>
      <c r="D75" s="558">
        <f>'[53]Sch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608"/>
      <c r="J75" s="195"/>
      <c r="K75" s="168"/>
      <c r="L75" s="23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'[53]Sch C'!D69</f>
        <v>9205</v>
      </c>
      <c r="D76" s="558">
        <f>'[53]Sch C'!F69</f>
        <v>0</v>
      </c>
      <c r="E76" s="171">
        <f t="shared" si="9"/>
        <v>9205</v>
      </c>
      <c r="F76" s="171">
        <v>1878</v>
      </c>
      <c r="G76" s="171">
        <f t="shared" si="10"/>
        <v>11083</v>
      </c>
      <c r="H76" s="172">
        <f t="shared" si="11"/>
        <v>1.1159777034038781E-3</v>
      </c>
      <c r="I76" s="608"/>
      <c r="J76" s="195"/>
      <c r="K76" s="168"/>
      <c r="L76" s="238"/>
      <c r="M76" s="359">
        <f t="shared" si="12"/>
        <v>0.3418041634541249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'[53]Sch C'!D70</f>
        <v>0</v>
      </c>
      <c r="D77" s="558">
        <f>'[53]Sch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608"/>
      <c r="J77" s="195"/>
      <c r="K77" s="168"/>
      <c r="L77" s="23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'[53]Sch C'!D71</f>
        <v>0</v>
      </c>
      <c r="D78" s="558">
        <f>'[53]Sch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608"/>
      <c r="J78" s="195"/>
      <c r="K78" s="168"/>
      <c r="L78" s="23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1202856</v>
      </c>
      <c r="D79" s="558">
        <f>SUM(D64:D78)</f>
        <v>0</v>
      </c>
      <c r="E79" s="171">
        <f t="shared" ref="E79:F79" si="13">SUM(E64:E78)</f>
        <v>1202856</v>
      </c>
      <c r="F79" s="171">
        <f t="shared" si="13"/>
        <v>195535</v>
      </c>
      <c r="G79" s="171">
        <f>SUM(G64:G78)</f>
        <v>1398391</v>
      </c>
      <c r="H79" s="172">
        <f t="shared" si="11"/>
        <v>0.14080782970681696</v>
      </c>
      <c r="I79" s="608"/>
      <c r="J79" s="195"/>
      <c r="K79" s="168"/>
      <c r="L79" s="238"/>
      <c r="M79" s="359">
        <f t="shared" si="12"/>
        <v>43.126939090208175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608"/>
      <c r="J80" s="168"/>
      <c r="K80" s="168"/>
      <c r="L80" s="23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493"/>
      <c r="J81" s="168"/>
      <c r="K81" s="168"/>
      <c r="L81" s="23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'[53]Sch C'!D75</f>
        <v>61482</v>
      </c>
      <c r="D82" s="558">
        <f>'[53]Sch C'!F75</f>
        <v>3790</v>
      </c>
      <c r="E82" s="171">
        <f t="shared" ref="E82:E92" si="14">C82+D82</f>
        <v>65272</v>
      </c>
      <c r="F82" s="171">
        <v>12725</v>
      </c>
      <c r="G82" s="171">
        <f t="shared" ref="G82:G92" si="15">E82+F82</f>
        <v>77997</v>
      </c>
      <c r="H82" s="172">
        <f t="shared" ref="H82:H93" si="16">IF($G$208=0,0,G82/$G$208)</f>
        <v>7.8537321061438476E-3</v>
      </c>
      <c r="I82" s="608"/>
      <c r="J82" s="183">
        <f>3267+640</f>
        <v>3907</v>
      </c>
      <c r="K82" s="183">
        <f>3468+676</f>
        <v>4144</v>
      </c>
      <c r="L82" s="238"/>
      <c r="M82" s="359">
        <f t="shared" ref="M82:M92" si="17">G82/G$228</f>
        <v>2.4054587509637626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'[53]Sch C'!D76</f>
        <v>0</v>
      </c>
      <c r="D83" s="558">
        <f>'[53]Sch C'!F76</f>
        <v>7852</v>
      </c>
      <c r="E83" s="171">
        <f t="shared" si="14"/>
        <v>7852</v>
      </c>
      <c r="F83" s="171">
        <v>1407</v>
      </c>
      <c r="G83" s="171">
        <f t="shared" si="15"/>
        <v>9259</v>
      </c>
      <c r="H83" s="172">
        <f t="shared" si="16"/>
        <v>9.3231413478449038E-4</v>
      </c>
      <c r="I83" s="608"/>
      <c r="J83" s="168"/>
      <c r="K83" s="168"/>
      <c r="L83" s="238"/>
      <c r="M83" s="359">
        <f t="shared" si="17"/>
        <v>0.28555127216653814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'[53]Sch C'!D77</f>
        <v>12470</v>
      </c>
      <c r="D84" s="558">
        <f>'[53]Sch C'!F77</f>
        <v>0</v>
      </c>
      <c r="E84" s="171">
        <f t="shared" si="14"/>
        <v>12470</v>
      </c>
      <c r="F84" s="171">
        <v>1748</v>
      </c>
      <c r="G84" s="171">
        <f t="shared" si="15"/>
        <v>14218</v>
      </c>
      <c r="H84" s="172">
        <f t="shared" si="16"/>
        <v>1.4316494619684506E-3</v>
      </c>
      <c r="I84" s="608"/>
      <c r="J84" s="168"/>
      <c r="K84" s="168"/>
      <c r="L84" s="238"/>
      <c r="M84" s="359">
        <f t="shared" si="17"/>
        <v>0.43848882035466463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'[53]Sch C'!D78</f>
        <v>0</v>
      </c>
      <c r="D85" s="558">
        <f>'[53]Sch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608"/>
      <c r="J85" s="168"/>
      <c r="K85" s="168"/>
      <c r="L85" s="23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'[53]Sch C'!D79</f>
        <v>8075</v>
      </c>
      <c r="D86" s="558">
        <f>'[53]Sch C'!F79</f>
        <v>0</v>
      </c>
      <c r="E86" s="171">
        <f t="shared" si="14"/>
        <v>8075</v>
      </c>
      <c r="F86" s="171">
        <v>2455</v>
      </c>
      <c r="G86" s="171">
        <f>E86+F86</f>
        <v>10530</v>
      </c>
      <c r="H86" s="172">
        <f t="shared" si="16"/>
        <v>1.0602946148915307E-3</v>
      </c>
      <c r="I86" s="608"/>
      <c r="J86" s="168"/>
      <c r="K86" s="168"/>
      <c r="L86" s="238"/>
      <c r="M86" s="359">
        <f t="shared" si="17"/>
        <v>0.32474942174248267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'[53]Sch C'!D80</f>
        <v>49726</v>
      </c>
      <c r="D87" s="558">
        <f>'[53]Sch C'!F80</f>
        <v>0</v>
      </c>
      <c r="E87" s="171">
        <f t="shared" si="14"/>
        <v>49726</v>
      </c>
      <c r="F87" s="171">
        <v>7355</v>
      </c>
      <c r="G87" s="171">
        <f t="shared" si="15"/>
        <v>57081</v>
      </c>
      <c r="H87" s="172">
        <f t="shared" si="16"/>
        <v>5.7476426317781071E-3</v>
      </c>
      <c r="I87" s="608"/>
      <c r="J87" s="168"/>
      <c r="K87" s="168"/>
      <c r="L87" s="238"/>
      <c r="M87" s="359">
        <f t="shared" si="17"/>
        <v>1.7604009252120278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'[53]Sch C'!D81</f>
        <v>15084</v>
      </c>
      <c r="D88" s="558">
        <f>'[53]Sch C'!F81</f>
        <v>0</v>
      </c>
      <c r="E88" s="171">
        <f t="shared" si="14"/>
        <v>15084</v>
      </c>
      <c r="F88" s="171">
        <v>1749</v>
      </c>
      <c r="G88" s="171">
        <f t="shared" si="15"/>
        <v>16833</v>
      </c>
      <c r="H88" s="172">
        <f t="shared" si="16"/>
        <v>1.6949609926371451E-3</v>
      </c>
      <c r="I88" s="608"/>
      <c r="J88" s="168"/>
      <c r="K88" s="168"/>
      <c r="L88" s="238"/>
      <c r="M88" s="359">
        <f t="shared" si="17"/>
        <v>0.51913646877409403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'[53]Sch C'!D82</f>
        <v>15640</v>
      </c>
      <c r="D89" s="558">
        <f>'[53]Sch C'!F82</f>
        <v>0</v>
      </c>
      <c r="E89" s="171">
        <f t="shared" si="14"/>
        <v>15640</v>
      </c>
      <c r="F89" s="171">
        <v>1801</v>
      </c>
      <c r="G89" s="171">
        <f t="shared" si="15"/>
        <v>17441</v>
      </c>
      <c r="H89" s="172">
        <f t="shared" si="16"/>
        <v>1.7561821821769409E-3</v>
      </c>
      <c r="I89" s="608"/>
      <c r="J89" s="168"/>
      <c r="K89" s="168"/>
      <c r="L89" s="238"/>
      <c r="M89" s="359">
        <f t="shared" si="17"/>
        <v>0.53788743253662297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'[53]Sch C'!D83</f>
        <v>0</v>
      </c>
      <c r="D90" s="558">
        <f>'[53]Sch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608"/>
      <c r="J90" s="168"/>
      <c r="K90" s="168"/>
      <c r="L90" s="23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'[53]Sch C'!D84</f>
        <v>131175</v>
      </c>
      <c r="D91" s="558">
        <f>'[53]Sch C'!F84</f>
        <v>0</v>
      </c>
      <c r="E91" s="171">
        <f t="shared" si="14"/>
        <v>131175</v>
      </c>
      <c r="F91" s="171">
        <v>20144</v>
      </c>
      <c r="G91" s="171">
        <f t="shared" si="15"/>
        <v>151319</v>
      </c>
      <c r="H91" s="172">
        <f t="shared" si="16"/>
        <v>1.5236725624954562E-2</v>
      </c>
      <c r="I91" s="608"/>
      <c r="J91" s="168"/>
      <c r="K91" s="168"/>
      <c r="L91" s="238"/>
      <c r="M91" s="359">
        <f t="shared" si="17"/>
        <v>4.6667386276021592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'[53]Sch C'!D85</f>
        <v>0</v>
      </c>
      <c r="D92" s="558">
        <f>'[53]Sch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608"/>
      <c r="J92" s="168"/>
      <c r="K92" s="168"/>
      <c r="L92" s="23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293652</v>
      </c>
      <c r="D93" s="558">
        <f>SUM(D82:D92)</f>
        <v>11642</v>
      </c>
      <c r="E93" s="171">
        <f t="shared" ref="E93:F93" si="18">SUM(E82:E92)</f>
        <v>305294</v>
      </c>
      <c r="F93" s="171">
        <f t="shared" si="18"/>
        <v>49384</v>
      </c>
      <c r="G93" s="171">
        <f>SUM(G82:G92)</f>
        <v>354678</v>
      </c>
      <c r="H93" s="172">
        <f t="shared" si="16"/>
        <v>3.5713501749335075E-2</v>
      </c>
      <c r="I93" s="608"/>
      <c r="J93" s="168"/>
      <c r="K93" s="168"/>
      <c r="L93" s="238"/>
      <c r="M93" s="364">
        <f>G93/G$228</f>
        <v>10.938411719352352</v>
      </c>
      <c r="N93" s="359">
        <f>SUMMARY!J96</f>
        <v>11.458724454710746</v>
      </c>
      <c r="O93" s="354">
        <f>M93/N93-1</f>
        <v>-4.5407561497343596E-2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493"/>
      <c r="J94" s="168"/>
      <c r="K94" s="168"/>
      <c r="L94" s="23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493"/>
      <c r="J95" s="168"/>
      <c r="K95" s="168"/>
      <c r="L95" s="23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'[53]Sch C'!D89</f>
        <v>226299</v>
      </c>
      <c r="D96" s="558">
        <f>'[53]Sch C'!F89</f>
        <v>13950</v>
      </c>
      <c r="E96" s="171">
        <f t="shared" ref="E96:E101" si="19">C96+D96</f>
        <v>240249</v>
      </c>
      <c r="F96" s="171">
        <v>48460</v>
      </c>
      <c r="G96" s="171">
        <f t="shared" ref="G96:G101" si="20">E96+F96</f>
        <v>288709</v>
      </c>
      <c r="H96" s="172">
        <f t="shared" ref="H96:H102" si="21">IF($G$208=0,0,G96/$G$208)</f>
        <v>2.9070901991521268E-2</v>
      </c>
      <c r="I96" s="608"/>
      <c r="J96" s="183">
        <f>18147+3676</f>
        <v>21823</v>
      </c>
      <c r="K96" s="183">
        <f>19266+3886</f>
        <v>23152</v>
      </c>
      <c r="L96" s="238"/>
      <c r="M96" s="364">
        <f t="shared" ref="M96:M101" si="22">G96/G$228</f>
        <v>8.9039013107170391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'[53]Sch C'!D90</f>
        <v>0</v>
      </c>
      <c r="D97" s="558">
        <f>'[53]Sch C'!F90</f>
        <v>28901</v>
      </c>
      <c r="E97" s="171">
        <f t="shared" si="19"/>
        <v>28901</v>
      </c>
      <c r="F97" s="171">
        <v>5357</v>
      </c>
      <c r="G97" s="171">
        <f t="shared" si="20"/>
        <v>34258</v>
      </c>
      <c r="H97" s="172">
        <f t="shared" si="21"/>
        <v>3.4495320908788283E-3</v>
      </c>
      <c r="I97" s="608"/>
      <c r="J97" s="168"/>
      <c r="K97" s="168"/>
      <c r="L97" s="238"/>
      <c r="M97" s="364">
        <f t="shared" si="22"/>
        <v>1.0565304548959136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'[53]Sch C'!D91</f>
        <v>2417</v>
      </c>
      <c r="D98" s="558">
        <f>'[53]Sch C'!F91</f>
        <v>0</v>
      </c>
      <c r="E98" s="171">
        <f t="shared" si="19"/>
        <v>2417</v>
      </c>
      <c r="F98" s="171">
        <v>379</v>
      </c>
      <c r="G98" s="171">
        <f t="shared" si="20"/>
        <v>2796</v>
      </c>
      <c r="H98" s="172">
        <f t="shared" si="21"/>
        <v>2.8153691768629819E-4</v>
      </c>
      <c r="I98" s="608"/>
      <c r="J98" s="168"/>
      <c r="K98" s="168"/>
      <c r="L98" s="238"/>
      <c r="M98" s="364">
        <f t="shared" si="22"/>
        <v>8.6229760986892834E-2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'[53]Sch C'!D92</f>
        <v>171132</v>
      </c>
      <c r="D99" s="558">
        <f>'[53]Sch C'!F92</f>
        <v>0</v>
      </c>
      <c r="E99" s="171">
        <f t="shared" si="19"/>
        <v>171132</v>
      </c>
      <c r="F99" s="171">
        <v>31069</v>
      </c>
      <c r="G99" s="171">
        <f t="shared" si="20"/>
        <v>202201</v>
      </c>
      <c r="H99" s="172">
        <f t="shared" si="21"/>
        <v>2.0360173924566231E-2</v>
      </c>
      <c r="I99" s="608"/>
      <c r="J99" s="168"/>
      <c r="K99" s="168"/>
      <c r="L99" s="238"/>
      <c r="M99" s="364">
        <f t="shared" si="22"/>
        <v>6.2359599074787972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'[53]Sch C'!D93</f>
        <v>16412</v>
      </c>
      <c r="D100" s="558">
        <f>'[53]Sch C'!F93</f>
        <v>0</v>
      </c>
      <c r="E100" s="171">
        <f t="shared" si="19"/>
        <v>16412</v>
      </c>
      <c r="F100" s="171">
        <v>2356</v>
      </c>
      <c r="G100" s="171">
        <f t="shared" si="20"/>
        <v>18768</v>
      </c>
      <c r="H100" s="172">
        <f t="shared" si="21"/>
        <v>1.8898014560573837E-3</v>
      </c>
      <c r="I100" s="608"/>
      <c r="J100" s="168"/>
      <c r="K100" s="168"/>
      <c r="L100" s="238"/>
      <c r="M100" s="364">
        <f t="shared" si="22"/>
        <v>0.57881264456437931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'[53]Sch C'!D94</f>
        <v>0</v>
      </c>
      <c r="D101" s="558">
        <f>'[53]Sch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608"/>
      <c r="J101" s="168"/>
      <c r="K101" s="168"/>
      <c r="L101" s="23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416260</v>
      </c>
      <c r="D102" s="558">
        <f>SUM(D96:D101)</f>
        <v>42851</v>
      </c>
      <c r="E102" s="171">
        <f t="shared" ref="E102:F102" si="23">SUM(E96:E101)</f>
        <v>459111</v>
      </c>
      <c r="F102" s="171">
        <f t="shared" si="23"/>
        <v>87621</v>
      </c>
      <c r="G102" s="171">
        <f>SUM(G96:G101)</f>
        <v>546732</v>
      </c>
      <c r="H102" s="172">
        <f t="shared" si="21"/>
        <v>5.505194638071001E-2</v>
      </c>
      <c r="I102" s="608"/>
      <c r="J102" s="168"/>
      <c r="K102" s="168"/>
      <c r="L102" s="238"/>
      <c r="M102" s="364">
        <f>G102/G$228</f>
        <v>16.861434078643022</v>
      </c>
      <c r="N102" s="359">
        <f>SUMMARY!J105</f>
        <v>19.901077037785338</v>
      </c>
      <c r="O102" s="354">
        <f>M102/N102-1</f>
        <v>-0.15273761080222314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493"/>
      <c r="J103" s="168"/>
      <c r="K103" s="168"/>
      <c r="L103" s="23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493"/>
      <c r="J104" s="168"/>
      <c r="K104" s="168"/>
      <c r="L104" s="23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'[53]Sch C'!D98</f>
        <v>20177</v>
      </c>
      <c r="D105" s="558">
        <f>'[53]Sch C'!F98</f>
        <v>1244</v>
      </c>
      <c r="E105" s="171">
        <f t="shared" ref="E105:E110" si="24">C105+D105</f>
        <v>21421</v>
      </c>
      <c r="F105" s="171">
        <v>6046</v>
      </c>
      <c r="G105" s="171">
        <f t="shared" ref="G105:G110" si="25">E105+F105</f>
        <v>27467</v>
      </c>
      <c r="H105" s="172">
        <f t="shared" ref="H105:H111" si="26">IF($G$208=0,0,G105/$G$208)</f>
        <v>2.7657276531078516E-3</v>
      </c>
      <c r="I105" s="608"/>
      <c r="J105" s="183">
        <f>2142+607</f>
        <v>2749</v>
      </c>
      <c r="K105" s="183">
        <f>2274+642</f>
        <v>2916</v>
      </c>
      <c r="L105" s="238"/>
      <c r="M105" s="364">
        <f t="shared" ref="M105:M110" si="27">G105/G$228</f>
        <v>0.84709329221279872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'[53]Sch C'!D99</f>
        <v>0</v>
      </c>
      <c r="D106" s="558">
        <f>'[53]Sch C'!F99</f>
        <v>2577</v>
      </c>
      <c r="E106" s="171">
        <f t="shared" si="24"/>
        <v>2577</v>
      </c>
      <c r="F106" s="171">
        <v>669</v>
      </c>
      <c r="G106" s="171">
        <f t="shared" si="25"/>
        <v>3246</v>
      </c>
      <c r="H106" s="172">
        <f t="shared" si="26"/>
        <v>3.2684865336542342E-4</v>
      </c>
      <c r="I106" s="608"/>
      <c r="J106" s="168"/>
      <c r="K106" s="168"/>
      <c r="L106" s="238"/>
      <c r="M106" s="364">
        <f t="shared" si="27"/>
        <v>0.10010794140323824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'[53]Sch C'!D100</f>
        <v>7160</v>
      </c>
      <c r="D107" s="558">
        <f>'[53]Sch C'!F100</f>
        <v>0</v>
      </c>
      <c r="E107" s="171">
        <f t="shared" si="24"/>
        <v>7160</v>
      </c>
      <c r="F107" s="171">
        <v>1162</v>
      </c>
      <c r="G107" s="171">
        <f t="shared" si="25"/>
        <v>8322</v>
      </c>
      <c r="H107" s="172">
        <f t="shared" si="26"/>
        <v>8.3796503182595624E-4</v>
      </c>
      <c r="I107" s="608"/>
      <c r="J107" s="168"/>
      <c r="K107" s="168"/>
      <c r="L107" s="238"/>
      <c r="M107" s="364">
        <f t="shared" si="27"/>
        <v>0.2566538164996145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'[53]Sch C'!D101</f>
        <v>441</v>
      </c>
      <c r="D108" s="558">
        <f>'[53]Sch C'!F101</f>
        <v>0</v>
      </c>
      <c r="E108" s="171">
        <f t="shared" si="24"/>
        <v>441</v>
      </c>
      <c r="F108" s="171">
        <v>0</v>
      </c>
      <c r="G108" s="171">
        <f t="shared" si="25"/>
        <v>441</v>
      </c>
      <c r="H108" s="172">
        <f t="shared" si="26"/>
        <v>4.4405500965542743E-5</v>
      </c>
      <c r="I108" s="608"/>
      <c r="J108" s="168"/>
      <c r="K108" s="168"/>
      <c r="L108" s="238"/>
      <c r="M108" s="364">
        <f t="shared" si="27"/>
        <v>1.3600616808018504E-2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'[53]Sch C'!D102</f>
        <v>9939</v>
      </c>
      <c r="D109" s="558">
        <f>'[53]Sch C'!F102</f>
        <v>0</v>
      </c>
      <c r="E109" s="171">
        <f t="shared" si="24"/>
        <v>9939</v>
      </c>
      <c r="F109" s="171">
        <v>1486</v>
      </c>
      <c r="G109" s="171">
        <f t="shared" si="25"/>
        <v>11425</v>
      </c>
      <c r="H109" s="172">
        <f t="shared" si="26"/>
        <v>1.1504146225200132E-3</v>
      </c>
      <c r="I109" s="608"/>
      <c r="J109" s="168"/>
      <c r="K109" s="168"/>
      <c r="L109" s="238"/>
      <c r="M109" s="364">
        <f t="shared" si="27"/>
        <v>0.35235158057054744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'[53]Sch C'!D103</f>
        <v>0</v>
      </c>
      <c r="D110" s="558">
        <f>'[53]Sch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608"/>
      <c r="J110" s="168"/>
      <c r="K110" s="168"/>
      <c r="L110" s="23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37717</v>
      </c>
      <c r="D111" s="558">
        <f>SUM(D105:D110)</f>
        <v>3821</v>
      </c>
      <c r="E111" s="171">
        <f t="shared" ref="E111:F111" si="28">SUM(E105:E110)</f>
        <v>41538</v>
      </c>
      <c r="F111" s="171">
        <f t="shared" si="28"/>
        <v>9363</v>
      </c>
      <c r="G111" s="171">
        <f>SUM(G105:G110)</f>
        <v>50901</v>
      </c>
      <c r="H111" s="172">
        <f t="shared" si="26"/>
        <v>5.1253614617847868E-3</v>
      </c>
      <c r="I111" s="608"/>
      <c r="J111" s="168"/>
      <c r="K111" s="168"/>
      <c r="L111" s="238"/>
      <c r="M111" s="364">
        <f>G111/G$228</f>
        <v>1.5698072474942175</v>
      </c>
      <c r="N111" s="359">
        <f>SUMMARY!J114</f>
        <v>2.4242384372309496</v>
      </c>
      <c r="O111" s="354">
        <f>M111/N111-1</f>
        <v>-0.35245344542622359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493"/>
      <c r="J112" s="168"/>
      <c r="K112" s="168"/>
      <c r="L112" s="23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493"/>
      <c r="J113" s="168"/>
      <c r="K113" s="168"/>
      <c r="L113" s="23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'[53]Sch C'!D115</f>
        <v>100530</v>
      </c>
      <c r="D114" s="558">
        <f>'[53]Sch C'!F115</f>
        <v>6197</v>
      </c>
      <c r="E114" s="171">
        <f t="shared" ref="E114:E118" si="29">C114+D114</f>
        <v>106727</v>
      </c>
      <c r="F114" s="171">
        <v>19372</v>
      </c>
      <c r="G114" s="171">
        <f>E114+F114</f>
        <v>126099</v>
      </c>
      <c r="H114" s="172">
        <f t="shared" ref="H114:H119" si="30">IF($G$208=0,0,G114/$G$208)</f>
        <v>1.2697254572004477E-2</v>
      </c>
      <c r="I114" s="608"/>
      <c r="J114" s="183">
        <f>10073+1836</f>
        <v>11909</v>
      </c>
      <c r="K114" s="183">
        <f>10694+1941</f>
        <v>12635</v>
      </c>
      <c r="L114" s="238"/>
      <c r="M114" s="364">
        <f t="shared" ref="M114:M119" si="31">G114/G$228</f>
        <v>3.8889437162683116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'[53]Sch C'!D116</f>
        <v>0</v>
      </c>
      <c r="D115" s="558">
        <f>'[53]Sch C'!F116</f>
        <v>12839</v>
      </c>
      <c r="E115" s="171">
        <f t="shared" si="29"/>
        <v>12839</v>
      </c>
      <c r="F115" s="171">
        <v>2141</v>
      </c>
      <c r="G115" s="171">
        <f>E115+F115</f>
        <v>14980</v>
      </c>
      <c r="H115" s="172">
        <f t="shared" si="30"/>
        <v>1.5083773343851027E-3</v>
      </c>
      <c r="I115" s="608"/>
      <c r="J115" s="168"/>
      <c r="K115" s="168"/>
      <c r="L115" s="238"/>
      <c r="M115" s="364">
        <f t="shared" si="31"/>
        <v>0.46198920585967618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'[53]Sch C'!D117</f>
        <v>19417</v>
      </c>
      <c r="D116" s="558">
        <f>'[53]Sch C'!F117</f>
        <v>0</v>
      </c>
      <c r="E116" s="171">
        <f t="shared" si="29"/>
        <v>19417</v>
      </c>
      <c r="F116" s="171">
        <v>4569</v>
      </c>
      <c r="G116" s="171">
        <f>E116+F116</f>
        <v>23986</v>
      </c>
      <c r="H116" s="172">
        <f t="shared" si="30"/>
        <v>2.4152162044433294E-3</v>
      </c>
      <c r="I116" s="608"/>
      <c r="J116" s="168"/>
      <c r="K116" s="168"/>
      <c r="L116" s="238"/>
      <c r="M116" s="364">
        <f t="shared" si="31"/>
        <v>0.73973785659213565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'[53]Sch C'!D118</f>
        <v>3889</v>
      </c>
      <c r="D117" s="558">
        <f>'[53]Sch C'!F118</f>
        <v>0</v>
      </c>
      <c r="E117" s="171">
        <f t="shared" si="29"/>
        <v>3889</v>
      </c>
      <c r="F117" s="171">
        <v>653</v>
      </c>
      <c r="G117" s="171">
        <f>E117+F117</f>
        <v>4542</v>
      </c>
      <c r="H117" s="172">
        <f t="shared" si="30"/>
        <v>4.5734645212130412E-4</v>
      </c>
      <c r="I117" s="608"/>
      <c r="J117" s="168"/>
      <c r="K117" s="168"/>
      <c r="L117" s="238"/>
      <c r="M117" s="364">
        <f t="shared" si="31"/>
        <v>0.14007710100231302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'[53]Sch C'!D119</f>
        <v>0</v>
      </c>
      <c r="D118" s="558">
        <f>'[53]Sch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608"/>
      <c r="J118" s="168"/>
      <c r="K118" s="168"/>
      <c r="L118" s="23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123836</v>
      </c>
      <c r="D119" s="558">
        <f>SUM(D114:D118)</f>
        <v>19036</v>
      </c>
      <c r="E119" s="171">
        <f t="shared" ref="E119:F119" si="32">SUM(E114:E118)</f>
        <v>142872</v>
      </c>
      <c r="F119" s="171">
        <f t="shared" si="32"/>
        <v>26735</v>
      </c>
      <c r="G119" s="171">
        <f>SUM(G114:G118)</f>
        <v>169607</v>
      </c>
      <c r="H119" s="172">
        <f t="shared" si="30"/>
        <v>1.7078194562954212E-2</v>
      </c>
      <c r="I119" s="608"/>
      <c r="J119" s="168"/>
      <c r="K119" s="168"/>
      <c r="L119" s="238"/>
      <c r="M119" s="364">
        <f t="shared" si="31"/>
        <v>5.2307478797224363</v>
      </c>
      <c r="N119" s="359">
        <f>SUMMARY!J122</f>
        <v>6.0247597205909562</v>
      </c>
      <c r="O119" s="354">
        <f>M119/N119-1</f>
        <v>-0.13179145355038935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608"/>
      <c r="J120" s="203"/>
      <c r="K120" s="203"/>
      <c r="L120" s="238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493"/>
      <c r="J121" s="204"/>
      <c r="K121" s="204"/>
      <c r="L121" s="238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493"/>
      <c r="J122" s="204"/>
      <c r="K122" s="204"/>
      <c r="L122" s="238"/>
      <c r="M122" s="359"/>
      <c r="N122" s="359"/>
      <c r="P122"/>
      <c r="Q122"/>
    </row>
    <row r="123" spans="1:17" s="167" customFormat="1">
      <c r="B123" s="163" t="s">
        <v>232</v>
      </c>
      <c r="C123" s="558">
        <f>'[53]Sch C'!D124</f>
        <v>0</v>
      </c>
      <c r="D123" s="558">
        <f>'[53]Sch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608"/>
      <c r="J123" s="183">
        <v>0</v>
      </c>
      <c r="K123" s="183">
        <v>0</v>
      </c>
      <c r="L123" s="238"/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'[53]Sch C'!D125</f>
        <v>134489</v>
      </c>
      <c r="D124" s="558">
        <f>'[53]Sch C'!F125</f>
        <v>8290</v>
      </c>
      <c r="E124" s="171">
        <f t="shared" si="33"/>
        <v>142779</v>
      </c>
      <c r="F124" s="171">
        <v>32682</v>
      </c>
      <c r="G124" s="171">
        <f>E124+F124</f>
        <v>175461</v>
      </c>
      <c r="H124" s="172">
        <f>IF($G$208=0,0,G124/$G$208)</f>
        <v>1.7667649897766657E-2</v>
      </c>
      <c r="I124" s="608"/>
      <c r="J124" s="183">
        <f>3708+852</f>
        <v>4560</v>
      </c>
      <c r="K124" s="183">
        <f>3937+901</f>
        <v>4838</v>
      </c>
      <c r="L124" s="238"/>
      <c r="M124" s="364">
        <f t="shared" si="34"/>
        <v>5.4112875867386272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'[53]Sch C'!D126</f>
        <v>103048</v>
      </c>
      <c r="D125" s="558">
        <f>'[53]Sch C'!F126</f>
        <v>6352</v>
      </c>
      <c r="E125" s="171">
        <f t="shared" si="33"/>
        <v>109400</v>
      </c>
      <c r="F125" s="171">
        <v>14613</v>
      </c>
      <c r="G125" s="171">
        <f>E125+F125</f>
        <v>124013</v>
      </c>
      <c r="H125" s="172">
        <f>IF($G$208=0,0,G125/$G$208)</f>
        <v>1.2487209503945242E-2</v>
      </c>
      <c r="I125" s="608"/>
      <c r="J125" s="183">
        <f>3263+438</f>
        <v>3701</v>
      </c>
      <c r="K125" s="183">
        <f>3464+463</f>
        <v>3927</v>
      </c>
      <c r="L125" s="238"/>
      <c r="M125" s="364">
        <f t="shared" si="34"/>
        <v>3.8246106399383191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'[53]Sch C'!D127</f>
        <v>0</v>
      </c>
      <c r="D126" s="558">
        <f>'[53]Sch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608"/>
      <c r="J126" s="183">
        <v>0</v>
      </c>
      <c r="K126" s="183">
        <v>0</v>
      </c>
      <c r="L126" s="238"/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'[53]Sch C'!D128</f>
        <v>22822</v>
      </c>
      <c r="D127" s="558">
        <f>'[53]Sch C'!F128</f>
        <v>1407</v>
      </c>
      <c r="E127" s="171">
        <f t="shared" si="33"/>
        <v>24229</v>
      </c>
      <c r="F127" s="171">
        <v>800</v>
      </c>
      <c r="G127" s="171">
        <f>E127+F127</f>
        <v>25029</v>
      </c>
      <c r="H127" s="172">
        <f>IF($G$208=0,0,G127/$G$208)</f>
        <v>2.5202387384729462E-3</v>
      </c>
      <c r="I127" s="608"/>
      <c r="J127" s="183">
        <f>1694+56</f>
        <v>1750</v>
      </c>
      <c r="K127" s="183">
        <f>1798+59</f>
        <v>1857</v>
      </c>
      <c r="L127" s="238"/>
      <c r="M127" s="364">
        <f t="shared" si="34"/>
        <v>0.7719043947571318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611"/>
      <c r="J128" s="207"/>
      <c r="K128" s="207"/>
      <c r="L128" s="238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'[53]Sch C'!D130</f>
        <v>0</v>
      </c>
      <c r="D129" s="558">
        <f>'[53]Sch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608"/>
      <c r="J129" s="204"/>
      <c r="K129" s="204"/>
      <c r="L129" s="238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'[53]Sch C'!D131</f>
        <v>0</v>
      </c>
      <c r="D130" s="558">
        <f>'[53]Sch C'!F131</f>
        <v>17176</v>
      </c>
      <c r="E130" s="171">
        <f t="shared" si="35"/>
        <v>17176</v>
      </c>
      <c r="F130" s="171">
        <v>3613</v>
      </c>
      <c r="G130" s="171">
        <f>E130+F130</f>
        <v>20789</v>
      </c>
      <c r="H130" s="172">
        <f>IF($G$208=0,0,G130/$G$208)</f>
        <v>2.0933014956296329E-3</v>
      </c>
      <c r="I130" s="608"/>
      <c r="J130" s="204"/>
      <c r="K130" s="204"/>
      <c r="L130" s="238"/>
      <c r="M130" s="364">
        <f t="shared" si="34"/>
        <v>0.64114109483423287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'[53]Sch C'!D132</f>
        <v>0</v>
      </c>
      <c r="D131" s="558">
        <f>'[53]Sch C'!F132</f>
        <v>13161</v>
      </c>
      <c r="E131" s="171">
        <f t="shared" si="35"/>
        <v>13161</v>
      </c>
      <c r="F131" s="171">
        <v>1615</v>
      </c>
      <c r="G131" s="171">
        <f>E131+F131</f>
        <v>14776</v>
      </c>
      <c r="H131" s="172">
        <f>IF($G$208=0,0,G131/$G$208)</f>
        <v>1.4878360142105659E-3</v>
      </c>
      <c r="I131" s="608"/>
      <c r="J131" s="168"/>
      <c r="K131" s="168"/>
      <c r="L131" s="238"/>
      <c r="M131" s="364">
        <f t="shared" si="34"/>
        <v>0.45569776407093293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'[53]Sch C'!D133</f>
        <v>0</v>
      </c>
      <c r="D132" s="558">
        <f>'[53]Sch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608"/>
      <c r="J132" s="168"/>
      <c r="K132" s="168"/>
      <c r="L132" s="23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'[53]Sch C'!D134</f>
        <v>0</v>
      </c>
      <c r="D133" s="558">
        <f>'[53]Sch C'!F134</f>
        <v>2915</v>
      </c>
      <c r="E133" s="171">
        <f t="shared" si="35"/>
        <v>2915</v>
      </c>
      <c r="F133" s="171">
        <v>89</v>
      </c>
      <c r="G133" s="171">
        <f>E133+F133</f>
        <v>3004</v>
      </c>
      <c r="H133" s="172">
        <f>IF($G$208=0,0,G133/$G$208)</f>
        <v>3.0248100884464941E-4</v>
      </c>
      <c r="I133" s="608"/>
      <c r="J133" s="168"/>
      <c r="K133" s="168"/>
      <c r="L133" s="238"/>
      <c r="M133" s="364">
        <f t="shared" si="34"/>
        <v>9.2644564379336936E-2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608"/>
      <c r="J134" s="204"/>
      <c r="K134" s="204"/>
      <c r="L134" s="238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'[53]Sch C'!D136</f>
        <v>430258</v>
      </c>
      <c r="D135" s="558">
        <f>'[53]Sch C'!F136</f>
        <v>26522</v>
      </c>
      <c r="E135" s="171">
        <f t="shared" ref="E135:E138" si="36">C135+D135</f>
        <v>456780</v>
      </c>
      <c r="F135" s="171">
        <v>110515</v>
      </c>
      <c r="G135" s="171">
        <f>E135+F135</f>
        <v>567295</v>
      </c>
      <c r="H135" s="172">
        <f>IF($G$208=0,0,G135/$G$208)</f>
        <v>5.7122491315754129E-2</v>
      </c>
      <c r="I135" s="608"/>
      <c r="J135" s="183">
        <f>16007+3889</f>
        <v>19896</v>
      </c>
      <c r="K135" s="183">
        <f>16994+4111</f>
        <v>21105</v>
      </c>
      <c r="L135" s="238"/>
      <c r="M135" s="364">
        <f t="shared" si="34"/>
        <v>17.495605242868159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'[53]Sch C'!D137</f>
        <v>461161</v>
      </c>
      <c r="D136" s="558">
        <f>'[53]Sch C'!F137</f>
        <v>28427</v>
      </c>
      <c r="E136" s="171">
        <f t="shared" si="36"/>
        <v>489588</v>
      </c>
      <c r="F136" s="171">
        <v>101581</v>
      </c>
      <c r="G136" s="171">
        <f>E136+F136</f>
        <v>591169</v>
      </c>
      <c r="H136" s="172">
        <f>IF($G$208=0,0,G136/$G$208)</f>
        <v>5.952642993265065E-2</v>
      </c>
      <c r="I136" s="608"/>
      <c r="J136" s="183">
        <f>18678+3892</f>
        <v>22570</v>
      </c>
      <c r="K136" s="183">
        <f>19829+4114</f>
        <v>23943</v>
      </c>
      <c r="L136" s="238"/>
      <c r="M136" s="364">
        <f t="shared" si="34"/>
        <v>18.231888974556668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'[53]Sch C'!D138</f>
        <v>754012</v>
      </c>
      <c r="D137" s="558">
        <f>'[53]Sch C'!F138</f>
        <v>46479</v>
      </c>
      <c r="E137" s="171">
        <f t="shared" si="36"/>
        <v>800491</v>
      </c>
      <c r="F137" s="171">
        <v>140583</v>
      </c>
      <c r="G137" s="171">
        <f>E137+F137</f>
        <v>941074</v>
      </c>
      <c r="H137" s="172">
        <f>IF($G$208=0,0,G137/$G$208)</f>
        <v>9.4759325205549139E-2</v>
      </c>
      <c r="I137" s="608"/>
      <c r="J137" s="183">
        <f>66316+11696</f>
        <v>78012</v>
      </c>
      <c r="K137" s="183">
        <f>70404+12364</f>
        <v>82768</v>
      </c>
      <c r="L137" s="238"/>
      <c r="M137" s="364">
        <f t="shared" si="34"/>
        <v>29.023099460292983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'[53]Sch C'!D139</f>
        <v>102405</v>
      </c>
      <c r="D138" s="558">
        <f>'[53]Sch C'!F139</f>
        <v>6312</v>
      </c>
      <c r="E138" s="171">
        <f t="shared" si="36"/>
        <v>108717</v>
      </c>
      <c r="F138" s="171">
        <v>22049</v>
      </c>
      <c r="G138" s="171">
        <f>E138+F138</f>
        <v>130766</v>
      </c>
      <c r="H138" s="172">
        <f>IF($G$208=0,0,G138/$G$208)</f>
        <v>1.3167187617369982E-2</v>
      </c>
      <c r="I138" s="608"/>
      <c r="J138" s="183">
        <f>9160+1866</f>
        <v>11026</v>
      </c>
      <c r="K138" s="183">
        <f>9725+1972</f>
        <v>11697</v>
      </c>
      <c r="L138" s="238"/>
      <c r="M138" s="364">
        <f t="shared" si="34"/>
        <v>4.0328758673862763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608"/>
      <c r="J139" s="404"/>
      <c r="K139" s="404"/>
      <c r="L139" s="23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'[53]Sch C'!D141</f>
        <v>0</v>
      </c>
      <c r="D140" s="558">
        <f>'[53]Sch C'!F141</f>
        <v>54950</v>
      </c>
      <c r="E140" s="171">
        <f t="shared" ref="E140:E143" si="37">C140+D140</f>
        <v>54950</v>
      </c>
      <c r="F140" s="171">
        <v>12216</v>
      </c>
      <c r="G140" s="171">
        <f>E140+F140</f>
        <v>67166</v>
      </c>
      <c r="H140" s="172">
        <f>IF($G$208=0,0,G140/$G$208)</f>
        <v>6.7631289747202804E-3</v>
      </c>
      <c r="I140" s="608"/>
      <c r="J140" s="168"/>
      <c r="K140" s="168"/>
      <c r="L140" s="238"/>
      <c r="M140" s="364">
        <f t="shared" si="34"/>
        <v>2.0714263685427912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'[53]Sch C'!D142</f>
        <v>0</v>
      </c>
      <c r="D141" s="558">
        <f>'[53]Sch C'!F142</f>
        <v>58896</v>
      </c>
      <c r="E141" s="171">
        <f t="shared" si="37"/>
        <v>58896</v>
      </c>
      <c r="F141" s="171">
        <v>11229</v>
      </c>
      <c r="G141" s="171">
        <f>E141+F141</f>
        <v>70125</v>
      </c>
      <c r="H141" s="172">
        <f>IF($G$208=0,0,G141/$G$208)</f>
        <v>7.0610788099970175E-3</v>
      </c>
      <c r="I141" s="608"/>
      <c r="J141" s="168"/>
      <c r="K141" s="168"/>
      <c r="L141" s="238"/>
      <c r="M141" s="364">
        <f t="shared" si="34"/>
        <v>2.1626831148804935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'[53]Sch C'!D143</f>
        <v>0</v>
      </c>
      <c r="D142" s="558">
        <f>'[53]Sch C'!F143</f>
        <v>96297</v>
      </c>
      <c r="E142" s="171">
        <f t="shared" si="37"/>
        <v>96297</v>
      </c>
      <c r="F142" s="171">
        <v>15541</v>
      </c>
      <c r="G142" s="171">
        <f>E142+F142</f>
        <v>111838</v>
      </c>
      <c r="H142" s="172">
        <f>IF($G$208=0,0,G142/$G$208)</f>
        <v>1.1261275321960021E-2</v>
      </c>
      <c r="I142" s="608"/>
      <c r="J142" s="168"/>
      <c r="K142" s="168"/>
      <c r="L142" s="238"/>
      <c r="M142" s="364">
        <f t="shared" si="34"/>
        <v>3.4491287586738628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'[53]Sch C'!D144</f>
        <v>0</v>
      </c>
      <c r="D143" s="558">
        <f>'[53]Sch C'!F144</f>
        <v>13079</v>
      </c>
      <c r="E143" s="171">
        <f t="shared" si="37"/>
        <v>13079</v>
      </c>
      <c r="F143" s="171">
        <v>2437</v>
      </c>
      <c r="G143" s="171">
        <f>E143+F143</f>
        <v>15516</v>
      </c>
      <c r="H143" s="172">
        <f>IF($G$208=0,0,G143/$G$208)</f>
        <v>1.5623486462162386E-3</v>
      </c>
      <c r="I143" s="608"/>
      <c r="J143" s="168"/>
      <c r="K143" s="168"/>
      <c r="L143" s="238"/>
      <c r="M143" s="364">
        <f t="shared" si="34"/>
        <v>0.47851966075558983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608"/>
      <c r="J144" s="204"/>
      <c r="K144" s="204"/>
      <c r="L144" s="238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'[53]Sch C'!D146</f>
        <v>47000</v>
      </c>
      <c r="D145" s="558">
        <f>'[53]Sch C'!F146</f>
        <v>0</v>
      </c>
      <c r="E145" s="171">
        <f t="shared" ref="E145:E153" si="38">C145+D145</f>
        <v>47000</v>
      </c>
      <c r="F145" s="171">
        <v>7000</v>
      </c>
      <c r="G145" s="171">
        <f t="shared" ref="G145:G153" si="39">E145+F145</f>
        <v>54000</v>
      </c>
      <c r="H145" s="172">
        <f t="shared" ref="H145:H153" si="40">IF($G$208=0,0,G145/$G$208)</f>
        <v>5.4374082814950299E-3</v>
      </c>
      <c r="I145" s="608"/>
      <c r="J145" s="183">
        <v>0</v>
      </c>
      <c r="K145" s="183">
        <v>0</v>
      </c>
      <c r="L145" s="238"/>
      <c r="M145" s="364">
        <f t="shared" si="34"/>
        <v>1.6653816499614496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'[53]Sch C'!D147</f>
        <v>45205</v>
      </c>
      <c r="D146" s="558">
        <f>'[53]Sch C'!F147</f>
        <v>0</v>
      </c>
      <c r="E146" s="171">
        <f t="shared" si="38"/>
        <v>45205</v>
      </c>
      <c r="F146" s="171">
        <v>11517</v>
      </c>
      <c r="G146" s="171">
        <f t="shared" si="39"/>
        <v>56722</v>
      </c>
      <c r="H146" s="172">
        <f t="shared" si="40"/>
        <v>5.7114939359807606E-3</v>
      </c>
      <c r="I146" s="608"/>
      <c r="J146" s="183">
        <v>1130.125</v>
      </c>
      <c r="K146" s="183">
        <v>0</v>
      </c>
      <c r="L146" s="238"/>
      <c r="M146" s="364">
        <f t="shared" si="34"/>
        <v>1.7493292212798766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'[53]Sch C'!D148</f>
        <v>5126</v>
      </c>
      <c r="D147" s="558">
        <f>'[53]Sch C'!F148</f>
        <v>0</v>
      </c>
      <c r="E147" s="171">
        <f t="shared" si="38"/>
        <v>5126</v>
      </c>
      <c r="F147" s="171">
        <v>447</v>
      </c>
      <c r="G147" s="171">
        <f t="shared" si="39"/>
        <v>5573</v>
      </c>
      <c r="H147" s="172">
        <f t="shared" si="40"/>
        <v>5.6116067319947772E-4</v>
      </c>
      <c r="I147" s="608"/>
      <c r="J147" s="183">
        <v>170.86666666666667</v>
      </c>
      <c r="K147" s="183">
        <v>0</v>
      </c>
      <c r="L147" s="238"/>
      <c r="M147" s="364">
        <f t="shared" si="34"/>
        <v>0.17187355435620663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'[53]Sch C'!D149</f>
        <v>893</v>
      </c>
      <c r="D148" s="558">
        <f>'[53]Sch C'!F149</f>
        <v>0</v>
      </c>
      <c r="E148" s="171">
        <f t="shared" si="38"/>
        <v>893</v>
      </c>
      <c r="F148" s="171">
        <v>264</v>
      </c>
      <c r="G148" s="171">
        <f t="shared" si="39"/>
        <v>1157</v>
      </c>
      <c r="H148" s="172">
        <f t="shared" si="40"/>
        <v>1.1650150706832869E-4</v>
      </c>
      <c r="I148" s="608"/>
      <c r="J148" s="183">
        <v>52.529411764705884</v>
      </c>
      <c r="K148" s="183">
        <v>0</v>
      </c>
      <c r="L148" s="238"/>
      <c r="M148" s="364">
        <f t="shared" si="34"/>
        <v>3.5682343870470319E-2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'[53]Sch C'!D150</f>
        <v>24168</v>
      </c>
      <c r="D149" s="558">
        <f>'[53]Sch C'!F150</f>
        <v>0</v>
      </c>
      <c r="E149" s="171">
        <f t="shared" si="38"/>
        <v>24168</v>
      </c>
      <c r="F149" s="171">
        <v>3858</v>
      </c>
      <c r="G149" s="171">
        <f t="shared" si="39"/>
        <v>28026</v>
      </c>
      <c r="H149" s="172">
        <f t="shared" si="40"/>
        <v>2.8220148980959204E-3</v>
      </c>
      <c r="I149" s="608"/>
      <c r="J149" s="183">
        <v>1611.2</v>
      </c>
      <c r="K149" s="183">
        <v>0</v>
      </c>
      <c r="L149" s="238"/>
      <c r="M149" s="364">
        <f t="shared" si="34"/>
        <v>0.86433307632999234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'[53]Sch C'!D151</f>
        <v>186767</v>
      </c>
      <c r="D150" s="558">
        <f>'[53]Sch C'!F151</f>
        <v>0</v>
      </c>
      <c r="E150" s="171">
        <f t="shared" si="38"/>
        <v>186767</v>
      </c>
      <c r="F150" s="171">
        <v>26616</v>
      </c>
      <c r="G150" s="171">
        <f t="shared" si="39"/>
        <v>213383</v>
      </c>
      <c r="H150" s="172">
        <f t="shared" si="40"/>
        <v>2.1486120209819517E-2</v>
      </c>
      <c r="I150" s="608"/>
      <c r="J150" s="168"/>
      <c r="K150" s="168"/>
      <c r="L150" s="238"/>
      <c r="M150" s="364">
        <f t="shared" si="34"/>
        <v>6.580817270624518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'[53]Sch C'!D152</f>
        <v>371</v>
      </c>
      <c r="D151" s="558">
        <f>'[53]Sch C'!F152</f>
        <v>0</v>
      </c>
      <c r="E151" s="171">
        <f t="shared" si="38"/>
        <v>371</v>
      </c>
      <c r="F151" s="171">
        <v>0</v>
      </c>
      <c r="G151" s="171">
        <f t="shared" si="39"/>
        <v>371</v>
      </c>
      <c r="H151" s="172">
        <f t="shared" si="40"/>
        <v>3.7357008748789923E-5</v>
      </c>
      <c r="I151" s="608"/>
      <c r="J151" s="168"/>
      <c r="K151" s="168"/>
      <c r="L151" s="238"/>
      <c r="M151" s="364">
        <f t="shared" si="34"/>
        <v>1.1441788743253663E-2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'[53]Sch C'!D153</f>
        <v>150</v>
      </c>
      <c r="D152" s="558">
        <f>'[53]Sch C'!F153</f>
        <v>0</v>
      </c>
      <c r="E152" s="171">
        <f t="shared" si="38"/>
        <v>150</v>
      </c>
      <c r="F152" s="171">
        <v>0</v>
      </c>
      <c r="G152" s="171">
        <f t="shared" si="39"/>
        <v>150</v>
      </c>
      <c r="H152" s="172">
        <f t="shared" si="40"/>
        <v>1.5103911893041749E-5</v>
      </c>
      <c r="I152" s="608"/>
      <c r="J152" s="168"/>
      <c r="K152" s="168"/>
      <c r="L152" s="238"/>
      <c r="M152" s="364">
        <f t="shared" si="34"/>
        <v>4.6260601387818042E-3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'[53]Sch C'!D154</f>
        <v>0</v>
      </c>
      <c r="D153" s="558">
        <f>'[53]Sch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608"/>
      <c r="J153" s="168"/>
      <c r="K153" s="168"/>
      <c r="L153" s="23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608"/>
      <c r="J154" s="168"/>
      <c r="K154" s="168"/>
      <c r="L154" s="23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'[53]Sch C'!D156</f>
        <v>0</v>
      </c>
      <c r="D155" s="558">
        <f>'[53]Sch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608"/>
      <c r="J155" s="168"/>
      <c r="K155" s="168"/>
      <c r="L155" s="23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'[53]Sch C'!D157</f>
        <v>0</v>
      </c>
      <c r="D156" s="558">
        <f>'[53]Sch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608"/>
      <c r="J156" s="168"/>
      <c r="K156" s="168"/>
      <c r="L156" s="23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'[53]Sch C'!D158</f>
        <v>0</v>
      </c>
      <c r="D157" s="558">
        <f>'[53]Sch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608"/>
      <c r="J157" s="168"/>
      <c r="K157" s="168"/>
      <c r="L157" s="23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'[53]Sch C'!D159</f>
        <v>0</v>
      </c>
      <c r="D158" s="558">
        <f>'[53]Sch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608"/>
      <c r="J158" s="168"/>
      <c r="K158" s="168"/>
      <c r="L158" s="23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'[53]Sch C'!D160</f>
        <v>0</v>
      </c>
      <c r="D159" s="558">
        <f>'[53]Sch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608"/>
      <c r="J159" s="168"/>
      <c r="K159" s="168"/>
      <c r="L159" s="23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'[53]Sch C'!D161</f>
        <v>12910</v>
      </c>
      <c r="D160" s="558">
        <f>'[53]Sch C'!F161</f>
        <v>0</v>
      </c>
      <c r="E160" s="171">
        <f t="shared" si="41"/>
        <v>12910</v>
      </c>
      <c r="F160" s="171">
        <v>372</v>
      </c>
      <c r="G160" s="171">
        <f t="shared" si="42"/>
        <v>13282</v>
      </c>
      <c r="H160" s="172">
        <f t="shared" si="43"/>
        <v>1.33740105175587E-3</v>
      </c>
      <c r="I160" s="608"/>
      <c r="J160" s="168"/>
      <c r="K160" s="168"/>
      <c r="L160" s="238"/>
      <c r="M160" s="364">
        <f t="shared" si="34"/>
        <v>0.40962220508866615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558">
        <f>SUM(C123:C160)</f>
        <v>2330785</v>
      </c>
      <c r="D161" s="558">
        <f>SUM(D123:D160)</f>
        <v>380263</v>
      </c>
      <c r="E161" s="171">
        <f t="shared" ref="E161:F161" si="44">SUM(E123:E160)</f>
        <v>2711048</v>
      </c>
      <c r="F161" s="171">
        <f t="shared" si="44"/>
        <v>519637</v>
      </c>
      <c r="G161" s="171">
        <f>SUM(G123:G160)</f>
        <v>3230685</v>
      </c>
      <c r="H161" s="172">
        <f t="shared" si="43"/>
        <v>0.32530654396114389</v>
      </c>
      <c r="I161" s="608"/>
      <c r="J161" s="168"/>
      <c r="K161" s="168"/>
      <c r="L161" s="238"/>
      <c r="M161" s="364">
        <f>G161/G$228</f>
        <v>99.635620663068622</v>
      </c>
      <c r="N161" s="359">
        <f>SUMMARY!J164</f>
        <v>105.56901037202306</v>
      </c>
      <c r="O161" s="354">
        <f>M161/N161-1</f>
        <v>-5.6203896276428966E-2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608"/>
      <c r="J162" s="168"/>
      <c r="K162" s="168"/>
      <c r="L162" s="238"/>
      <c r="M162" s="359"/>
      <c r="N162" s="359"/>
      <c r="P162"/>
      <c r="Q162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608"/>
      <c r="J163" s="168"/>
      <c r="K163" s="168"/>
      <c r="L163" s="23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558">
        <f>'[53]Sch C'!D175</f>
        <v>0</v>
      </c>
      <c r="D164" s="558">
        <f>'[53]Sch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612"/>
      <c r="J164" s="217">
        <v>0</v>
      </c>
      <c r="K164" s="217">
        <v>0</v>
      </c>
      <c r="L164" s="621"/>
      <c r="M164" s="364">
        <f>G164/G$228</f>
        <v>0</v>
      </c>
      <c r="N164" s="359">
        <f>SUMMARY!J167</f>
        <v>0</v>
      </c>
      <c r="P164"/>
      <c r="Q164"/>
    </row>
    <row r="165" spans="1:17" s="221" customFormat="1">
      <c r="A165" s="215" t="s">
        <v>123</v>
      </c>
      <c r="B165" s="148" t="s">
        <v>103</v>
      </c>
      <c r="C165" s="558">
        <f>'[53]Sch C'!D176</f>
        <v>0</v>
      </c>
      <c r="D165" s="558">
        <f>'[53]Sch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613"/>
      <c r="J165" s="222"/>
      <c r="K165" s="222"/>
      <c r="L165" s="621"/>
      <c r="M165" s="364">
        <f t="shared" ref="M165:M196" si="48">G165/G$228</f>
        <v>0</v>
      </c>
      <c r="N165" s="359">
        <f>SUMMARY!J168</f>
        <v>0</v>
      </c>
      <c r="P165"/>
      <c r="Q165"/>
    </row>
    <row r="166" spans="1:17" s="221" customFormat="1">
      <c r="A166" s="215" t="s">
        <v>124</v>
      </c>
      <c r="B166" s="148" t="s">
        <v>104</v>
      </c>
      <c r="C166" s="558">
        <f>'[53]Sch C'!D177</f>
        <v>353222</v>
      </c>
      <c r="D166" s="558">
        <f>'[53]Sch C'!F177</f>
        <v>21773</v>
      </c>
      <c r="E166" s="171">
        <f t="shared" si="45"/>
        <v>374995</v>
      </c>
      <c r="F166" s="216">
        <v>82612</v>
      </c>
      <c r="G166" s="171">
        <f t="shared" si="46"/>
        <v>457607</v>
      </c>
      <c r="H166" s="172">
        <f t="shared" si="47"/>
        <v>4.6077705397594371E-2</v>
      </c>
      <c r="I166" s="612"/>
      <c r="J166" s="217">
        <f>10882+2407</f>
        <v>13289</v>
      </c>
      <c r="K166" s="217">
        <f>11553+2545</f>
        <v>14098</v>
      </c>
      <c r="L166" s="621"/>
      <c r="M166" s="364">
        <f t="shared" si="48"/>
        <v>14.1127833461835</v>
      </c>
      <c r="N166" s="359">
        <f>SUMMARY!J169</f>
        <v>4.9060338253170936</v>
      </c>
      <c r="P166"/>
      <c r="Q166"/>
    </row>
    <row r="167" spans="1:17" s="221" customFormat="1">
      <c r="A167" s="215" t="s">
        <v>157</v>
      </c>
      <c r="B167" s="148" t="s">
        <v>105</v>
      </c>
      <c r="C167" s="558">
        <f>'[53]Sch C'!D178</f>
        <v>0</v>
      </c>
      <c r="D167" s="558">
        <f>'[53]Sch C'!F178</f>
        <v>45111</v>
      </c>
      <c r="E167" s="171">
        <f t="shared" si="45"/>
        <v>45111</v>
      </c>
      <c r="F167" s="216">
        <v>9133</v>
      </c>
      <c r="G167" s="171">
        <f t="shared" si="46"/>
        <v>54244</v>
      </c>
      <c r="H167" s="172">
        <f t="shared" si="47"/>
        <v>5.4619773115077109E-3</v>
      </c>
      <c r="I167" s="613"/>
      <c r="J167" s="222"/>
      <c r="K167" s="222"/>
      <c r="L167" s="621"/>
      <c r="M167" s="364">
        <f t="shared" si="48"/>
        <v>1.6729067077872013</v>
      </c>
      <c r="N167" s="359">
        <f>SUMMARY!J170</f>
        <v>0.8546059303297695</v>
      </c>
      <c r="P167"/>
      <c r="Q167"/>
    </row>
    <row r="168" spans="1:17" s="221" customFormat="1">
      <c r="A168" s="215" t="s">
        <v>158</v>
      </c>
      <c r="B168" s="148" t="s">
        <v>316</v>
      </c>
      <c r="C168" s="558">
        <f>'[53]Sch C'!D179</f>
        <v>27773</v>
      </c>
      <c r="D168" s="558">
        <f>'[53]Sch C'!F179</f>
        <v>1712</v>
      </c>
      <c r="E168" s="171">
        <f t="shared" si="45"/>
        <v>29485</v>
      </c>
      <c r="F168" s="216">
        <v>3926</v>
      </c>
      <c r="G168" s="171">
        <f t="shared" si="46"/>
        <v>33411</v>
      </c>
      <c r="H168" s="172">
        <f t="shared" si="47"/>
        <v>3.3642453350561192E-3</v>
      </c>
      <c r="I168" s="612"/>
      <c r="J168" s="217">
        <f>855+114</f>
        <v>969</v>
      </c>
      <c r="K168" s="217">
        <f>908+121</f>
        <v>1029</v>
      </c>
      <c r="L168" s="621"/>
      <c r="M168" s="364">
        <f t="shared" si="48"/>
        <v>1.030408635312259</v>
      </c>
      <c r="N168" s="359">
        <f>SUMMARY!J171</f>
        <v>0.79511806658504303</v>
      </c>
      <c r="P168"/>
      <c r="Q168"/>
    </row>
    <row r="169" spans="1:17" s="221" customFormat="1">
      <c r="A169" s="215" t="s">
        <v>86</v>
      </c>
      <c r="B169" s="148" t="s">
        <v>317</v>
      </c>
      <c r="C169" s="558">
        <f>'[53]Sch C'!D180</f>
        <v>0</v>
      </c>
      <c r="D169" s="558">
        <f>'[53]Sch C'!F180</f>
        <v>3547</v>
      </c>
      <c r="E169" s="171">
        <f t="shared" si="45"/>
        <v>3547</v>
      </c>
      <c r="F169" s="216">
        <v>434</v>
      </c>
      <c r="G169" s="171">
        <f t="shared" si="46"/>
        <v>3981</v>
      </c>
      <c r="H169" s="172">
        <f t="shared" si="47"/>
        <v>4.0085782164132801E-4</v>
      </c>
      <c r="I169" s="613"/>
      <c r="J169" s="222"/>
      <c r="K169" s="222"/>
      <c r="L169" s="621"/>
      <c r="M169" s="364">
        <f t="shared" si="48"/>
        <v>0.12277563608326908</v>
      </c>
      <c r="N169" s="359">
        <f>SUMMARY!J172</f>
        <v>0.1405217057636943</v>
      </c>
      <c r="P169"/>
      <c r="Q169"/>
    </row>
    <row r="170" spans="1:17" s="221" customFormat="1">
      <c r="A170" s="215" t="s">
        <v>96</v>
      </c>
      <c r="B170" s="148" t="s">
        <v>318</v>
      </c>
      <c r="C170" s="558">
        <f>'[53]Sch C'!D181</f>
        <v>0</v>
      </c>
      <c r="D170" s="558">
        <f>'[53]Sch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612"/>
      <c r="J170" s="217">
        <v>0</v>
      </c>
      <c r="K170" s="217">
        <v>0</v>
      </c>
      <c r="L170" s="621"/>
      <c r="M170" s="364">
        <f t="shared" si="48"/>
        <v>0</v>
      </c>
      <c r="N170" s="359">
        <f>SUMMARY!J173</f>
        <v>0.14856138086857354</v>
      </c>
      <c r="P170"/>
      <c r="Q170"/>
    </row>
    <row r="171" spans="1:17" s="221" customFormat="1">
      <c r="A171" s="215" t="s">
        <v>125</v>
      </c>
      <c r="B171" s="148" t="s">
        <v>109</v>
      </c>
      <c r="C171" s="558">
        <f>'[53]Sch C'!D182</f>
        <v>0</v>
      </c>
      <c r="D171" s="558">
        <f>'[53]Sch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613"/>
      <c r="J171" s="222"/>
      <c r="K171" s="222"/>
      <c r="L171" s="621"/>
      <c r="M171" s="364">
        <f t="shared" si="48"/>
        <v>0</v>
      </c>
      <c r="N171" s="359">
        <f>SUMMARY!J174</f>
        <v>2.2545547697802093E-2</v>
      </c>
      <c r="P171"/>
      <c r="Q171"/>
    </row>
    <row r="172" spans="1:17" s="221" customFormat="1">
      <c r="A172" s="215" t="s">
        <v>126</v>
      </c>
      <c r="B172" s="148" t="s">
        <v>319</v>
      </c>
      <c r="C172" s="558">
        <f>'[53]Sch C'!D183</f>
        <v>193639</v>
      </c>
      <c r="D172" s="558">
        <f>'[53]Sch C'!F183</f>
        <v>11936</v>
      </c>
      <c r="E172" s="171">
        <f t="shared" si="45"/>
        <v>205575</v>
      </c>
      <c r="F172" s="216">
        <v>53808</v>
      </c>
      <c r="G172" s="171">
        <f t="shared" si="46"/>
        <v>259383</v>
      </c>
      <c r="H172" s="172">
        <f t="shared" si="47"/>
        <v>2.6117986523685653E-2</v>
      </c>
      <c r="I172" s="612"/>
      <c r="J172" s="217">
        <f>6511+1711</f>
        <v>8222</v>
      </c>
      <c r="K172" s="217">
        <f>6912+1809</f>
        <v>8721</v>
      </c>
      <c r="L172" s="621"/>
      <c r="M172" s="364">
        <f t="shared" si="48"/>
        <v>7.9994757131842711</v>
      </c>
      <c r="N172" s="359">
        <f>SUMMARY!J175</f>
        <v>2.8660001223726335</v>
      </c>
      <c r="P172"/>
      <c r="Q172"/>
    </row>
    <row r="173" spans="1:17" s="221" customFormat="1">
      <c r="A173" s="215" t="s">
        <v>127</v>
      </c>
      <c r="B173" s="148" t="s">
        <v>111</v>
      </c>
      <c r="C173" s="558">
        <f>'[53]Sch C'!D184</f>
        <v>0</v>
      </c>
      <c r="D173" s="558">
        <f>'[53]Sch C'!F184</f>
        <v>24730</v>
      </c>
      <c r="E173" s="171">
        <f t="shared" si="45"/>
        <v>24730</v>
      </c>
      <c r="F173" s="216">
        <v>5948</v>
      </c>
      <c r="G173" s="171">
        <f t="shared" si="46"/>
        <v>30678</v>
      </c>
      <c r="H173" s="172">
        <f t="shared" si="47"/>
        <v>3.0890520603648985E-3</v>
      </c>
      <c r="I173" s="613"/>
      <c r="J173" s="222"/>
      <c r="K173" s="222"/>
      <c r="L173" s="621"/>
      <c r="M173" s="364">
        <f t="shared" si="48"/>
        <v>0.9461218195836546</v>
      </c>
      <c r="N173" s="359">
        <f>SUMMARY!J176</f>
        <v>0.45922325087038773</v>
      </c>
      <c r="P173"/>
      <c r="Q173"/>
    </row>
    <row r="174" spans="1:17" s="221" customFormat="1">
      <c r="A174" s="215" t="s">
        <v>128</v>
      </c>
      <c r="B174" s="148" t="s">
        <v>320</v>
      </c>
      <c r="C174" s="558">
        <f>'[53]Sch C'!D185</f>
        <v>0</v>
      </c>
      <c r="D174" s="558">
        <f>'[53]Sch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612"/>
      <c r="J174" s="217">
        <v>0</v>
      </c>
      <c r="K174" s="217">
        <v>0</v>
      </c>
      <c r="L174" s="621"/>
      <c r="M174" s="364">
        <f t="shared" si="48"/>
        <v>0</v>
      </c>
      <c r="N174" s="359">
        <f>SUMMARY!J177</f>
        <v>0</v>
      </c>
      <c r="P174"/>
      <c r="Q174"/>
    </row>
    <row r="175" spans="1:17" s="221" customFormat="1">
      <c r="A175" s="215" t="s">
        <v>129</v>
      </c>
      <c r="B175" s="148" t="s">
        <v>321</v>
      </c>
      <c r="C175" s="558">
        <f>'[53]Sch C'!D186</f>
        <v>0</v>
      </c>
      <c r="D175" s="558">
        <f>'[53]Sch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608"/>
      <c r="J175" s="223"/>
      <c r="K175" s="218"/>
      <c r="L175" s="621"/>
      <c r="M175" s="364">
        <f t="shared" si="48"/>
        <v>0</v>
      </c>
      <c r="N175" s="359">
        <f>SUMMARY!J178</f>
        <v>0</v>
      </c>
      <c r="P175"/>
      <c r="Q175"/>
    </row>
    <row r="176" spans="1:17" s="221" customFormat="1">
      <c r="A176" s="224" t="s">
        <v>293</v>
      </c>
      <c r="B176" s="148" t="s">
        <v>154</v>
      </c>
      <c r="C176" s="558">
        <f>'[53]Sch C'!D187</f>
        <v>0</v>
      </c>
      <c r="D176" s="558">
        <f>'[53]Sch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608"/>
      <c r="J176" s="223"/>
      <c r="K176" s="218"/>
      <c r="L176" s="621"/>
      <c r="M176" s="364">
        <f t="shared" si="48"/>
        <v>0</v>
      </c>
      <c r="N176" s="359">
        <f>SUMMARY!J179</f>
        <v>0</v>
      </c>
      <c r="P176"/>
      <c r="Q176"/>
    </row>
    <row r="177" spans="1:17" s="221" customFormat="1">
      <c r="A177" s="224" t="s">
        <v>294</v>
      </c>
      <c r="B177" s="148" t="s">
        <v>322</v>
      </c>
      <c r="C177" s="558">
        <f>'[53]Sch C'!D188</f>
        <v>11186</v>
      </c>
      <c r="D177" s="558">
        <f>'[53]Sch C'!F188</f>
        <v>0</v>
      </c>
      <c r="E177" s="171">
        <f t="shared" si="45"/>
        <v>11186</v>
      </c>
      <c r="F177" s="216">
        <v>-1506</v>
      </c>
      <c r="G177" s="171">
        <f t="shared" si="46"/>
        <v>9680</v>
      </c>
      <c r="H177" s="172">
        <f t="shared" si="47"/>
        <v>9.7470578083096084E-4</v>
      </c>
      <c r="I177" s="608"/>
      <c r="J177" s="223"/>
      <c r="K177" s="218"/>
      <c r="L177" s="621"/>
      <c r="M177" s="364">
        <f t="shared" si="48"/>
        <v>0.29853508095605241</v>
      </c>
      <c r="N177" s="359">
        <f>SUMMARY!J180</f>
        <v>0.30705480193530821</v>
      </c>
      <c r="P177"/>
      <c r="Q177"/>
    </row>
    <row r="178" spans="1:17" s="221" customFormat="1">
      <c r="A178" s="224" t="s">
        <v>295</v>
      </c>
      <c r="B178" s="148" t="s">
        <v>323</v>
      </c>
      <c r="C178" s="558">
        <f>'[53]Sch C'!D189</f>
        <v>0</v>
      </c>
      <c r="D178" s="558">
        <f>'[53]Sch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608"/>
      <c r="J178" s="223"/>
      <c r="K178" s="218"/>
      <c r="L178" s="621"/>
      <c r="M178" s="364">
        <f t="shared" si="48"/>
        <v>0</v>
      </c>
      <c r="N178" s="359">
        <f>SUMMARY!J181</f>
        <v>5.3584457511323957E-2</v>
      </c>
      <c r="P178"/>
      <c r="Q178"/>
    </row>
    <row r="179" spans="1:17" s="221" customFormat="1">
      <c r="A179" s="224" t="s">
        <v>296</v>
      </c>
      <c r="B179" s="148" t="s">
        <v>324</v>
      </c>
      <c r="C179" s="558">
        <f>'[53]Sch C'!D190</f>
        <v>0</v>
      </c>
      <c r="D179" s="558">
        <f>'[53]Sch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608"/>
      <c r="J179" s="223"/>
      <c r="K179" s="218"/>
      <c r="L179" s="621"/>
      <c r="M179" s="364">
        <f t="shared" si="48"/>
        <v>0</v>
      </c>
      <c r="N179" s="359">
        <f>SUMMARY!J182</f>
        <v>0</v>
      </c>
      <c r="P179"/>
      <c r="Q179"/>
    </row>
    <row r="180" spans="1:17" s="221" customFormat="1">
      <c r="A180" s="224" t="s">
        <v>297</v>
      </c>
      <c r="B180" s="148" t="s">
        <v>325</v>
      </c>
      <c r="C180" s="558">
        <f>'[53]Sch C'!D191</f>
        <v>0</v>
      </c>
      <c r="D180" s="558">
        <f>'[53]Sch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608"/>
      <c r="J180" s="223"/>
      <c r="K180" s="218"/>
      <c r="L180" s="621"/>
      <c r="M180" s="364">
        <f t="shared" si="48"/>
        <v>0</v>
      </c>
      <c r="N180" s="359">
        <f>SUMMARY!J183</f>
        <v>0.1333235617560114</v>
      </c>
      <c r="P180"/>
      <c r="Q180"/>
    </row>
    <row r="181" spans="1:17" s="221" customFormat="1">
      <c r="A181" s="224" t="s">
        <v>298</v>
      </c>
      <c r="B181" s="148" t="s">
        <v>117</v>
      </c>
      <c r="C181" s="558">
        <f>'[53]Sch C'!D192</f>
        <v>0</v>
      </c>
      <c r="D181" s="558">
        <f>'[53]Sch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608"/>
      <c r="J181" s="223"/>
      <c r="K181" s="218"/>
      <c r="L181" s="621"/>
      <c r="M181" s="364">
        <f t="shared" si="48"/>
        <v>0</v>
      </c>
      <c r="N181" s="359">
        <f>SUMMARY!J184</f>
        <v>0.29174571104570529</v>
      </c>
      <c r="P181"/>
      <c r="Q181"/>
    </row>
    <row r="182" spans="1:17" s="221" customFormat="1">
      <c r="A182" s="224" t="s">
        <v>132</v>
      </c>
      <c r="B182" s="148" t="s">
        <v>118</v>
      </c>
      <c r="C182" s="558">
        <f>'[53]Sch C'!D193</f>
        <v>0</v>
      </c>
      <c r="D182" s="558">
        <f>'[53]Sch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608"/>
      <c r="J182" s="223"/>
      <c r="K182" s="218"/>
      <c r="L182" s="621"/>
      <c r="M182" s="364">
        <f t="shared" si="48"/>
        <v>0</v>
      </c>
      <c r="N182" s="359">
        <f>SUMMARY!J185</f>
        <v>7.0915905841295299E-2</v>
      </c>
      <c r="P182"/>
      <c r="Q182"/>
    </row>
    <row r="183" spans="1:17" s="221" customFormat="1">
      <c r="A183" s="224" t="s">
        <v>133</v>
      </c>
      <c r="B183" s="148" t="s">
        <v>119</v>
      </c>
      <c r="C183" s="558">
        <f>'[53]Sch C'!D194</f>
        <v>0</v>
      </c>
      <c r="D183" s="558">
        <f>'[53]Sch C'!F194</f>
        <v>0</v>
      </c>
      <c r="E183" s="171">
        <f t="shared" si="45"/>
        <v>0</v>
      </c>
      <c r="F183" s="216">
        <v>0</v>
      </c>
      <c r="G183" s="171">
        <f t="shared" si="46"/>
        <v>0</v>
      </c>
      <c r="H183" s="172">
        <f t="shared" si="47"/>
        <v>0</v>
      </c>
      <c r="I183" s="608"/>
      <c r="J183" s="223"/>
      <c r="K183" s="218"/>
      <c r="L183" s="621"/>
      <c r="M183" s="364">
        <f t="shared" si="48"/>
        <v>0</v>
      </c>
      <c r="N183" s="359">
        <f>SUMMARY!J186</f>
        <v>7.2780776577335544</v>
      </c>
      <c r="P183"/>
      <c r="Q183"/>
    </row>
    <row r="184" spans="1:17" s="221" customFormat="1">
      <c r="A184" s="224" t="s">
        <v>134</v>
      </c>
      <c r="B184" s="148" t="s">
        <v>326</v>
      </c>
      <c r="C184" s="558">
        <f>'[53]Sch C'!D195</f>
        <v>0</v>
      </c>
      <c r="D184" s="558">
        <f>'[53]Sch C'!F195</f>
        <v>0</v>
      </c>
      <c r="E184" s="171">
        <f t="shared" si="45"/>
        <v>0</v>
      </c>
      <c r="F184" s="216">
        <v>533</v>
      </c>
      <c r="G184" s="171">
        <f t="shared" si="46"/>
        <v>533</v>
      </c>
      <c r="H184" s="172">
        <f t="shared" si="47"/>
        <v>5.3669233593275017E-5</v>
      </c>
      <c r="I184" s="608"/>
      <c r="J184" s="223"/>
      <c r="K184" s="218"/>
      <c r="L184" s="621"/>
      <c r="M184" s="364">
        <f t="shared" si="48"/>
        <v>1.6437933693138011E-2</v>
      </c>
      <c r="N184" s="359">
        <f>SUMMARY!J187</f>
        <v>1.7471448792019588</v>
      </c>
      <c r="P184"/>
      <c r="Q184"/>
    </row>
    <row r="185" spans="1:17" s="221" customFormat="1">
      <c r="A185" s="224" t="s">
        <v>135</v>
      </c>
      <c r="B185" s="148" t="s">
        <v>327</v>
      </c>
      <c r="C185" s="558">
        <f>'[53]Sch C'!D196</f>
        <v>0</v>
      </c>
      <c r="D185" s="558">
        <f>'[53]Sch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608"/>
      <c r="J185" s="223"/>
      <c r="K185" s="218"/>
      <c r="L185" s="621"/>
      <c r="M185" s="364">
        <f t="shared" si="48"/>
        <v>0</v>
      </c>
      <c r="N185" s="359">
        <f>SUMMARY!J188</f>
        <v>0.10202169826083787</v>
      </c>
      <c r="P185"/>
      <c r="Q185"/>
    </row>
    <row r="186" spans="1:17" s="221" customFormat="1">
      <c r="A186" s="224" t="s">
        <v>136</v>
      </c>
      <c r="B186" s="148" t="s">
        <v>328</v>
      </c>
      <c r="C186" s="558">
        <f>'[53]Sch C'!D197</f>
        <v>0</v>
      </c>
      <c r="D186" s="558">
        <f>'[53]Sch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608"/>
      <c r="J186" s="223"/>
      <c r="K186" s="218"/>
      <c r="L186" s="621"/>
      <c r="M186" s="364">
        <f t="shared" si="48"/>
        <v>0</v>
      </c>
      <c r="N186" s="359">
        <f>SUMMARY!J189</f>
        <v>5.0164683871805966</v>
      </c>
      <c r="P186"/>
      <c r="Q186"/>
    </row>
    <row r="187" spans="1:17" s="221" customFormat="1">
      <c r="A187" s="224" t="s">
        <v>137</v>
      </c>
      <c r="B187" s="148" t="s">
        <v>122</v>
      </c>
      <c r="C187" s="558">
        <f>'[53]Sch C'!D198</f>
        <v>74488</v>
      </c>
      <c r="D187" s="558">
        <f>'[53]Sch C'!F198</f>
        <v>0</v>
      </c>
      <c r="E187" s="171">
        <f t="shared" si="45"/>
        <v>74488</v>
      </c>
      <c r="F187" s="216">
        <v>10828</v>
      </c>
      <c r="G187" s="171">
        <f t="shared" si="46"/>
        <v>85316</v>
      </c>
      <c r="H187" s="172">
        <f t="shared" si="47"/>
        <v>8.5907023137783319E-3</v>
      </c>
      <c r="I187" s="608"/>
      <c r="J187" s="223"/>
      <c r="K187" s="218"/>
      <c r="L187" s="621"/>
      <c r="M187" s="364">
        <f t="shared" si="48"/>
        <v>2.6311796453353895</v>
      </c>
      <c r="N187" s="359">
        <f>SUMMARY!J190</f>
        <v>1.4762344610483848</v>
      </c>
      <c r="P187"/>
      <c r="Q187"/>
    </row>
    <row r="188" spans="1:17" s="221" customFormat="1">
      <c r="A188" s="224" t="s">
        <v>275</v>
      </c>
      <c r="B188" s="148" t="s">
        <v>329</v>
      </c>
      <c r="C188" s="558">
        <f>'[53]Sch C'!D199</f>
        <v>267132</v>
      </c>
      <c r="D188" s="558">
        <f>'[53]Sch C'!F199</f>
        <v>0</v>
      </c>
      <c r="E188" s="171">
        <f t="shared" si="45"/>
        <v>267132</v>
      </c>
      <c r="F188" s="216">
        <v>38254</v>
      </c>
      <c r="G188" s="171">
        <f t="shared" si="46"/>
        <v>305386</v>
      </c>
      <c r="H188" s="172">
        <f t="shared" si="47"/>
        <v>3.0750154915789651E-2</v>
      </c>
      <c r="I188" s="608"/>
      <c r="J188" s="223"/>
      <c r="K188" s="218"/>
      <c r="L188" s="621"/>
      <c r="M188" s="364">
        <f t="shared" si="48"/>
        <v>9.4182266769467997</v>
      </c>
      <c r="N188" s="359">
        <f>SUMMARY!J191</f>
        <v>0.3719273123267644</v>
      </c>
      <c r="P188"/>
      <c r="Q188"/>
    </row>
    <row r="189" spans="1:17" s="221" customFormat="1">
      <c r="A189" s="224" t="s">
        <v>277</v>
      </c>
      <c r="B189" s="148" t="s">
        <v>278</v>
      </c>
      <c r="C189" s="558">
        <f>'[53]Sch C'!D200</f>
        <v>0</v>
      </c>
      <c r="D189" s="558">
        <f>'[53]Sch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608"/>
      <c r="J189" s="223"/>
      <c r="K189" s="218"/>
      <c r="L189" s="621"/>
      <c r="M189" s="364">
        <f t="shared" si="48"/>
        <v>0</v>
      </c>
      <c r="N189" s="359">
        <f>SUMMARY!J192</f>
        <v>1.1168537736152406E-3</v>
      </c>
      <c r="P189"/>
      <c r="Q189"/>
    </row>
    <row r="190" spans="1:17" s="221" customFormat="1">
      <c r="A190" s="225" t="s">
        <v>279</v>
      </c>
      <c r="B190" s="226" t="s">
        <v>280</v>
      </c>
      <c r="C190" s="558">
        <f>'[53]Sch C'!D201</f>
        <v>0</v>
      </c>
      <c r="D190" s="558">
        <f>'[53]Sch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608"/>
      <c r="J190" s="223"/>
      <c r="K190" s="218"/>
      <c r="L190" s="621"/>
      <c r="M190" s="364">
        <f t="shared" si="48"/>
        <v>0</v>
      </c>
      <c r="N190" s="359">
        <f>SUMMARY!J193</f>
        <v>9.491156275925049E-3</v>
      </c>
      <c r="P190"/>
      <c r="Q190"/>
    </row>
    <row r="191" spans="1:17" s="221" customFormat="1">
      <c r="A191" s="225" t="s">
        <v>281</v>
      </c>
      <c r="B191" s="226" t="s">
        <v>282</v>
      </c>
      <c r="C191" s="558">
        <f>'[53]Sch C'!D202</f>
        <v>0</v>
      </c>
      <c r="D191" s="558">
        <f>'[53]Sch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608"/>
      <c r="J191" s="223"/>
      <c r="K191" s="218"/>
      <c r="L191" s="621"/>
      <c r="M191" s="364">
        <f t="shared" si="48"/>
        <v>0</v>
      </c>
      <c r="N191" s="359">
        <f>SUMMARY!J194</f>
        <v>1.256942821802872E-4</v>
      </c>
      <c r="P191"/>
      <c r="Q191"/>
    </row>
    <row r="192" spans="1:17" s="221" customFormat="1">
      <c r="A192" s="225" t="s">
        <v>283</v>
      </c>
      <c r="B192" s="226" t="s">
        <v>330</v>
      </c>
      <c r="C192" s="558">
        <f>'[53]Sch C'!D203</f>
        <v>0</v>
      </c>
      <c r="D192" s="558">
        <f>'[53]Sch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608"/>
      <c r="J192" s="223"/>
      <c r="K192" s="218"/>
      <c r="L192" s="621"/>
      <c r="M192" s="364">
        <f t="shared" si="48"/>
        <v>0</v>
      </c>
      <c r="N192" s="359">
        <f>SUMMARY!J195</f>
        <v>6.3845219287057137E-2</v>
      </c>
      <c r="P192"/>
      <c r="Q192"/>
    </row>
    <row r="193" spans="1:17" s="221" customFormat="1">
      <c r="A193" s="225" t="s">
        <v>285</v>
      </c>
      <c r="B193" s="226" t="s">
        <v>331</v>
      </c>
      <c r="C193" s="558">
        <f>'[53]Sch C'!D204</f>
        <v>0</v>
      </c>
      <c r="D193" s="558">
        <f>'[53]Sch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608"/>
      <c r="J193" s="223"/>
      <c r="K193" s="218"/>
      <c r="L193" s="621"/>
      <c r="M193" s="364">
        <f t="shared" si="48"/>
        <v>0</v>
      </c>
      <c r="N193" s="359">
        <f>SUMMARY!J196</f>
        <v>0</v>
      </c>
      <c r="P193"/>
      <c r="Q193"/>
    </row>
    <row r="194" spans="1:17" s="221" customFormat="1">
      <c r="A194" s="224" t="s">
        <v>138</v>
      </c>
      <c r="B194" s="148" t="s">
        <v>332</v>
      </c>
      <c r="C194" s="558">
        <f>'[53]Sch C'!D205</f>
        <v>329852</v>
      </c>
      <c r="D194" s="558">
        <f>'[53]Sch C'!F205</f>
        <v>0</v>
      </c>
      <c r="E194" s="171">
        <f t="shared" si="45"/>
        <v>329852</v>
      </c>
      <c r="F194" s="216">
        <v>54526</v>
      </c>
      <c r="G194" s="171">
        <f t="shared" si="46"/>
        <v>384378</v>
      </c>
      <c r="H194" s="172">
        <f t="shared" si="47"/>
        <v>3.8704076304157342E-2</v>
      </c>
      <c r="I194" s="608"/>
      <c r="J194" s="223"/>
      <c r="K194" s="218"/>
      <c r="L194" s="621"/>
      <c r="M194" s="364">
        <f t="shared" si="48"/>
        <v>11.854371626831149</v>
      </c>
      <c r="N194" s="359">
        <f>SUMMARY!J197</f>
        <v>9.4138592764245246</v>
      </c>
      <c r="P194"/>
      <c r="Q194"/>
    </row>
    <row r="195" spans="1:17" s="221" customFormat="1">
      <c r="A195" s="224" t="s">
        <v>139</v>
      </c>
      <c r="B195" s="148" t="s">
        <v>67</v>
      </c>
      <c r="C195" s="558">
        <f>'[53]Sch C'!D206</f>
        <v>28114</v>
      </c>
      <c r="D195" s="558">
        <f>'[53]Sch C'!F206</f>
        <v>0</v>
      </c>
      <c r="E195" s="171">
        <f t="shared" si="45"/>
        <v>28114</v>
      </c>
      <c r="F195" s="216">
        <v>5856</v>
      </c>
      <c r="G195" s="171">
        <f t="shared" si="46"/>
        <v>33970</v>
      </c>
      <c r="H195" s="172">
        <f t="shared" si="47"/>
        <v>3.420532580044188E-3</v>
      </c>
      <c r="I195" s="608"/>
      <c r="J195" s="223"/>
      <c r="K195" s="218"/>
      <c r="L195" s="621"/>
      <c r="M195" s="364">
        <f t="shared" si="48"/>
        <v>1.0476484194294526</v>
      </c>
      <c r="N195" s="359">
        <f>SUMMARY!J198</f>
        <v>0.50303072526897752</v>
      </c>
      <c r="P195"/>
      <c r="Q195"/>
    </row>
    <row r="196" spans="1:17" s="221" customFormat="1">
      <c r="A196" s="225" t="s">
        <v>143</v>
      </c>
      <c r="B196" s="194" t="s">
        <v>333</v>
      </c>
      <c r="C196" s="558">
        <f>'[53]Sch C'!D207</f>
        <v>90609</v>
      </c>
      <c r="D196" s="558">
        <f>'[53]Sch C'!F207</f>
        <v>-1720</v>
      </c>
      <c r="E196" s="171">
        <f t="shared" si="45"/>
        <v>88889</v>
      </c>
      <c r="F196" s="216">
        <v>14447</v>
      </c>
      <c r="G196" s="171">
        <f t="shared" si="46"/>
        <v>103336</v>
      </c>
      <c r="H196" s="172">
        <f t="shared" si="47"/>
        <v>1.0405185595862414E-2</v>
      </c>
      <c r="I196" s="608"/>
      <c r="J196" s="223"/>
      <c r="K196" s="218"/>
      <c r="L196" s="621"/>
      <c r="M196" s="364">
        <f t="shared" si="48"/>
        <v>3.1869236700077099</v>
      </c>
      <c r="N196" s="359">
        <f>SUMMARY!J199</f>
        <v>0.37420738931321718</v>
      </c>
      <c r="P196"/>
      <c r="Q196"/>
    </row>
    <row r="197" spans="1:17" s="167" customFormat="1">
      <c r="A197" s="163"/>
      <c r="B197" s="212" t="s">
        <v>130</v>
      </c>
      <c r="C197" s="558">
        <f>SUM(C164:C196)</f>
        <v>1376015</v>
      </c>
      <c r="D197" s="558">
        <f>SUM(D164:D196)</f>
        <v>107089</v>
      </c>
      <c r="E197" s="171">
        <f t="shared" ref="E197:F197" si="49">SUM(E164:E196)</f>
        <v>1483104</v>
      </c>
      <c r="F197" s="171">
        <f t="shared" si="49"/>
        <v>278799</v>
      </c>
      <c r="G197" s="171">
        <f>SUM(G164:G196)</f>
        <v>1761903</v>
      </c>
      <c r="H197" s="172">
        <f>IF($G$208=0,0,G197/$G$208)</f>
        <v>0.17741085117390623</v>
      </c>
      <c r="I197" s="608"/>
      <c r="J197" s="168"/>
      <c r="K197" s="168"/>
      <c r="L197" s="238"/>
      <c r="M197" s="364">
        <f>G197/G$228</f>
        <v>54.337794911333845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493"/>
      <c r="J198" s="168"/>
      <c r="K198" s="168"/>
      <c r="L198" s="23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493"/>
      <c r="J199" s="168"/>
      <c r="K199" s="168"/>
      <c r="L199" s="23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558">
        <f>'[53]Sch C'!D211</f>
        <v>107662</v>
      </c>
      <c r="D200" s="558">
        <f>'[53]Sch C'!F211</f>
        <v>6637</v>
      </c>
      <c r="E200" s="171">
        <f t="shared" ref="E200:E205" si="50">C200+D200</f>
        <v>114299</v>
      </c>
      <c r="F200" s="171">
        <v>30187</v>
      </c>
      <c r="G200" s="171">
        <f t="shared" ref="G200:G205" si="51">E200+F200</f>
        <v>144486</v>
      </c>
      <c r="H200" s="172">
        <f t="shared" ref="H200:H206" si="52">IF($G$208=0,0,G200/$G$208)</f>
        <v>1.4548692091853534E-2</v>
      </c>
      <c r="I200" s="608"/>
      <c r="J200" s="183">
        <f>7399+1963</f>
        <v>9362</v>
      </c>
      <c r="K200" s="183">
        <f>7855+2075</f>
        <v>9930</v>
      </c>
      <c r="L200" s="238"/>
      <c r="M200" s="364">
        <f t="shared" ref="M200:M205" si="53">G200/G$228</f>
        <v>4.4560061680801848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558">
        <f>'[53]Sch C'!D212</f>
        <v>0</v>
      </c>
      <c r="D201" s="558">
        <f>'[53]Sch C'!F212</f>
        <v>13750</v>
      </c>
      <c r="E201" s="171">
        <f t="shared" si="50"/>
        <v>13750</v>
      </c>
      <c r="F201" s="171">
        <v>3337</v>
      </c>
      <c r="G201" s="171">
        <f t="shared" si="51"/>
        <v>17087</v>
      </c>
      <c r="H201" s="172">
        <f t="shared" si="52"/>
        <v>1.7205369501093624E-3</v>
      </c>
      <c r="I201" s="608"/>
      <c r="J201" s="168"/>
      <c r="K201" s="168"/>
      <c r="L201" s="238"/>
      <c r="M201" s="364">
        <f t="shared" si="53"/>
        <v>0.52696993060909791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558">
        <f>'[53]Sch C'!D213</f>
        <v>4393</v>
      </c>
      <c r="D202" s="558">
        <f>'[53]Sch C'!F213</f>
        <v>0</v>
      </c>
      <c r="E202" s="171">
        <f t="shared" si="50"/>
        <v>4393</v>
      </c>
      <c r="F202" s="171">
        <v>551</v>
      </c>
      <c r="G202" s="171">
        <f t="shared" si="51"/>
        <v>4944</v>
      </c>
      <c r="H202" s="172">
        <f t="shared" si="52"/>
        <v>4.9782493599465603E-4</v>
      </c>
      <c r="I202" s="608"/>
      <c r="J202" s="168"/>
      <c r="K202" s="168"/>
      <c r="L202" s="238"/>
      <c r="M202" s="364">
        <f t="shared" si="53"/>
        <v>0.15247494217424826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558">
        <f>'[53]Sch C'!D214</f>
        <v>0</v>
      </c>
      <c r="D203" s="558">
        <f>'[53]Sch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608"/>
      <c r="J203" s="168"/>
      <c r="K203" s="168"/>
      <c r="L203" s="23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558">
        <f>'[53]Sch C'!D215</f>
        <v>0</v>
      </c>
      <c r="D204" s="558">
        <f>'[53]Sch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608"/>
      <c r="J204" s="168"/>
      <c r="K204" s="168"/>
      <c r="L204" s="23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558">
        <f>'[53]Sch C'!D216</f>
        <v>5747</v>
      </c>
      <c r="D205" s="558">
        <f>'[53]Sch C'!F216</f>
        <v>0</v>
      </c>
      <c r="E205" s="171">
        <f t="shared" si="50"/>
        <v>5747</v>
      </c>
      <c r="F205" s="171">
        <v>1093</v>
      </c>
      <c r="G205" s="171">
        <f t="shared" si="51"/>
        <v>6840</v>
      </c>
      <c r="H205" s="172">
        <f t="shared" si="52"/>
        <v>6.8873838232270371E-4</v>
      </c>
      <c r="I205" s="608"/>
      <c r="J205" s="168"/>
      <c r="K205" s="168"/>
      <c r="L205" s="238"/>
      <c r="M205" s="364">
        <f t="shared" si="53"/>
        <v>0.21094834232845028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558">
        <f>SUM(C200:C205)</f>
        <v>117802</v>
      </c>
      <c r="D206" s="558">
        <f>SUM(D200:D205)</f>
        <v>20387</v>
      </c>
      <c r="E206" s="171">
        <f t="shared" ref="E206:F206" si="54">SUM(E200:E205)</f>
        <v>138189</v>
      </c>
      <c r="F206" s="171">
        <f t="shared" si="54"/>
        <v>35168</v>
      </c>
      <c r="G206" s="171">
        <f>SUM(G200:G205)</f>
        <v>173357</v>
      </c>
      <c r="H206" s="172">
        <f t="shared" si="52"/>
        <v>1.7455792360280255E-2</v>
      </c>
      <c r="I206" s="608"/>
      <c r="J206" s="168"/>
      <c r="K206" s="168"/>
      <c r="L206" s="238"/>
      <c r="M206" s="364">
        <f>G206/G$228</f>
        <v>5.3463993831919812</v>
      </c>
      <c r="N206" s="359">
        <f>SUMMARY!J209</f>
        <v>7.1515095990067339</v>
      </c>
      <c r="O206" s="354">
        <f>M206/N206-1</f>
        <v>-0.25240967530344405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493"/>
      <c r="J207" s="168"/>
      <c r="K207" s="168"/>
      <c r="L207" s="23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558">
        <f>SUM(C25:C206)/2</f>
        <v>8382716</v>
      </c>
      <c r="D208" s="558">
        <f>SUM(D25:D206)/2</f>
        <v>-47283</v>
      </c>
      <c r="E208" s="171">
        <f t="shared" ref="E208:F208" si="55">SUM(E25:E206)/2</f>
        <v>8335433</v>
      </c>
      <c r="F208" s="171">
        <f t="shared" si="55"/>
        <v>1595769</v>
      </c>
      <c r="G208" s="171">
        <f>SUM(G25:G206)/2</f>
        <v>9931202</v>
      </c>
      <c r="H208" s="172">
        <f>IF($G$208=0,0,G208/$G$208)</f>
        <v>1</v>
      </c>
      <c r="I208" s="336"/>
      <c r="J208" s="183">
        <f>SUM(J25:J200)</f>
        <v>236169.72107843138</v>
      </c>
      <c r="K208" s="183">
        <f>SUM(K25:K200)</f>
        <v>247401</v>
      </c>
      <c r="M208" s="364">
        <f>G208/G$228</f>
        <v>306.28225134926754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-0.70240034512130123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'[53]Sch C'!D221</f>
        <v>8382716.0099999998</v>
      </c>
      <c r="D211" s="196"/>
      <c r="E211" s="165"/>
      <c r="F211" s="628" t="s">
        <v>524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-9.9999997764825821E-3</v>
      </c>
      <c r="D212" s="229"/>
      <c r="E212" s="165"/>
      <c r="F212" s="628" t="s">
        <v>554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555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-2091</v>
      </c>
      <c r="D215" s="558">
        <f>D21-D208</f>
        <v>47283</v>
      </c>
      <c r="E215" s="171">
        <f t="shared" ref="E215:F215" si="56">E21-E208</f>
        <v>45192</v>
      </c>
      <c r="F215" s="171">
        <f t="shared" si="56"/>
        <v>88806</v>
      </c>
      <c r="G215" s="171">
        <f>G21-G208</f>
        <v>133998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'[53]Sch D'!C9</f>
        <v>17022</v>
      </c>
      <c r="D219" s="592"/>
      <c r="E219" s="235">
        <f t="shared" ref="E219:G227" si="57">C219+D219</f>
        <v>17022</v>
      </c>
      <c r="F219" s="234">
        <v>3152</v>
      </c>
      <c r="G219" s="235">
        <f t="shared" si="57"/>
        <v>20174</v>
      </c>
      <c r="H219" s="172">
        <f t="shared" ref="H219:H228" si="58">IF($G$228=0,0,G219/$G$228)</f>
        <v>0.62217424826522749</v>
      </c>
      <c r="I219" s="336"/>
      <c r="J219" s="168"/>
      <c r="K219" s="168"/>
    </row>
    <row r="220" spans="1:17">
      <c r="A220" s="163"/>
      <c r="B220" s="170" t="s">
        <v>217</v>
      </c>
      <c r="C220" s="592">
        <f>'[53]Sch D'!D9</f>
        <v>0</v>
      </c>
      <c r="D220" s="592"/>
      <c r="E220" s="171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'[53]Sch D'!E9</f>
        <v>3651</v>
      </c>
      <c r="D221" s="592"/>
      <c r="E221" s="171">
        <f t="shared" si="59"/>
        <v>3651</v>
      </c>
      <c r="F221" s="234">
        <v>773</v>
      </c>
      <c r="G221" s="235">
        <f t="shared" si="57"/>
        <v>4424</v>
      </c>
      <c r="H221" s="172">
        <f t="shared" si="58"/>
        <v>0.136437933693138</v>
      </c>
      <c r="I221" s="336"/>
      <c r="J221" s="168"/>
      <c r="K221" s="168"/>
    </row>
    <row r="222" spans="1:17">
      <c r="A222" s="163"/>
      <c r="B222" s="202" t="s">
        <v>334</v>
      </c>
      <c r="C222" s="592">
        <f>'[53]Sch D'!F9</f>
        <v>3734</v>
      </c>
      <c r="D222" s="592"/>
      <c r="E222" s="171">
        <f t="shared" si="59"/>
        <v>3734</v>
      </c>
      <c r="F222" s="234">
        <v>682</v>
      </c>
      <c r="G222" s="235">
        <f>E222+F222</f>
        <v>4416</v>
      </c>
      <c r="H222" s="172">
        <f t="shared" si="58"/>
        <v>0.13619121048573632</v>
      </c>
      <c r="I222" s="336"/>
      <c r="J222" s="168"/>
      <c r="K222" s="168"/>
    </row>
    <row r="223" spans="1:17">
      <c r="A223" s="163"/>
      <c r="B223" s="170" t="s">
        <v>73</v>
      </c>
      <c r="C223" s="592">
        <f>'[53]Sch D'!G9</f>
        <v>0</v>
      </c>
      <c r="D223" s="592"/>
      <c r="E223" s="171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'[53]Sch D'!H9</f>
        <v>971</v>
      </c>
      <c r="D224" s="592"/>
      <c r="E224" s="171">
        <f t="shared" si="59"/>
        <v>971</v>
      </c>
      <c r="F224" s="234">
        <v>116</v>
      </c>
      <c r="G224" s="235">
        <f t="shared" si="57"/>
        <v>1087</v>
      </c>
      <c r="H224" s="172">
        <f t="shared" si="58"/>
        <v>3.3523515805705471E-2</v>
      </c>
      <c r="I224" s="336"/>
      <c r="J224" s="168"/>
      <c r="K224" s="168"/>
    </row>
    <row r="225" spans="1:11">
      <c r="A225" s="163"/>
      <c r="B225" s="170" t="s">
        <v>236</v>
      </c>
      <c r="C225" s="592">
        <f>'[53]Sch D'!I9</f>
        <v>0</v>
      </c>
      <c r="D225" s="592"/>
      <c r="E225" s="171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'[53]Sch D'!J9</f>
        <v>1634</v>
      </c>
      <c r="D226" s="592"/>
      <c r="E226" s="171">
        <f t="shared" si="59"/>
        <v>1634</v>
      </c>
      <c r="F226" s="234">
        <v>690</v>
      </c>
      <c r="G226" s="235">
        <f>E226+F226</f>
        <v>2324</v>
      </c>
      <c r="H226" s="172">
        <f t="shared" si="58"/>
        <v>7.1673091750192749E-2</v>
      </c>
      <c r="I226" s="336"/>
      <c r="J226" s="168"/>
      <c r="K226" s="168"/>
    </row>
    <row r="227" spans="1:11">
      <c r="A227" s="163"/>
      <c r="B227" s="170" t="s">
        <v>179</v>
      </c>
      <c r="C227" s="592">
        <f>'[53]Sch D'!K9</f>
        <v>0</v>
      </c>
      <c r="D227" s="592"/>
      <c r="E227" s="171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27012</v>
      </c>
      <c r="D228" s="592">
        <f>SUM(D219:D227)</f>
        <v>0</v>
      </c>
      <c r="E228" s="237">
        <f>SUM(E219:E227)</f>
        <v>27012</v>
      </c>
      <c r="F228" s="237">
        <f>SUM(F219:F227)</f>
        <v>5413</v>
      </c>
      <c r="G228" s="237">
        <f>SUM(G219:G227)</f>
        <v>32425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'[53]Sch D'!N22</f>
        <v>220</v>
      </c>
      <c r="D231" s="559"/>
      <c r="E231" s="235">
        <f>C231+D231</f>
        <v>220</v>
      </c>
      <c r="F231" s="235"/>
      <c r="G231" s="235">
        <f>E231+F231</f>
        <v>220</v>
      </c>
      <c r="H231" s="167"/>
      <c r="J231" s="168"/>
      <c r="K231" s="168"/>
    </row>
    <row r="232" spans="1:11">
      <c r="A232" s="163"/>
      <c r="B232" s="202" t="s">
        <v>290</v>
      </c>
      <c r="C232" s="593">
        <f>'[53]Sch D'!N24</f>
        <v>220</v>
      </c>
      <c r="D232" s="559"/>
      <c r="E232" s="235">
        <f>C232+D232</f>
        <v>220</v>
      </c>
      <c r="F232" s="235"/>
      <c r="G232" s="235">
        <f>E232+F232</f>
        <v>220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'[53]Sch D'!N28</f>
        <v>67100</v>
      </c>
      <c r="D235" s="483"/>
      <c r="E235" s="234">
        <f>E231*E233</f>
        <v>67100</v>
      </c>
      <c r="F235" s="239"/>
      <c r="G235" s="234">
        <f>G231*G233</f>
        <v>80520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'[53]Sch D'!N30</f>
        <v>0.40256333830104324</v>
      </c>
      <c r="D236" s="239"/>
      <c r="E236" s="244">
        <f>E228/E235</f>
        <v>0.40256333830104324</v>
      </c>
      <c r="F236" s="245"/>
      <c r="G236" s="244">
        <f>G228/G235</f>
        <v>0.4026949826130154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'[53]Sch D'!N32</f>
        <v>0.25368107302533532</v>
      </c>
      <c r="D237" s="239"/>
      <c r="E237" s="244">
        <f>(E219+E220)/E235</f>
        <v>0.25368107302533532</v>
      </c>
      <c r="F237" s="245"/>
      <c r="G237" s="244">
        <f>(G219+G220)/G235</f>
        <v>0.25054644808743171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'[53]Sch D'!N34</f>
        <v>0.63016437139049308</v>
      </c>
      <c r="D238" s="239"/>
      <c r="E238" s="244">
        <f>(E237/E236)</f>
        <v>0.63016437139049308</v>
      </c>
      <c r="F238" s="245"/>
      <c r="G238" s="244">
        <f>(G237/G236)</f>
        <v>0.62217424826522749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'[53]Sch B'!C85</f>
        <v>249.01983002832861</v>
      </c>
    </row>
    <row r="242" spans="2:7">
      <c r="F242" s="142" t="s">
        <v>341</v>
      </c>
      <c r="G242" s="558">
        <f>'[53]Sch B'!E85</f>
        <v>433.8984962406015</v>
      </c>
    </row>
    <row r="243" spans="2:7">
      <c r="F243" s="142" t="s">
        <v>342</v>
      </c>
      <c r="G243" s="558">
        <f>'[53]Sch B'!G85</f>
        <v>423.09420289855075</v>
      </c>
    </row>
    <row r="244" spans="2:7">
      <c r="F244" s="142" t="s">
        <v>343</v>
      </c>
      <c r="G244" s="558">
        <f>'[53]Sch B'!I85*1/3+585*2/3</f>
        <v>544.63596491228066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5" sqref="F5"/>
      <pageMargins left="0" right="0" top="0.75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7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27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6"/>
      <c r="H1" s="472"/>
      <c r="I1" s="473"/>
    </row>
    <row r="2" spans="1:17" ht="20.5">
      <c r="B2" s="143" t="s">
        <v>189</v>
      </c>
      <c r="C2" s="409" t="s">
        <v>556</v>
      </c>
      <c r="D2" s="409"/>
      <c r="E2" s="144"/>
      <c r="F2"/>
      <c r="G2"/>
      <c r="H2"/>
    </row>
    <row r="3" spans="1:17" ht="16.25" customHeight="1">
      <c r="A3" s="145"/>
      <c r="B3" s="140" t="s">
        <v>79</v>
      </c>
      <c r="C3" s="489">
        <v>42186</v>
      </c>
      <c r="D3" s="144"/>
      <c r="E3" s="147"/>
      <c r="F3"/>
      <c r="G3" s="586"/>
      <c r="H3"/>
    </row>
    <row r="4" spans="1:17" ht="15" customHeight="1">
      <c r="A4" s="145"/>
      <c r="B4" s="148" t="s">
        <v>80</v>
      </c>
      <c r="C4" s="489">
        <v>42551</v>
      </c>
      <c r="D4" s="144"/>
      <c r="E4" s="149"/>
      <c r="F4"/>
      <c r="H4"/>
    </row>
    <row r="5" spans="1:17" ht="15" customHeight="1">
      <c r="A5" s="145"/>
      <c r="B5" s="148"/>
      <c r="C5" s="151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416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417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 ht="13.25" customHeight="1">
      <c r="B8" s="148"/>
      <c r="C8" s="160"/>
      <c r="D8" s="160"/>
      <c r="E8" s="160" t="s">
        <v>8</v>
      </c>
      <c r="F8" s="418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 ht="17" customHeight="1">
      <c r="A9" s="145"/>
      <c r="C9" s="151"/>
      <c r="D9" s="144"/>
      <c r="F9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'[54]Sch B'!E10</f>
        <v>3404362.92</v>
      </c>
      <c r="D11" s="558">
        <f>'[54]Sch B'!G10</f>
        <v>0</v>
      </c>
      <c r="E11" s="171">
        <f>C11+D11</f>
        <v>3404362.92</v>
      </c>
      <c r="F11" s="171"/>
      <c r="G11" s="171">
        <f t="shared" ref="G11:G20" si="0">E11+F11</f>
        <v>3404362.92</v>
      </c>
      <c r="H11" s="172">
        <f t="shared" ref="H11:H21" si="1">IF($G$21=0,0,G11/$G$21)</f>
        <v>0.40015116861199601</v>
      </c>
      <c r="I11" s="336"/>
      <c r="J11" s="368" t="s">
        <v>344</v>
      </c>
      <c r="K11" s="369">
        <f>G21</f>
        <v>8507692.0600000005</v>
      </c>
      <c r="M11" s="359">
        <f>IFERROR(G11/G219,0)</f>
        <v>294.08802004146509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'[54]Sch B'!E15</f>
        <v>0</v>
      </c>
      <c r="D12" s="558">
        <f>'[54]Sch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7156606.7843569359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'[54]Sch B'!E21</f>
        <v>3134347.53</v>
      </c>
      <c r="D13" s="558">
        <f>'[54]Sch B'!G21</f>
        <v>0</v>
      </c>
      <c r="E13" s="171">
        <f t="shared" si="2"/>
        <v>3134347.53</v>
      </c>
      <c r="F13" s="171"/>
      <c r="G13" s="171">
        <f t="shared" si="0"/>
        <v>3134347.53</v>
      </c>
      <c r="H13" s="172">
        <f t="shared" si="1"/>
        <v>0.36841337320335493</v>
      </c>
      <c r="I13" s="336"/>
      <c r="J13" s="370" t="s">
        <v>346</v>
      </c>
      <c r="K13" s="371">
        <f>G228</f>
        <v>25630</v>
      </c>
      <c r="M13" s="359">
        <f t="shared" si="3"/>
        <v>515.00945284258955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'[54]Sch B'!E27</f>
        <v>1171719.72</v>
      </c>
      <c r="D14" s="558">
        <f>'[54]Sch B'!G27</f>
        <v>0</v>
      </c>
      <c r="E14" s="171">
        <f t="shared" si="2"/>
        <v>1171719.72</v>
      </c>
      <c r="F14" s="171"/>
      <c r="G14" s="175">
        <f>E14+F14</f>
        <v>1171719.72</v>
      </c>
      <c r="H14" s="176">
        <f t="shared" si="1"/>
        <v>0.13772474505853236</v>
      </c>
      <c r="I14" s="337"/>
      <c r="J14" s="370" t="s">
        <v>347</v>
      </c>
      <c r="K14" s="371">
        <f>G231</f>
        <v>124</v>
      </c>
      <c r="M14" s="359">
        <f t="shared" si="3"/>
        <v>430.93774181684444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'[54]Sch B'!E32</f>
        <v>0</v>
      </c>
      <c r="D15" s="558">
        <f>'[54]Sch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45384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'[54]Sch B'!E37</f>
        <v>717544.29999999993</v>
      </c>
      <c r="D16" s="558">
        <f>'[54]Sch B'!G37</f>
        <v>0</v>
      </c>
      <c r="E16" s="171">
        <f t="shared" si="2"/>
        <v>717544.29999999993</v>
      </c>
      <c r="F16" s="171"/>
      <c r="G16" s="171">
        <f t="shared" si="0"/>
        <v>717544.29999999993</v>
      </c>
      <c r="H16" s="172">
        <f t="shared" si="1"/>
        <v>8.4340652545903255E-2</v>
      </c>
      <c r="I16" s="336"/>
      <c r="J16" s="372"/>
      <c r="K16" s="371"/>
      <c r="M16" s="359">
        <f t="shared" si="3"/>
        <v>161.39098065677013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'[54]Sch B'!E42</f>
        <v>134648.46000000002</v>
      </c>
      <c r="D17" s="558">
        <f>'[54]Sch B'!G42</f>
        <v>0</v>
      </c>
      <c r="E17" s="171">
        <f t="shared" si="2"/>
        <v>134648.46000000002</v>
      </c>
      <c r="F17" s="171"/>
      <c r="G17" s="171">
        <f>E17+F17</f>
        <v>134648.46000000002</v>
      </c>
      <c r="H17" s="172">
        <f t="shared" si="1"/>
        <v>1.5826672974338943E-2</v>
      </c>
      <c r="I17" s="336"/>
      <c r="J17" s="370" t="s">
        <v>156</v>
      </c>
      <c r="K17" s="371">
        <f>J208</f>
        <v>174427.74999999997</v>
      </c>
      <c r="M17" s="359">
        <f t="shared" si="3"/>
        <v>189.64571830985918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'[54]Sch B'!E47</f>
        <v>16700</v>
      </c>
      <c r="D18" s="558">
        <f>'[54]Sch B'!G47</f>
        <v>0</v>
      </c>
      <c r="E18" s="171">
        <f t="shared" si="2"/>
        <v>16700</v>
      </c>
      <c r="F18" s="171"/>
      <c r="G18" s="171">
        <f>E18+F18</f>
        <v>16700</v>
      </c>
      <c r="H18" s="172">
        <f t="shared" si="1"/>
        <v>1.9629295327362847E-3</v>
      </c>
      <c r="I18" s="336"/>
      <c r="J18" s="373" t="s">
        <v>252</v>
      </c>
      <c r="K18" s="374">
        <f>K208</f>
        <v>181910.73000000004</v>
      </c>
      <c r="M18" s="359">
        <f t="shared" si="3"/>
        <v>179.56989247311827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'[54]Sch B'!E52</f>
        <v>0</v>
      </c>
      <c r="D19" s="558">
        <f>'[54]Sch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'[54]Sch B'!E67</f>
        <v>-70682.209999999992</v>
      </c>
      <c r="D20" s="558">
        <f>'[54]Sch B'!G67</f>
        <v>-948.66000000000008</v>
      </c>
      <c r="E20" s="171">
        <f t="shared" si="2"/>
        <v>-71630.87</v>
      </c>
      <c r="F20" s="171"/>
      <c r="G20" s="171">
        <f t="shared" si="0"/>
        <v>-71630.87</v>
      </c>
      <c r="H20" s="172">
        <f t="shared" si="1"/>
        <v>-8.4195419268618885E-3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8508640.7199999988</v>
      </c>
      <c r="D21" s="558">
        <f>SUM(D11:D20)</f>
        <v>-948.66000000000008</v>
      </c>
      <c r="E21" s="171">
        <f>SUM(E11:E20)</f>
        <v>8507692.0600000005</v>
      </c>
      <c r="F21" s="171">
        <f>SUM(F11:F20)</f>
        <v>0</v>
      </c>
      <c r="G21" s="171">
        <f>SUM(G11:G20)</f>
        <v>8507692.0600000005</v>
      </c>
      <c r="H21" s="172">
        <f t="shared" si="1"/>
        <v>1</v>
      </c>
      <c r="I21" s="336"/>
      <c r="J21" s="168"/>
      <c r="K21" s="168"/>
      <c r="M21" s="359">
        <f>IFERROR(G21/G228,0)</f>
        <v>331.94272571205619</v>
      </c>
      <c r="N21" s="359">
        <f>SUMMARY!J24</f>
        <v>278.37842406091033</v>
      </c>
      <c r="P21"/>
      <c r="Q21"/>
    </row>
    <row r="22" spans="1:17" ht="13.25" customHeight="1">
      <c r="A22" s="145"/>
      <c r="B22" s="179"/>
      <c r="C22" s="151"/>
      <c r="D22" s="144"/>
      <c r="F22"/>
      <c r="G22" s="586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'[54]Sch C'!D10</f>
        <v>191468.69</v>
      </c>
      <c r="D25" s="558">
        <f>'[54]Sch C'!F10</f>
        <v>0</v>
      </c>
      <c r="E25" s="171">
        <f t="shared" ref="E25:E60" si="4">C25+D25</f>
        <v>191468.69</v>
      </c>
      <c r="F25" s="171"/>
      <c r="G25" s="182">
        <f>E25+F25</f>
        <v>191468.69</v>
      </c>
      <c r="H25" s="172">
        <f>IF($G$208=0,0,G25/$G$208)</f>
        <v>2.6754116268972099E-2</v>
      </c>
      <c r="I25" s="336"/>
      <c r="J25" s="183">
        <v>2080.08</v>
      </c>
      <c r="K25" s="183">
        <v>2080.08</v>
      </c>
      <c r="M25" s="359">
        <f>G25/G$228</f>
        <v>7.4704912212251271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'[54]Sch C'!D11</f>
        <v>0</v>
      </c>
      <c r="D26" s="558">
        <f>'[54]Sch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'[54]Sch C'!D12</f>
        <v>200447.26</v>
      </c>
      <c r="D27" s="558">
        <f>'[54]Sch C'!F12</f>
        <v>-44812.4</v>
      </c>
      <c r="E27" s="171">
        <f t="shared" si="4"/>
        <v>155634.86000000002</v>
      </c>
      <c r="F27" s="171"/>
      <c r="G27" s="171">
        <f t="shared" si="5"/>
        <v>155634.86000000002</v>
      </c>
      <c r="H27" s="172">
        <f t="shared" si="6"/>
        <v>2.1747018480907744E-2</v>
      </c>
      <c r="I27" s="336"/>
      <c r="J27" s="185">
        <v>11622.52</v>
      </c>
      <c r="K27" s="185">
        <v>12362.939999999999</v>
      </c>
      <c r="M27" s="359">
        <f t="shared" si="7"/>
        <v>6.0723706593835356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'[54]Sch C'!D13</f>
        <v>109396.38</v>
      </c>
      <c r="D28" s="558">
        <f>'[54]Sch C'!F13</f>
        <v>-15282.73</v>
      </c>
      <c r="E28" s="171">
        <f t="shared" si="4"/>
        <v>94113.650000000009</v>
      </c>
      <c r="F28" s="171"/>
      <c r="G28" s="171">
        <f t="shared" si="5"/>
        <v>94113.650000000009</v>
      </c>
      <c r="H28" s="172">
        <f t="shared" si="6"/>
        <v>1.3150596761263402E-2</v>
      </c>
      <c r="I28" s="336"/>
      <c r="J28" s="168"/>
      <c r="K28" s="168"/>
      <c r="M28" s="359">
        <f t="shared" si="7"/>
        <v>3.6720113148653923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'[54]Sch C'!D14</f>
        <v>0</v>
      </c>
      <c r="D29" s="558">
        <f>'[54]Sch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'[54]Sch C'!D15</f>
        <v>621461.68999999994</v>
      </c>
      <c r="D30" s="558">
        <f>'[54]Sch C'!F15</f>
        <v>-621461.68999999994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'[54]Sch C'!D16</f>
        <v>0</v>
      </c>
      <c r="D31" s="558">
        <f>'[54]Sch C'!F16</f>
        <v>281748</v>
      </c>
      <c r="E31" s="171">
        <f t="shared" si="4"/>
        <v>281748</v>
      </c>
      <c r="F31" s="171"/>
      <c r="G31" s="171">
        <f t="shared" si="5"/>
        <v>281748</v>
      </c>
      <c r="H31" s="172">
        <f t="shared" si="6"/>
        <v>3.9368936772640743E-2</v>
      </c>
      <c r="I31" s="336"/>
      <c r="J31" s="168"/>
      <c r="K31" s="168"/>
      <c r="M31" s="359">
        <f t="shared" si="7"/>
        <v>10.992898946547015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'[54]Sch C'!D17</f>
        <v>278.41000000000003</v>
      </c>
      <c r="D32" s="558">
        <f>'[54]Sch C'!F17</f>
        <v>0</v>
      </c>
      <c r="E32" s="171">
        <f t="shared" si="4"/>
        <v>278.41000000000003</v>
      </c>
      <c r="F32" s="171"/>
      <c r="G32" s="171">
        <f t="shared" si="5"/>
        <v>278.41000000000003</v>
      </c>
      <c r="H32" s="172">
        <f t="shared" si="6"/>
        <v>3.8902514611890449E-5</v>
      </c>
      <c r="I32" s="336"/>
      <c r="J32" s="168"/>
      <c r="K32" s="168"/>
      <c r="M32" s="359">
        <f t="shared" si="7"/>
        <v>1.086266094420601E-2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'[54]Sch C'!D18</f>
        <v>33510.36</v>
      </c>
      <c r="D33" s="558">
        <f>'[54]Sch C'!F18</f>
        <v>0</v>
      </c>
      <c r="E33" s="171">
        <f t="shared" si="4"/>
        <v>33510.36</v>
      </c>
      <c r="F33" s="171"/>
      <c r="G33" s="171">
        <f t="shared" si="5"/>
        <v>33510.36</v>
      </c>
      <c r="H33" s="172">
        <f t="shared" si="6"/>
        <v>4.682436943894649E-3</v>
      </c>
      <c r="I33" s="336"/>
      <c r="J33" s="168"/>
      <c r="K33" s="168"/>
      <c r="M33" s="359">
        <f t="shared" si="7"/>
        <v>1.3074662504877097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'[54]Sch C'!D19</f>
        <v>22845.34</v>
      </c>
      <c r="D34" s="558">
        <f>'[54]Sch C'!F19</f>
        <v>1613</v>
      </c>
      <c r="E34" s="171">
        <f t="shared" si="4"/>
        <v>24458.34</v>
      </c>
      <c r="F34" s="171"/>
      <c r="G34" s="171">
        <f t="shared" si="5"/>
        <v>24458.34</v>
      </c>
      <c r="H34" s="172">
        <f t="shared" si="6"/>
        <v>3.4175889128716086E-3</v>
      </c>
      <c r="I34" s="336"/>
      <c r="J34" s="168"/>
      <c r="K34" s="168"/>
      <c r="M34" s="359">
        <f t="shared" si="7"/>
        <v>0.95428560280920793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'[54]Sch C'!D20</f>
        <v>19862.919999999998</v>
      </c>
      <c r="D35" s="558">
        <f>'[54]Sch C'!F20</f>
        <v>0</v>
      </c>
      <c r="E35" s="171">
        <f t="shared" si="4"/>
        <v>19862.919999999998</v>
      </c>
      <c r="F35" s="171"/>
      <c r="G35" s="171">
        <f t="shared" si="5"/>
        <v>19862.919999999998</v>
      </c>
      <c r="H35" s="172">
        <f t="shared" si="6"/>
        <v>2.7754661669293882E-3</v>
      </c>
      <c r="I35" s="336"/>
      <c r="J35" s="168"/>
      <c r="K35" s="168"/>
      <c r="M35" s="359">
        <f t="shared" si="7"/>
        <v>0.77498712446351925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'[54]Sch C'!D21</f>
        <v>70083.009999999995</v>
      </c>
      <c r="D36" s="558">
        <f>'[54]Sch C'!F21</f>
        <v>28638</v>
      </c>
      <c r="E36" s="171">
        <f t="shared" si="4"/>
        <v>98721.01</v>
      </c>
      <c r="F36" s="171"/>
      <c r="G36" s="171">
        <f t="shared" si="5"/>
        <v>98721.01</v>
      </c>
      <c r="H36" s="172">
        <f t="shared" si="6"/>
        <v>1.3794387895641618E-2</v>
      </c>
      <c r="I36" s="336"/>
      <c r="J36" s="168"/>
      <c r="K36" s="168"/>
      <c r="M36" s="359">
        <f t="shared" si="7"/>
        <v>3.8517756535310181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'[54]Sch C'!D22</f>
        <v>0</v>
      </c>
      <c r="D37" s="558">
        <f>'[54]Sch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'[54]Sch C'!D23</f>
        <v>34949.9</v>
      </c>
      <c r="D38" s="558">
        <f>'[54]Sch C'!F23</f>
        <v>43357</v>
      </c>
      <c r="E38" s="171">
        <f t="shared" si="4"/>
        <v>78306.899999999994</v>
      </c>
      <c r="F38" s="171"/>
      <c r="G38" s="171">
        <f t="shared" si="5"/>
        <v>78306.899999999994</v>
      </c>
      <c r="H38" s="172">
        <f t="shared" si="6"/>
        <v>1.0941903385158018E-2</v>
      </c>
      <c r="I38" s="336"/>
      <c r="J38" s="168"/>
      <c r="K38" s="168"/>
      <c r="M38" s="359">
        <f t="shared" si="7"/>
        <v>3.0552828716348026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'[54]Sch C'!D24</f>
        <v>59957.17</v>
      </c>
      <c r="D39" s="558">
        <f>'[54]Sch C'!F24</f>
        <v>0</v>
      </c>
      <c r="E39" s="171">
        <f t="shared" si="4"/>
        <v>59957.17</v>
      </c>
      <c r="F39" s="171"/>
      <c r="G39" s="171">
        <f t="shared" si="5"/>
        <v>59957.17</v>
      </c>
      <c r="H39" s="172">
        <f t="shared" si="6"/>
        <v>8.3778768076311887E-3</v>
      </c>
      <c r="I39" s="336"/>
      <c r="J39" s="168"/>
      <c r="K39" s="168"/>
      <c r="M39" s="359">
        <f t="shared" si="7"/>
        <v>2.339335544284042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'[54]Sch C'!D25</f>
        <v>0</v>
      </c>
      <c r="D40" s="558">
        <f>'[54]Sch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'[54]Sch C'!D26</f>
        <v>307623.32</v>
      </c>
      <c r="D41" s="558">
        <f>'[54]Sch C'!F26</f>
        <v>574.03999999997905</v>
      </c>
      <c r="E41" s="171">
        <f t="shared" si="4"/>
        <v>308197.36</v>
      </c>
      <c r="F41" s="171"/>
      <c r="G41" s="171">
        <f t="shared" si="5"/>
        <v>308197.36</v>
      </c>
      <c r="H41" s="172">
        <f t="shared" si="6"/>
        <v>4.30647329504905E-2</v>
      </c>
      <c r="I41" s="336"/>
      <c r="J41" s="168"/>
      <c r="K41" s="168"/>
      <c r="M41" s="359">
        <f t="shared" si="7"/>
        <v>12.024867733125243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'[54]Sch C'!D27</f>
        <v>4881.49</v>
      </c>
      <c r="D42" s="558">
        <f>'[54]Sch C'!F27</f>
        <v>11465.84</v>
      </c>
      <c r="E42" s="171">
        <f t="shared" si="4"/>
        <v>16347.33</v>
      </c>
      <c r="F42" s="171"/>
      <c r="G42" s="171">
        <f t="shared" si="5"/>
        <v>16347.33</v>
      </c>
      <c r="H42" s="172">
        <f t="shared" si="6"/>
        <v>2.2842291734865667E-3</v>
      </c>
      <c r="I42" s="336"/>
      <c r="J42" s="168"/>
      <c r="K42" s="168"/>
      <c r="M42" s="359">
        <f t="shared" si="7"/>
        <v>0.63782013265704252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'[54]Sch C'!D28</f>
        <v>0</v>
      </c>
      <c r="D43" s="558">
        <f>'[54]Sch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'[54]Sch C'!D29</f>
        <v>89365.66</v>
      </c>
      <c r="D44" s="558">
        <f>'[54]Sch C'!F29</f>
        <v>-89365.66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'[54]Sch C'!D30</f>
        <v>71</v>
      </c>
      <c r="D45" s="558">
        <f>'[54]Sch C'!F30</f>
        <v>-71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'[54]Sch C'!D31</f>
        <v>0</v>
      </c>
      <c r="D46" s="558">
        <f>'[54]Sch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'[54]Sch C'!D32</f>
        <v>124717.21</v>
      </c>
      <c r="D47" s="558">
        <f>'[54]Sch C'!F32</f>
        <v>6513</v>
      </c>
      <c r="E47" s="171">
        <f t="shared" si="4"/>
        <v>131230.21000000002</v>
      </c>
      <c r="F47" s="171"/>
      <c r="G47" s="171">
        <f t="shared" si="5"/>
        <v>131230.21000000002</v>
      </c>
      <c r="H47" s="172">
        <f t="shared" si="6"/>
        <v>1.8336931726757131E-2</v>
      </c>
      <c r="I47" s="336"/>
      <c r="J47" s="168"/>
      <c r="K47" s="168"/>
      <c r="M47" s="359">
        <f t="shared" si="7"/>
        <v>5.1201798673429586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'[54]Sch C'!D33</f>
        <v>0</v>
      </c>
      <c r="D48" s="558">
        <f>'[54]Sch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'[54]Sch C'!D34</f>
        <v>0</v>
      </c>
      <c r="D49" s="558">
        <f>'[54]Sch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'[54]Sch C'!D35</f>
        <v>1495</v>
      </c>
      <c r="D50" s="558">
        <f>'[54]Sch C'!F35</f>
        <v>-1495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'[54]Sch C'!D36</f>
        <v>0</v>
      </c>
      <c r="D51" s="558">
        <f>'[54]Sch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'[54]Sch C'!D37</f>
        <v>0</v>
      </c>
      <c r="D52" s="558">
        <f>'[54]Sch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'[54]Sch C'!D38</f>
        <v>0</v>
      </c>
      <c r="D53" s="558">
        <f>'[54]Sch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'[54]Sch C'!D39</f>
        <v>25107.03</v>
      </c>
      <c r="D54" s="558">
        <f>'[54]Sch C'!F39</f>
        <v>5309</v>
      </c>
      <c r="E54" s="171">
        <f t="shared" si="4"/>
        <v>30416.03</v>
      </c>
      <c r="F54" s="171"/>
      <c r="G54" s="171">
        <f t="shared" si="5"/>
        <v>30416.03</v>
      </c>
      <c r="H54" s="172">
        <f t="shared" si="6"/>
        <v>4.2500630419550238E-3</v>
      </c>
      <c r="I54" s="336"/>
      <c r="J54" s="168"/>
      <c r="K54" s="168"/>
      <c r="M54" s="359">
        <f t="shared" si="7"/>
        <v>1.1867354662504876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'[54]Sch C'!D40</f>
        <v>35762.18</v>
      </c>
      <c r="D55" s="558">
        <f>'[54]Sch C'!F40</f>
        <v>-35762.18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'[54]Sch C'!D41</f>
        <v>30699.24</v>
      </c>
      <c r="D56" s="558">
        <f>'[54]Sch C'!F41</f>
        <v>29641</v>
      </c>
      <c r="E56" s="171">
        <f t="shared" si="4"/>
        <v>60340.240000000005</v>
      </c>
      <c r="F56" s="171"/>
      <c r="G56" s="171">
        <f t="shared" si="5"/>
        <v>60340.240000000005</v>
      </c>
      <c r="H56" s="172">
        <f t="shared" si="6"/>
        <v>8.4314035712976416E-3</v>
      </c>
      <c r="I56" s="336"/>
      <c r="J56" s="168"/>
      <c r="K56" s="168"/>
      <c r="M56" s="359">
        <f t="shared" si="7"/>
        <v>2.3542817011314869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'[54]Sch C'!D42</f>
        <v>2044.41</v>
      </c>
      <c r="D57" s="558">
        <f>'[54]Sch C'!F42</f>
        <v>4731</v>
      </c>
      <c r="E57" s="171">
        <f t="shared" si="4"/>
        <v>6775.41</v>
      </c>
      <c r="F57" s="171"/>
      <c r="G57" s="171">
        <f t="shared" si="5"/>
        <v>6775.41</v>
      </c>
      <c r="H57" s="172">
        <f t="shared" si="6"/>
        <v>9.4673498267500676E-4</v>
      </c>
      <c r="I57" s="336"/>
      <c r="J57" s="168"/>
      <c r="K57" s="168"/>
      <c r="M57" s="359">
        <f t="shared" si="7"/>
        <v>0.2643546625048771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'[54]Sch C'!D43</f>
        <v>0</v>
      </c>
      <c r="D58" s="558">
        <f>'[54]Sch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'[54]Sch C'!D44</f>
        <v>0</v>
      </c>
      <c r="D59" s="558">
        <f>'[54]Sch C'!F44</f>
        <v>-400</v>
      </c>
      <c r="E59" s="171">
        <f t="shared" si="4"/>
        <v>-400</v>
      </c>
      <c r="F59" s="171"/>
      <c r="G59" s="171">
        <f t="shared" si="5"/>
        <v>-400</v>
      </c>
      <c r="H59" s="172">
        <f t="shared" si="6"/>
        <v>-5.5892409916153077E-5</v>
      </c>
      <c r="I59" s="336"/>
      <c r="J59" s="168"/>
      <c r="K59" s="168"/>
      <c r="M59" s="359">
        <f t="shared" si="7"/>
        <v>-1.5606710885680842E-2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'[54]Sch C'!D45</f>
        <v>3344.75</v>
      </c>
      <c r="D60" s="558">
        <f>'[54]Sch C'!F45</f>
        <v>559.5</v>
      </c>
      <c r="E60" s="171">
        <f t="shared" si="4"/>
        <v>3904.25</v>
      </c>
      <c r="F60" s="171">
        <v>-354.5</v>
      </c>
      <c r="G60" s="171">
        <f t="shared" si="5"/>
        <v>3549.75</v>
      </c>
      <c r="H60" s="172">
        <f t="shared" si="6"/>
        <v>4.9601020524966098E-4</v>
      </c>
      <c r="I60" s="336" t="s">
        <v>691</v>
      </c>
      <c r="J60" s="168"/>
      <c r="K60" s="168"/>
      <c r="M60" s="359">
        <f t="shared" si="7"/>
        <v>0.13849980491611394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1989372.4199999997</v>
      </c>
      <c r="D61" s="558">
        <f>SUM(D25:D60)</f>
        <v>-394501.27999999997</v>
      </c>
      <c r="E61" s="171">
        <f t="shared" ref="E61:F61" si="8">SUM(E25:E60)</f>
        <v>1594871.1400000001</v>
      </c>
      <c r="F61" s="171">
        <f t="shared" si="8"/>
        <v>-354.5</v>
      </c>
      <c r="G61" s="171">
        <f>SUM(G25:G60)</f>
        <v>1594516.6400000001</v>
      </c>
      <c r="H61" s="186">
        <f t="shared" si="6"/>
        <v>0.22280344415251774</v>
      </c>
      <c r="I61" s="338"/>
      <c r="J61" s="168"/>
      <c r="K61" s="168"/>
      <c r="M61" s="364">
        <f>G61/G$228</f>
        <v>62.212900507218109</v>
      </c>
      <c r="N61" s="359">
        <f>SUMMARY!J64</f>
        <v>53.728790309602623</v>
      </c>
      <c r="O61" s="354">
        <f>M61/N61-1</f>
        <v>0.15790622027273105</v>
      </c>
      <c r="P61"/>
      <c r="Q61"/>
    </row>
    <row r="62" spans="1:17" s="167" customFormat="1">
      <c r="A62" s="163"/>
      <c r="C62" s="165"/>
      <c r="D62" s="165"/>
      <c r="E62" s="165"/>
      <c r="F62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 ht="15" customHeight="1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'[54]Sch C'!D57</f>
        <v>995612.04</v>
      </c>
      <c r="D64" s="558">
        <f>'[54]Sch C'!F57</f>
        <v>-995612.04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'[54]Sch C'!D58</f>
        <v>62402.6</v>
      </c>
      <c r="D65" s="558">
        <f>'[54]Sch C'!F58</f>
        <v>115000.32000000001</v>
      </c>
      <c r="E65" s="171">
        <f t="shared" si="9"/>
        <v>177402.92</v>
      </c>
      <c r="F65" s="171"/>
      <c r="G65" s="171">
        <f t="shared" si="10"/>
        <v>177402.92</v>
      </c>
      <c r="H65" s="172">
        <f t="shared" si="11"/>
        <v>2.4788691812406279E-2</v>
      </c>
      <c r="I65" s="336"/>
      <c r="J65" s="190"/>
      <c r="K65" s="168"/>
      <c r="M65" s="359">
        <f t="shared" si="12"/>
        <v>6.9216902067889201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'[54]Sch C'!D59</f>
        <v>0</v>
      </c>
      <c r="D66" s="558">
        <f>'[54]Sch C'!F59</f>
        <v>235571.76</v>
      </c>
      <c r="E66" s="171">
        <f t="shared" si="9"/>
        <v>235571.76</v>
      </c>
      <c r="F66" s="171"/>
      <c r="G66" s="171">
        <f t="shared" si="10"/>
        <v>235571.76</v>
      </c>
      <c r="H66" s="172">
        <f t="shared" si="11"/>
        <v>3.2916683436474081E-2</v>
      </c>
      <c r="I66" s="336"/>
      <c r="J66" s="190"/>
      <c r="K66" s="168"/>
      <c r="M66" s="359">
        <f t="shared" si="12"/>
        <v>9.1912508778774882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'[54]Sch C'!D60</f>
        <v>47378.28</v>
      </c>
      <c r="D67" s="558">
        <f>'[54]Sch C'!F60</f>
        <v>53753.78</v>
      </c>
      <c r="E67" s="171">
        <f t="shared" si="9"/>
        <v>101132.06</v>
      </c>
      <c r="F67" s="171"/>
      <c r="G67" s="171">
        <f t="shared" si="10"/>
        <v>101132.06</v>
      </c>
      <c r="H67" s="172">
        <f t="shared" si="11"/>
        <v>1.4131286382962471E-2</v>
      </c>
      <c r="I67" s="336"/>
      <c r="J67" s="193"/>
      <c r="K67" s="168"/>
      <c r="M67" s="359">
        <f t="shared" si="12"/>
        <v>3.9458470542333202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'[54]Sch C'!D61</f>
        <v>17488.849999999999</v>
      </c>
      <c r="D68" s="558">
        <f>'[54]Sch C'!F61</f>
        <v>890</v>
      </c>
      <c r="E68" s="171">
        <f t="shared" si="9"/>
        <v>18378.849999999999</v>
      </c>
      <c r="F68" s="171"/>
      <c r="G68" s="171">
        <f t="shared" si="10"/>
        <v>18378.849999999999</v>
      </c>
      <c r="H68" s="172">
        <f t="shared" si="11"/>
        <v>2.5680955449687249E-3</v>
      </c>
      <c r="I68" s="336"/>
      <c r="J68" s="193"/>
      <c r="K68" s="168"/>
      <c r="M68" s="359">
        <f t="shared" si="12"/>
        <v>0.71708349590323839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'[54]Sch C'!D62</f>
        <v>0</v>
      </c>
      <c r="D69" s="558">
        <f>'[54]Sch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'[54]Sch C'!D63</f>
        <v>0</v>
      </c>
      <c r="D70" s="558">
        <f>'[54]Sch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'[54]Sch C'!D64</f>
        <v>0</v>
      </c>
      <c r="D71" s="558">
        <f>'[54]Sch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'[54]Sch C'!D65</f>
        <v>0</v>
      </c>
      <c r="D72" s="558">
        <f>'[54]Sch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'[54]Sch C'!D66</f>
        <v>0</v>
      </c>
      <c r="D73" s="558">
        <f>'[54]Sch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'[54]Sch C'!D67</f>
        <v>29116.07</v>
      </c>
      <c r="D74" s="558">
        <f>'[54]Sch C'!F67</f>
        <v>25971.64</v>
      </c>
      <c r="E74" s="171">
        <f t="shared" si="9"/>
        <v>55087.71</v>
      </c>
      <c r="F74" s="171"/>
      <c r="G74" s="171">
        <f t="shared" si="10"/>
        <v>55087.71</v>
      </c>
      <c r="H74" s="172">
        <f t="shared" si="11"/>
        <v>7.6974621716554125E-3</v>
      </c>
      <c r="I74" s="336"/>
      <c r="J74" s="195"/>
      <c r="K74" s="168"/>
      <c r="M74" s="359">
        <f t="shared" si="12"/>
        <v>2.1493449083105736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'[54]Sch C'!D68</f>
        <v>0</v>
      </c>
      <c r="D75" s="558">
        <f>'[54]Sch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'[54]Sch C'!D69</f>
        <v>0</v>
      </c>
      <c r="D76" s="558">
        <f>'[54]Sch C'!F69</f>
        <v>3184.32</v>
      </c>
      <c r="E76" s="171">
        <f t="shared" si="9"/>
        <v>3184.32</v>
      </c>
      <c r="F76" s="171"/>
      <c r="G76" s="171">
        <f t="shared" si="10"/>
        <v>3184.32</v>
      </c>
      <c r="H76" s="172">
        <f t="shared" si="11"/>
        <v>4.4494829686051146E-4</v>
      </c>
      <c r="I76" s="336"/>
      <c r="J76" s="195"/>
      <c r="K76" s="168"/>
      <c r="M76" s="359">
        <f t="shared" si="12"/>
        <v>0.12424190401872806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'[54]Sch C'!D70</f>
        <v>0</v>
      </c>
      <c r="D77" s="558">
        <f>'[54]Sch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'[54]Sch C'!D71</f>
        <v>0</v>
      </c>
      <c r="D78" s="558">
        <f>'[54]Sch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1151997.8400000003</v>
      </c>
      <c r="D79" s="558">
        <f>SUM(D64:D78)</f>
        <v>-561240.22</v>
      </c>
      <c r="E79" s="171">
        <f t="shared" ref="E79:F79" si="13">SUM(E64:E78)</f>
        <v>590757.62</v>
      </c>
      <c r="F79" s="171">
        <f t="shared" si="13"/>
        <v>0</v>
      </c>
      <c r="G79" s="171">
        <f>SUM(G64:G78)</f>
        <v>590757.62</v>
      </c>
      <c r="H79" s="172">
        <f t="shared" si="11"/>
        <v>8.2547167645327477E-2</v>
      </c>
      <c r="I79" s="336"/>
      <c r="J79" s="195"/>
      <c r="K79" s="168"/>
      <c r="M79" s="359">
        <f t="shared" si="12"/>
        <v>23.049458447132267</v>
      </c>
      <c r="N79" s="359">
        <f>SUMMARY!J82</f>
        <v>22.656344165426013</v>
      </c>
      <c r="P79"/>
      <c r="Q79"/>
    </row>
    <row r="80" spans="1:17" s="167" customFormat="1" ht="15" customHeight="1">
      <c r="A80" s="163"/>
      <c r="B80" s="170"/>
      <c r="C80" s="196"/>
      <c r="D80" s="196"/>
      <c r="E80" s="196"/>
      <c r="F80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 ht="15" customHeight="1">
      <c r="A81" s="169" t="s">
        <v>163</v>
      </c>
      <c r="B81" s="170" t="s">
        <v>43</v>
      </c>
      <c r="C81" s="165"/>
      <c r="D81" s="165"/>
      <c r="E81" s="165"/>
      <c r="F81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'[54]Sch C'!D75</f>
        <v>46551.29</v>
      </c>
      <c r="D82" s="558">
        <f>'[54]Sch C'!F75</f>
        <v>0</v>
      </c>
      <c r="E82" s="171">
        <f t="shared" ref="E82:E92" si="14">C82+D82</f>
        <v>46551.29</v>
      </c>
      <c r="F82" s="171"/>
      <c r="G82" s="171">
        <f t="shared" ref="G82:G92" si="15">E82+F82</f>
        <v>46551.29</v>
      </c>
      <c r="H82" s="172">
        <f t="shared" ref="H82:H93" si="16">IF($G$208=0,0,G82/$G$208)</f>
        <v>6.5046594570142939E-3</v>
      </c>
      <c r="I82" s="336"/>
      <c r="J82" s="183">
        <v>2596.59</v>
      </c>
      <c r="K82" s="183">
        <v>2705.17</v>
      </c>
      <c r="M82" s="359">
        <f t="shared" ref="M82:M92" si="17">G82/G$228</f>
        <v>1.8162813109637144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'[54]Sch C'!D76</f>
        <v>12394.08</v>
      </c>
      <c r="D83" s="558">
        <f>'[54]Sch C'!F76</f>
        <v>0</v>
      </c>
      <c r="E83" s="171">
        <f t="shared" si="14"/>
        <v>12394.08</v>
      </c>
      <c r="F83" s="171"/>
      <c r="G83" s="171">
        <f t="shared" si="15"/>
        <v>12394.08</v>
      </c>
      <c r="H83" s="172">
        <f t="shared" si="16"/>
        <v>1.7318374997339864E-3</v>
      </c>
      <c r="I83" s="336"/>
      <c r="J83" s="168"/>
      <c r="K83" s="168"/>
      <c r="M83" s="359">
        <f t="shared" si="17"/>
        <v>0.48357705813499807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'[54]Sch C'!D77</f>
        <v>4688.55</v>
      </c>
      <c r="D84" s="558">
        <f>'[54]Sch C'!F77</f>
        <v>0</v>
      </c>
      <c r="E84" s="171">
        <f t="shared" si="14"/>
        <v>4688.55</v>
      </c>
      <c r="F84" s="171"/>
      <c r="G84" s="171">
        <f t="shared" si="15"/>
        <v>4688.55</v>
      </c>
      <c r="H84" s="172">
        <f t="shared" si="16"/>
        <v>6.5513589628094881E-4</v>
      </c>
      <c r="I84" s="336"/>
      <c r="J84" s="168"/>
      <c r="K84" s="168"/>
      <c r="M84" s="359">
        <f t="shared" si="17"/>
        <v>0.18293211080764729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'[54]Sch C'!D78</f>
        <v>29275.42</v>
      </c>
      <c r="D85" s="558">
        <f>'[54]Sch C'!F78</f>
        <v>2304</v>
      </c>
      <c r="E85" s="171">
        <f t="shared" si="14"/>
        <v>31579.42</v>
      </c>
      <c r="F85" s="171"/>
      <c r="G85" s="171">
        <f t="shared" si="15"/>
        <v>31579.42</v>
      </c>
      <c r="H85" s="172">
        <f t="shared" si="16"/>
        <v>4.4126247188859069E-3</v>
      </c>
      <c r="I85" s="336"/>
      <c r="J85" s="168"/>
      <c r="K85" s="168"/>
      <c r="M85" s="359">
        <f t="shared" si="17"/>
        <v>1.2321271946937182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'[54]Sch C'!D79</f>
        <v>6820.6</v>
      </c>
      <c r="D86" s="558">
        <f>'[54]Sch C'!F79</f>
        <v>0</v>
      </c>
      <c r="E86" s="171">
        <f t="shared" si="14"/>
        <v>6820.6</v>
      </c>
      <c r="F86" s="171"/>
      <c r="G86" s="171">
        <f>E86+F86</f>
        <v>6820.6</v>
      </c>
      <c r="H86" s="172">
        <f t="shared" si="16"/>
        <v>9.530494276852843E-4</v>
      </c>
      <c r="I86" s="336"/>
      <c r="J86" s="168"/>
      <c r="K86" s="168"/>
      <c r="M86" s="359">
        <f t="shared" si="17"/>
        <v>0.26611783066718692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'[54]Sch C'!D80</f>
        <v>41776.699999999997</v>
      </c>
      <c r="D87" s="558">
        <f>'[54]Sch C'!F80</f>
        <v>0</v>
      </c>
      <c r="E87" s="171">
        <f t="shared" si="14"/>
        <v>41776.699999999997</v>
      </c>
      <c r="F87" s="171"/>
      <c r="G87" s="171">
        <f t="shared" si="15"/>
        <v>41776.699999999997</v>
      </c>
      <c r="H87" s="172">
        <f t="shared" si="16"/>
        <v>5.8375011033603803E-3</v>
      </c>
      <c r="I87" s="336"/>
      <c r="J87" s="168"/>
      <c r="K87" s="168"/>
      <c r="M87" s="359">
        <f t="shared" si="17"/>
        <v>1.629992196644557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'[54]Sch C'!D81</f>
        <v>15785.65</v>
      </c>
      <c r="D88" s="558">
        <f>'[54]Sch C'!F81</f>
        <v>0</v>
      </c>
      <c r="E88" s="171">
        <f t="shared" si="14"/>
        <v>15785.65</v>
      </c>
      <c r="F88" s="171"/>
      <c r="G88" s="171">
        <f t="shared" si="15"/>
        <v>15785.65</v>
      </c>
      <c r="H88" s="172">
        <f t="shared" si="16"/>
        <v>2.2057450514823044E-3</v>
      </c>
      <c r="I88" s="336"/>
      <c r="J88" s="168"/>
      <c r="K88" s="168"/>
      <c r="M88" s="359">
        <f t="shared" si="17"/>
        <v>0.6159051892313695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'[54]Sch C'!D82</f>
        <v>0</v>
      </c>
      <c r="D89" s="558">
        <f>'[54]Sch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'[54]Sch C'!D83</f>
        <v>0</v>
      </c>
      <c r="D90" s="558">
        <f>'[54]Sch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'[54]Sch C'!D84</f>
        <v>163434.76</v>
      </c>
      <c r="D91" s="558">
        <f>'[54]Sch C'!F84</f>
        <v>1299</v>
      </c>
      <c r="E91" s="171">
        <f t="shared" si="14"/>
        <v>164733.76000000001</v>
      </c>
      <c r="F91" s="171"/>
      <c r="G91" s="171">
        <f t="shared" si="15"/>
        <v>164733.76000000001</v>
      </c>
      <c r="H91" s="172">
        <f t="shared" si="16"/>
        <v>2.3018417102372953E-2</v>
      </c>
      <c r="I91" s="336"/>
      <c r="J91" s="168"/>
      <c r="K91" s="168"/>
      <c r="M91" s="359">
        <f t="shared" si="17"/>
        <v>6.427380413577839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'[54]Sch C'!D85</f>
        <v>327.63</v>
      </c>
      <c r="D92" s="558">
        <f>'[54]Sch C'!F85</f>
        <v>0</v>
      </c>
      <c r="E92" s="171">
        <f t="shared" si="14"/>
        <v>327.63</v>
      </c>
      <c r="F92" s="171"/>
      <c r="G92" s="171">
        <f t="shared" si="15"/>
        <v>327.63</v>
      </c>
      <c r="H92" s="172">
        <f t="shared" si="16"/>
        <v>4.5780075652073085E-5</v>
      </c>
      <c r="I92" s="336"/>
      <c r="J92" s="168"/>
      <c r="K92" s="168"/>
      <c r="M92" s="359">
        <f t="shared" si="17"/>
        <v>1.2783066718689036E-2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321054.68000000005</v>
      </c>
      <c r="D93" s="558">
        <f>SUM(D82:D92)</f>
        <v>3603</v>
      </c>
      <c r="E93" s="171">
        <f t="shared" ref="E93:F93" si="18">SUM(E82:E92)</f>
        <v>324657.68000000005</v>
      </c>
      <c r="F93" s="171">
        <f t="shared" si="18"/>
        <v>0</v>
      </c>
      <c r="G93" s="171">
        <f>SUM(G82:G92)</f>
        <v>324657.68000000005</v>
      </c>
      <c r="H93" s="172">
        <f t="shared" si="16"/>
        <v>4.5364750332468139E-2</v>
      </c>
      <c r="I93" s="336"/>
      <c r="J93" s="168"/>
      <c r="K93" s="168"/>
      <c r="M93" s="364">
        <f>G93/G$228</f>
        <v>12.667096371439721</v>
      </c>
      <c r="N93" s="359">
        <f>SUMMARY!J96</f>
        <v>11.458724454710746</v>
      </c>
      <c r="O93" s="354">
        <f>M93/N93-1</f>
        <v>0.10545431313100528</v>
      </c>
      <c r="P93"/>
      <c r="Q93"/>
    </row>
    <row r="94" spans="1:17" s="167" customFormat="1">
      <c r="A94" s="163"/>
      <c r="C94" s="165"/>
      <c r="D94" s="165"/>
      <c r="E94" s="165"/>
      <c r="F94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'[54]Sch C'!D89</f>
        <v>244807.73</v>
      </c>
      <c r="D96" s="558">
        <f>'[54]Sch C'!F89</f>
        <v>0</v>
      </c>
      <c r="E96" s="171">
        <f t="shared" ref="E96:E101" si="19">C96+D96</f>
        <v>244807.73</v>
      </c>
      <c r="F96" s="171"/>
      <c r="G96" s="171">
        <f t="shared" ref="G96:G101" si="20">E96+F96</f>
        <v>244807.73</v>
      </c>
      <c r="H96" s="172">
        <f t="shared" ref="H96:H102" si="21">IF($G$208=0,0,G96/$G$208)</f>
        <v>3.4207234989507312E-2</v>
      </c>
      <c r="I96" s="336"/>
      <c r="J96" s="183">
        <v>21629.49</v>
      </c>
      <c r="K96" s="183">
        <v>22793.510000000002</v>
      </c>
      <c r="M96" s="364">
        <f t="shared" ref="M96:M101" si="22">G96/G$228</f>
        <v>9.5516086617245417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'[54]Sch C'!D90</f>
        <v>69204.34</v>
      </c>
      <c r="D97" s="558">
        <f>'[54]Sch C'!F90</f>
        <v>0</v>
      </c>
      <c r="E97" s="171">
        <f t="shared" si="19"/>
        <v>69204.34</v>
      </c>
      <c r="F97" s="171"/>
      <c r="G97" s="171">
        <f t="shared" si="20"/>
        <v>69204.34</v>
      </c>
      <c r="H97" s="172">
        <f t="shared" si="21"/>
        <v>9.6699933481420725E-3</v>
      </c>
      <c r="I97" s="336"/>
      <c r="J97" s="168"/>
      <c r="K97" s="168"/>
      <c r="M97" s="364">
        <f t="shared" si="22"/>
        <v>2.7001303160358954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'[54]Sch C'!D91</f>
        <v>22220.55</v>
      </c>
      <c r="D98" s="558">
        <f>'[54]Sch C'!F91</f>
        <v>0</v>
      </c>
      <c r="E98" s="171">
        <f t="shared" si="19"/>
        <v>22220.55</v>
      </c>
      <c r="F98" s="171"/>
      <c r="G98" s="171">
        <f t="shared" si="20"/>
        <v>22220.55</v>
      </c>
      <c r="H98" s="172">
        <f t="shared" si="21"/>
        <v>3.1049002229059379E-3</v>
      </c>
      <c r="I98" s="336"/>
      <c r="J98" s="168"/>
      <c r="K98" s="168"/>
      <c r="M98" s="364">
        <f t="shared" si="22"/>
        <v>0.86697424892703856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'[54]Sch C'!D92</f>
        <v>188870.74</v>
      </c>
      <c r="D99" s="558">
        <f>'[54]Sch C'!F92</f>
        <v>-642</v>
      </c>
      <c r="E99" s="171">
        <f t="shared" si="19"/>
        <v>188228.74</v>
      </c>
      <c r="F99" s="171"/>
      <c r="G99" s="171">
        <f t="shared" si="20"/>
        <v>188228.74</v>
      </c>
      <c r="H99" s="172">
        <f t="shared" si="21"/>
        <v>2.6301394735202498E-2</v>
      </c>
      <c r="I99" s="336"/>
      <c r="J99" s="168"/>
      <c r="K99" s="168"/>
      <c r="M99" s="364">
        <f t="shared" si="22"/>
        <v>7.344078813889972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'[54]Sch C'!D93</f>
        <v>10567.04</v>
      </c>
      <c r="D100" s="558">
        <f>'[54]Sch C'!F93</f>
        <v>0</v>
      </c>
      <c r="E100" s="171">
        <f t="shared" si="19"/>
        <v>10567.04</v>
      </c>
      <c r="F100" s="171"/>
      <c r="G100" s="171">
        <f t="shared" si="20"/>
        <v>10567.04</v>
      </c>
      <c r="H100" s="172">
        <f t="shared" si="21"/>
        <v>1.4765433282009656E-3</v>
      </c>
      <c r="I100" s="336"/>
      <c r="J100" s="168"/>
      <c r="K100" s="168"/>
      <c r="M100" s="364">
        <f t="shared" si="22"/>
        <v>0.41229184549356229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'[54]Sch C'!D94</f>
        <v>6621.28</v>
      </c>
      <c r="D101" s="558">
        <f>'[54]Sch C'!F94</f>
        <v>0</v>
      </c>
      <c r="E101" s="171">
        <f t="shared" si="19"/>
        <v>6621.28</v>
      </c>
      <c r="F101" s="171"/>
      <c r="G101" s="171">
        <f t="shared" si="20"/>
        <v>6621.28</v>
      </c>
      <c r="H101" s="172">
        <f t="shared" si="21"/>
        <v>9.2519823982406514E-4</v>
      </c>
      <c r="I101" s="336"/>
      <c r="J101" s="168"/>
      <c r="K101" s="168"/>
      <c r="M101" s="364">
        <f t="shared" si="22"/>
        <v>0.25834100663285214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542291.68000000005</v>
      </c>
      <c r="D102" s="558">
        <f>SUM(D96:D101)</f>
        <v>-642</v>
      </c>
      <c r="E102" s="171">
        <f t="shared" ref="E102:F102" si="23">SUM(E96:E101)</f>
        <v>541649.68000000005</v>
      </c>
      <c r="F102" s="171">
        <f t="shared" si="23"/>
        <v>0</v>
      </c>
      <c r="G102" s="171">
        <f>SUM(G96:G101)</f>
        <v>541649.68000000005</v>
      </c>
      <c r="H102" s="172">
        <f t="shared" si="21"/>
        <v>7.5685264863782867E-2</v>
      </c>
      <c r="I102" s="336"/>
      <c r="J102" s="168"/>
      <c r="K102" s="168"/>
      <c r="M102" s="364">
        <f>G102/G$228</f>
        <v>21.133424892703864</v>
      </c>
      <c r="N102" s="359">
        <f>SUMMARY!J105</f>
        <v>19.901077037785338</v>
      </c>
      <c r="O102" s="354">
        <f>M102/N102-1</f>
        <v>6.1923676421065998E-2</v>
      </c>
      <c r="P102"/>
      <c r="Q102"/>
    </row>
    <row r="103" spans="1:17" s="167" customFormat="1">
      <c r="A103" s="163"/>
      <c r="C103" s="165"/>
      <c r="D103" s="165"/>
      <c r="E103" s="165"/>
      <c r="F103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'[54]Sch C'!D98</f>
        <v>26586.16</v>
      </c>
      <c r="D105" s="558">
        <f>'[54]Sch C'!F98</f>
        <v>0</v>
      </c>
      <c r="E105" s="171">
        <f t="shared" ref="E105:E110" si="24">C105+D105</f>
        <v>26586.16</v>
      </c>
      <c r="F105" s="171"/>
      <c r="G105" s="171">
        <f t="shared" ref="G105:G110" si="25">E105+F105</f>
        <v>26586.16</v>
      </c>
      <c r="H105" s="172">
        <f t="shared" ref="H105:H111" si="26">IF($G$208=0,0,G105/$G$208)</f>
        <v>3.7149113820410806E-3</v>
      </c>
      <c r="I105" s="336"/>
      <c r="J105" s="183">
        <v>2886.09</v>
      </c>
      <c r="K105" s="183">
        <v>3119.09</v>
      </c>
      <c r="M105" s="364">
        <f t="shared" ref="M105:M110" si="27">G105/G$228</f>
        <v>1.0373062817011314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'[54]Sch C'!D99</f>
        <v>7746.83</v>
      </c>
      <c r="D106" s="558">
        <f>'[54]Sch C'!F99</f>
        <v>0</v>
      </c>
      <c r="E106" s="171">
        <f t="shared" si="24"/>
        <v>7746.83</v>
      </c>
      <c r="F106" s="171"/>
      <c r="G106" s="171">
        <f t="shared" si="25"/>
        <v>7746.83</v>
      </c>
      <c r="H106" s="172">
        <f t="shared" si="26"/>
        <v>1.0824724947768804E-3</v>
      </c>
      <c r="I106" s="336"/>
      <c r="J106" s="168"/>
      <c r="K106" s="168"/>
      <c r="M106" s="364">
        <f t="shared" si="27"/>
        <v>0.30225634022629733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'[54]Sch C'!D100</f>
        <v>5264.62</v>
      </c>
      <c r="D107" s="558">
        <f>'[54]Sch C'!F100</f>
        <v>0</v>
      </c>
      <c r="E107" s="171">
        <f t="shared" si="24"/>
        <v>5264.62</v>
      </c>
      <c r="F107" s="171"/>
      <c r="G107" s="171">
        <f t="shared" si="25"/>
        <v>5264.62</v>
      </c>
      <c r="H107" s="172">
        <f t="shared" si="26"/>
        <v>7.3563074773194453E-4</v>
      </c>
      <c r="I107" s="336"/>
      <c r="J107" s="168"/>
      <c r="K107" s="168"/>
      <c r="M107" s="364">
        <f t="shared" si="27"/>
        <v>0.20540850565743268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'[54]Sch C'!D101</f>
        <v>0</v>
      </c>
      <c r="D108" s="558">
        <f>'[54]Sch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'[54]Sch C'!D102</f>
        <v>5808.13</v>
      </c>
      <c r="D109" s="558">
        <f>'[54]Sch C'!F102</f>
        <v>0</v>
      </c>
      <c r="E109" s="171">
        <f t="shared" si="24"/>
        <v>5808.13</v>
      </c>
      <c r="F109" s="171"/>
      <c r="G109" s="171">
        <f t="shared" si="25"/>
        <v>5808.13</v>
      </c>
      <c r="H109" s="172">
        <f t="shared" si="26"/>
        <v>8.115759570157655E-4</v>
      </c>
      <c r="I109" s="336"/>
      <c r="J109" s="168"/>
      <c r="K109" s="168"/>
      <c r="M109" s="364">
        <f t="shared" si="27"/>
        <v>0.22661451424112369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'[54]Sch C'!D103</f>
        <v>0</v>
      </c>
      <c r="D110" s="558">
        <f>'[54]Sch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45405.74</v>
      </c>
      <c r="D111" s="558">
        <f>SUM(D105:D110)</f>
        <v>0</v>
      </c>
      <c r="E111" s="171">
        <f t="shared" ref="E111:F111" si="28">SUM(E105:E110)</f>
        <v>45405.74</v>
      </c>
      <c r="F111" s="171">
        <f t="shared" si="28"/>
        <v>0</v>
      </c>
      <c r="G111" s="171">
        <f>SUM(G105:G110)</f>
        <v>45405.74</v>
      </c>
      <c r="H111" s="172">
        <f t="shared" si="26"/>
        <v>6.3445905815656713E-3</v>
      </c>
      <c r="I111" s="336"/>
      <c r="J111" s="168"/>
      <c r="K111" s="168"/>
      <c r="M111" s="364">
        <f>G111/G$228</f>
        <v>1.771585641825985</v>
      </c>
      <c r="N111" s="359">
        <f>SUMMARY!J114</f>
        <v>2.4242384372309496</v>
      </c>
      <c r="O111" s="354">
        <f>M111/N111-1</f>
        <v>-0.26921972087467083</v>
      </c>
      <c r="P111"/>
      <c r="Q111"/>
    </row>
    <row r="112" spans="1:17" s="167" customFormat="1">
      <c r="A112" s="163"/>
      <c r="C112" s="165"/>
      <c r="D112" s="165"/>
      <c r="E112" s="165"/>
      <c r="F112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'[54]Sch C'!D115</f>
        <v>78863.27</v>
      </c>
      <c r="D114" s="558">
        <f>'[54]Sch C'!F115</f>
        <v>0</v>
      </c>
      <c r="E114" s="171">
        <f t="shared" ref="E114:E118" si="29">C114+D114</f>
        <v>78863.27</v>
      </c>
      <c r="F114" s="171"/>
      <c r="G114" s="171">
        <f>E114+F114</f>
        <v>78863.27</v>
      </c>
      <c r="H114" s="172">
        <f t="shared" ref="H114:H119" si="30">IF($G$208=0,0,G114/$G$208)</f>
        <v>1.1019645535420645E-2</v>
      </c>
      <c r="I114" s="336"/>
      <c r="J114" s="183">
        <v>8729.1200000000008</v>
      </c>
      <c r="K114" s="183">
        <v>9312.2000000000007</v>
      </c>
      <c r="M114" s="364">
        <f t="shared" ref="M114:M119" si="31">G114/G$228</f>
        <v>3.0769906359734689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'[54]Sch C'!D116</f>
        <v>19698.43</v>
      </c>
      <c r="D115" s="558">
        <f>'[54]Sch C'!F116</f>
        <v>0</v>
      </c>
      <c r="E115" s="171">
        <f t="shared" si="29"/>
        <v>19698.43</v>
      </c>
      <c r="F115" s="171"/>
      <c r="G115" s="171">
        <f>E115+F115</f>
        <v>19698.43</v>
      </c>
      <c r="H115" s="172">
        <f t="shared" si="30"/>
        <v>2.7524818106616183E-3</v>
      </c>
      <c r="I115" s="336"/>
      <c r="J115" s="168"/>
      <c r="K115" s="168"/>
      <c r="M115" s="364">
        <f t="shared" si="31"/>
        <v>0.76856925477955518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'[54]Sch C'!D117</f>
        <v>21870.39</v>
      </c>
      <c r="D116" s="558">
        <f>'[54]Sch C'!F117</f>
        <v>0</v>
      </c>
      <c r="E116" s="171">
        <f t="shared" si="29"/>
        <v>21870.39</v>
      </c>
      <c r="F116" s="171"/>
      <c r="G116" s="171">
        <f>E116+F116</f>
        <v>21870.39</v>
      </c>
      <c r="H116" s="172">
        <f t="shared" si="30"/>
        <v>3.0559720072653378E-3</v>
      </c>
      <c r="I116" s="336"/>
      <c r="J116" s="168"/>
      <c r="K116" s="168"/>
      <c r="M116" s="364">
        <f t="shared" si="31"/>
        <v>0.85331213421771357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'[54]Sch C'!D118</f>
        <v>890</v>
      </c>
      <c r="D117" s="558">
        <f>'[54]Sch C'!F118</f>
        <v>0</v>
      </c>
      <c r="E117" s="171">
        <f t="shared" si="29"/>
        <v>890</v>
      </c>
      <c r="F117" s="171"/>
      <c r="G117" s="171">
        <f>E117+F117</f>
        <v>890</v>
      </c>
      <c r="H117" s="172">
        <f t="shared" si="30"/>
        <v>1.243606120634406E-4</v>
      </c>
      <c r="I117" s="336"/>
      <c r="J117" s="168"/>
      <c r="K117" s="168"/>
      <c r="M117" s="364">
        <f t="shared" si="31"/>
        <v>3.4724931720639875E-2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'[54]Sch C'!D119</f>
        <v>243.2</v>
      </c>
      <c r="D118" s="558">
        <f>'[54]Sch C'!F119</f>
        <v>0</v>
      </c>
      <c r="E118" s="171">
        <f t="shared" si="29"/>
        <v>243.2</v>
      </c>
      <c r="F118" s="171"/>
      <c r="G118" s="171">
        <f>E118+F118</f>
        <v>243.2</v>
      </c>
      <c r="H118" s="172">
        <f t="shared" si="30"/>
        <v>3.3982585229021068E-5</v>
      </c>
      <c r="I118" s="336"/>
      <c r="J118" s="168"/>
      <c r="K118" s="168"/>
      <c r="M118" s="364">
        <f t="shared" si="31"/>
        <v>9.488880218493952E-3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121565.29000000001</v>
      </c>
      <c r="D119" s="558">
        <f>SUM(D114:D118)</f>
        <v>0</v>
      </c>
      <c r="E119" s="171">
        <f t="shared" ref="E119:F119" si="32">SUM(E114:E118)</f>
        <v>121565.29000000001</v>
      </c>
      <c r="F119" s="171">
        <f t="shared" si="32"/>
        <v>0</v>
      </c>
      <c r="G119" s="171">
        <f>SUM(G114:G118)</f>
        <v>121565.29000000001</v>
      </c>
      <c r="H119" s="172">
        <f t="shared" si="30"/>
        <v>1.6986442550640062E-2</v>
      </c>
      <c r="I119" s="336"/>
      <c r="J119" s="168"/>
      <c r="K119" s="168"/>
      <c r="M119" s="364">
        <f t="shared" si="31"/>
        <v>4.7430858369098718</v>
      </c>
      <c r="N119" s="359">
        <f>SUMMARY!J122</f>
        <v>6.0247597205909562</v>
      </c>
      <c r="O119" s="354">
        <f>M119/N119-1</f>
        <v>-0.21273443973220685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'[54]Sch C'!D124</f>
        <v>84795.8</v>
      </c>
      <c r="D123" s="558">
        <f>'[54]Sch C'!F124</f>
        <v>0</v>
      </c>
      <c r="E123" s="171">
        <f t="shared" ref="E123:E127" si="33">C123+D123</f>
        <v>84795.8</v>
      </c>
      <c r="F123" s="171"/>
      <c r="G123" s="171">
        <f>E123+F123</f>
        <v>84795.8</v>
      </c>
      <c r="H123" s="172">
        <f>IF($G$208=0,0,G123/$G$208)</f>
        <v>1.1848604031920333E-2</v>
      </c>
      <c r="I123" s="336"/>
      <c r="J123" s="183">
        <v>1970.08</v>
      </c>
      <c r="K123" s="183">
        <v>2080.08</v>
      </c>
      <c r="M123" s="364">
        <f t="shared" ref="M123:M160" si="34">G123/G$228</f>
        <v>3.308458837300039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'[54]Sch C'!D125</f>
        <v>49629.619999999995</v>
      </c>
      <c r="D124" s="558">
        <f>'[54]Sch C'!F125</f>
        <v>0</v>
      </c>
      <c r="E124" s="171">
        <f t="shared" si="33"/>
        <v>49629.619999999995</v>
      </c>
      <c r="F124" s="171"/>
      <c r="G124" s="171">
        <f>E124+F124</f>
        <v>49629.619999999995</v>
      </c>
      <c r="H124" s="172">
        <f>IF($G$208=0,0,G124/$G$208)</f>
        <v>6.9347976625572724E-3</v>
      </c>
      <c r="I124" s="336"/>
      <c r="J124" s="183">
        <v>2081.36</v>
      </c>
      <c r="K124" s="183">
        <v>2151.36</v>
      </c>
      <c r="M124" s="364">
        <f t="shared" si="34"/>
        <v>1.936387826765509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'[54]Sch C'!D126</f>
        <v>0</v>
      </c>
      <c r="D125" s="558">
        <f>'[54]Sch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'[54]Sch C'!D127</f>
        <v>0</v>
      </c>
      <c r="D126" s="558">
        <f>'[54]Sch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'[54]Sch C'!D128</f>
        <v>48066.33</v>
      </c>
      <c r="D127" s="558">
        <f>'[54]Sch C'!F128</f>
        <v>44210</v>
      </c>
      <c r="E127" s="171">
        <f t="shared" si="33"/>
        <v>92276.33</v>
      </c>
      <c r="F127" s="171"/>
      <c r="G127" s="171">
        <f>E127+F127</f>
        <v>92276.33</v>
      </c>
      <c r="H127" s="172">
        <f>IF($G$208=0,0,G127/$G$208)</f>
        <v>1.2893866154795534E-2</v>
      </c>
      <c r="I127" s="336"/>
      <c r="J127" s="183">
        <v>2934.05</v>
      </c>
      <c r="K127" s="183">
        <v>3116.9700000000003</v>
      </c>
      <c r="M127" s="364">
        <f t="shared" si="34"/>
        <v>3.6003250097541946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'[54]Sch C'!D130</f>
        <v>20167.242869341342</v>
      </c>
      <c r="D129" s="558">
        <f>'[54]Sch C'!F130</f>
        <v>0</v>
      </c>
      <c r="E129" s="171">
        <f t="shared" ref="E129:E133" si="35">C129+D129</f>
        <v>20167.242869341342</v>
      </c>
      <c r="F129" s="171"/>
      <c r="G129" s="171">
        <f>E129+F129</f>
        <v>20167.242869341342</v>
      </c>
      <c r="H129" s="172">
        <f>IF($G$208=0,0,G129/$G$208)</f>
        <v>2.8179895133296036E-3</v>
      </c>
      <c r="I129" s="336"/>
      <c r="J129" s="204"/>
      <c r="K129" s="204"/>
      <c r="M129" s="364">
        <f t="shared" si="34"/>
        <v>0.78686082205779717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'[54]Sch C'!D131</f>
        <v>11096.47148759722</v>
      </c>
      <c r="D130" s="558">
        <f>'[54]Sch C'!F131</f>
        <v>0</v>
      </c>
      <c r="E130" s="171">
        <f t="shared" si="35"/>
        <v>11096.47148759722</v>
      </c>
      <c r="F130" s="171">
        <v>305</v>
      </c>
      <c r="G130" s="171">
        <f>E130+F130</f>
        <v>11401.47148759722</v>
      </c>
      <c r="H130" s="172">
        <f>IF($G$208=0,0,G130/$G$208)</f>
        <v>1.5931392950802887E-3</v>
      </c>
      <c r="I130" s="336" t="s">
        <v>668</v>
      </c>
      <c r="J130" s="204"/>
      <c r="K130" s="204"/>
      <c r="M130" s="364">
        <f t="shared" si="34"/>
        <v>0.44484867294565822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'[54]Sch C'!D132</f>
        <v>305.12</v>
      </c>
      <c r="D131" s="558">
        <f>'[54]Sch C'!F132</f>
        <v>0</v>
      </c>
      <c r="E131" s="171">
        <f t="shared" si="35"/>
        <v>305.12</v>
      </c>
      <c r="F131" s="171">
        <v>-305</v>
      </c>
      <c r="G131" s="171">
        <f>E131+F131</f>
        <v>0.12000000000000455</v>
      </c>
      <c r="H131" s="172">
        <f>IF($G$208=0,0,G131/$G$208)</f>
        <v>1.6767722974846559E-8</v>
      </c>
      <c r="I131" s="336" t="s">
        <v>669</v>
      </c>
      <c r="J131" s="168"/>
      <c r="K131" s="168"/>
      <c r="M131" s="364">
        <f t="shared" si="34"/>
        <v>4.6820132657044303E-6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'[54]Sch C'!D133</f>
        <v>0</v>
      </c>
      <c r="D132" s="558">
        <f>'[54]Sch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'[54]Sch C'!D134</f>
        <v>14386.8</v>
      </c>
      <c r="D133" s="558">
        <f>'[54]Sch C'!F134</f>
        <v>0</v>
      </c>
      <c r="E133" s="171">
        <f t="shared" si="35"/>
        <v>14386.8</v>
      </c>
      <c r="F133" s="171"/>
      <c r="G133" s="171">
        <f>E133+F133</f>
        <v>14386.8</v>
      </c>
      <c r="H133" s="172">
        <f>IF($G$208=0,0,G133/$G$208)</f>
        <v>2.0102823074542777E-3</v>
      </c>
      <c r="I133" s="336"/>
      <c r="J133" s="168"/>
      <c r="K133" s="168"/>
      <c r="M133" s="364">
        <f t="shared" si="34"/>
        <v>0.56132657042528289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'[54]Sch C'!D136</f>
        <v>625426.98</v>
      </c>
      <c r="D135" s="558">
        <f>'[54]Sch C'!F136</f>
        <v>0</v>
      </c>
      <c r="E135" s="171">
        <f t="shared" ref="E135:E138" si="36">C135+D135</f>
        <v>625426.98</v>
      </c>
      <c r="F135" s="171"/>
      <c r="G135" s="171">
        <f>E135+F135</f>
        <v>625426.98</v>
      </c>
      <c r="H135" s="172">
        <f>IF($G$208=0,0,G135/$G$208)</f>
        <v>8.7391552846954185E-2</v>
      </c>
      <c r="I135" s="336"/>
      <c r="J135" s="183">
        <v>23029.16</v>
      </c>
      <c r="K135" s="183">
        <v>23870.07</v>
      </c>
      <c r="M135" s="364">
        <f t="shared" si="34"/>
        <v>24.402145142411236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'[54]Sch C'!D137</f>
        <v>201923.92</v>
      </c>
      <c r="D136" s="558">
        <f>'[54]Sch C'!F137</f>
        <v>0</v>
      </c>
      <c r="E136" s="171">
        <f t="shared" si="36"/>
        <v>201923.92</v>
      </c>
      <c r="F136" s="171"/>
      <c r="G136" s="171">
        <f>E136+F136</f>
        <v>201923.92</v>
      </c>
      <c r="H136" s="172">
        <f>IF($G$208=0,0,G136/$G$208)</f>
        <v>2.8215036271291256E-2</v>
      </c>
      <c r="I136" s="336"/>
      <c r="J136" s="183">
        <v>9265.26</v>
      </c>
      <c r="K136" s="183">
        <v>9585.51</v>
      </c>
      <c r="M136" s="364">
        <f t="shared" si="34"/>
        <v>7.8784206008583695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'[54]Sch C'!D138</f>
        <v>607990.88</v>
      </c>
      <c r="D137" s="558">
        <f>'[54]Sch C'!F138</f>
        <v>0</v>
      </c>
      <c r="E137" s="171">
        <f t="shared" si="36"/>
        <v>607990.88</v>
      </c>
      <c r="F137" s="171"/>
      <c r="G137" s="171">
        <f>E137+F137</f>
        <v>607990.88</v>
      </c>
      <c r="H137" s="172">
        <f>IF($G$208=0,0,G137/$G$208)</f>
        <v>8.495518872560659E-2</v>
      </c>
      <c r="I137" s="336"/>
      <c r="J137" s="183">
        <v>46883.34</v>
      </c>
      <c r="K137" s="183">
        <v>48185.03</v>
      </c>
      <c r="M137" s="364">
        <f t="shared" si="34"/>
        <v>23.721844713226687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'[54]Sch C'!D139</f>
        <v>171150.22</v>
      </c>
      <c r="D138" s="558">
        <f>'[54]Sch C'!F139</f>
        <v>0</v>
      </c>
      <c r="E138" s="171">
        <f t="shared" si="36"/>
        <v>171150.22</v>
      </c>
      <c r="F138" s="171"/>
      <c r="G138" s="171">
        <f>E138+F138</f>
        <v>171150.22</v>
      </c>
      <c r="H138" s="172">
        <f>IF($G$208=0,0,G138/$G$208)</f>
        <v>2.3914995633699452E-2</v>
      </c>
      <c r="I138" s="336"/>
      <c r="J138" s="183">
        <v>12283.99</v>
      </c>
      <c r="K138" s="183">
        <v>12594.17</v>
      </c>
      <c r="M138" s="364">
        <f t="shared" si="34"/>
        <v>6.6777300039016776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'[54]Sch C'!D141</f>
        <v>148747.20000000001</v>
      </c>
      <c r="D140" s="558">
        <f>'[54]Sch C'!F141</f>
        <v>0</v>
      </c>
      <c r="E140" s="171">
        <f t="shared" ref="E140:E143" si="37">C140+D140</f>
        <v>148747.20000000001</v>
      </c>
      <c r="F140" s="171"/>
      <c r="G140" s="171">
        <f>E140+F140</f>
        <v>148747.20000000001</v>
      </c>
      <c r="H140" s="172">
        <f>IF($G$208=0,0,G140/$G$208)</f>
        <v>2.0784598690700016E-2</v>
      </c>
      <c r="I140" s="336"/>
      <c r="J140" s="168"/>
      <c r="K140" s="168"/>
      <c r="M140" s="364">
        <f t="shared" si="34"/>
        <v>5.8036363636363637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'[54]Sch C'!D142</f>
        <v>48024.18</v>
      </c>
      <c r="D141" s="558">
        <f>'[54]Sch C'!F142</f>
        <v>0</v>
      </c>
      <c r="E141" s="171">
        <f t="shared" si="37"/>
        <v>48024.18</v>
      </c>
      <c r="F141" s="171"/>
      <c r="G141" s="171">
        <f>E141+F141</f>
        <v>48024.18</v>
      </c>
      <c r="H141" s="172">
        <f>IF($G$208=0,0,G141/$G$208)</f>
        <v>6.710467886117801E-3</v>
      </c>
      <c r="I141" s="336"/>
      <c r="J141" s="168"/>
      <c r="K141" s="168"/>
      <c r="M141" s="364">
        <f t="shared" si="34"/>
        <v>1.8737487319547406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'[54]Sch C'!D143</f>
        <v>144600.32000000001</v>
      </c>
      <c r="D142" s="558">
        <f>'[54]Sch C'!F143</f>
        <v>0</v>
      </c>
      <c r="E142" s="171">
        <f t="shared" si="37"/>
        <v>144600.32000000001</v>
      </c>
      <c r="F142" s="171"/>
      <c r="G142" s="171">
        <f>E142+F142</f>
        <v>144600.32000000001</v>
      </c>
      <c r="H142" s="172">
        <f>IF($G$208=0,0,G142/$G$208)</f>
        <v>2.0205150898617272E-2</v>
      </c>
      <c r="I142" s="336"/>
      <c r="J142" s="168"/>
      <c r="K142" s="168"/>
      <c r="M142" s="364">
        <f t="shared" si="34"/>
        <v>5.6418384705423339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'[54]Sch C'!D144</f>
        <v>40705.18</v>
      </c>
      <c r="D143" s="558">
        <f>'[54]Sch C'!F144</f>
        <v>0</v>
      </c>
      <c r="E143" s="171">
        <f t="shared" si="37"/>
        <v>40705.18</v>
      </c>
      <c r="F143" s="171"/>
      <c r="G143" s="171">
        <f>E143+F143</f>
        <v>40705.18</v>
      </c>
      <c r="H143" s="172">
        <f>IF($G$208=0,0,G143/$G$208)</f>
        <v>5.6877765156769901E-3</v>
      </c>
      <c r="I143" s="336"/>
      <c r="J143" s="168"/>
      <c r="K143" s="168"/>
      <c r="M143" s="364">
        <f t="shared" si="34"/>
        <v>1.5881849395239953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'[54]Sch C'!D146</f>
        <v>18967.759999999998</v>
      </c>
      <c r="D145" s="558">
        <f>'[54]Sch C'!F146</f>
        <v>0</v>
      </c>
      <c r="E145" s="171">
        <f t="shared" ref="E145:E153" si="38">C145+D145</f>
        <v>18967.759999999998</v>
      </c>
      <c r="F145" s="171"/>
      <c r="G145" s="171">
        <f t="shared" ref="G145:G153" si="39">E145+F145</f>
        <v>18967.759999999998</v>
      </c>
      <c r="H145" s="172">
        <f t="shared" ref="H145:H153" si="40">IF($G$208=0,0,G145/$G$208)</f>
        <v>2.6503845427780291E-3</v>
      </c>
      <c r="I145" s="336"/>
      <c r="J145" s="183" t="s">
        <v>395</v>
      </c>
      <c r="K145" s="183" t="s">
        <v>395</v>
      </c>
      <c r="M145" s="364">
        <f t="shared" si="34"/>
        <v>0.74006086617245415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'[54]Sch C'!D147</f>
        <v>0</v>
      </c>
      <c r="D146" s="558">
        <f>'[54]Sch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'[54]Sch C'!D148</f>
        <v>0</v>
      </c>
      <c r="D147" s="558">
        <f>'[54]Sch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'[54]Sch C'!D149</f>
        <v>0</v>
      </c>
      <c r="D148" s="558">
        <f>'[54]Sch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'[54]Sch C'!D150</f>
        <v>9498.86</v>
      </c>
      <c r="D149" s="558">
        <f>'[54]Sch C'!F150</f>
        <v>0</v>
      </c>
      <c r="E149" s="171">
        <f t="shared" si="38"/>
        <v>9498.86</v>
      </c>
      <c r="F149" s="171"/>
      <c r="G149" s="171">
        <f t="shared" si="39"/>
        <v>9498.86</v>
      </c>
      <c r="H149" s="172">
        <f t="shared" si="40"/>
        <v>1.3272854421403748E-3</v>
      </c>
      <c r="I149" s="336"/>
      <c r="J149" s="183" t="s">
        <v>499</v>
      </c>
      <c r="K149" s="183" t="s">
        <v>499</v>
      </c>
      <c r="M149" s="364">
        <f t="shared" si="34"/>
        <v>0.37061490440889583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'[54]Sch C'!D151</f>
        <v>93202.85</v>
      </c>
      <c r="D150" s="558">
        <f>'[54]Sch C'!F151</f>
        <v>0</v>
      </c>
      <c r="E150" s="171">
        <f t="shared" si="38"/>
        <v>93202.85</v>
      </c>
      <c r="F150" s="171"/>
      <c r="G150" s="171">
        <f t="shared" si="39"/>
        <v>93202.85</v>
      </c>
      <c r="H150" s="172">
        <f t="shared" si="40"/>
        <v>1.3023329743884321E-2</v>
      </c>
      <c r="I150" s="336"/>
      <c r="J150" s="168"/>
      <c r="K150" s="168"/>
      <c r="M150" s="364">
        <f t="shared" si="34"/>
        <v>3.636474834178697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'[54]Sch C'!D152</f>
        <v>2796.43</v>
      </c>
      <c r="D151" s="558">
        <f>'[54]Sch C'!F152</f>
        <v>0</v>
      </c>
      <c r="E151" s="171">
        <f t="shared" si="38"/>
        <v>2796.43</v>
      </c>
      <c r="F151" s="171"/>
      <c r="G151" s="171">
        <f t="shared" si="39"/>
        <v>2796.43</v>
      </c>
      <c r="H151" s="172">
        <f t="shared" si="40"/>
        <v>3.9074802965456988E-4</v>
      </c>
      <c r="I151" s="336"/>
      <c r="J151" s="168"/>
      <c r="K151" s="168"/>
      <c r="M151" s="364">
        <f t="shared" si="34"/>
        <v>0.1091076863051112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'[54]Sch C'!D153</f>
        <v>0</v>
      </c>
      <c r="D152" s="558">
        <f>'[54]Sch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'[54]Sch C'!D154</f>
        <v>0</v>
      </c>
      <c r="D153" s="558">
        <f>'[54]Sch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'[54]Sch C'!D156</f>
        <v>0</v>
      </c>
      <c r="D155" s="558">
        <f>'[54]Sch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'[54]Sch C'!D157</f>
        <v>0</v>
      </c>
      <c r="D156" s="558">
        <f>'[54]Sch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'[54]Sch C'!D158</f>
        <v>0</v>
      </c>
      <c r="D157" s="558">
        <f>'[54]Sch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'[54]Sch C'!D159</f>
        <v>0</v>
      </c>
      <c r="D158" s="558">
        <f>'[54]Sch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'[54]Sch C'!D160</f>
        <v>0</v>
      </c>
      <c r="D159" s="558">
        <f>'[54]Sch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'[54]Sch C'!D161</f>
        <v>17346.419999999998</v>
      </c>
      <c r="D160" s="558">
        <f>'[54]Sch C'!F161</f>
        <v>0</v>
      </c>
      <c r="E160" s="171">
        <f t="shared" si="41"/>
        <v>17346.419999999998</v>
      </c>
      <c r="F160" s="171"/>
      <c r="G160" s="171">
        <f t="shared" si="42"/>
        <v>17346.419999999998</v>
      </c>
      <c r="H160" s="172">
        <f t="shared" si="43"/>
        <v>2.4238330430443899E-3</v>
      </c>
      <c r="I160" s="336"/>
      <c r="J160" s="168"/>
      <c r="K160" s="168"/>
      <c r="M160" s="364">
        <f t="shared" si="34"/>
        <v>0.67680140460397964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2358828.5843569385</v>
      </c>
      <c r="D161" s="558">
        <f>SUM(D123:D160)</f>
        <v>44210</v>
      </c>
      <c r="E161" s="171">
        <f t="shared" ref="E161:F161" si="44">SUM(E123:E160)</f>
        <v>2403038.5843569385</v>
      </c>
      <c r="F161" s="171">
        <f t="shared" si="44"/>
        <v>0</v>
      </c>
      <c r="G161" s="171">
        <f>SUM(G123:G160)</f>
        <v>2403038.5843569385</v>
      </c>
      <c r="H161" s="172">
        <f t="shared" si="43"/>
        <v>0.3357790440030255</v>
      </c>
      <c r="I161" s="336"/>
      <c r="J161" s="168"/>
      <c r="K161" s="168"/>
      <c r="M161" s="364">
        <f>G161/G$228</f>
        <v>93.758821082986287</v>
      </c>
      <c r="N161" s="359">
        <f>SUMMARY!J164</f>
        <v>105.56901037202306</v>
      </c>
      <c r="O161" s="354">
        <f>M161/N161-1</f>
        <v>-0.11187174387083765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'[54]Sch C'!D175</f>
        <v>0</v>
      </c>
      <c r="D164" s="558">
        <f>'[54]Sch C'!F175</f>
        <v>0</v>
      </c>
      <c r="E164" s="171">
        <f t="shared" ref="E164:E196" si="45">C164+D164</f>
        <v>0</v>
      </c>
      <c r="F164" s="171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'[54]Sch C'!D176</f>
        <v>0</v>
      </c>
      <c r="D165" s="558">
        <f>'[54]Sch C'!F176</f>
        <v>0</v>
      </c>
      <c r="E165" s="171">
        <f t="shared" si="45"/>
        <v>0</v>
      </c>
      <c r="F165" s="171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'[54]Sch C'!D177</f>
        <v>445800.52</v>
      </c>
      <c r="D166" s="558">
        <f>'[54]Sch C'!F177</f>
        <v>14372</v>
      </c>
      <c r="E166" s="171">
        <f t="shared" si="45"/>
        <v>460172.52</v>
      </c>
      <c r="F166" s="171"/>
      <c r="G166" s="171">
        <f t="shared" si="46"/>
        <v>460172.52</v>
      </c>
      <c r="H166" s="172">
        <f t="shared" si="47"/>
        <v>6.4300377799972885E-2</v>
      </c>
      <c r="I166" s="342"/>
      <c r="J166" s="217">
        <v>11924.83</v>
      </c>
      <c r="K166" s="217">
        <v>12618.18</v>
      </c>
      <c r="L166" s="218"/>
      <c r="M166" s="364">
        <f t="shared" si="48"/>
        <v>17.954448692937962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'[54]Sch C'!D178</f>
        <v>112162.17</v>
      </c>
      <c r="D167" s="558">
        <f>'[54]Sch C'!F178</f>
        <v>0</v>
      </c>
      <c r="E167" s="171">
        <f t="shared" si="45"/>
        <v>112162.17</v>
      </c>
      <c r="F167" s="171"/>
      <c r="G167" s="171">
        <f t="shared" si="46"/>
        <v>112162.17</v>
      </c>
      <c r="H167" s="172">
        <f t="shared" si="47"/>
        <v>1.5672534956813117E-2</v>
      </c>
      <c r="I167" s="343"/>
      <c r="J167" s="222"/>
      <c r="K167" s="222"/>
      <c r="L167" s="218"/>
      <c r="M167" s="364">
        <f t="shared" si="48"/>
        <v>4.3762063987514628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'[54]Sch C'!D179</f>
        <v>88136.08</v>
      </c>
      <c r="D168" s="558">
        <f>'[54]Sch C'!F179</f>
        <v>0</v>
      </c>
      <c r="E168" s="171">
        <f t="shared" si="45"/>
        <v>88136.08</v>
      </c>
      <c r="F168" s="171"/>
      <c r="G168" s="171">
        <f t="shared" si="46"/>
        <v>88136.08</v>
      </c>
      <c r="H168" s="172">
        <f t="shared" si="47"/>
        <v>1.2315344779407152E-2</v>
      </c>
      <c r="I168" s="342"/>
      <c r="J168" s="217">
        <v>2167</v>
      </c>
      <c r="K168" s="217">
        <v>2301</v>
      </c>
      <c r="L168" s="218"/>
      <c r="M168" s="364">
        <f t="shared" si="48"/>
        <v>3.438785797893094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'[54]Sch C'!D180</f>
        <v>24496.18</v>
      </c>
      <c r="D169" s="558">
        <f>'[54]Sch C'!F180</f>
        <v>0</v>
      </c>
      <c r="E169" s="171">
        <f t="shared" si="45"/>
        <v>24496.18</v>
      </c>
      <c r="F169" s="171"/>
      <c r="G169" s="171">
        <f t="shared" si="46"/>
        <v>24496.18</v>
      </c>
      <c r="H169" s="172">
        <f t="shared" si="47"/>
        <v>3.4228763348496767E-3</v>
      </c>
      <c r="I169" s="343"/>
      <c r="J169" s="222"/>
      <c r="K169" s="222"/>
      <c r="L169" s="218"/>
      <c r="M169" s="364">
        <f t="shared" si="48"/>
        <v>0.95576199765899339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'[54]Sch C'!D181</f>
        <v>0</v>
      </c>
      <c r="D170" s="558">
        <f>'[54]Sch C'!F181</f>
        <v>0</v>
      </c>
      <c r="E170" s="171">
        <f t="shared" si="45"/>
        <v>0</v>
      </c>
      <c r="F170" s="171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'[54]Sch C'!D182</f>
        <v>0</v>
      </c>
      <c r="D171" s="558">
        <f>'[54]Sch C'!F182</f>
        <v>0</v>
      </c>
      <c r="E171" s="171">
        <f t="shared" si="45"/>
        <v>0</v>
      </c>
      <c r="F171" s="171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'[54]Sch C'!D183</f>
        <v>223369.87</v>
      </c>
      <c r="D172" s="558">
        <f>'[54]Sch C'!F183</f>
        <v>0</v>
      </c>
      <c r="E172" s="171">
        <f t="shared" si="45"/>
        <v>223369.87</v>
      </c>
      <c r="F172" s="171"/>
      <c r="G172" s="171">
        <f t="shared" si="46"/>
        <v>223369.87</v>
      </c>
      <c r="H172" s="172">
        <f t="shared" si="47"/>
        <v>3.1211700842394559E-2</v>
      </c>
      <c r="I172" s="342"/>
      <c r="J172" s="217">
        <v>6305.33</v>
      </c>
      <c r="K172" s="217">
        <v>6720.48</v>
      </c>
      <c r="L172" s="218"/>
      <c r="M172" s="364">
        <f t="shared" si="48"/>
        <v>8.7151724541552866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'[54]Sch C'!D184</f>
        <v>61642.09</v>
      </c>
      <c r="D173" s="558">
        <f>'[54]Sch C'!F184</f>
        <v>0</v>
      </c>
      <c r="E173" s="171">
        <f t="shared" si="45"/>
        <v>61642.09</v>
      </c>
      <c r="F173" s="171"/>
      <c r="G173" s="171">
        <f t="shared" si="46"/>
        <v>61642.09</v>
      </c>
      <c r="H173" s="172">
        <f t="shared" si="47"/>
        <v>8.6133124059210014E-3</v>
      </c>
      <c r="I173" s="343"/>
      <c r="J173" s="222"/>
      <c r="K173" s="222"/>
      <c r="L173" s="218"/>
      <c r="M173" s="364">
        <f t="shared" si="48"/>
        <v>2.4050756925477956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'[54]Sch C'!D185</f>
        <v>0</v>
      </c>
      <c r="D174" s="558">
        <f>'[54]Sch C'!F185</f>
        <v>0</v>
      </c>
      <c r="E174" s="171">
        <f t="shared" si="45"/>
        <v>0</v>
      </c>
      <c r="F174" s="171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'[54]Sch C'!D186</f>
        <v>0</v>
      </c>
      <c r="D175" s="558">
        <f>'[54]Sch C'!F186</f>
        <v>0</v>
      </c>
      <c r="E175" s="171">
        <f t="shared" si="45"/>
        <v>0</v>
      </c>
      <c r="F175" s="171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'[54]Sch C'!D187</f>
        <v>0</v>
      </c>
      <c r="D176" s="558">
        <f>'[54]Sch C'!F187</f>
        <v>0</v>
      </c>
      <c r="E176" s="171">
        <f t="shared" si="45"/>
        <v>0</v>
      </c>
      <c r="F176" s="171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'[54]Sch C'!D188</f>
        <v>0</v>
      </c>
      <c r="D177" s="558">
        <f>'[54]Sch C'!F188</f>
        <v>0</v>
      </c>
      <c r="E177" s="171">
        <f t="shared" si="45"/>
        <v>0</v>
      </c>
      <c r="F177" s="171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'[54]Sch C'!D189</f>
        <v>3751.88</v>
      </c>
      <c r="D178" s="558">
        <f>'[54]Sch C'!F189</f>
        <v>0</v>
      </c>
      <c r="E178" s="171">
        <f t="shared" si="45"/>
        <v>3751.88</v>
      </c>
      <c r="F178" s="171"/>
      <c r="G178" s="171">
        <f t="shared" si="46"/>
        <v>3751.88</v>
      </c>
      <c r="H178" s="172">
        <f t="shared" si="47"/>
        <v>5.2425403729054103E-4</v>
      </c>
      <c r="I178" s="336"/>
      <c r="J178" s="223"/>
      <c r="K178" s="218"/>
      <c r="L178" s="220"/>
      <c r="M178" s="364">
        <f t="shared" si="48"/>
        <v>0.1463862660944206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'[54]Sch C'!D190</f>
        <v>0</v>
      </c>
      <c r="D179" s="558">
        <f>'[54]Sch C'!F190</f>
        <v>0</v>
      </c>
      <c r="E179" s="171">
        <f t="shared" si="45"/>
        <v>0</v>
      </c>
      <c r="F179" s="171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'[54]Sch C'!D191</f>
        <v>0</v>
      </c>
      <c r="D180" s="558">
        <f>'[54]Sch C'!F191</f>
        <v>0</v>
      </c>
      <c r="E180" s="171">
        <f t="shared" si="45"/>
        <v>0</v>
      </c>
      <c r="F180" s="171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'[54]Sch C'!D192</f>
        <v>70328.039999999994</v>
      </c>
      <c r="D181" s="558">
        <f>'[54]Sch C'!F192</f>
        <v>0</v>
      </c>
      <c r="E181" s="171">
        <f t="shared" si="45"/>
        <v>70328.039999999994</v>
      </c>
      <c r="F181" s="171"/>
      <c r="G181" s="171">
        <f t="shared" si="46"/>
        <v>70328.039999999994</v>
      </c>
      <c r="H181" s="172">
        <f t="shared" si="47"/>
        <v>9.8270091006990249E-3</v>
      </c>
      <c r="I181" s="336"/>
      <c r="J181" s="223"/>
      <c r="K181" s="218"/>
      <c r="L181" s="220"/>
      <c r="M181" s="364">
        <f t="shared" si="48"/>
        <v>2.743973468591494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'[54]Sch C'!D193</f>
        <v>0</v>
      </c>
      <c r="D182" s="558">
        <f>'[54]Sch C'!F193</f>
        <v>0</v>
      </c>
      <c r="E182" s="171">
        <f t="shared" si="45"/>
        <v>0</v>
      </c>
      <c r="F182" s="171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'[54]Sch C'!D194</f>
        <v>0</v>
      </c>
      <c r="D183" s="558">
        <f>'[54]Sch C'!F194</f>
        <v>0</v>
      </c>
      <c r="E183" s="171">
        <f t="shared" si="45"/>
        <v>0</v>
      </c>
      <c r="F183" s="171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'[54]Sch C'!D195</f>
        <v>0</v>
      </c>
      <c r="D184" s="558">
        <f>'[54]Sch C'!F195</f>
        <v>0</v>
      </c>
      <c r="E184" s="171">
        <f t="shared" si="45"/>
        <v>0</v>
      </c>
      <c r="F184" s="171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'[54]Sch C'!D196</f>
        <v>0</v>
      </c>
      <c r="D185" s="558">
        <f>'[54]Sch C'!F196</f>
        <v>0</v>
      </c>
      <c r="E185" s="171">
        <f t="shared" si="45"/>
        <v>0</v>
      </c>
      <c r="F185" s="171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'[54]Sch C'!D197</f>
        <v>0</v>
      </c>
      <c r="D186" s="558">
        <f>'[54]Sch C'!F197</f>
        <v>0</v>
      </c>
      <c r="E186" s="171">
        <f t="shared" si="45"/>
        <v>0</v>
      </c>
      <c r="F186" s="171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'[54]Sch C'!D198</f>
        <v>0</v>
      </c>
      <c r="D187" s="558">
        <f>'[54]Sch C'!F198</f>
        <v>0</v>
      </c>
      <c r="E187" s="171">
        <f t="shared" si="45"/>
        <v>0</v>
      </c>
      <c r="F187" s="171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'[54]Sch C'!D199</f>
        <v>0</v>
      </c>
      <c r="D188" s="558">
        <f>'[54]Sch C'!F199</f>
        <v>0</v>
      </c>
      <c r="E188" s="171">
        <f t="shared" si="45"/>
        <v>0</v>
      </c>
      <c r="F188" s="171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'[54]Sch C'!D200</f>
        <v>0</v>
      </c>
      <c r="D189" s="558">
        <f>'[54]Sch C'!F200</f>
        <v>0</v>
      </c>
      <c r="E189" s="171">
        <f t="shared" si="45"/>
        <v>0</v>
      </c>
      <c r="F189" s="171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'[54]Sch C'!D201</f>
        <v>0</v>
      </c>
      <c r="D190" s="558">
        <f>'[54]Sch C'!F201</f>
        <v>0</v>
      </c>
      <c r="E190" s="171">
        <f t="shared" si="45"/>
        <v>0</v>
      </c>
      <c r="F190" s="171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'[54]Sch C'!D202</f>
        <v>0</v>
      </c>
      <c r="D191" s="558">
        <f>'[54]Sch C'!F202</f>
        <v>0</v>
      </c>
      <c r="E191" s="171">
        <f t="shared" si="45"/>
        <v>0</v>
      </c>
      <c r="F191" s="171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'[54]Sch C'!D203</f>
        <v>11739.19</v>
      </c>
      <c r="D192" s="558">
        <f>'[54]Sch C'!F203</f>
        <v>0</v>
      </c>
      <c r="E192" s="171">
        <f t="shared" si="45"/>
        <v>11739.19</v>
      </c>
      <c r="F192" s="171"/>
      <c r="G192" s="171">
        <f t="shared" si="46"/>
        <v>11739.19</v>
      </c>
      <c r="H192" s="172">
        <f t="shared" si="47"/>
        <v>1.6403290489090127E-3</v>
      </c>
      <c r="I192" s="336"/>
      <c r="J192" s="223"/>
      <c r="K192" s="218"/>
      <c r="M192" s="364">
        <f t="shared" si="48"/>
        <v>0.45802536090518925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'[54]Sch C'!D204</f>
        <v>0</v>
      </c>
      <c r="D193" s="558">
        <f>'[54]Sch C'!F204</f>
        <v>0</v>
      </c>
      <c r="E193" s="171">
        <f t="shared" si="45"/>
        <v>0</v>
      </c>
      <c r="F193" s="171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'[54]Sch C'!D205</f>
        <v>283768.03000000003</v>
      </c>
      <c r="D194" s="558">
        <f>'[54]Sch C'!F205</f>
        <v>0</v>
      </c>
      <c r="E194" s="171">
        <f t="shared" si="45"/>
        <v>283768.03000000003</v>
      </c>
      <c r="F194" s="171"/>
      <c r="G194" s="171">
        <f t="shared" si="46"/>
        <v>283768.03000000003</v>
      </c>
      <c r="H194" s="172">
        <f t="shared" si="47"/>
        <v>3.9651197634648062E-2</v>
      </c>
      <c r="I194" s="336"/>
      <c r="J194" s="223"/>
      <c r="K194" s="218"/>
      <c r="M194" s="364">
        <f t="shared" si="48"/>
        <v>11.07171400702302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'[54]Sch C'!D206</f>
        <v>16053.8</v>
      </c>
      <c r="D195" s="558">
        <f>'[54]Sch C'!F206</f>
        <v>0</v>
      </c>
      <c r="E195" s="171">
        <f t="shared" si="45"/>
        <v>16053.8</v>
      </c>
      <c r="F195" s="171"/>
      <c r="G195" s="171">
        <f t="shared" si="46"/>
        <v>16053.8</v>
      </c>
      <c r="H195" s="172">
        <f t="shared" si="47"/>
        <v>2.2432139257798456E-3</v>
      </c>
      <c r="I195" s="336"/>
      <c r="J195" s="223"/>
      <c r="K195" s="218"/>
      <c r="M195" s="364">
        <f t="shared" si="48"/>
        <v>0.62636753804135781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'[54]Sch C'!D207</f>
        <v>15461.77</v>
      </c>
      <c r="D196" s="558">
        <f>'[54]Sch C'!F207</f>
        <v>0</v>
      </c>
      <c r="E196" s="171">
        <f t="shared" si="45"/>
        <v>15461.77</v>
      </c>
      <c r="F196" s="171"/>
      <c r="G196" s="171">
        <f t="shared" si="46"/>
        <v>15461.77</v>
      </c>
      <c r="H196" s="172">
        <f t="shared" si="47"/>
        <v>2.1604889671731956E-3</v>
      </c>
      <c r="I196" s="336"/>
      <c r="J196" s="223"/>
      <c r="K196" s="218"/>
      <c r="M196" s="364">
        <f t="shared" si="48"/>
        <v>0.60326843542723374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1356709.62</v>
      </c>
      <c r="D197" s="558">
        <f>SUM(D164:D196)</f>
        <v>14372</v>
      </c>
      <c r="E197" s="171">
        <f t="shared" ref="E197:F197" si="49">SUM(E164:E196)</f>
        <v>1371081.62</v>
      </c>
      <c r="F197" s="171">
        <f t="shared" si="49"/>
        <v>0</v>
      </c>
      <c r="G197" s="171">
        <f>SUM(G164:G196)</f>
        <v>1371081.62</v>
      </c>
      <c r="H197" s="172">
        <f>IF($G$208=0,0,G197/$G$208)</f>
        <v>0.19158263983385809</v>
      </c>
      <c r="I197" s="336"/>
      <c r="J197" s="168"/>
      <c r="K197" s="168"/>
      <c r="M197" s="364">
        <f>G197/G$228</f>
        <v>53.495186110027319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'[54]Sch C'!D211</f>
        <v>116588.57</v>
      </c>
      <c r="D200" s="558">
        <f>'[54]Sch C'!F211</f>
        <v>0</v>
      </c>
      <c r="E200" s="171">
        <f t="shared" ref="E200:E205" si="50">C200+D200</f>
        <v>116588.57</v>
      </c>
      <c r="F200" s="171"/>
      <c r="G200" s="171">
        <f t="shared" ref="G200:G205" si="51">E200+F200</f>
        <v>116588.57</v>
      </c>
      <c r="H200" s="172">
        <f t="shared" ref="H200:H206" si="52">IF($G$208=0,0,G200/$G$208)</f>
        <v>1.6291040364945268E-2</v>
      </c>
      <c r="I200" s="336"/>
      <c r="J200" s="183">
        <v>6039.46</v>
      </c>
      <c r="K200" s="183">
        <v>6314.89</v>
      </c>
      <c r="M200" s="364">
        <f t="shared" ref="M200:M205" si="53">G200/G$228</f>
        <v>4.5489102614124075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'[54]Sch C'!D212</f>
        <v>29415.25</v>
      </c>
      <c r="D201" s="558">
        <f>'[54]Sch C'!F212</f>
        <v>0</v>
      </c>
      <c r="E201" s="171">
        <f t="shared" si="50"/>
        <v>29415.25</v>
      </c>
      <c r="F201" s="171"/>
      <c r="G201" s="171">
        <f t="shared" si="51"/>
        <v>29415.25</v>
      </c>
      <c r="H201" s="172">
        <f t="shared" si="52"/>
        <v>4.1102230269653046E-3</v>
      </c>
      <c r="I201" s="336"/>
      <c r="J201" s="168"/>
      <c r="K201" s="168"/>
      <c r="M201" s="364">
        <f t="shared" si="53"/>
        <v>1.1476882559500585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'[54]Sch C'!D213</f>
        <v>12935.38</v>
      </c>
      <c r="D202" s="558">
        <f>'[54]Sch C'!F213</f>
        <v>0</v>
      </c>
      <c r="E202" s="171">
        <f t="shared" si="50"/>
        <v>12935.38</v>
      </c>
      <c r="F202" s="171"/>
      <c r="G202" s="171">
        <f t="shared" si="51"/>
        <v>12935.38</v>
      </c>
      <c r="H202" s="172">
        <f t="shared" si="52"/>
        <v>1.8074739034530205E-3</v>
      </c>
      <c r="I202" s="336"/>
      <c r="J202" s="168"/>
      <c r="K202" s="168"/>
      <c r="M202" s="364">
        <f t="shared" si="53"/>
        <v>0.50469683964104561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'[54]Sch C'!D214</f>
        <v>0</v>
      </c>
      <c r="D203" s="558">
        <f>'[54]Sch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'[54]Sch C'!D215</f>
        <v>0</v>
      </c>
      <c r="D204" s="558">
        <f>'[54]Sch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'[54]Sch C'!D216</f>
        <v>4994.7299999999996</v>
      </c>
      <c r="D205" s="558">
        <f>'[54]Sch C'!F216</f>
        <v>0</v>
      </c>
      <c r="E205" s="171">
        <f t="shared" si="50"/>
        <v>4994.7299999999996</v>
      </c>
      <c r="F205" s="171"/>
      <c r="G205" s="171">
        <f t="shared" si="51"/>
        <v>4994.7299999999996</v>
      </c>
      <c r="H205" s="172">
        <f t="shared" si="52"/>
        <v>6.9791874145126807E-4</v>
      </c>
      <c r="I205" s="336"/>
      <c r="J205" s="168"/>
      <c r="K205" s="168"/>
      <c r="M205" s="364">
        <f t="shared" si="53"/>
        <v>0.19487826765509167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163933.93000000002</v>
      </c>
      <c r="D206" s="558">
        <f>SUM(D200:D205)</f>
        <v>0</v>
      </c>
      <c r="E206" s="171">
        <f t="shared" ref="E206:F206" si="54">SUM(E200:E205)</f>
        <v>163933.93000000002</v>
      </c>
      <c r="F206" s="171">
        <f t="shared" si="54"/>
        <v>0</v>
      </c>
      <c r="G206" s="171">
        <f>SUM(G200:G205)</f>
        <v>163933.93000000002</v>
      </c>
      <c r="H206" s="172">
        <f t="shared" si="52"/>
        <v>2.2906656036814865E-2</v>
      </c>
      <c r="I206" s="336"/>
      <c r="J206" s="168"/>
      <c r="K206" s="168"/>
      <c r="M206" s="364">
        <f>G206/G$228</f>
        <v>6.3961736246586041</v>
      </c>
      <c r="N206" s="359">
        <f>SUMMARY!J209</f>
        <v>7.1515095990067339</v>
      </c>
      <c r="O206" s="354">
        <f>M206/N206-1</f>
        <v>-0.10561909536596825</v>
      </c>
      <c r="P206"/>
      <c r="Q206"/>
    </row>
    <row r="207" spans="1:19" s="167" customFormat="1">
      <c r="A207" s="163"/>
      <c r="C207" s="165"/>
      <c r="D207" s="165"/>
      <c r="E207" s="165"/>
      <c r="F207" s="449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8051159.7843569377</v>
      </c>
      <c r="D208" s="558">
        <f>SUM(D25:D206)/2</f>
        <v>-894198.5</v>
      </c>
      <c r="E208" s="171">
        <f t="shared" ref="E208:F208" si="55">SUM(E25:E206)/2</f>
        <v>7156961.2843569359</v>
      </c>
      <c r="F208" s="171">
        <f t="shared" si="55"/>
        <v>-354.5</v>
      </c>
      <c r="G208" s="171">
        <f>SUM(G25:G206)/2</f>
        <v>7156606.7843569359</v>
      </c>
      <c r="H208" s="172">
        <f>IF($G$208=0,0,G208/$G$208)</f>
        <v>1</v>
      </c>
      <c r="I208" s="336"/>
      <c r="J208" s="183">
        <f>SUM(J25:J200)</f>
        <v>174427.74999999997</v>
      </c>
      <c r="K208" s="183">
        <f>SUM(K25:K200)</f>
        <v>181910.73000000004</v>
      </c>
      <c r="M208" s="364">
        <f>G208/G$228</f>
        <v>279.2277325149019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-0.37416079001888125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'[54]Sch C'!D221</f>
        <v>8051159.7800000003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4.3569374829530716E-3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457480.93564306106</v>
      </c>
      <c r="D215" s="558">
        <f>D21-D208</f>
        <v>893249.84</v>
      </c>
      <c r="E215" s="171">
        <f t="shared" ref="E215:F215" si="56">E21-E208</f>
        <v>1350730.7756430646</v>
      </c>
      <c r="F215" s="171">
        <f t="shared" si="56"/>
        <v>354.5</v>
      </c>
      <c r="G215" s="171">
        <f>G21-G208</f>
        <v>1351085.2756430646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419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'[54]Sch D'!C9</f>
        <v>11576</v>
      </c>
      <c r="D219" s="592"/>
      <c r="E219" s="235">
        <f t="shared" ref="E219:G227" si="57">C219+D219</f>
        <v>11576</v>
      </c>
      <c r="F219" s="235"/>
      <c r="G219" s="235">
        <f t="shared" si="57"/>
        <v>11576</v>
      </c>
      <c r="H219" s="172">
        <f t="shared" ref="H219:H228" si="58">IF($G$228=0,0,G219/$G$228)</f>
        <v>0.45165821303160358</v>
      </c>
      <c r="I219" s="336"/>
      <c r="J219" s="168"/>
      <c r="K219" s="168"/>
    </row>
    <row r="220" spans="1:17">
      <c r="A220" s="163"/>
      <c r="B220" s="170" t="s">
        <v>217</v>
      </c>
      <c r="C220" s="592">
        <f>'[54]Sch D'!D9</f>
        <v>0</v>
      </c>
      <c r="D220" s="592"/>
      <c r="E220" s="235">
        <f t="shared" ref="E220:E227" si="59">C220+D220</f>
        <v>0</v>
      </c>
      <c r="F220" s="235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'[54]Sch D'!E9</f>
        <v>6086</v>
      </c>
      <c r="D221" s="592"/>
      <c r="E221" s="235">
        <f t="shared" si="59"/>
        <v>6086</v>
      </c>
      <c r="F221" s="235"/>
      <c r="G221" s="235">
        <f t="shared" si="57"/>
        <v>6086</v>
      </c>
      <c r="H221" s="172">
        <f t="shared" si="58"/>
        <v>0.23745610612563403</v>
      </c>
      <c r="I221" s="336"/>
      <c r="J221" s="168"/>
      <c r="K221" s="168"/>
    </row>
    <row r="222" spans="1:17">
      <c r="A222" s="163"/>
      <c r="B222" s="202" t="s">
        <v>334</v>
      </c>
      <c r="C222" s="592">
        <f>'[54]Sch D'!F9</f>
        <v>2719</v>
      </c>
      <c r="D222" s="592"/>
      <c r="E222" s="235">
        <f>C222+D222</f>
        <v>2719</v>
      </c>
      <c r="F222" s="235"/>
      <c r="G222" s="235">
        <f>E222+F222</f>
        <v>2719</v>
      </c>
      <c r="H222" s="172">
        <f t="shared" si="58"/>
        <v>0.10608661724541553</v>
      </c>
      <c r="I222" s="336"/>
      <c r="J222" s="168"/>
      <c r="K222" s="168"/>
    </row>
    <row r="223" spans="1:17">
      <c r="A223" s="163"/>
      <c r="B223" s="170" t="s">
        <v>73</v>
      </c>
      <c r="C223" s="592">
        <f>'[54]Sch D'!G9</f>
        <v>0</v>
      </c>
      <c r="D223" s="592"/>
      <c r="E223" s="235">
        <f t="shared" si="59"/>
        <v>0</v>
      </c>
      <c r="F223" s="235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'[54]Sch D'!H9</f>
        <v>4446</v>
      </c>
      <c r="D224" s="592"/>
      <c r="E224" s="235">
        <f t="shared" si="59"/>
        <v>4446</v>
      </c>
      <c r="F224" s="235"/>
      <c r="G224" s="235">
        <f t="shared" si="57"/>
        <v>4446</v>
      </c>
      <c r="H224" s="172">
        <f t="shared" si="58"/>
        <v>0.17346859149434257</v>
      </c>
      <c r="I224" s="336"/>
      <c r="J224" s="168"/>
      <c r="K224" s="168"/>
    </row>
    <row r="225" spans="1:11">
      <c r="A225" s="163"/>
      <c r="B225" s="170" t="s">
        <v>236</v>
      </c>
      <c r="C225" s="592">
        <f>'[54]Sch D'!I9</f>
        <v>710</v>
      </c>
      <c r="D225" s="592"/>
      <c r="E225" s="235">
        <f t="shared" si="59"/>
        <v>710</v>
      </c>
      <c r="F225" s="235"/>
      <c r="G225" s="235">
        <f t="shared" si="57"/>
        <v>710</v>
      </c>
      <c r="H225" s="172">
        <f t="shared" si="58"/>
        <v>2.7701911822083494E-2</v>
      </c>
      <c r="I225" s="336"/>
      <c r="J225" s="168"/>
      <c r="K225" s="168"/>
    </row>
    <row r="226" spans="1:11">
      <c r="A226" s="163"/>
      <c r="B226" s="170" t="s">
        <v>235</v>
      </c>
      <c r="C226" s="592">
        <f>'[54]Sch D'!J9</f>
        <v>93</v>
      </c>
      <c r="D226" s="592"/>
      <c r="E226" s="235">
        <f>C226+D226</f>
        <v>93</v>
      </c>
      <c r="F226" s="235"/>
      <c r="G226" s="235">
        <f>E226+F226</f>
        <v>93</v>
      </c>
      <c r="H226" s="172">
        <f t="shared" si="58"/>
        <v>3.628560280920796E-3</v>
      </c>
      <c r="I226" s="336"/>
      <c r="J226" s="168"/>
      <c r="K226" s="168"/>
    </row>
    <row r="227" spans="1:11">
      <c r="A227" s="163"/>
      <c r="B227" s="170" t="s">
        <v>179</v>
      </c>
      <c r="C227" s="592">
        <f>'[54]Sch D'!K9</f>
        <v>0</v>
      </c>
      <c r="D227" s="592"/>
      <c r="E227" s="235">
        <f t="shared" si="59"/>
        <v>0</v>
      </c>
      <c r="F227" s="235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25630</v>
      </c>
      <c r="D228" s="592">
        <f>SUM(D219:D227)</f>
        <v>0</v>
      </c>
      <c r="E228" s="237">
        <f>SUM(E219:E227)</f>
        <v>25630</v>
      </c>
      <c r="F228" s="237">
        <f>SUM(F219:F227)</f>
        <v>0</v>
      </c>
      <c r="G228" s="237">
        <f>SUM(G219:G227)</f>
        <v>25630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'[54]Sch D'!N22</f>
        <v>124</v>
      </c>
      <c r="D231" s="559"/>
      <c r="E231" s="235">
        <f>C231+D231</f>
        <v>124</v>
      </c>
      <c r="F231" s="235"/>
      <c r="G231" s="235">
        <f>E231</f>
        <v>124</v>
      </c>
      <c r="H231" s="167"/>
      <c r="J231" s="168"/>
      <c r="K231" s="168"/>
    </row>
    <row r="232" spans="1:11">
      <c r="A232" s="163"/>
      <c r="B232" s="202" t="s">
        <v>290</v>
      </c>
      <c r="C232" s="593">
        <f>'[54]Sch D'!N24</f>
        <v>124</v>
      </c>
      <c r="D232" s="559"/>
      <c r="E232" s="235">
        <f>C232+D232</f>
        <v>124</v>
      </c>
      <c r="F232" s="235"/>
      <c r="G232" s="235">
        <f>E232</f>
        <v>124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5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42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'[54]Sch D'!N28</f>
        <v>45384</v>
      </c>
      <c r="D235" s="483"/>
      <c r="E235" s="234">
        <f>E231*E233</f>
        <v>45384</v>
      </c>
      <c r="F235" s="234"/>
      <c r="G235" s="234">
        <f>G231*G233</f>
        <v>45384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'[54]Sch D'!N30</f>
        <v>0.56473647100299662</v>
      </c>
      <c r="D236" s="239"/>
      <c r="E236" s="244">
        <f>E228/E235</f>
        <v>0.56473647100299662</v>
      </c>
      <c r="F236" s="635"/>
      <c r="G236" s="244">
        <f>G228/G235</f>
        <v>0.56473647100299662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'[54]Sch D'!N32</f>
        <v>0.2550678653269875</v>
      </c>
      <c r="D237" s="239"/>
      <c r="E237" s="244">
        <f>(E219+E220)/E235</f>
        <v>0.2550678653269875</v>
      </c>
      <c r="F237" s="636"/>
      <c r="G237" s="244">
        <f>(G219+G220)/G235</f>
        <v>0.2550678653269875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'[54]Sch D'!N34</f>
        <v>0.45165821303160364</v>
      </c>
      <c r="D238" s="239"/>
      <c r="E238" s="244">
        <f>(E237/E236)</f>
        <v>0.45165821303160364</v>
      </c>
      <c r="F238" s="636"/>
      <c r="G238" s="244">
        <f>(G237/G236)</f>
        <v>0.45165821303160364</v>
      </c>
      <c r="H238" s="167"/>
      <c r="J238" s="168"/>
      <c r="K238" s="168"/>
    </row>
    <row r="239" spans="1:11">
      <c r="F239" s="140"/>
    </row>
    <row r="240" spans="1:11">
      <c r="F240" s="140"/>
    </row>
    <row r="241" spans="2:7">
      <c r="B241" s="148" t="s">
        <v>339</v>
      </c>
      <c r="F241" s="410" t="s">
        <v>340</v>
      </c>
      <c r="G241" s="558">
        <f>'[54]Sch B'!C85</f>
        <v>163.36564432989692</v>
      </c>
    </row>
    <row r="242" spans="2:7">
      <c r="F242" s="410" t="s">
        <v>341</v>
      </c>
      <c r="G242" s="558">
        <f>'[54]Sch B'!E85</f>
        <v>162.14126297577857</v>
      </c>
    </row>
    <row r="243" spans="2:7">
      <c r="F243" s="410" t="s">
        <v>342</v>
      </c>
      <c r="G243" s="558">
        <f>'[54]Sch B'!G85</f>
        <v>156.37549662487945</v>
      </c>
    </row>
    <row r="244" spans="2:7">
      <c r="F244" s="410" t="s">
        <v>343</v>
      </c>
      <c r="G244" s="558">
        <f>'[54]Sch B'!I85</f>
        <v>163.25987144168963</v>
      </c>
    </row>
    <row r="245" spans="2:7">
      <c r="F245" s="410"/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8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360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'[55]Sch B'!E10</f>
        <v>2114903</v>
      </c>
      <c r="D11" s="558">
        <f>'[55]Sch B'!G10</f>
        <v>0</v>
      </c>
      <c r="E11" s="171">
        <f>C11+D11</f>
        <v>2114903</v>
      </c>
      <c r="F11" s="171"/>
      <c r="G11" s="171">
        <f t="shared" ref="G11:G20" si="0">E11+F11</f>
        <v>2114903</v>
      </c>
      <c r="H11" s="172">
        <f t="shared" ref="H11:H21" si="1">IF($G$21=0,0,G11/$G$21)</f>
        <v>0.5283104979486124</v>
      </c>
      <c r="I11" s="336"/>
      <c r="J11" s="368" t="s">
        <v>344</v>
      </c>
      <c r="K11" s="369">
        <f>G21</f>
        <v>4003144</v>
      </c>
      <c r="M11" s="359">
        <f>IFERROR(G11/G219,0)</f>
        <v>200.4647393364929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'[55]Sch B'!E15</f>
        <v>0</v>
      </c>
      <c r="D12" s="558">
        <f>'[55]Sch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3836642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'[55]Sch B'!E21</f>
        <v>1234887</v>
      </c>
      <c r="D13" s="558">
        <f>'[55]Sch B'!G21</f>
        <v>0</v>
      </c>
      <c r="E13" s="171">
        <f t="shared" si="2"/>
        <v>1234887</v>
      </c>
      <c r="F13" s="171"/>
      <c r="G13" s="171">
        <f t="shared" si="0"/>
        <v>1234887</v>
      </c>
      <c r="H13" s="172">
        <f t="shared" si="1"/>
        <v>0.30847928528176854</v>
      </c>
      <c r="I13" s="336"/>
      <c r="J13" s="370" t="s">
        <v>346</v>
      </c>
      <c r="K13" s="371">
        <f>G228</f>
        <v>15843</v>
      </c>
      <c r="M13" s="359">
        <f t="shared" si="3"/>
        <v>522.37182741116749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'[55]Sch B'!E27</f>
        <v>72413</v>
      </c>
      <c r="D14" s="558">
        <f>'[55]Sch B'!G27</f>
        <v>0</v>
      </c>
      <c r="E14" s="171">
        <f t="shared" si="2"/>
        <v>72413</v>
      </c>
      <c r="F14" s="175"/>
      <c r="G14" s="175">
        <f>E14+F14</f>
        <v>72413</v>
      </c>
      <c r="H14" s="176">
        <f t="shared" si="1"/>
        <v>1.8089032020831626E-2</v>
      </c>
      <c r="I14" s="337"/>
      <c r="J14" s="370" t="s">
        <v>347</v>
      </c>
      <c r="K14" s="371">
        <f>G231</f>
        <v>98</v>
      </c>
      <c r="M14" s="359">
        <f t="shared" si="3"/>
        <v>536.39259259259256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'[55]Sch B'!E32</f>
        <v>0</v>
      </c>
      <c r="D15" s="558">
        <f>'[55]Sch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35868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'[55]Sch B'!E37</f>
        <v>440553</v>
      </c>
      <c r="D16" s="558">
        <f>'[55]Sch B'!G37</f>
        <v>0</v>
      </c>
      <c r="E16" s="171">
        <f t="shared" si="2"/>
        <v>440553</v>
      </c>
      <c r="F16" s="171"/>
      <c r="G16" s="171">
        <f t="shared" si="0"/>
        <v>440553</v>
      </c>
      <c r="H16" s="172">
        <f t="shared" si="1"/>
        <v>0.11005174932503052</v>
      </c>
      <c r="I16" s="336"/>
      <c r="J16" s="372"/>
      <c r="K16" s="371"/>
      <c r="M16" s="359">
        <f t="shared" si="3"/>
        <v>175.03098927294397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'[55]Sch B'!E42</f>
        <v>21068</v>
      </c>
      <c r="D17" s="558">
        <f>'[55]Sch B'!G42</f>
        <v>0</v>
      </c>
      <c r="E17" s="171">
        <f t="shared" si="2"/>
        <v>21068</v>
      </c>
      <c r="F17" s="171"/>
      <c r="G17" s="171">
        <f>E17+F17</f>
        <v>21068</v>
      </c>
      <c r="H17" s="172">
        <f t="shared" si="1"/>
        <v>5.2628633893759503E-3</v>
      </c>
      <c r="I17" s="336"/>
      <c r="J17" s="370" t="s">
        <v>156</v>
      </c>
      <c r="K17" s="371">
        <f>J208</f>
        <v>77288</v>
      </c>
      <c r="M17" s="359">
        <f t="shared" si="3"/>
        <v>204.54368932038835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'[55]Sch B'!E47</f>
        <v>0</v>
      </c>
      <c r="D18" s="558">
        <f>'[55]Sch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83907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'[55]Sch B'!E52</f>
        <v>86926</v>
      </c>
      <c r="D19" s="558">
        <f>'[55]Sch B'!G52</f>
        <v>0</v>
      </c>
      <c r="E19" s="171">
        <f t="shared" si="2"/>
        <v>86926</v>
      </c>
      <c r="F19" s="171"/>
      <c r="G19" s="171">
        <f t="shared" si="0"/>
        <v>86926</v>
      </c>
      <c r="H19" s="172">
        <f t="shared" si="1"/>
        <v>2.1714432456089512E-2</v>
      </c>
      <c r="I19" s="336"/>
      <c r="J19" s="168"/>
      <c r="K19" s="168"/>
      <c r="M19" s="359">
        <f t="shared" si="3"/>
        <v>499.57471264367814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'[55]Sch B'!E67</f>
        <v>37349</v>
      </c>
      <c r="D20" s="558">
        <f>'[55]Sch B'!G67</f>
        <v>-4955</v>
      </c>
      <c r="E20" s="171">
        <f t="shared" si="2"/>
        <v>32394</v>
      </c>
      <c r="F20" s="171"/>
      <c r="G20" s="171">
        <f t="shared" si="0"/>
        <v>32394</v>
      </c>
      <c r="H20" s="172">
        <f t="shared" si="1"/>
        <v>8.0921395782914633E-3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4008099</v>
      </c>
      <c r="D21" s="558">
        <f>SUM(D11:D20)</f>
        <v>-4955</v>
      </c>
      <c r="E21" s="171">
        <f>SUM(E11:E20)</f>
        <v>4003144</v>
      </c>
      <c r="F21" s="171">
        <f>SUM(F11:F20)</f>
        <v>0</v>
      </c>
      <c r="G21" s="171">
        <f>SUM(G11:G20)</f>
        <v>4003144</v>
      </c>
      <c r="H21" s="172">
        <f t="shared" si="1"/>
        <v>1</v>
      </c>
      <c r="I21" s="336"/>
      <c r="J21" s="168"/>
      <c r="K21" s="168"/>
      <c r="M21" s="359">
        <f>IFERROR(G21/G228,0)</f>
        <v>252.67588209303793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'[55]Sch C'!D10</f>
        <v>0</v>
      </c>
      <c r="D25" s="558">
        <f>'[55]Sch C'!F10</f>
        <v>123748</v>
      </c>
      <c r="E25" s="171">
        <f t="shared" ref="E25:E60" si="4">C25+D25</f>
        <v>123748</v>
      </c>
      <c r="F25" s="171"/>
      <c r="G25" s="182">
        <f>E25+F25</f>
        <v>123748</v>
      </c>
      <c r="H25" s="172">
        <f>IF($G$208=0,0,G25/$G$208)</f>
        <v>3.2254247333996761E-2</v>
      </c>
      <c r="I25" s="336"/>
      <c r="J25" s="183">
        <v>1880</v>
      </c>
      <c r="K25" s="183">
        <v>2080</v>
      </c>
      <c r="M25" s="359">
        <f>G25/G$228</f>
        <v>7.8108944013128827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'[55]Sch C'!D11</f>
        <v>0</v>
      </c>
      <c r="D26" s="558">
        <f>'[55]Sch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'[55]Sch C'!D12</f>
        <v>187386</v>
      </c>
      <c r="D27" s="558">
        <f>'[55]Sch C'!F12</f>
        <v>-123748</v>
      </c>
      <c r="E27" s="171">
        <f t="shared" si="4"/>
        <v>63638</v>
      </c>
      <c r="F27" s="171"/>
      <c r="G27" s="171">
        <f t="shared" si="5"/>
        <v>63638</v>
      </c>
      <c r="H27" s="172">
        <f t="shared" si="6"/>
        <v>1.6586900732463442E-2</v>
      </c>
      <c r="I27" s="336"/>
      <c r="J27" s="185">
        <v>3570</v>
      </c>
      <c r="K27" s="185">
        <v>4036</v>
      </c>
      <c r="M27" s="359">
        <f t="shared" si="7"/>
        <v>4.0167897494161462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'[55]Sch C'!D13</f>
        <v>45846</v>
      </c>
      <c r="D28" s="558">
        <f>'[55]Sch C'!F13</f>
        <v>-25</v>
      </c>
      <c r="E28" s="171">
        <f t="shared" si="4"/>
        <v>45821</v>
      </c>
      <c r="F28" s="171"/>
      <c r="G28" s="171">
        <f t="shared" si="5"/>
        <v>45821</v>
      </c>
      <c r="H28" s="172">
        <f t="shared" si="6"/>
        <v>1.1942995984509371E-2</v>
      </c>
      <c r="I28" s="336"/>
      <c r="J28" s="168"/>
      <c r="K28" s="168"/>
      <c r="M28" s="359">
        <f t="shared" si="7"/>
        <v>2.892192135327905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'[55]Sch C'!D14</f>
        <v>0</v>
      </c>
      <c r="D29" s="558">
        <f>'[55]Sch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'[55]Sch C'!D15</f>
        <v>0</v>
      </c>
      <c r="D30" s="558">
        <f>'[55]Sch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'[55]Sch C'!D16</f>
        <v>198072</v>
      </c>
      <c r="D31" s="558">
        <f>'[55]Sch C'!F16</f>
        <v>-29467</v>
      </c>
      <c r="E31" s="171">
        <f t="shared" si="4"/>
        <v>168605</v>
      </c>
      <c r="F31" s="171"/>
      <c r="G31" s="171">
        <f t="shared" si="5"/>
        <v>168605</v>
      </c>
      <c r="H31" s="172">
        <f t="shared" si="6"/>
        <v>4.3945981928988943E-2</v>
      </c>
      <c r="I31" s="336"/>
      <c r="J31" s="168"/>
      <c r="K31" s="168"/>
      <c r="M31" s="359">
        <f t="shared" si="7"/>
        <v>10.642239474846935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'[55]Sch C'!D17</f>
        <v>407</v>
      </c>
      <c r="D32" s="558">
        <f>'[55]Sch C'!F17</f>
        <v>-407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'[55]Sch C'!D18</f>
        <v>13711</v>
      </c>
      <c r="D33" s="558">
        <f>'[55]Sch C'!F18</f>
        <v>0</v>
      </c>
      <c r="E33" s="171">
        <f t="shared" si="4"/>
        <v>13711</v>
      </c>
      <c r="F33" s="171"/>
      <c r="G33" s="171">
        <f t="shared" si="5"/>
        <v>13711</v>
      </c>
      <c r="H33" s="172">
        <f t="shared" si="6"/>
        <v>3.5736980411516114E-3</v>
      </c>
      <c r="I33" s="336"/>
      <c r="J33" s="168"/>
      <c r="K33" s="168"/>
      <c r="M33" s="359">
        <f t="shared" si="7"/>
        <v>0.8654295272360033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'[55]Sch C'!D19</f>
        <v>11444</v>
      </c>
      <c r="D34" s="558">
        <f>'[55]Sch C'!F19</f>
        <v>0</v>
      </c>
      <c r="E34" s="171">
        <f t="shared" si="4"/>
        <v>11444</v>
      </c>
      <c r="F34" s="171"/>
      <c r="G34" s="171">
        <f t="shared" si="5"/>
        <v>11444</v>
      </c>
      <c r="H34" s="172">
        <f t="shared" si="6"/>
        <v>2.9828167444343255E-3</v>
      </c>
      <c r="I34" s="336"/>
      <c r="J34" s="168"/>
      <c r="K34" s="168"/>
      <c r="M34" s="359">
        <f t="shared" si="7"/>
        <v>0.72233794104651894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'[55]Sch C'!D20</f>
        <v>9264</v>
      </c>
      <c r="D35" s="558">
        <f>'[55]Sch C'!F20</f>
        <v>0</v>
      </c>
      <c r="E35" s="171">
        <f t="shared" si="4"/>
        <v>9264</v>
      </c>
      <c r="F35" s="171"/>
      <c r="G35" s="171">
        <f t="shared" si="5"/>
        <v>9264</v>
      </c>
      <c r="H35" s="172">
        <f t="shared" si="6"/>
        <v>2.4146115274763713E-3</v>
      </c>
      <c r="I35" s="336"/>
      <c r="J35" s="168"/>
      <c r="K35" s="168"/>
      <c r="M35" s="359">
        <f t="shared" si="7"/>
        <v>0.58473773906457105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'[55]Sch C'!D21</f>
        <v>12971</v>
      </c>
      <c r="D36" s="558">
        <f>'[55]Sch C'!F21</f>
        <v>0</v>
      </c>
      <c r="E36" s="171">
        <f t="shared" si="4"/>
        <v>12971</v>
      </c>
      <c r="F36" s="171"/>
      <c r="G36" s="171">
        <f t="shared" si="5"/>
        <v>12971</v>
      </c>
      <c r="H36" s="172">
        <f t="shared" si="6"/>
        <v>3.3808210408998287E-3</v>
      </c>
      <c r="I36" s="336"/>
      <c r="J36" s="168"/>
      <c r="K36" s="168"/>
      <c r="M36" s="359">
        <f t="shared" si="7"/>
        <v>0.81872120179258978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'[55]Sch C'!D22</f>
        <v>0</v>
      </c>
      <c r="D37" s="558">
        <f>'[55]Sch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'[55]Sch C'!D23</f>
        <v>6444</v>
      </c>
      <c r="D38" s="558">
        <f>'[55]Sch C'!F23</f>
        <v>0</v>
      </c>
      <c r="E38" s="171">
        <f t="shared" si="4"/>
        <v>6444</v>
      </c>
      <c r="F38" s="171"/>
      <c r="G38" s="171">
        <f t="shared" si="5"/>
        <v>6444</v>
      </c>
      <c r="H38" s="172">
        <f t="shared" si="6"/>
        <v>1.6795937697601183E-3</v>
      </c>
      <c r="I38" s="336"/>
      <c r="J38" s="168"/>
      <c r="K38" s="168"/>
      <c r="M38" s="359">
        <f t="shared" si="7"/>
        <v>0.40674114750994128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'[55]Sch C'!D24</f>
        <v>0</v>
      </c>
      <c r="D39" s="558">
        <f>'[55]Sch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'[55]Sch C'!D25</f>
        <v>3906</v>
      </c>
      <c r="D40" s="558">
        <f>'[55]Sch C'!F25</f>
        <v>0</v>
      </c>
      <c r="E40" s="171">
        <f t="shared" si="4"/>
        <v>3906</v>
      </c>
      <c r="F40" s="171"/>
      <c r="G40" s="171">
        <f t="shared" si="5"/>
        <v>3906</v>
      </c>
      <c r="H40" s="172">
        <f t="shared" si="6"/>
        <v>1.0180777878154908E-3</v>
      </c>
      <c r="I40" s="336"/>
      <c r="J40" s="168"/>
      <c r="K40" s="168"/>
      <c r="M40" s="359">
        <f t="shared" si="7"/>
        <v>0.24654421511077448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'[55]Sch C'!D26</f>
        <v>244462</v>
      </c>
      <c r="D41" s="558">
        <f>'[55]Sch C'!F26</f>
        <v>0</v>
      </c>
      <c r="E41" s="171">
        <f t="shared" si="4"/>
        <v>244462</v>
      </c>
      <c r="F41" s="171"/>
      <c r="G41" s="171">
        <f t="shared" si="5"/>
        <v>244462</v>
      </c>
      <c r="H41" s="172">
        <f t="shared" si="6"/>
        <v>6.3717698966961209E-2</v>
      </c>
      <c r="I41" s="336"/>
      <c r="J41" s="168"/>
      <c r="K41" s="168"/>
      <c r="M41" s="359">
        <f t="shared" si="7"/>
        <v>15.43028466830777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'[55]Sch C'!D27</f>
        <v>10555</v>
      </c>
      <c r="D42" s="558">
        <f>'[55]Sch C'!F27</f>
        <v>-546</v>
      </c>
      <c r="E42" s="171">
        <f t="shared" si="4"/>
        <v>10009</v>
      </c>
      <c r="F42" s="171"/>
      <c r="G42" s="171">
        <f t="shared" si="5"/>
        <v>10009</v>
      </c>
      <c r="H42" s="172">
        <f t="shared" si="6"/>
        <v>2.6087917507028281E-3</v>
      </c>
      <c r="I42" s="336"/>
      <c r="J42" s="168"/>
      <c r="K42" s="168"/>
      <c r="M42" s="359">
        <f t="shared" si="7"/>
        <v>0.63176166130152123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'[55]Sch C'!D28</f>
        <v>0</v>
      </c>
      <c r="D43" s="558">
        <f>'[55]Sch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'[55]Sch C'!D29</f>
        <v>37661</v>
      </c>
      <c r="D44" s="558">
        <f>'[55]Sch C'!F29</f>
        <v>-37661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'[55]Sch C'!D30</f>
        <v>0</v>
      </c>
      <c r="D45" s="558">
        <f>'[55]Sch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'[55]Sch C'!D31</f>
        <v>0</v>
      </c>
      <c r="D46" s="558">
        <f>'[55]Sch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'[55]Sch C'!D32</f>
        <v>57733</v>
      </c>
      <c r="D47" s="558">
        <f>'[55]Sch C'!F32</f>
        <v>0</v>
      </c>
      <c r="E47" s="171">
        <f t="shared" si="4"/>
        <v>57733</v>
      </c>
      <c r="F47" s="171"/>
      <c r="G47" s="171">
        <f t="shared" si="5"/>
        <v>57733</v>
      </c>
      <c r="H47" s="172">
        <f t="shared" si="6"/>
        <v>1.5047794399373203E-2</v>
      </c>
      <c r="I47" s="336"/>
      <c r="J47" s="168"/>
      <c r="K47" s="168"/>
      <c r="M47" s="359">
        <f t="shared" si="7"/>
        <v>3.6440699362494477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'[55]Sch C'!D33</f>
        <v>0</v>
      </c>
      <c r="D48" s="558">
        <f>'[55]Sch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'[55]Sch C'!D34</f>
        <v>506</v>
      </c>
      <c r="D49" s="558">
        <f>'[55]Sch C'!F34</f>
        <v>0</v>
      </c>
      <c r="E49" s="171">
        <f t="shared" si="4"/>
        <v>506</v>
      </c>
      <c r="F49" s="171"/>
      <c r="G49" s="171">
        <f t="shared" si="5"/>
        <v>506</v>
      </c>
      <c r="H49" s="172">
        <f t="shared" si="6"/>
        <v>1.3188616503702978E-4</v>
      </c>
      <c r="I49" s="336"/>
      <c r="J49" s="168"/>
      <c r="K49" s="168"/>
      <c r="M49" s="359">
        <f t="shared" si="7"/>
        <v>3.1938395505901662E-2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'[55]Sch C'!D35</f>
        <v>0</v>
      </c>
      <c r="D50" s="558">
        <f>'[55]Sch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'[55]Sch C'!D36</f>
        <v>13354</v>
      </c>
      <c r="D51" s="558">
        <f>'[55]Sch C'!F36</f>
        <v>0</v>
      </c>
      <c r="E51" s="171">
        <f t="shared" si="4"/>
        <v>13354</v>
      </c>
      <c r="F51" s="171"/>
      <c r="G51" s="171">
        <f t="shared" si="5"/>
        <v>13354</v>
      </c>
      <c r="H51" s="172">
        <f t="shared" si="6"/>
        <v>3.4806479207598728E-3</v>
      </c>
      <c r="I51" s="336"/>
      <c r="J51" s="183">
        <v>989</v>
      </c>
      <c r="K51" s="183">
        <v>1257</v>
      </c>
      <c r="M51" s="359">
        <f t="shared" si="7"/>
        <v>0.8428959161774916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'[55]Sch C'!D37</f>
        <v>1419</v>
      </c>
      <c r="D52" s="558">
        <f>'[55]Sch C'!F37</f>
        <v>0</v>
      </c>
      <c r="E52" s="171">
        <f t="shared" si="4"/>
        <v>1419</v>
      </c>
      <c r="F52" s="171"/>
      <c r="G52" s="171">
        <f t="shared" si="5"/>
        <v>1419</v>
      </c>
      <c r="H52" s="172">
        <f t="shared" si="6"/>
        <v>3.6985468021254002E-4</v>
      </c>
      <c r="I52" s="336"/>
      <c r="J52" s="168"/>
      <c r="K52" s="168"/>
      <c r="M52" s="359">
        <f t="shared" si="7"/>
        <v>8.956637000568074E-2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'[55]Sch C'!D38</f>
        <v>150</v>
      </c>
      <c r="D53" s="558">
        <f>'[55]Sch C'!F38</f>
        <v>-150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'[55]Sch C'!D39</f>
        <v>3942</v>
      </c>
      <c r="D54" s="558">
        <f>'[55]Sch C'!F39</f>
        <v>0</v>
      </c>
      <c r="E54" s="171">
        <f t="shared" si="4"/>
        <v>3942</v>
      </c>
      <c r="F54" s="171"/>
      <c r="G54" s="171">
        <f t="shared" si="5"/>
        <v>3942</v>
      </c>
      <c r="H54" s="172">
        <f t="shared" si="6"/>
        <v>1.027460993233145E-3</v>
      </c>
      <c r="I54" s="336"/>
      <c r="J54" s="168"/>
      <c r="K54" s="168"/>
      <c r="M54" s="359">
        <f t="shared" si="7"/>
        <v>0.24881651202423782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'[55]Sch C'!D40</f>
        <v>4058</v>
      </c>
      <c r="D55" s="558">
        <f>'[55]Sch C'!F40</f>
        <v>-4058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'[55]Sch C'!D41</f>
        <v>42286</v>
      </c>
      <c r="D56" s="558">
        <f>'[55]Sch C'!F41</f>
        <v>0</v>
      </c>
      <c r="E56" s="171">
        <f t="shared" si="4"/>
        <v>42286</v>
      </c>
      <c r="F56" s="171"/>
      <c r="G56" s="171">
        <f t="shared" si="5"/>
        <v>42286</v>
      </c>
      <c r="H56" s="172">
        <f t="shared" si="6"/>
        <v>1.1021617341414706E-2</v>
      </c>
      <c r="I56" s="336"/>
      <c r="J56" s="168"/>
      <c r="K56" s="168"/>
      <c r="M56" s="359">
        <f t="shared" si="7"/>
        <v>2.6690652022975447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'[55]Sch C'!D42</f>
        <v>662</v>
      </c>
      <c r="D57" s="558">
        <f>'[55]Sch C'!F42</f>
        <v>0</v>
      </c>
      <c r="E57" s="171">
        <f t="shared" si="4"/>
        <v>662</v>
      </c>
      <c r="F57" s="171"/>
      <c r="G57" s="171">
        <f t="shared" si="5"/>
        <v>662</v>
      </c>
      <c r="H57" s="172">
        <f t="shared" si="6"/>
        <v>1.7254672184686503E-4</v>
      </c>
      <c r="I57" s="336"/>
      <c r="J57" s="168"/>
      <c r="K57" s="168"/>
      <c r="M57" s="359">
        <f t="shared" si="7"/>
        <v>4.1785015464242882E-2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'[55]Sch C'!D43</f>
        <v>4895</v>
      </c>
      <c r="D58" s="558">
        <f>'[55]Sch C'!F43</f>
        <v>-4895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'[55]Sch C'!D44</f>
        <v>0</v>
      </c>
      <c r="D59" s="558">
        <f>'[55]Sch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'[55]Sch C'!D45</f>
        <v>1440</v>
      </c>
      <c r="D60" s="558">
        <f>'[55]Sch C'!F45</f>
        <v>-4109</v>
      </c>
      <c r="E60" s="171">
        <f t="shared" si="4"/>
        <v>-2669</v>
      </c>
      <c r="F60" s="171"/>
      <c r="G60" s="171">
        <f t="shared" si="5"/>
        <v>-2669</v>
      </c>
      <c r="H60" s="172">
        <f t="shared" si="6"/>
        <v>-6.9566042388109187E-4</v>
      </c>
      <c r="I60" s="336"/>
      <c r="J60" s="168"/>
      <c r="K60" s="168"/>
      <c r="M60" s="359">
        <f t="shared" si="7"/>
        <v>-0.16846556838982515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912574</v>
      </c>
      <c r="D61" s="558">
        <f>SUM(D25:D60)</f>
        <v>-81318</v>
      </c>
      <c r="E61" s="171">
        <f t="shared" ref="E61:F61" si="8">SUM(E25:E60)</f>
        <v>831256</v>
      </c>
      <c r="F61" s="171">
        <f t="shared" si="8"/>
        <v>0</v>
      </c>
      <c r="G61" s="171">
        <f>SUM(G25:G60)</f>
        <v>831256</v>
      </c>
      <c r="H61" s="186">
        <f t="shared" si="6"/>
        <v>0.21666238340715657</v>
      </c>
      <c r="I61" s="338"/>
      <c r="J61" s="168"/>
      <c r="K61" s="168"/>
      <c r="M61" s="364">
        <f>G61/G$228</f>
        <v>52.468345641608281</v>
      </c>
      <c r="N61" s="359">
        <f>SUMMARY!J64</f>
        <v>53.728790309602623</v>
      </c>
      <c r="O61" s="354">
        <f>M61/N61-1</f>
        <v>-2.3459390407475245E-2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'[55]Sch C'!D57</f>
        <v>0</v>
      </c>
      <c r="D64" s="558">
        <f>'[55]Sch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'[55]Sch C'!D58</f>
        <v>143460</v>
      </c>
      <c r="D65" s="558">
        <f>'[55]Sch C'!F58</f>
        <v>0</v>
      </c>
      <c r="E65" s="171">
        <f t="shared" si="9"/>
        <v>143460</v>
      </c>
      <c r="F65" s="171"/>
      <c r="G65" s="171">
        <f t="shared" si="10"/>
        <v>143460</v>
      </c>
      <c r="H65" s="172">
        <f t="shared" si="11"/>
        <v>3.7392073589352356E-2</v>
      </c>
      <c r="I65" s="336"/>
      <c r="J65" s="190"/>
      <c r="K65" s="168"/>
      <c r="M65" s="359">
        <f t="shared" si="12"/>
        <v>9.0551032001514873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'[55]Sch C'!D59</f>
        <v>284069</v>
      </c>
      <c r="D66" s="558">
        <f>'[55]Sch C'!F59</f>
        <v>0</v>
      </c>
      <c r="E66" s="171">
        <f t="shared" si="9"/>
        <v>284069</v>
      </c>
      <c r="F66" s="171"/>
      <c r="G66" s="171">
        <f t="shared" si="10"/>
        <v>284069</v>
      </c>
      <c r="H66" s="172">
        <f t="shared" si="11"/>
        <v>7.4041049438545475E-2</v>
      </c>
      <c r="I66" s="336"/>
      <c r="J66" s="190"/>
      <c r="K66" s="168"/>
      <c r="M66" s="359">
        <f t="shared" si="12"/>
        <v>17.930253108628417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'[55]Sch C'!D60</f>
        <v>10382</v>
      </c>
      <c r="D67" s="558">
        <f>'[55]Sch C'!F60</f>
        <v>0</v>
      </c>
      <c r="E67" s="171">
        <f t="shared" si="9"/>
        <v>10382</v>
      </c>
      <c r="F67" s="171"/>
      <c r="G67" s="171">
        <f t="shared" si="10"/>
        <v>10382</v>
      </c>
      <c r="H67" s="172">
        <f t="shared" si="11"/>
        <v>2.7060121846135239E-3</v>
      </c>
      <c r="I67" s="336"/>
      <c r="J67" s="193"/>
      <c r="K67" s="168"/>
      <c r="M67" s="359">
        <f t="shared" si="12"/>
        <v>0.65530518209934985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'[55]Sch C'!D61</f>
        <v>61489</v>
      </c>
      <c r="D68" s="558">
        <f>'[55]Sch C'!F61</f>
        <v>0</v>
      </c>
      <c r="E68" s="171">
        <f t="shared" si="9"/>
        <v>61489</v>
      </c>
      <c r="F68" s="171"/>
      <c r="G68" s="171">
        <f t="shared" si="10"/>
        <v>61489</v>
      </c>
      <c r="H68" s="172">
        <f t="shared" si="11"/>
        <v>1.6026775497948467E-2</v>
      </c>
      <c r="I68" s="336"/>
      <c r="J68" s="193"/>
      <c r="K68" s="168"/>
      <c r="M68" s="359">
        <f t="shared" si="12"/>
        <v>3.881146247554125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'[55]Sch C'!D62</f>
        <v>0</v>
      </c>
      <c r="D69" s="558">
        <f>'[55]Sch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'[55]Sch C'!D63</f>
        <v>0</v>
      </c>
      <c r="D70" s="558">
        <f>'[55]Sch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'[55]Sch C'!D64</f>
        <v>0</v>
      </c>
      <c r="D71" s="558">
        <f>'[55]Sch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'[55]Sch C'!D65</f>
        <v>1940</v>
      </c>
      <c r="D72" s="558">
        <f>'[55]Sch C'!F65</f>
        <v>0</v>
      </c>
      <c r="E72" s="171">
        <f t="shared" si="9"/>
        <v>1940</v>
      </c>
      <c r="F72" s="171"/>
      <c r="G72" s="171">
        <f t="shared" si="10"/>
        <v>1940</v>
      </c>
      <c r="H72" s="172">
        <f t="shared" si="11"/>
        <v>5.0565051417359244E-4</v>
      </c>
      <c r="I72" s="336"/>
      <c r="J72" s="195"/>
      <c r="K72" s="168"/>
      <c r="M72" s="359">
        <f t="shared" si="12"/>
        <v>0.12245155589219213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'[55]Sch C'!D66</f>
        <v>19740</v>
      </c>
      <c r="D73" s="558">
        <f>'[55]Sch C'!F66</f>
        <v>57</v>
      </c>
      <c r="E73" s="171">
        <f t="shared" si="9"/>
        <v>19797</v>
      </c>
      <c r="F73" s="171"/>
      <c r="G73" s="171">
        <f t="shared" si="10"/>
        <v>19797</v>
      </c>
      <c r="H73" s="172">
        <f t="shared" si="11"/>
        <v>5.1599810459250564E-3</v>
      </c>
      <c r="I73" s="336"/>
      <c r="J73" s="195"/>
      <c r="K73" s="168"/>
      <c r="M73" s="359">
        <f t="shared" si="12"/>
        <v>1.2495739443287257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'[55]Sch C'!D67</f>
        <v>71097</v>
      </c>
      <c r="D74" s="558">
        <f>'[55]Sch C'!F67</f>
        <v>0</v>
      </c>
      <c r="E74" s="171">
        <f t="shared" si="9"/>
        <v>71097</v>
      </c>
      <c r="F74" s="171"/>
      <c r="G74" s="171">
        <f t="shared" si="10"/>
        <v>71097</v>
      </c>
      <c r="H74" s="172">
        <f t="shared" si="11"/>
        <v>1.8531048766082425E-2</v>
      </c>
      <c r="I74" s="336"/>
      <c r="J74" s="195"/>
      <c r="K74" s="168"/>
      <c r="M74" s="359">
        <f t="shared" si="12"/>
        <v>4.4875970460140122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'[55]Sch C'!D68</f>
        <v>0</v>
      </c>
      <c r="D75" s="558">
        <f>'[55]Sch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'[55]Sch C'!D69</f>
        <v>5118</v>
      </c>
      <c r="D76" s="558">
        <f>'[55]Sch C'!F69</f>
        <v>0</v>
      </c>
      <c r="E76" s="171">
        <f t="shared" si="9"/>
        <v>5118</v>
      </c>
      <c r="F76" s="171"/>
      <c r="G76" s="171">
        <f t="shared" si="10"/>
        <v>5118</v>
      </c>
      <c r="H76" s="172">
        <f t="shared" si="11"/>
        <v>1.3339790368765187E-3</v>
      </c>
      <c r="I76" s="336"/>
      <c r="J76" s="195"/>
      <c r="K76" s="168"/>
      <c r="M76" s="359">
        <f t="shared" si="12"/>
        <v>0.3230448778640409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'[55]Sch C'!D70</f>
        <v>0</v>
      </c>
      <c r="D77" s="558">
        <f>'[55]Sch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'[55]Sch C'!D71</f>
        <v>0</v>
      </c>
      <c r="D78" s="558">
        <f>'[55]Sch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597295</v>
      </c>
      <c r="D79" s="558">
        <f>SUM(D64:D78)</f>
        <v>57</v>
      </c>
      <c r="E79" s="171">
        <f t="shared" ref="E79:F79" si="13">SUM(E64:E78)</f>
        <v>597352</v>
      </c>
      <c r="F79" s="171">
        <f t="shared" si="13"/>
        <v>0</v>
      </c>
      <c r="G79" s="171">
        <f>SUM(G64:G78)</f>
        <v>597352</v>
      </c>
      <c r="H79" s="172">
        <f t="shared" si="11"/>
        <v>0.15569657007351742</v>
      </c>
      <c r="I79" s="336"/>
      <c r="J79" s="195"/>
      <c r="K79" s="168"/>
      <c r="M79" s="359">
        <f t="shared" si="12"/>
        <v>37.704475162532347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'[55]Sch C'!D75</f>
        <v>24734</v>
      </c>
      <c r="D82" s="558">
        <f>'[55]Sch C'!F75</f>
        <v>0</v>
      </c>
      <c r="E82" s="171">
        <f t="shared" ref="E82:E92" si="14">C82+D82</f>
        <v>24734</v>
      </c>
      <c r="F82" s="171"/>
      <c r="G82" s="171">
        <f t="shared" ref="G82:G92" si="15">E82+F82</f>
        <v>24734</v>
      </c>
      <c r="H82" s="172">
        <f t="shared" ref="H82:H93" si="16">IF($G$208=0,0,G82/$G$208)</f>
        <v>6.4467834111183687E-3</v>
      </c>
      <c r="I82" s="336"/>
      <c r="J82" s="183">
        <v>1405</v>
      </c>
      <c r="K82" s="183">
        <v>1518</v>
      </c>
      <c r="M82" s="359">
        <f t="shared" ref="M82:M92" si="17">G82/G$228</f>
        <v>1.5611942182667424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'[55]Sch C'!D76</f>
        <v>21223</v>
      </c>
      <c r="D83" s="558">
        <f>'[55]Sch C'!F76</f>
        <v>0</v>
      </c>
      <c r="E83" s="171">
        <f t="shared" si="14"/>
        <v>21223</v>
      </c>
      <c r="F83" s="171"/>
      <c r="G83" s="171">
        <f t="shared" si="15"/>
        <v>21223</v>
      </c>
      <c r="H83" s="172">
        <f t="shared" si="16"/>
        <v>5.53166023830214E-3</v>
      </c>
      <c r="I83" s="336"/>
      <c r="J83" s="168"/>
      <c r="K83" s="168"/>
      <c r="M83" s="359">
        <f t="shared" si="17"/>
        <v>1.3395821498453575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'[55]Sch C'!D77</f>
        <v>4971</v>
      </c>
      <c r="D84" s="558">
        <f>'[55]Sch C'!F77</f>
        <v>0</v>
      </c>
      <c r="E84" s="171">
        <f t="shared" si="14"/>
        <v>4971</v>
      </c>
      <c r="F84" s="171"/>
      <c r="G84" s="171">
        <f t="shared" si="15"/>
        <v>4971</v>
      </c>
      <c r="H84" s="172">
        <f t="shared" si="16"/>
        <v>1.2956642814210969E-3</v>
      </c>
      <c r="I84" s="336"/>
      <c r="J84" s="168"/>
      <c r="K84" s="168"/>
      <c r="M84" s="359">
        <f t="shared" si="17"/>
        <v>0.31376633213406552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'[55]Sch C'!D78</f>
        <v>0</v>
      </c>
      <c r="D85" s="558">
        <f>'[55]Sch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'[55]Sch C'!D79</f>
        <v>1619</v>
      </c>
      <c r="D86" s="558">
        <f>'[55]Sch C'!F79</f>
        <v>0</v>
      </c>
      <c r="E86" s="171">
        <f t="shared" si="14"/>
        <v>1619</v>
      </c>
      <c r="F86" s="171"/>
      <c r="G86" s="171">
        <f>E86+F86</f>
        <v>1619</v>
      </c>
      <c r="H86" s="172">
        <f t="shared" si="16"/>
        <v>4.2198359919950833E-4</v>
      </c>
      <c r="I86" s="336"/>
      <c r="J86" s="168"/>
      <c r="K86" s="168"/>
      <c r="M86" s="359">
        <f t="shared" si="17"/>
        <v>0.10219024174714385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'[55]Sch C'!D80</f>
        <v>26727</v>
      </c>
      <c r="D87" s="558">
        <f>'[55]Sch C'!F80</f>
        <v>0</v>
      </c>
      <c r="E87" s="171">
        <f t="shared" si="14"/>
        <v>26727</v>
      </c>
      <c r="F87" s="171"/>
      <c r="G87" s="171">
        <f t="shared" si="15"/>
        <v>26727</v>
      </c>
      <c r="H87" s="172">
        <f t="shared" si="16"/>
        <v>6.966248088823508E-3</v>
      </c>
      <c r="I87" s="336"/>
      <c r="J87" s="168"/>
      <c r="K87" s="168"/>
      <c r="M87" s="359">
        <f t="shared" si="17"/>
        <v>1.6869911001704223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'[55]Sch C'!D81</f>
        <v>9664</v>
      </c>
      <c r="D88" s="558">
        <f>'[55]Sch C'!F81</f>
        <v>0</v>
      </c>
      <c r="E88" s="171">
        <f t="shared" si="14"/>
        <v>9664</v>
      </c>
      <c r="F88" s="171"/>
      <c r="G88" s="171">
        <f t="shared" si="15"/>
        <v>9664</v>
      </c>
      <c r="H88" s="172">
        <f t="shared" si="16"/>
        <v>2.518869365450308E-3</v>
      </c>
      <c r="I88" s="336"/>
      <c r="J88" s="168"/>
      <c r="K88" s="168"/>
      <c r="M88" s="359">
        <f t="shared" si="17"/>
        <v>0.60998548254749729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'[55]Sch C'!D82</f>
        <v>8677</v>
      </c>
      <c r="D89" s="558">
        <f>'[55]Sch C'!F82</f>
        <v>0</v>
      </c>
      <c r="E89" s="171">
        <f t="shared" si="14"/>
        <v>8677</v>
      </c>
      <c r="F89" s="171"/>
      <c r="G89" s="171">
        <f t="shared" si="15"/>
        <v>8677</v>
      </c>
      <c r="H89" s="172">
        <f t="shared" si="16"/>
        <v>2.2616131502496192E-3</v>
      </c>
      <c r="I89" s="336"/>
      <c r="J89" s="168"/>
      <c r="K89" s="168"/>
      <c r="M89" s="359">
        <f t="shared" si="17"/>
        <v>0.54768667550337691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'[55]Sch C'!D83</f>
        <v>1426</v>
      </c>
      <c r="D90" s="558">
        <f>'[55]Sch C'!F83</f>
        <v>0</v>
      </c>
      <c r="E90" s="171">
        <f t="shared" si="14"/>
        <v>1426</v>
      </c>
      <c r="F90" s="171"/>
      <c r="G90" s="171">
        <f t="shared" si="15"/>
        <v>1426</v>
      </c>
      <c r="H90" s="172">
        <f t="shared" si="16"/>
        <v>3.7167919237708391E-4</v>
      </c>
      <c r="I90" s="336"/>
      <c r="J90" s="168"/>
      <c r="K90" s="168"/>
      <c r="M90" s="359">
        <f t="shared" si="17"/>
        <v>9.0008205516631953E-2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'[55]Sch C'!D84</f>
        <v>61530</v>
      </c>
      <c r="D91" s="558">
        <f>'[55]Sch C'!F84</f>
        <v>0</v>
      </c>
      <c r="E91" s="171">
        <f t="shared" si="14"/>
        <v>61530</v>
      </c>
      <c r="F91" s="171"/>
      <c r="G91" s="171">
        <f t="shared" si="15"/>
        <v>61530</v>
      </c>
      <c r="H91" s="172">
        <f t="shared" si="16"/>
        <v>1.6037461926340795E-2</v>
      </c>
      <c r="I91" s="336"/>
      <c r="J91" s="168"/>
      <c r="K91" s="168"/>
      <c r="M91" s="359">
        <f t="shared" si="17"/>
        <v>3.8837341412611246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'[55]Sch C'!D85</f>
        <v>0</v>
      </c>
      <c r="D92" s="558">
        <f>'[55]Sch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160571</v>
      </c>
      <c r="D93" s="558">
        <f>SUM(D82:D92)</f>
        <v>0</v>
      </c>
      <c r="E93" s="171">
        <f t="shared" ref="E93:F93" si="18">SUM(E82:E92)</f>
        <v>160571</v>
      </c>
      <c r="F93" s="171">
        <f t="shared" si="18"/>
        <v>0</v>
      </c>
      <c r="G93" s="171">
        <f>SUM(G82:G92)</f>
        <v>160571</v>
      </c>
      <c r="H93" s="172">
        <f t="shared" si="16"/>
        <v>4.1851963253282429E-2</v>
      </c>
      <c r="I93" s="336"/>
      <c r="J93" s="168"/>
      <c r="K93" s="168"/>
      <c r="M93" s="364">
        <f>G93/G$228</f>
        <v>10.135138546992362</v>
      </c>
      <c r="N93" s="359">
        <f>SUMMARY!J96</f>
        <v>11.458724454710746</v>
      </c>
      <c r="O93" s="354">
        <f>M93/N93-1</f>
        <v>-0.11550900913532747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'[55]Sch C'!D89</f>
        <v>77696</v>
      </c>
      <c r="D96" s="558">
        <f>'[55]Sch C'!F89</f>
        <v>0</v>
      </c>
      <c r="E96" s="171">
        <f t="shared" ref="E96:E101" si="19">C96+D96</f>
        <v>77696</v>
      </c>
      <c r="F96" s="171"/>
      <c r="G96" s="171">
        <f t="shared" ref="G96:G101" si="20">E96+F96</f>
        <v>77696</v>
      </c>
      <c r="H96" s="172">
        <f t="shared" ref="H96:H102" si="21">IF($G$208=0,0,G96/$G$208)</f>
        <v>2.0251042448057442E-2</v>
      </c>
      <c r="I96" s="336"/>
      <c r="J96" s="183">
        <v>6390</v>
      </c>
      <c r="K96" s="183">
        <v>7014</v>
      </c>
      <c r="M96" s="364">
        <f t="shared" ref="M96:M101" si="22">G96/G$228</f>
        <v>4.9041216941235879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'[55]Sch C'!D90</f>
        <v>15583</v>
      </c>
      <c r="D97" s="558">
        <f>'[55]Sch C'!F90</f>
        <v>0</v>
      </c>
      <c r="E97" s="171">
        <f t="shared" si="19"/>
        <v>15583</v>
      </c>
      <c r="F97" s="171"/>
      <c r="G97" s="171">
        <f t="shared" si="20"/>
        <v>15583</v>
      </c>
      <c r="H97" s="172">
        <f t="shared" si="21"/>
        <v>4.0616247228696346E-3</v>
      </c>
      <c r="I97" s="336"/>
      <c r="J97" s="168"/>
      <c r="K97" s="168"/>
      <c r="M97" s="364">
        <f t="shared" si="22"/>
        <v>0.98358896673609797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'[55]Sch C'!D91</f>
        <v>110058</v>
      </c>
      <c r="D98" s="558">
        <f>'[55]Sch C'!F91</f>
        <v>0</v>
      </c>
      <c r="E98" s="171">
        <f t="shared" si="19"/>
        <v>110058</v>
      </c>
      <c r="F98" s="171"/>
      <c r="G98" s="171">
        <f t="shared" si="20"/>
        <v>110058</v>
      </c>
      <c r="H98" s="172">
        <f t="shared" si="21"/>
        <v>2.868602282933878E-2</v>
      </c>
      <c r="I98" s="336"/>
      <c r="J98" s="168"/>
      <c r="K98" s="168"/>
      <c r="M98" s="364">
        <f t="shared" si="22"/>
        <v>6.9467903806097331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'[55]Sch C'!D92</f>
        <v>49560</v>
      </c>
      <c r="D99" s="558">
        <f>'[55]Sch C'!F92</f>
        <v>-200</v>
      </c>
      <c r="E99" s="171">
        <f t="shared" si="19"/>
        <v>49360</v>
      </c>
      <c r="F99" s="171"/>
      <c r="G99" s="171">
        <f t="shared" si="20"/>
        <v>49360</v>
      </c>
      <c r="H99" s="172">
        <f t="shared" si="21"/>
        <v>1.2865417205983774E-2</v>
      </c>
      <c r="I99" s="336"/>
      <c r="J99" s="168"/>
      <c r="K99" s="168"/>
      <c r="M99" s="364">
        <f t="shared" si="22"/>
        <v>3.1155715457930948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'[55]Sch C'!D93</f>
        <v>12223</v>
      </c>
      <c r="D100" s="558">
        <f>'[55]Sch C'!F93</f>
        <v>0</v>
      </c>
      <c r="E100" s="171">
        <f t="shared" si="19"/>
        <v>12223</v>
      </c>
      <c r="F100" s="171"/>
      <c r="G100" s="171">
        <f t="shared" si="20"/>
        <v>12223</v>
      </c>
      <c r="H100" s="172">
        <f t="shared" si="21"/>
        <v>3.1858588838885671E-3</v>
      </c>
      <c r="I100" s="336"/>
      <c r="J100" s="168"/>
      <c r="K100" s="168"/>
      <c r="M100" s="364">
        <f t="shared" si="22"/>
        <v>0.77150792147951774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'[55]Sch C'!D94</f>
        <v>0</v>
      </c>
      <c r="D101" s="558">
        <f>'[55]Sch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265120</v>
      </c>
      <c r="D102" s="558">
        <f>SUM(D96:D101)</f>
        <v>-200</v>
      </c>
      <c r="E102" s="171">
        <f t="shared" ref="E102:F102" si="23">SUM(E96:E101)</f>
        <v>264920</v>
      </c>
      <c r="F102" s="171">
        <f t="shared" si="23"/>
        <v>0</v>
      </c>
      <c r="G102" s="171">
        <f>SUM(G96:G101)</f>
        <v>264920</v>
      </c>
      <c r="H102" s="172">
        <f t="shared" si="21"/>
        <v>6.9049966090138193E-2</v>
      </c>
      <c r="I102" s="336"/>
      <c r="J102" s="168"/>
      <c r="K102" s="168"/>
      <c r="M102" s="364">
        <f>G102/G$228</f>
        <v>16.721580508742033</v>
      </c>
      <c r="N102" s="359">
        <f>SUMMARY!J105</f>
        <v>19.901077037785338</v>
      </c>
      <c r="O102" s="354">
        <f>M102/N102-1</f>
        <v>-0.15976504804270286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'[55]Sch C'!D98</f>
        <v>0</v>
      </c>
      <c r="D105" s="558">
        <f>'[55]Sch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'[55]Sch C'!D99</f>
        <v>0</v>
      </c>
      <c r="D106" s="558">
        <f>'[55]Sch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'[55]Sch C'!D100</f>
        <v>0</v>
      </c>
      <c r="D107" s="558">
        <f>'[55]Sch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'[55]Sch C'!D101</f>
        <v>47769</v>
      </c>
      <c r="D108" s="558">
        <f>'[55]Sch C'!F101</f>
        <v>0</v>
      </c>
      <c r="E108" s="171">
        <f t="shared" si="24"/>
        <v>47769</v>
      </c>
      <c r="F108" s="171"/>
      <c r="G108" s="171">
        <f t="shared" si="25"/>
        <v>47769</v>
      </c>
      <c r="H108" s="172">
        <f t="shared" si="26"/>
        <v>1.2450731655442441E-2</v>
      </c>
      <c r="I108" s="336"/>
      <c r="J108" s="168"/>
      <c r="K108" s="168"/>
      <c r="M108" s="364">
        <f t="shared" si="27"/>
        <v>3.0151486460897559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'[55]Sch C'!D102</f>
        <v>3258</v>
      </c>
      <c r="D109" s="558">
        <f>'[55]Sch C'!F102</f>
        <v>0</v>
      </c>
      <c r="E109" s="171">
        <f t="shared" si="24"/>
        <v>3258</v>
      </c>
      <c r="F109" s="171"/>
      <c r="G109" s="171">
        <f t="shared" si="25"/>
        <v>3258</v>
      </c>
      <c r="H109" s="172">
        <f t="shared" si="26"/>
        <v>8.4918009029771348E-4</v>
      </c>
      <c r="I109" s="336"/>
      <c r="J109" s="168"/>
      <c r="K109" s="168"/>
      <c r="M109" s="364">
        <f t="shared" si="27"/>
        <v>0.20564287066843401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'[55]Sch C'!D103</f>
        <v>0</v>
      </c>
      <c r="D110" s="558">
        <f>'[55]Sch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51027</v>
      </c>
      <c r="D111" s="558">
        <f>SUM(D105:D110)</f>
        <v>0</v>
      </c>
      <c r="E111" s="171">
        <f t="shared" ref="E111:F111" si="28">SUM(E105:E110)</f>
        <v>51027</v>
      </c>
      <c r="F111" s="171">
        <f t="shared" si="28"/>
        <v>0</v>
      </c>
      <c r="G111" s="171">
        <f>SUM(G105:G110)</f>
        <v>51027</v>
      </c>
      <c r="H111" s="172">
        <f t="shared" si="26"/>
        <v>1.3299911745740155E-2</v>
      </c>
      <c r="I111" s="336"/>
      <c r="J111" s="168"/>
      <c r="K111" s="168"/>
      <c r="M111" s="364">
        <f>G111/G$228</f>
        <v>3.2207915167581898</v>
      </c>
      <c r="N111" s="359">
        <f>SUMMARY!J114</f>
        <v>2.4242384372309496</v>
      </c>
      <c r="O111" s="354">
        <f>M111/N111-1</f>
        <v>0.32857868569936999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'[55]Sch C'!D115</f>
        <v>0</v>
      </c>
      <c r="D114" s="558">
        <f>'[55]Sch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'[55]Sch C'!D116</f>
        <v>0</v>
      </c>
      <c r="D115" s="558">
        <f>'[55]Sch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'[55]Sch C'!D117</f>
        <v>5832</v>
      </c>
      <c r="D116" s="558">
        <f>'[55]Sch C'!F117</f>
        <v>0</v>
      </c>
      <c r="E116" s="171">
        <f t="shared" si="29"/>
        <v>5832</v>
      </c>
      <c r="F116" s="171"/>
      <c r="G116" s="171">
        <f>E116+F116</f>
        <v>5832</v>
      </c>
      <c r="H116" s="172">
        <f t="shared" si="30"/>
        <v>1.5200792776599954E-3</v>
      </c>
      <c r="I116" s="336"/>
      <c r="J116" s="168"/>
      <c r="K116" s="168"/>
      <c r="M116" s="364">
        <f t="shared" si="31"/>
        <v>0.3681120999810642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'[55]Sch C'!D118</f>
        <v>90942</v>
      </c>
      <c r="D117" s="558">
        <f>'[55]Sch C'!F118</f>
        <v>0</v>
      </c>
      <c r="E117" s="171">
        <f t="shared" si="29"/>
        <v>90942</v>
      </c>
      <c r="F117" s="171"/>
      <c r="G117" s="171">
        <f>E117+F117</f>
        <v>90942</v>
      </c>
      <c r="H117" s="172">
        <f t="shared" si="30"/>
        <v>2.3703540752564353E-2</v>
      </c>
      <c r="I117" s="336"/>
      <c r="J117" s="168"/>
      <c r="K117" s="168"/>
      <c r="M117" s="364">
        <f t="shared" si="31"/>
        <v>5.740200719560689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'[55]Sch C'!D119</f>
        <v>0</v>
      </c>
      <c r="D118" s="558">
        <f>'[55]Sch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96774</v>
      </c>
      <c r="D119" s="558">
        <f>SUM(D114:D118)</f>
        <v>0</v>
      </c>
      <c r="E119" s="171">
        <f t="shared" ref="E119:F119" si="32">SUM(E114:E118)</f>
        <v>96774</v>
      </c>
      <c r="F119" s="171">
        <f t="shared" si="32"/>
        <v>0</v>
      </c>
      <c r="G119" s="171">
        <f>SUM(G114:G118)</f>
        <v>96774</v>
      </c>
      <c r="H119" s="172">
        <f t="shared" si="30"/>
        <v>2.5223620030224346E-2</v>
      </c>
      <c r="I119" s="336"/>
      <c r="J119" s="168"/>
      <c r="K119" s="168"/>
      <c r="M119" s="364">
        <f t="shared" si="31"/>
        <v>6.1083128195417533</v>
      </c>
      <c r="N119" s="359">
        <f>SUMMARY!J122</f>
        <v>6.0247597205909562</v>
      </c>
      <c r="O119" s="354">
        <f>M119/N119-1</f>
        <v>1.3868287338536733E-2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'[55]Sch C'!D124</f>
        <v>0</v>
      </c>
      <c r="D123" s="558">
        <f>'[55]Sch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'[55]Sch C'!D125</f>
        <v>127346</v>
      </c>
      <c r="D124" s="558">
        <f>'[55]Sch C'!F125</f>
        <v>0</v>
      </c>
      <c r="E124" s="171">
        <f t="shared" si="33"/>
        <v>127346</v>
      </c>
      <c r="F124" s="171"/>
      <c r="G124" s="171">
        <f>E124+F124</f>
        <v>127346</v>
      </c>
      <c r="H124" s="172">
        <f>IF($G$208=0,0,G124/$G$208)</f>
        <v>3.3192046586572321E-2</v>
      </c>
      <c r="I124" s="336"/>
      <c r="J124" s="183">
        <v>2866</v>
      </c>
      <c r="K124" s="183">
        <v>3279</v>
      </c>
      <c r="M124" s="364">
        <f t="shared" si="34"/>
        <v>8.0379978539418033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'[55]Sch C'!D126</f>
        <v>0</v>
      </c>
      <c r="D125" s="558">
        <f>'[55]Sch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'[55]Sch C'!D127</f>
        <v>0</v>
      </c>
      <c r="D126" s="558">
        <f>'[55]Sch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'[55]Sch C'!D128</f>
        <v>28961</v>
      </c>
      <c r="D127" s="558">
        <f>'[55]Sch C'!F128</f>
        <v>0</v>
      </c>
      <c r="E127" s="171">
        <f t="shared" si="33"/>
        <v>28961</v>
      </c>
      <c r="F127" s="171"/>
      <c r="G127" s="171">
        <f>E127+F127</f>
        <v>28961</v>
      </c>
      <c r="H127" s="172">
        <f>IF($G$208=0,0,G127/$G$208)</f>
        <v>7.5485281139079435E-3</v>
      </c>
      <c r="I127" s="336"/>
      <c r="J127" s="183">
        <v>1774</v>
      </c>
      <c r="K127" s="183">
        <v>2059</v>
      </c>
      <c r="M127" s="364">
        <f t="shared" si="34"/>
        <v>1.8279997475225651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'[55]Sch C'!D130</f>
        <v>0</v>
      </c>
      <c r="D129" s="558">
        <f>'[55]Sch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'[55]Sch C'!D131</f>
        <v>40036</v>
      </c>
      <c r="D130" s="558">
        <f>'[55]Sch C'!F131</f>
        <v>0</v>
      </c>
      <c r="E130" s="171">
        <f t="shared" si="35"/>
        <v>40036</v>
      </c>
      <c r="F130" s="171"/>
      <c r="G130" s="171">
        <f>E130+F130</f>
        <v>40036</v>
      </c>
      <c r="H130" s="172">
        <f>IF($G$208=0,0,G130/$G$208)</f>
        <v>1.0435167002811312E-2</v>
      </c>
      <c r="I130" s="336"/>
      <c r="J130" s="204"/>
      <c r="K130" s="204"/>
      <c r="M130" s="364">
        <f t="shared" si="34"/>
        <v>2.5270466452060849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'[55]Sch C'!D132</f>
        <v>0</v>
      </c>
      <c r="D131" s="558">
        <f>'[55]Sch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'[55]Sch C'!D133</f>
        <v>0</v>
      </c>
      <c r="D132" s="558">
        <f>'[55]Sch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'[55]Sch C'!D134</f>
        <v>8012</v>
      </c>
      <c r="D133" s="558">
        <f>'[55]Sch C'!F134</f>
        <v>0</v>
      </c>
      <c r="E133" s="171">
        <f t="shared" si="35"/>
        <v>8012</v>
      </c>
      <c r="F133" s="171"/>
      <c r="G133" s="171">
        <f>E133+F133</f>
        <v>8012</v>
      </c>
      <c r="H133" s="172">
        <f>IF($G$208=0,0,G133/$G$208)</f>
        <v>2.0882844946179496E-3</v>
      </c>
      <c r="I133" s="336"/>
      <c r="J133" s="168"/>
      <c r="K133" s="168"/>
      <c r="M133" s="364">
        <f t="shared" si="34"/>
        <v>0.50571230196301209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'[55]Sch C'!D136</f>
        <v>164868</v>
      </c>
      <c r="D135" s="558">
        <f>'[55]Sch C'!F136</f>
        <v>0</v>
      </c>
      <c r="E135" s="171">
        <f t="shared" ref="E135:E138" si="36">C135+D135</f>
        <v>164868</v>
      </c>
      <c r="F135" s="171"/>
      <c r="G135" s="171">
        <f>E135+F135</f>
        <v>164868</v>
      </c>
      <c r="H135" s="172">
        <f>IF($G$208=0,0,G135/$G$208)</f>
        <v>4.2971953077717444E-2</v>
      </c>
      <c r="I135" s="336"/>
      <c r="J135" s="183">
        <v>5156</v>
      </c>
      <c r="K135" s="183">
        <v>5680</v>
      </c>
      <c r="M135" s="364">
        <f t="shared" si="34"/>
        <v>10.406362431357698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'[55]Sch C'!D137</f>
        <v>266126</v>
      </c>
      <c r="D136" s="558">
        <f>'[55]Sch C'!F137</f>
        <v>0</v>
      </c>
      <c r="E136" s="171">
        <f t="shared" si="36"/>
        <v>266126</v>
      </c>
      <c r="F136" s="171"/>
      <c r="G136" s="171">
        <f>E136+F136</f>
        <v>266126</v>
      </c>
      <c r="H136" s="172">
        <f>IF($G$208=0,0,G136/$G$208)</f>
        <v>6.9364303471629613E-2</v>
      </c>
      <c r="I136" s="336"/>
      <c r="J136" s="183">
        <v>13202</v>
      </c>
      <c r="K136" s="183">
        <v>14437</v>
      </c>
      <c r="M136" s="364">
        <f t="shared" si="34"/>
        <v>16.797702455343053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'[55]Sch C'!D138</f>
        <v>369633</v>
      </c>
      <c r="D137" s="558">
        <f>'[55]Sch C'!F138</f>
        <v>6771</v>
      </c>
      <c r="E137" s="171">
        <f t="shared" si="36"/>
        <v>376404</v>
      </c>
      <c r="F137" s="171"/>
      <c r="G137" s="171">
        <f>E137+F137</f>
        <v>376404</v>
      </c>
      <c r="H137" s="172">
        <f>IF($G$208=0,0,G137/$G$208)</f>
        <v>9.8107668111854063E-2</v>
      </c>
      <c r="I137" s="336"/>
      <c r="J137" s="183">
        <v>34697</v>
      </c>
      <c r="K137" s="183">
        <v>36568</v>
      </c>
      <c r="M137" s="364">
        <f t="shared" si="34"/>
        <v>23.758379094868395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'[55]Sch C'!D139</f>
        <v>6771</v>
      </c>
      <c r="D138" s="558">
        <f>'[55]Sch C'!F139</f>
        <v>-6771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'[55]Sch C'!D141</f>
        <v>199760</v>
      </c>
      <c r="D140" s="558">
        <f>'[55]Sch C'!F141</f>
        <v>-158970</v>
      </c>
      <c r="E140" s="171">
        <f t="shared" ref="E140:E143" si="37">C140+D140</f>
        <v>40790</v>
      </c>
      <c r="F140" s="171"/>
      <c r="G140" s="171">
        <f>E140+F140</f>
        <v>40790</v>
      </c>
      <c r="H140" s="172">
        <f>IF($G$208=0,0,G140/$G$208)</f>
        <v>1.0631693027392183E-2</v>
      </c>
      <c r="I140" s="336"/>
      <c r="J140" s="168"/>
      <c r="K140" s="168"/>
      <c r="M140" s="364">
        <f t="shared" si="34"/>
        <v>2.5746386416714007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'[55]Sch C'!D142</f>
        <v>0</v>
      </c>
      <c r="D141" s="558">
        <f>'[55]Sch C'!F142</f>
        <v>65843</v>
      </c>
      <c r="E141" s="171">
        <f t="shared" si="37"/>
        <v>65843</v>
      </c>
      <c r="F141" s="171"/>
      <c r="G141" s="171">
        <f>E141+F141</f>
        <v>65843</v>
      </c>
      <c r="H141" s="172">
        <f>IF($G$208=0,0,G141/$G$208)</f>
        <v>1.7161622064294765E-2</v>
      </c>
      <c r="I141" s="336"/>
      <c r="J141" s="168"/>
      <c r="K141" s="168"/>
      <c r="M141" s="364">
        <f t="shared" si="34"/>
        <v>4.1559679353657764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'[55]Sch C'!D143</f>
        <v>0</v>
      </c>
      <c r="D142" s="558">
        <f>'[55]Sch C'!F143</f>
        <v>93127</v>
      </c>
      <c r="E142" s="171">
        <f t="shared" si="37"/>
        <v>93127</v>
      </c>
      <c r="F142" s="171"/>
      <c r="G142" s="171">
        <f>E142+F142</f>
        <v>93127</v>
      </c>
      <c r="H142" s="172">
        <f>IF($G$208=0,0,G142/$G$208)</f>
        <v>2.4273049192496982E-2</v>
      </c>
      <c r="I142" s="336"/>
      <c r="J142" s="168"/>
      <c r="K142" s="168"/>
      <c r="M142" s="364">
        <f t="shared" si="34"/>
        <v>5.8781165183361734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'[55]Sch C'!D144</f>
        <v>0</v>
      </c>
      <c r="D143" s="558">
        <f>'[55]Sch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'[55]Sch C'!D146</f>
        <v>24825</v>
      </c>
      <c r="D145" s="558">
        <f>'[55]Sch C'!F146</f>
        <v>0</v>
      </c>
      <c r="E145" s="171">
        <f t="shared" ref="E145:E153" si="38">C145+D145</f>
        <v>24825</v>
      </c>
      <c r="F145" s="171"/>
      <c r="G145" s="171">
        <f t="shared" ref="G145:G153" si="39">E145+F145</f>
        <v>24825</v>
      </c>
      <c r="H145" s="172">
        <f t="shared" ref="H145:H153" si="40">IF($G$208=0,0,G145/$G$208)</f>
        <v>6.4705020692574396E-3</v>
      </c>
      <c r="I145" s="336"/>
      <c r="J145" s="183">
        <v>166</v>
      </c>
      <c r="K145" s="183">
        <v>166</v>
      </c>
      <c r="M145" s="364">
        <f t="shared" si="34"/>
        <v>1.5669380799091082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'[55]Sch C'!D147</f>
        <v>0</v>
      </c>
      <c r="D146" s="558">
        <f>'[55]Sch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'[55]Sch C'!D148</f>
        <v>0</v>
      </c>
      <c r="D147" s="558">
        <f>'[55]Sch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'[55]Sch C'!D149</f>
        <v>0</v>
      </c>
      <c r="D148" s="558">
        <f>'[55]Sch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'[55]Sch C'!D150</f>
        <v>299</v>
      </c>
      <c r="D149" s="558">
        <f>'[55]Sch C'!F150</f>
        <v>0</v>
      </c>
      <c r="E149" s="171">
        <f t="shared" si="38"/>
        <v>299</v>
      </c>
      <c r="F149" s="171"/>
      <c r="G149" s="171">
        <f t="shared" si="39"/>
        <v>299</v>
      </c>
      <c r="H149" s="172">
        <f t="shared" si="40"/>
        <v>7.7932733885517595E-5</v>
      </c>
      <c r="I149" s="336"/>
      <c r="J149" s="183">
        <v>0</v>
      </c>
      <c r="K149" s="183">
        <v>0</v>
      </c>
      <c r="M149" s="364">
        <f t="shared" si="34"/>
        <v>1.8872688253487344E-2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'[55]Sch C'!D151</f>
        <v>52314</v>
      </c>
      <c r="D150" s="558">
        <f>'[55]Sch C'!F151</f>
        <v>0</v>
      </c>
      <c r="E150" s="171">
        <f t="shared" si="38"/>
        <v>52314</v>
      </c>
      <c r="F150" s="171"/>
      <c r="G150" s="171">
        <f t="shared" si="39"/>
        <v>52314</v>
      </c>
      <c r="H150" s="172">
        <f t="shared" si="40"/>
        <v>1.3635361339421295E-2</v>
      </c>
      <c r="I150" s="336"/>
      <c r="J150" s="168"/>
      <c r="K150" s="168"/>
      <c r="M150" s="364">
        <f t="shared" si="34"/>
        <v>3.3020261314145047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'[55]Sch C'!D152</f>
        <v>4894</v>
      </c>
      <c r="D151" s="558">
        <f>'[55]Sch C'!F152</f>
        <v>0</v>
      </c>
      <c r="E151" s="171">
        <f t="shared" si="38"/>
        <v>4894</v>
      </c>
      <c r="F151" s="171"/>
      <c r="G151" s="171">
        <f t="shared" si="39"/>
        <v>4894</v>
      </c>
      <c r="H151" s="172">
        <f t="shared" si="40"/>
        <v>1.2755946476111142E-3</v>
      </c>
      <c r="I151" s="336"/>
      <c r="J151" s="168"/>
      <c r="K151" s="168"/>
      <c r="M151" s="364">
        <f t="shared" si="34"/>
        <v>0.30890614151360224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'[55]Sch C'!D153</f>
        <v>0</v>
      </c>
      <c r="D152" s="558">
        <f>'[55]Sch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'[55]Sch C'!D154</f>
        <v>0</v>
      </c>
      <c r="D153" s="558">
        <f>'[55]Sch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'[55]Sch C'!D156</f>
        <v>0</v>
      </c>
      <c r="D155" s="558">
        <f>'[55]Sch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'[55]Sch C'!D157</f>
        <v>0</v>
      </c>
      <c r="D156" s="558">
        <f>'[55]Sch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'[55]Sch C'!D158</f>
        <v>0</v>
      </c>
      <c r="D157" s="558">
        <f>'[55]Sch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'[55]Sch C'!D159</f>
        <v>0</v>
      </c>
      <c r="D158" s="558">
        <f>'[55]Sch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'[55]Sch C'!D160</f>
        <v>0</v>
      </c>
      <c r="D159" s="558">
        <f>'[55]Sch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'[55]Sch C'!D161</f>
        <v>10559</v>
      </c>
      <c r="D160" s="558">
        <f>'[55]Sch C'!F161</f>
        <v>-87</v>
      </c>
      <c r="E160" s="171">
        <f t="shared" si="41"/>
        <v>10472</v>
      </c>
      <c r="F160" s="171"/>
      <c r="G160" s="171">
        <f t="shared" si="42"/>
        <v>10472</v>
      </c>
      <c r="H160" s="172">
        <f t="shared" si="43"/>
        <v>2.7294701981576599E-3</v>
      </c>
      <c r="I160" s="336"/>
      <c r="J160" s="168"/>
      <c r="K160" s="168"/>
      <c r="M160" s="364">
        <f t="shared" si="34"/>
        <v>0.66098592438300829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1304404</v>
      </c>
      <c r="D161" s="558">
        <f>SUM(D123:D160)</f>
        <v>-87</v>
      </c>
      <c r="E161" s="171">
        <f t="shared" ref="E161:F161" si="44">SUM(E123:E160)</f>
        <v>1304317</v>
      </c>
      <c r="F161" s="171">
        <f t="shared" si="44"/>
        <v>0</v>
      </c>
      <c r="G161" s="171">
        <f>SUM(G123:G160)</f>
        <v>1304317</v>
      </c>
      <c r="H161" s="172">
        <f t="shared" si="43"/>
        <v>0.33996317613162763</v>
      </c>
      <c r="I161" s="336"/>
      <c r="J161" s="168"/>
      <c r="K161" s="168"/>
      <c r="M161" s="364">
        <f>G161/G$228</f>
        <v>82.32765259104967</v>
      </c>
      <c r="N161" s="359">
        <f>SUMMARY!J164</f>
        <v>105.56901037202306</v>
      </c>
      <c r="O161" s="354">
        <f>M161/N161-1</f>
        <v>-0.22015322203998422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'[55]Sch C'!D175</f>
        <v>0</v>
      </c>
      <c r="D164" s="558">
        <f>'[55]Sch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'[55]Sch C'!D176</f>
        <v>0</v>
      </c>
      <c r="D165" s="558">
        <f>'[55]Sch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'[55]Sch C'!D177</f>
        <v>0</v>
      </c>
      <c r="D166" s="558">
        <f>'[55]Sch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'[55]Sch C'!D178</f>
        <v>0</v>
      </c>
      <c r="D167" s="558">
        <f>'[55]Sch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'[55]Sch C'!D179</f>
        <v>0</v>
      </c>
      <c r="D168" s="558">
        <f>'[55]Sch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'[55]Sch C'!D180</f>
        <v>0</v>
      </c>
      <c r="D169" s="558">
        <f>'[55]Sch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'[55]Sch C'!D181</f>
        <v>0</v>
      </c>
      <c r="D170" s="558">
        <f>'[55]Sch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'[55]Sch C'!D182</f>
        <v>0</v>
      </c>
      <c r="D171" s="558">
        <f>'[55]Sch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'[55]Sch C'!D183</f>
        <v>0</v>
      </c>
      <c r="D172" s="558">
        <f>'[55]Sch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'[55]Sch C'!D184</f>
        <v>0</v>
      </c>
      <c r="D173" s="558">
        <f>'[55]Sch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'[55]Sch C'!D185</f>
        <v>0</v>
      </c>
      <c r="D174" s="558">
        <f>'[55]Sch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'[55]Sch C'!D186</f>
        <v>0</v>
      </c>
      <c r="D175" s="558">
        <f>'[55]Sch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'[55]Sch C'!D187</f>
        <v>0</v>
      </c>
      <c r="D176" s="558">
        <f>'[55]Sch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'[55]Sch C'!D188</f>
        <v>0</v>
      </c>
      <c r="D177" s="558">
        <f>'[55]Sch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'[55]Sch C'!D189</f>
        <v>0</v>
      </c>
      <c r="D178" s="558">
        <f>'[55]Sch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'[55]Sch C'!D190</f>
        <v>0</v>
      </c>
      <c r="D179" s="558">
        <f>'[55]Sch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'[55]Sch C'!D191</f>
        <v>0</v>
      </c>
      <c r="D180" s="558">
        <f>'[55]Sch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'[55]Sch C'!D192</f>
        <v>157</v>
      </c>
      <c r="D181" s="558">
        <f>'[55]Sch C'!F192</f>
        <v>0</v>
      </c>
      <c r="E181" s="171">
        <f t="shared" si="45"/>
        <v>157</v>
      </c>
      <c r="F181" s="216"/>
      <c r="G181" s="171">
        <f t="shared" si="46"/>
        <v>157</v>
      </c>
      <c r="H181" s="172">
        <f t="shared" si="47"/>
        <v>4.092120140477011E-5</v>
      </c>
      <c r="I181" s="336"/>
      <c r="J181" s="223"/>
      <c r="K181" s="218"/>
      <c r="L181" s="220"/>
      <c r="M181" s="364">
        <f t="shared" si="48"/>
        <v>9.9097393170485392E-3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'[55]Sch C'!D193</f>
        <v>1073</v>
      </c>
      <c r="D182" s="558">
        <f>'[55]Sch C'!F193</f>
        <v>0</v>
      </c>
      <c r="E182" s="171">
        <f t="shared" si="45"/>
        <v>1073</v>
      </c>
      <c r="F182" s="216"/>
      <c r="G182" s="171">
        <f t="shared" si="46"/>
        <v>1073</v>
      </c>
      <c r="H182" s="172">
        <f t="shared" si="47"/>
        <v>2.7967165036508487E-4</v>
      </c>
      <c r="I182" s="336"/>
      <c r="J182" s="223"/>
      <c r="K182" s="218"/>
      <c r="L182" s="220"/>
      <c r="M182" s="364">
        <f t="shared" si="48"/>
        <v>6.7727071892949561E-2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'[55]Sch C'!D194</f>
        <v>163968</v>
      </c>
      <c r="D183" s="558">
        <f>'[55]Sch C'!F194</f>
        <v>-2214</v>
      </c>
      <c r="E183" s="171">
        <f t="shared" si="45"/>
        <v>161754</v>
      </c>
      <c r="F183" s="216"/>
      <c r="G183" s="171">
        <f t="shared" si="46"/>
        <v>161754</v>
      </c>
      <c r="H183" s="172">
        <f t="shared" si="47"/>
        <v>4.2160305809090345E-2</v>
      </c>
      <c r="I183" s="336"/>
      <c r="J183" s="223"/>
      <c r="K183" s="218"/>
      <c r="M183" s="364">
        <f t="shared" si="48"/>
        <v>10.209808748343116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'[55]Sch C'!D195</f>
        <v>3966</v>
      </c>
      <c r="D184" s="558">
        <f>'[55]Sch C'!F195</f>
        <v>-54</v>
      </c>
      <c r="E184" s="171">
        <f t="shared" si="45"/>
        <v>3912</v>
      </c>
      <c r="F184" s="216"/>
      <c r="G184" s="171">
        <f t="shared" si="46"/>
        <v>3912</v>
      </c>
      <c r="H184" s="172">
        <f t="shared" si="47"/>
        <v>1.0196416553850999E-3</v>
      </c>
      <c r="I184" s="336"/>
      <c r="J184" s="223"/>
      <c r="K184" s="218"/>
      <c r="M184" s="364">
        <f t="shared" si="48"/>
        <v>0.24692293126301837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'[55]Sch C'!D196</f>
        <v>0</v>
      </c>
      <c r="D185" s="558">
        <f>'[55]Sch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'[55]Sch C'!D197</f>
        <v>129533</v>
      </c>
      <c r="D186" s="558">
        <f>'[55]Sch C'!F197</f>
        <v>-1749</v>
      </c>
      <c r="E186" s="171">
        <f t="shared" si="45"/>
        <v>127784</v>
      </c>
      <c r="F186" s="216"/>
      <c r="G186" s="171">
        <f t="shared" si="46"/>
        <v>127784</v>
      </c>
      <c r="H186" s="172">
        <f t="shared" si="47"/>
        <v>3.3306208919153778E-2</v>
      </c>
      <c r="I186" s="336"/>
      <c r="J186" s="223"/>
      <c r="K186" s="218"/>
      <c r="M186" s="364">
        <f t="shared" si="48"/>
        <v>8.0656441330556081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'[55]Sch C'!D198</f>
        <v>13905</v>
      </c>
      <c r="D187" s="558">
        <f>'[55]Sch C'!F198</f>
        <v>0</v>
      </c>
      <c r="E187" s="171">
        <f t="shared" si="45"/>
        <v>13905</v>
      </c>
      <c r="F187" s="216"/>
      <c r="G187" s="171">
        <f t="shared" si="46"/>
        <v>13905</v>
      </c>
      <c r="H187" s="172">
        <f t="shared" si="47"/>
        <v>3.6242630925689707E-3</v>
      </c>
      <c r="I187" s="336"/>
      <c r="J187" s="223"/>
      <c r="K187" s="218"/>
      <c r="M187" s="364">
        <f t="shared" si="48"/>
        <v>0.87767468282522254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'[55]Sch C'!D199</f>
        <v>0</v>
      </c>
      <c r="D188" s="558">
        <f>'[55]Sch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'[55]Sch C'!D200</f>
        <v>0</v>
      </c>
      <c r="D189" s="558">
        <f>'[55]Sch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'[55]Sch C'!D201</f>
        <v>0</v>
      </c>
      <c r="D190" s="558">
        <f>'[55]Sch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'[55]Sch C'!D202</f>
        <v>0</v>
      </c>
      <c r="D191" s="558">
        <f>'[55]Sch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'[55]Sch C'!D203</f>
        <v>0</v>
      </c>
      <c r="D192" s="558">
        <f>'[55]Sch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'[55]Sch C'!D204</f>
        <v>0</v>
      </c>
      <c r="D193" s="558">
        <f>'[55]Sch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'[55]Sch C'!D205</f>
        <v>114384</v>
      </c>
      <c r="D194" s="558">
        <f>'[55]Sch C'!F205</f>
        <v>-1659</v>
      </c>
      <c r="E194" s="171">
        <f t="shared" si="45"/>
        <v>112725</v>
      </c>
      <c r="F194" s="216"/>
      <c r="G194" s="171">
        <f t="shared" si="46"/>
        <v>112725</v>
      </c>
      <c r="H194" s="172">
        <f t="shared" si="47"/>
        <v>2.9381161964030005E-2</v>
      </c>
      <c r="I194" s="336"/>
      <c r="J194" s="223"/>
      <c r="K194" s="218"/>
      <c r="M194" s="364">
        <f t="shared" si="48"/>
        <v>7.1151297102821438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'[55]Sch C'!D206</f>
        <v>913</v>
      </c>
      <c r="D195" s="558">
        <f>'[55]Sch C'!F206</f>
        <v>0</v>
      </c>
      <c r="E195" s="171">
        <f t="shared" si="45"/>
        <v>913</v>
      </c>
      <c r="F195" s="216"/>
      <c r="G195" s="171">
        <f t="shared" si="46"/>
        <v>913</v>
      </c>
      <c r="H195" s="172">
        <f t="shared" si="47"/>
        <v>2.3796851517551024E-4</v>
      </c>
      <c r="I195" s="336"/>
      <c r="J195" s="223"/>
      <c r="K195" s="218"/>
      <c r="M195" s="364">
        <f t="shared" si="48"/>
        <v>5.7627974499779085E-2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'[55]Sch C'!D207</f>
        <v>0</v>
      </c>
      <c r="D196" s="558">
        <f>'[55]Sch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427899</v>
      </c>
      <c r="D197" s="558">
        <f>SUM(D164:D196)</f>
        <v>-5676</v>
      </c>
      <c r="E197" s="171">
        <f t="shared" ref="E197:F197" si="49">SUM(E164:E196)</f>
        <v>422223</v>
      </c>
      <c r="F197" s="171">
        <f t="shared" si="49"/>
        <v>0</v>
      </c>
      <c r="G197" s="171">
        <f>SUM(G164:G196)</f>
        <v>422223</v>
      </c>
      <c r="H197" s="172">
        <f>IF($G$208=0,0,G197/$G$208)</f>
        <v>0.11005014280717357</v>
      </c>
      <c r="I197" s="336"/>
      <c r="J197" s="168"/>
      <c r="K197" s="168"/>
      <c r="M197" s="364">
        <f>G197/G$228</f>
        <v>26.650444991478885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'[55]Sch C'!D211</f>
        <v>84757</v>
      </c>
      <c r="D200" s="558">
        <f>'[55]Sch C'!F211</f>
        <v>0</v>
      </c>
      <c r="E200" s="171">
        <f t="shared" ref="E200:E205" si="50">C200+D200</f>
        <v>84757</v>
      </c>
      <c r="F200" s="171"/>
      <c r="G200" s="171">
        <f t="shared" ref="G200:G205" si="51">E200+F200</f>
        <v>84757</v>
      </c>
      <c r="H200" s="172">
        <f t="shared" ref="H200:H206" si="52">IF($G$208=0,0,G200/$G$208)</f>
        <v>2.2091453932892358E-2</v>
      </c>
      <c r="I200" s="336"/>
      <c r="J200" s="183">
        <v>5193</v>
      </c>
      <c r="K200" s="183">
        <v>5813</v>
      </c>
      <c r="M200" s="364">
        <f t="shared" ref="M200:M205" si="53">G200/G$228</f>
        <v>5.3498074859559424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'[55]Sch C'!D212</f>
        <v>19908</v>
      </c>
      <c r="D201" s="558">
        <f>'[55]Sch C'!F212</f>
        <v>0</v>
      </c>
      <c r="E201" s="171">
        <f t="shared" si="50"/>
        <v>19908</v>
      </c>
      <c r="F201" s="171"/>
      <c r="G201" s="171">
        <f t="shared" si="51"/>
        <v>19908</v>
      </c>
      <c r="H201" s="172">
        <f t="shared" si="52"/>
        <v>5.1889125959628237E-3</v>
      </c>
      <c r="I201" s="336"/>
      <c r="J201" s="168"/>
      <c r="K201" s="168"/>
      <c r="M201" s="364">
        <f t="shared" si="53"/>
        <v>1.2565801931452376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'[55]Sch C'!D213</f>
        <v>2239</v>
      </c>
      <c r="D202" s="558">
        <f>'[55]Sch C'!F213</f>
        <v>0</v>
      </c>
      <c r="E202" s="171">
        <f t="shared" si="50"/>
        <v>2239</v>
      </c>
      <c r="F202" s="171"/>
      <c r="G202" s="171">
        <f t="shared" si="51"/>
        <v>2239</v>
      </c>
      <c r="H202" s="172">
        <f t="shared" si="52"/>
        <v>5.8358324805911008E-4</v>
      </c>
      <c r="I202" s="336"/>
      <c r="J202" s="168"/>
      <c r="K202" s="168"/>
      <c r="M202" s="364">
        <f t="shared" si="53"/>
        <v>0.14132424414567948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'[55]Sch C'!D214</f>
        <v>0</v>
      </c>
      <c r="D203" s="558">
        <f>'[55]Sch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'[55]Sch C'!D215</f>
        <v>0</v>
      </c>
      <c r="D204" s="558">
        <f>'[55]Sch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'[55]Sch C'!D216</f>
        <v>1298</v>
      </c>
      <c r="D205" s="558">
        <f>'[55]Sch C'!F216</f>
        <v>0</v>
      </c>
      <c r="E205" s="171">
        <f t="shared" si="50"/>
        <v>1298</v>
      </c>
      <c r="F205" s="171"/>
      <c r="G205" s="171">
        <f t="shared" si="51"/>
        <v>1298</v>
      </c>
      <c r="H205" s="172">
        <f t="shared" si="52"/>
        <v>3.3831668422542422E-4</v>
      </c>
      <c r="I205" s="336"/>
      <c r="J205" s="168"/>
      <c r="K205" s="168"/>
      <c r="M205" s="364">
        <f t="shared" si="53"/>
        <v>8.1928927602095566E-2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108202</v>
      </c>
      <c r="D206" s="558">
        <f>SUM(D200:D205)</f>
        <v>0</v>
      </c>
      <c r="E206" s="171">
        <f t="shared" ref="E206:F206" si="54">SUM(E200:E205)</f>
        <v>108202</v>
      </c>
      <c r="F206" s="171">
        <f t="shared" si="54"/>
        <v>0</v>
      </c>
      <c r="G206" s="171">
        <f>SUM(G200:G205)</f>
        <v>108202</v>
      </c>
      <c r="H206" s="172">
        <f t="shared" si="52"/>
        <v>2.8202266461139717E-2</v>
      </c>
      <c r="I206" s="336"/>
      <c r="J206" s="168"/>
      <c r="K206" s="168"/>
      <c r="M206" s="364">
        <f>G206/G$228</f>
        <v>6.8296408508489552</v>
      </c>
      <c r="N206" s="359">
        <f>SUMMARY!J209</f>
        <v>7.1515095990067339</v>
      </c>
      <c r="O206" s="354">
        <f>M206/N206-1</f>
        <v>-4.5007105660947788E-2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3923866</v>
      </c>
      <c r="D208" s="558">
        <f>SUM(D25:D206)/2</f>
        <v>-87224</v>
      </c>
      <c r="E208" s="171">
        <f t="shared" ref="E208:F208" si="55">SUM(E25:E206)/2</f>
        <v>3836642</v>
      </c>
      <c r="F208" s="171">
        <f t="shared" si="55"/>
        <v>0</v>
      </c>
      <c r="G208" s="171">
        <f>SUM(G25:G206)/2</f>
        <v>3836642</v>
      </c>
      <c r="H208" s="172">
        <f>IF($G$208=0,0,G208/$G$208)</f>
        <v>1</v>
      </c>
      <c r="I208" s="336"/>
      <c r="J208" s="183">
        <f>SUM(J25:J200)</f>
        <v>77288</v>
      </c>
      <c r="K208" s="183">
        <f>SUM(K25:K200)</f>
        <v>83907</v>
      </c>
      <c r="M208" s="364">
        <f>G208/G$228</f>
        <v>242.16638262955249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-0.22144680224853086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'[55]Sch C'!D221</f>
        <v>3923866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84233</v>
      </c>
      <c r="D215" s="558">
        <f>D21-D208</f>
        <v>82269</v>
      </c>
      <c r="E215" s="171">
        <f t="shared" ref="E215:F215" si="56">E21-E208</f>
        <v>166502</v>
      </c>
      <c r="F215" s="171">
        <f t="shared" si="56"/>
        <v>0</v>
      </c>
      <c r="G215" s="171">
        <f>G21-G208</f>
        <v>166502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'[55]Sch D'!C9</f>
        <v>10550</v>
      </c>
      <c r="D219" s="592"/>
      <c r="E219" s="235">
        <f t="shared" ref="E219:G227" si="57">C219+D219</f>
        <v>10550</v>
      </c>
      <c r="F219" s="234"/>
      <c r="G219" s="235">
        <f t="shared" si="57"/>
        <v>10550</v>
      </c>
      <c r="H219" s="172">
        <f t="shared" ref="H219:H228" si="58">IF($G$228=0,0,G219/$G$228)</f>
        <v>0.66590923436217886</v>
      </c>
      <c r="I219" s="336"/>
      <c r="J219" s="168"/>
      <c r="K219" s="168"/>
    </row>
    <row r="220" spans="1:17">
      <c r="A220" s="163"/>
      <c r="B220" s="170" t="s">
        <v>217</v>
      </c>
      <c r="C220" s="592">
        <f>'[55]Sch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'[55]Sch D'!E9</f>
        <v>2364</v>
      </c>
      <c r="D221" s="592"/>
      <c r="E221" s="235">
        <f t="shared" si="59"/>
        <v>2364</v>
      </c>
      <c r="F221" s="234"/>
      <c r="G221" s="235">
        <f t="shared" si="57"/>
        <v>2364</v>
      </c>
      <c r="H221" s="172">
        <f t="shared" si="58"/>
        <v>0.14921416398409393</v>
      </c>
      <c r="I221" s="336"/>
      <c r="J221" s="168"/>
      <c r="K221" s="168"/>
    </row>
    <row r="222" spans="1:17">
      <c r="A222" s="163"/>
      <c r="B222" s="202" t="s">
        <v>334</v>
      </c>
      <c r="C222" s="592">
        <f>'[55]Sch D'!F9</f>
        <v>135</v>
      </c>
      <c r="D222" s="592"/>
      <c r="E222" s="235">
        <f>C222+D222</f>
        <v>135</v>
      </c>
      <c r="F222" s="234"/>
      <c r="G222" s="235">
        <f>E222+F222</f>
        <v>135</v>
      </c>
      <c r="H222" s="172">
        <f t="shared" si="58"/>
        <v>8.5211134254875968E-3</v>
      </c>
      <c r="I222" s="336"/>
      <c r="J222" s="168"/>
      <c r="K222" s="168"/>
    </row>
    <row r="223" spans="1:17">
      <c r="A223" s="163"/>
      <c r="B223" s="170" t="s">
        <v>73</v>
      </c>
      <c r="C223" s="592">
        <f>'[55]Sch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'[55]Sch D'!H9</f>
        <v>2517</v>
      </c>
      <c r="D224" s="592"/>
      <c r="E224" s="235">
        <f t="shared" si="59"/>
        <v>2517</v>
      </c>
      <c r="F224" s="234"/>
      <c r="G224" s="235">
        <f t="shared" si="57"/>
        <v>2517</v>
      </c>
      <c r="H224" s="172">
        <f t="shared" si="58"/>
        <v>0.1588714258663132</v>
      </c>
      <c r="I224" s="336"/>
      <c r="J224" s="168"/>
      <c r="K224" s="168"/>
    </row>
    <row r="225" spans="1:11">
      <c r="A225" s="163"/>
      <c r="B225" s="170" t="s">
        <v>236</v>
      </c>
      <c r="C225" s="592">
        <f>'[55]Sch D'!I9</f>
        <v>103</v>
      </c>
      <c r="D225" s="592"/>
      <c r="E225" s="235">
        <f t="shared" si="59"/>
        <v>103</v>
      </c>
      <c r="F225" s="234"/>
      <c r="G225" s="235">
        <f t="shared" si="57"/>
        <v>103</v>
      </c>
      <c r="H225" s="172">
        <f t="shared" si="58"/>
        <v>6.5012939468535001E-3</v>
      </c>
      <c r="I225" s="336"/>
      <c r="J225" s="168"/>
      <c r="K225" s="168"/>
    </row>
    <row r="226" spans="1:11">
      <c r="A226" s="163"/>
      <c r="B226" s="170" t="s">
        <v>235</v>
      </c>
      <c r="C226" s="592">
        <f>'[55]Sch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'[55]Sch D'!K9</f>
        <v>174</v>
      </c>
      <c r="D227" s="592"/>
      <c r="E227" s="235">
        <f t="shared" si="59"/>
        <v>174</v>
      </c>
      <c r="F227" s="234"/>
      <c r="G227" s="235">
        <f t="shared" si="57"/>
        <v>174</v>
      </c>
      <c r="H227" s="172">
        <f t="shared" si="58"/>
        <v>1.0982768415072904E-2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15843</v>
      </c>
      <c r="D228" s="592">
        <f>SUM(D219:D227)</f>
        <v>0</v>
      </c>
      <c r="E228" s="237">
        <f>SUM(E219:E227)</f>
        <v>15843</v>
      </c>
      <c r="F228" s="237">
        <f>SUM(F219:F227)</f>
        <v>0</v>
      </c>
      <c r="G228" s="237">
        <f>SUM(G219:G227)</f>
        <v>15843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'[55]Sch D'!N22</f>
        <v>98</v>
      </c>
      <c r="D231" s="559"/>
      <c r="E231" s="235">
        <f>C231+D231</f>
        <v>98</v>
      </c>
      <c r="F231" s="235"/>
      <c r="G231" s="235">
        <f>E231+F231</f>
        <v>98</v>
      </c>
      <c r="H231" s="167"/>
      <c r="J231" s="168"/>
      <c r="K231" s="168"/>
    </row>
    <row r="232" spans="1:11">
      <c r="A232" s="163"/>
      <c r="B232" s="202" t="s">
        <v>290</v>
      </c>
      <c r="C232" s="593">
        <f>'[55]Sch D'!N24</f>
        <v>98</v>
      </c>
      <c r="D232" s="559"/>
      <c r="E232" s="235">
        <f>C232+D232</f>
        <v>98</v>
      </c>
      <c r="F232" s="235"/>
      <c r="G232" s="235">
        <f>E232+F232</f>
        <v>98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'[55]Sch D'!N28</f>
        <v>35868</v>
      </c>
      <c r="D235" s="483"/>
      <c r="E235" s="234">
        <f>E231*E233</f>
        <v>35868</v>
      </c>
      <c r="F235" s="239"/>
      <c r="G235" s="234">
        <f>G231*G233</f>
        <v>35868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'[55]Sch D'!N30</f>
        <v>0.4417029106724657</v>
      </c>
      <c r="D236" s="239"/>
      <c r="E236" s="244">
        <f>E228/E235</f>
        <v>0.4417029106724657</v>
      </c>
      <c r="F236" s="245"/>
      <c r="G236" s="244">
        <f>G228/G235</f>
        <v>0.4417029106724657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'[55]Sch D'!N32</f>
        <v>0.29413404706144752</v>
      </c>
      <c r="D237" s="239"/>
      <c r="E237" s="244">
        <f>(E219+E220)/E235</f>
        <v>0.29413404706144752</v>
      </c>
      <c r="F237" s="245"/>
      <c r="G237" s="244">
        <f>(G219+G220)/G235</f>
        <v>0.29413404706144752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'[55]Sch D'!N34</f>
        <v>0.66590923436217886</v>
      </c>
      <c r="D238" s="239"/>
      <c r="E238" s="244">
        <f>(E237/E236)</f>
        <v>0.66590923436217886</v>
      </c>
      <c r="F238" s="245"/>
      <c r="G238" s="244">
        <f>(G237/G236)</f>
        <v>0.66590923436217886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'[55]Sch B'!C85</f>
        <v>175.03159557661928</v>
      </c>
    </row>
    <row r="242" spans="2:7">
      <c r="F242" s="142" t="s">
        <v>341</v>
      </c>
      <c r="G242" s="558">
        <f>'[55]Sch B'!E85</f>
        <v>175.03138373751784</v>
      </c>
    </row>
    <row r="243" spans="2:7">
      <c r="F243" s="142" t="s">
        <v>342</v>
      </c>
      <c r="G243" s="558">
        <f>'[55]Sch B'!G85</f>
        <v>175.03163444639719</v>
      </c>
    </row>
    <row r="244" spans="2:7">
      <c r="F244" s="142" t="s">
        <v>343</v>
      </c>
      <c r="G244" s="558">
        <f>'[55]Sch B'!I85</f>
        <v>175.02931596091204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E28CAB"/>
  </sheetPr>
  <dimension ref="A1:AC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470</v>
      </c>
      <c r="D2" s="246"/>
      <c r="E2" s="144"/>
      <c r="F2" s="460"/>
    </row>
    <row r="3" spans="1:17">
      <c r="A3" s="145"/>
      <c r="B3" s="140" t="s">
        <v>79</v>
      </c>
      <c r="C3" s="489">
        <v>42186</v>
      </c>
      <c r="D3" s="144"/>
      <c r="E3" s="147"/>
      <c r="F3" s="510"/>
    </row>
    <row r="4" spans="1:17">
      <c r="A4" s="145"/>
      <c r="B4" s="148" t="s">
        <v>80</v>
      </c>
      <c r="C4" s="489">
        <v>42551</v>
      </c>
      <c r="D4" s="144"/>
      <c r="E4" s="149"/>
      <c r="F4" s="510"/>
      <c r="G4" s="150"/>
    </row>
    <row r="5" spans="1:17">
      <c r="A5" s="145"/>
      <c r="B5" s="148"/>
      <c r="C5" s="151"/>
      <c r="D5" s="144"/>
      <c r="F5" s="510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51" t="s">
        <v>719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'[56]Sch B'!E10</f>
        <v>6333381.5899999999</v>
      </c>
      <c r="D11" s="558">
        <f>'[56]Sch B'!G10</f>
        <v>-453864.22</v>
      </c>
      <c r="E11" s="171">
        <f>C11+D11</f>
        <v>5879517.3700000001</v>
      </c>
      <c r="F11" s="752">
        <v>1704992.32</v>
      </c>
      <c r="G11" s="171">
        <f t="shared" ref="G11:G20" si="0">E11+F11</f>
        <v>7584509.6900000004</v>
      </c>
      <c r="H11" s="172">
        <f t="shared" ref="H11:H21" si="1">IF($G$21=0,0,G11/$G$21)</f>
        <v>0.49828170554015944</v>
      </c>
      <c r="I11" s="555" t="s">
        <v>718</v>
      </c>
      <c r="J11" s="368" t="s">
        <v>344</v>
      </c>
      <c r="K11" s="369">
        <f>G21</f>
        <v>15221328.830000002</v>
      </c>
      <c r="M11" s="359">
        <f>IFERROR(G11/G219,0)</f>
        <v>295.77310338103968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'[56]Sch B'!E15</f>
        <v>0</v>
      </c>
      <c r="D12" s="558">
        <f>'[56]Sch B'!G15</f>
        <v>0</v>
      </c>
      <c r="E12" s="171">
        <f t="shared" ref="E12:E20" si="2">C12+D12</f>
        <v>0</v>
      </c>
      <c r="F12" s="484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13446449.499999996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'[56]Sch B'!E21</f>
        <v>3323278.03</v>
      </c>
      <c r="D13" s="558">
        <f>'[56]Sch B'!G21</f>
        <v>262164.24</v>
      </c>
      <c r="E13" s="171">
        <f t="shared" si="2"/>
        <v>3585442.2699999996</v>
      </c>
      <c r="F13" s="484"/>
      <c r="G13" s="171">
        <f t="shared" si="0"/>
        <v>3585442.2699999996</v>
      </c>
      <c r="H13" s="172">
        <f t="shared" si="1"/>
        <v>0.23555382779283923</v>
      </c>
      <c r="I13" s="336"/>
      <c r="J13" s="370" t="s">
        <v>346</v>
      </c>
      <c r="K13" s="371">
        <f>G228</f>
        <v>46919</v>
      </c>
      <c r="M13" s="359">
        <f t="shared" si="3"/>
        <v>572.66287653729432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'[56]Sch B'!E27</f>
        <v>1141272.68</v>
      </c>
      <c r="D14" s="558">
        <f>'[56]Sch B'!G27</f>
        <v>191699.98</v>
      </c>
      <c r="E14" s="171">
        <f t="shared" si="2"/>
        <v>1332972.6599999999</v>
      </c>
      <c r="F14" s="484"/>
      <c r="G14" s="175">
        <f>E14+F14</f>
        <v>1332972.6599999999</v>
      </c>
      <c r="H14" s="176">
        <f t="shared" si="1"/>
        <v>8.7572686648278636E-2</v>
      </c>
      <c r="I14" s="337"/>
      <c r="J14" s="370" t="s">
        <v>347</v>
      </c>
      <c r="K14" s="371">
        <f>G231</f>
        <v>168</v>
      </c>
      <c r="M14" s="359">
        <f t="shared" si="3"/>
        <v>473.0208161816891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'[56]Sch B'!E32</f>
        <v>0</v>
      </c>
      <c r="D15" s="558">
        <f>'[56]Sch B'!G32</f>
        <v>0</v>
      </c>
      <c r="E15" s="171">
        <f t="shared" si="2"/>
        <v>0</v>
      </c>
      <c r="F15" s="484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61488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'[56]Sch B'!E37</f>
        <v>1340393.33</v>
      </c>
      <c r="D16" s="558">
        <f>'[56]Sch B'!G37</f>
        <v>0</v>
      </c>
      <c r="E16" s="171">
        <f t="shared" si="2"/>
        <v>1340393.33</v>
      </c>
      <c r="F16" s="484"/>
      <c r="G16" s="171">
        <f t="shared" si="0"/>
        <v>1340393.33</v>
      </c>
      <c r="H16" s="172">
        <f t="shared" si="1"/>
        <v>8.8060204530776162E-2</v>
      </c>
      <c r="I16" s="336"/>
      <c r="J16" s="372"/>
      <c r="K16" s="371"/>
      <c r="M16" s="359">
        <f t="shared" si="3"/>
        <v>273.21511006930291</v>
      </c>
      <c r="N16" s="359">
        <f>SUMMARY!J19</f>
        <v>209.32685676266178</v>
      </c>
      <c r="P16"/>
      <c r="Q16"/>
    </row>
    <row r="17" spans="1:29" s="167" customFormat="1">
      <c r="A17" s="169" t="s">
        <v>215</v>
      </c>
      <c r="B17" s="170" t="s">
        <v>228</v>
      </c>
      <c r="C17" s="558">
        <f>'[56]Sch B'!E42</f>
        <v>0</v>
      </c>
      <c r="D17" s="558">
        <f>'[56]Sch B'!G42</f>
        <v>798589.57000000007</v>
      </c>
      <c r="E17" s="171">
        <f t="shared" si="2"/>
        <v>798589.57000000007</v>
      </c>
      <c r="F17" s="484"/>
      <c r="G17" s="171">
        <f>E17+F17</f>
        <v>798589.57000000007</v>
      </c>
      <c r="H17" s="172">
        <f t="shared" si="1"/>
        <v>5.246516772083952E-2</v>
      </c>
      <c r="I17" s="336"/>
      <c r="J17" s="370" t="s">
        <v>156</v>
      </c>
      <c r="K17" s="371">
        <f>J208</f>
        <v>283977.41000000003</v>
      </c>
      <c r="M17" s="359">
        <f t="shared" si="3"/>
        <v>150.30859589685679</v>
      </c>
      <c r="N17" s="359">
        <f>SUMMARY!J20</f>
        <v>177.55325692366318</v>
      </c>
      <c r="P17"/>
      <c r="Q17"/>
    </row>
    <row r="18" spans="1:29" s="167" customFormat="1" ht="16" thickBot="1">
      <c r="A18" s="169" t="s">
        <v>216</v>
      </c>
      <c r="B18" s="170" t="s">
        <v>229</v>
      </c>
      <c r="C18" s="558">
        <f>'[56]Sch B'!E47</f>
        <v>1286262.7900000003</v>
      </c>
      <c r="D18" s="558">
        <f>'[56]Sch B'!G47</f>
        <v>-798589.57000000007</v>
      </c>
      <c r="E18" s="171">
        <f t="shared" si="2"/>
        <v>487673.2200000002</v>
      </c>
      <c r="F18" s="484"/>
      <c r="G18" s="171">
        <f>E18+F18</f>
        <v>487673.2200000002</v>
      </c>
      <c r="H18" s="172">
        <f t="shared" si="1"/>
        <v>3.2038807218909553E-2</v>
      </c>
      <c r="I18" s="336"/>
      <c r="J18" s="373" t="s">
        <v>252</v>
      </c>
      <c r="K18" s="374">
        <f>K208</f>
        <v>311283.05000000005</v>
      </c>
      <c r="M18" s="359">
        <f t="shared" si="3"/>
        <v>249.83259221311485</v>
      </c>
      <c r="N18" s="359">
        <f>SUMMARY!J21</f>
        <v>189.23177326776752</v>
      </c>
      <c r="P18"/>
      <c r="Q18"/>
    </row>
    <row r="19" spans="1:29" s="167" customFormat="1">
      <c r="A19" s="169" t="s">
        <v>227</v>
      </c>
      <c r="B19" s="177" t="s">
        <v>173</v>
      </c>
      <c r="C19" s="558">
        <f>'[56]Sch B'!E52</f>
        <v>0</v>
      </c>
      <c r="D19" s="558">
        <f>'[56]Sch B'!G52</f>
        <v>0</v>
      </c>
      <c r="E19" s="171">
        <f t="shared" si="2"/>
        <v>0</v>
      </c>
      <c r="F19" s="484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29" s="167" customFormat="1">
      <c r="A20" s="169" t="s">
        <v>183</v>
      </c>
      <c r="B20" s="23" t="s">
        <v>180</v>
      </c>
      <c r="C20" s="558">
        <f>'[56]Sch B'!E67</f>
        <v>91748.090000000011</v>
      </c>
      <c r="D20" s="558">
        <f>'[56]Sch B'!G67</f>
        <v>0</v>
      </c>
      <c r="E20" s="171">
        <f t="shared" si="2"/>
        <v>91748.090000000011</v>
      </c>
      <c r="F20" s="484"/>
      <c r="G20" s="171">
        <f t="shared" si="0"/>
        <v>91748.090000000011</v>
      </c>
      <c r="H20" s="172">
        <f t="shared" si="1"/>
        <v>6.0276005481973418E-3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29" s="167" customFormat="1">
      <c r="A21" s="169"/>
      <c r="B21" s="178" t="s">
        <v>77</v>
      </c>
      <c r="C21" s="558">
        <f>SUM(C11:C20)</f>
        <v>13516336.51</v>
      </c>
      <c r="D21" s="558">
        <f>SUM(D11:D20)</f>
        <v>0</v>
      </c>
      <c r="E21" s="171">
        <f>SUM(E11:E20)</f>
        <v>13516336.510000002</v>
      </c>
      <c r="F21" s="171">
        <f>SUM(F11:F20)</f>
        <v>1704992.32</v>
      </c>
      <c r="G21" s="171">
        <f>SUM(G11:G20)</f>
        <v>15221328.830000002</v>
      </c>
      <c r="H21" s="172">
        <f t="shared" si="1"/>
        <v>1</v>
      </c>
      <c r="I21" s="336"/>
      <c r="J21" s="168"/>
      <c r="K21" s="168"/>
      <c r="M21" s="359">
        <f>IFERROR(G21/G228,0)</f>
        <v>324.41716213048022</v>
      </c>
      <c r="N21" s="359">
        <f>SUMMARY!J24</f>
        <v>278.37842406091033</v>
      </c>
      <c r="P21"/>
      <c r="Q21"/>
    </row>
    <row r="22" spans="1:29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29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  <c r="Z23" s="140" t="s">
        <v>436</v>
      </c>
      <c r="AB23" s="140" t="s">
        <v>437</v>
      </c>
    </row>
    <row r="24" spans="1:29">
      <c r="A24" s="181" t="s">
        <v>161</v>
      </c>
      <c r="B24" s="148" t="s">
        <v>12</v>
      </c>
      <c r="F24"/>
      <c r="M24" s="363"/>
      <c r="N24" s="363"/>
      <c r="Z24" s="140" t="s">
        <v>432</v>
      </c>
      <c r="AA24" s="140" t="s">
        <v>433</v>
      </c>
      <c r="AB24" s="140" t="s">
        <v>432</v>
      </c>
      <c r="AC24" s="140" t="s">
        <v>433</v>
      </c>
    </row>
    <row r="25" spans="1:29" s="167" customFormat="1">
      <c r="A25" s="169" t="s">
        <v>83</v>
      </c>
      <c r="B25" s="170" t="s">
        <v>14</v>
      </c>
      <c r="C25" s="558">
        <f>'[56]Sch C'!D10</f>
        <v>0</v>
      </c>
      <c r="D25" s="558">
        <f>'[56]Sch C'!F10</f>
        <v>93172.08</v>
      </c>
      <c r="E25" s="171">
        <f t="shared" ref="E25:E60" si="4">C25+D25</f>
        <v>93172.08</v>
      </c>
      <c r="F25" s="484"/>
      <c r="G25" s="182">
        <f>E25+F25</f>
        <v>93172.08</v>
      </c>
      <c r="H25" s="172">
        <f>IF($G$208=0,0,G25/$G$208)</f>
        <v>6.9291213267859315E-3</v>
      </c>
      <c r="I25" s="336"/>
      <c r="J25" s="183">
        <v>2080</v>
      </c>
      <c r="K25" s="183">
        <v>2080</v>
      </c>
      <c r="M25" s="359">
        <f>G25/G$228</f>
        <v>1.9858070291353183</v>
      </c>
      <c r="N25" s="359">
        <f>SUMMARY!J28</f>
        <v>5.2871017912533844</v>
      </c>
      <c r="P25"/>
      <c r="Q25"/>
      <c r="Z25" s="183">
        <v>0</v>
      </c>
      <c r="AA25" s="183">
        <v>0</v>
      </c>
      <c r="AB25" s="486">
        <v>0</v>
      </c>
      <c r="AC25" s="486">
        <v>0</v>
      </c>
    </row>
    <row r="26" spans="1:29" s="167" customFormat="1">
      <c r="A26" s="169" t="s">
        <v>84</v>
      </c>
      <c r="B26" s="170" t="s">
        <v>176</v>
      </c>
      <c r="C26" s="558">
        <f>'[56]Sch C'!D11</f>
        <v>0</v>
      </c>
      <c r="D26" s="558">
        <f>'[56]Sch C'!F11</f>
        <v>0</v>
      </c>
      <c r="E26" s="171">
        <f t="shared" si="4"/>
        <v>0</v>
      </c>
      <c r="F26" s="484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  <c r="Z26" s="183">
        <v>0</v>
      </c>
      <c r="AA26" s="183">
        <v>0</v>
      </c>
      <c r="AB26" s="486">
        <v>0</v>
      </c>
      <c r="AC26" s="486">
        <v>0</v>
      </c>
    </row>
    <row r="27" spans="1:29" s="167" customFormat="1">
      <c r="A27" s="169" t="s">
        <v>85</v>
      </c>
      <c r="B27" s="170" t="s">
        <v>17</v>
      </c>
      <c r="C27" s="558">
        <f>'[56]Sch C'!D12</f>
        <v>193995.56</v>
      </c>
      <c r="D27" s="558">
        <f>'[56]Sch C'!F12</f>
        <v>-105992.61</v>
      </c>
      <c r="E27" s="171">
        <f t="shared" si="4"/>
        <v>88002.95</v>
      </c>
      <c r="F27" s="484"/>
      <c r="G27" s="171">
        <f t="shared" si="5"/>
        <v>88002.95</v>
      </c>
      <c r="H27" s="172">
        <f t="shared" si="6"/>
        <v>6.5446979144940841E-3</v>
      </c>
      <c r="I27" s="336"/>
      <c r="J27" s="183">
        <v>8367.69</v>
      </c>
      <c r="K27" s="183">
        <v>11439.14</v>
      </c>
      <c r="M27" s="359">
        <f t="shared" si="7"/>
        <v>1.8756356699844412</v>
      </c>
      <c r="N27" s="359">
        <f>SUMMARY!J30</f>
        <v>6.7296464607712929</v>
      </c>
      <c r="P27"/>
      <c r="Q27"/>
      <c r="Z27" s="185">
        <v>2752</v>
      </c>
      <c r="AA27" s="185">
        <v>2947</v>
      </c>
      <c r="AB27" s="486">
        <v>8423</v>
      </c>
      <c r="AC27" s="486">
        <v>8877</v>
      </c>
    </row>
    <row r="28" spans="1:29" s="167" customFormat="1">
      <c r="A28" s="169" t="s">
        <v>86</v>
      </c>
      <c r="B28" s="170" t="s">
        <v>45</v>
      </c>
      <c r="C28" s="558">
        <f>'[56]Sch C'!D13</f>
        <v>51437.04</v>
      </c>
      <c r="D28" s="558">
        <f>'[56]Sch C'!F13</f>
        <v>13780.34</v>
      </c>
      <c r="E28" s="171">
        <f t="shared" si="4"/>
        <v>65217.380000000005</v>
      </c>
      <c r="F28" s="484"/>
      <c r="G28" s="171">
        <f t="shared" si="5"/>
        <v>65217.380000000005</v>
      </c>
      <c r="H28" s="172">
        <f t="shared" si="6"/>
        <v>4.8501561694780483E-3</v>
      </c>
      <c r="I28" s="336"/>
      <c r="J28" s="168"/>
      <c r="K28" s="168"/>
      <c r="M28" s="359">
        <f t="shared" si="7"/>
        <v>1.3899993606001835</v>
      </c>
      <c r="N28" s="359">
        <f>SUMMARY!J31</f>
        <v>2.2098304126852</v>
      </c>
      <c r="P28"/>
      <c r="Q28"/>
      <c r="Z28" s="168"/>
      <c r="AA28" s="168"/>
      <c r="AB28" s="513"/>
      <c r="AC28" s="513"/>
    </row>
    <row r="29" spans="1:29" s="167" customFormat="1">
      <c r="A29" s="169" t="s">
        <v>175</v>
      </c>
      <c r="B29" s="170" t="s">
        <v>20</v>
      </c>
      <c r="C29" s="558">
        <f>'[56]Sch C'!D14</f>
        <v>0</v>
      </c>
      <c r="D29" s="558">
        <f>'[56]Sch C'!F14</f>
        <v>0</v>
      </c>
      <c r="E29" s="171">
        <f t="shared" si="4"/>
        <v>0</v>
      </c>
      <c r="F29" s="484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  <c r="Z29" s="168"/>
      <c r="AA29" s="168"/>
      <c r="AB29" s="513"/>
      <c r="AC29" s="513"/>
    </row>
    <row r="30" spans="1:29" s="167" customFormat="1">
      <c r="A30" s="169" t="s">
        <v>88</v>
      </c>
      <c r="B30" s="170" t="s">
        <v>22</v>
      </c>
      <c r="C30" s="558">
        <f>'[56]Sch C'!D15</f>
        <v>0</v>
      </c>
      <c r="D30" s="558">
        <f>'[56]Sch C'!F15</f>
        <v>0</v>
      </c>
      <c r="E30" s="171">
        <f t="shared" si="4"/>
        <v>0</v>
      </c>
      <c r="F30" s="484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  <c r="Z30" s="168"/>
      <c r="AA30" s="168"/>
      <c r="AB30" s="513"/>
      <c r="AC30" s="513"/>
    </row>
    <row r="31" spans="1:29" s="167" customFormat="1">
      <c r="A31" s="169" t="s">
        <v>89</v>
      </c>
      <c r="B31" s="170" t="s">
        <v>148</v>
      </c>
      <c r="C31" s="558">
        <f>'[56]Sch C'!D16</f>
        <v>741512.74</v>
      </c>
      <c r="D31" s="558">
        <f>'[56]Sch C'!F16</f>
        <v>-64778.74</v>
      </c>
      <c r="E31" s="171">
        <f t="shared" si="4"/>
        <v>676734</v>
      </c>
      <c r="F31" s="484"/>
      <c r="G31" s="171">
        <f t="shared" si="5"/>
        <v>676734</v>
      </c>
      <c r="H31" s="172">
        <f t="shared" si="6"/>
        <v>5.0328081029865926E-2</v>
      </c>
      <c r="I31" s="336"/>
      <c r="J31" s="168"/>
      <c r="K31" s="168"/>
      <c r="M31" s="359">
        <f t="shared" si="7"/>
        <v>14.423453185276754</v>
      </c>
      <c r="N31" s="359">
        <f>SUMMARY!J34</f>
        <v>9.228688439287323</v>
      </c>
      <c r="P31"/>
      <c r="Q31"/>
      <c r="Z31" s="168"/>
      <c r="AA31" s="168"/>
      <c r="AB31" s="513"/>
      <c r="AC31" s="513"/>
    </row>
    <row r="32" spans="1:29" s="167" customFormat="1">
      <c r="A32" s="169" t="s">
        <v>90</v>
      </c>
      <c r="B32" s="170" t="s">
        <v>23</v>
      </c>
      <c r="C32" s="558">
        <f>'[56]Sch C'!D17</f>
        <v>18117.22</v>
      </c>
      <c r="D32" s="558">
        <f>'[56]Sch C'!F17</f>
        <v>-18117.22</v>
      </c>
      <c r="E32" s="171">
        <f t="shared" si="4"/>
        <v>0</v>
      </c>
      <c r="F32" s="484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  <c r="Z32" s="168"/>
      <c r="AA32" s="168"/>
      <c r="AB32" s="513"/>
      <c r="AC32" s="513"/>
    </row>
    <row r="33" spans="1:29" s="167" customFormat="1">
      <c r="A33" s="169" t="s">
        <v>91</v>
      </c>
      <c r="B33" s="170" t="s">
        <v>24</v>
      </c>
      <c r="C33" s="558">
        <f>'[56]Sch C'!D18</f>
        <v>21879.46</v>
      </c>
      <c r="D33" s="558">
        <f>'[56]Sch C'!F18</f>
        <v>0</v>
      </c>
      <c r="E33" s="171">
        <f t="shared" si="4"/>
        <v>21879.46</v>
      </c>
      <c r="F33" s="484"/>
      <c r="G33" s="171">
        <f t="shared" si="5"/>
        <v>21879.46</v>
      </c>
      <c r="H33" s="172">
        <f t="shared" si="6"/>
        <v>1.6271551832325705E-3</v>
      </c>
      <c r="I33" s="336"/>
      <c r="J33" s="168"/>
      <c r="K33" s="168"/>
      <c r="M33" s="359">
        <f t="shared" si="7"/>
        <v>0.46632409045376072</v>
      </c>
      <c r="N33" s="359">
        <f>SUMMARY!J36</f>
        <v>0.84523554145971291</v>
      </c>
      <c r="P33"/>
      <c r="Q33"/>
      <c r="Z33" s="168"/>
      <c r="AA33" s="168"/>
      <c r="AB33" s="513"/>
      <c r="AC33" s="513"/>
    </row>
    <row r="34" spans="1:29" s="167" customFormat="1">
      <c r="A34" s="169" t="s">
        <v>92</v>
      </c>
      <c r="B34" s="170" t="s">
        <v>25</v>
      </c>
      <c r="C34" s="558">
        <f>'[56]Sch C'!D19</f>
        <v>31647.82</v>
      </c>
      <c r="D34" s="558">
        <f>'[56]Sch C'!F19</f>
        <v>0</v>
      </c>
      <c r="E34" s="171">
        <f t="shared" si="4"/>
        <v>31647.82</v>
      </c>
      <c r="F34" s="484"/>
      <c r="G34" s="171">
        <f t="shared" si="5"/>
        <v>31647.82</v>
      </c>
      <c r="H34" s="172">
        <f t="shared" si="6"/>
        <v>2.3536190724547778E-3</v>
      </c>
      <c r="I34" s="336"/>
      <c r="J34" s="168"/>
      <c r="K34" s="168"/>
      <c r="M34" s="359">
        <f t="shared" si="7"/>
        <v>0.67452034357083479</v>
      </c>
      <c r="N34" s="359">
        <f>SUMMARY!J37</f>
        <v>0.66565591578793926</v>
      </c>
      <c r="P34"/>
      <c r="Q34"/>
      <c r="Z34" s="168"/>
      <c r="AA34" s="168"/>
      <c r="AB34" s="513"/>
      <c r="AC34" s="513"/>
    </row>
    <row r="35" spans="1:29" s="167" customFormat="1">
      <c r="A35" s="169" t="s">
        <v>93</v>
      </c>
      <c r="B35" s="170" t="s">
        <v>26</v>
      </c>
      <c r="C35" s="558">
        <f>'[56]Sch C'!D20</f>
        <v>29578.71</v>
      </c>
      <c r="D35" s="558">
        <f>'[56]Sch C'!F20</f>
        <v>0</v>
      </c>
      <c r="E35" s="171">
        <f t="shared" si="4"/>
        <v>29578.71</v>
      </c>
      <c r="F35" s="484"/>
      <c r="G35" s="171">
        <f t="shared" si="5"/>
        <v>29578.71</v>
      </c>
      <c r="H35" s="172">
        <f t="shared" si="6"/>
        <v>2.1997412774279195E-3</v>
      </c>
      <c r="I35" s="336"/>
      <c r="J35" s="168"/>
      <c r="K35" s="168"/>
      <c r="M35" s="359">
        <f t="shared" si="7"/>
        <v>0.63042072507939217</v>
      </c>
      <c r="N35" s="359">
        <f>SUMMARY!J38</f>
        <v>0.8424592434119561</v>
      </c>
      <c r="P35"/>
      <c r="Q35"/>
      <c r="Z35" s="168"/>
      <c r="AA35" s="168"/>
      <c r="AB35" s="513"/>
      <c r="AC35" s="513"/>
    </row>
    <row r="36" spans="1:29" s="167" customFormat="1">
      <c r="A36" s="169" t="s">
        <v>94</v>
      </c>
      <c r="B36" s="170" t="s">
        <v>27</v>
      </c>
      <c r="C36" s="558">
        <f>'[56]Sch C'!D21</f>
        <v>134166.46</v>
      </c>
      <c r="D36" s="558">
        <f>'[56]Sch C'!F21</f>
        <v>0</v>
      </c>
      <c r="E36" s="171">
        <f t="shared" si="4"/>
        <v>134166.46</v>
      </c>
      <c r="F36" s="484"/>
      <c r="G36" s="171">
        <f t="shared" si="5"/>
        <v>134166.46</v>
      </c>
      <c r="H36" s="172">
        <f t="shared" si="6"/>
        <v>9.9778354129839274E-3</v>
      </c>
      <c r="I36" s="336"/>
      <c r="J36" s="168"/>
      <c r="K36" s="168"/>
      <c r="M36" s="359">
        <f t="shared" si="7"/>
        <v>2.8595336644003493</v>
      </c>
      <c r="N36" s="359">
        <f>SUMMARY!J39</f>
        <v>1.3169235823352747</v>
      </c>
      <c r="P36"/>
      <c r="Q36"/>
      <c r="Z36" s="168"/>
      <c r="AA36" s="168"/>
      <c r="AB36" s="513"/>
      <c r="AC36" s="513"/>
    </row>
    <row r="37" spans="1:29" s="167" customFormat="1">
      <c r="A37" s="163">
        <v>130</v>
      </c>
      <c r="B37" s="170" t="s">
        <v>28</v>
      </c>
      <c r="C37" s="558">
        <f>'[56]Sch C'!D22</f>
        <v>0</v>
      </c>
      <c r="D37" s="558">
        <f>'[56]Sch C'!F22</f>
        <v>0</v>
      </c>
      <c r="E37" s="171">
        <f t="shared" si="4"/>
        <v>0</v>
      </c>
      <c r="F37" s="484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  <c r="Z37" s="168"/>
      <c r="AA37" s="168"/>
      <c r="AB37" s="513"/>
      <c r="AC37" s="513"/>
    </row>
    <row r="38" spans="1:29" s="167" customFormat="1">
      <c r="A38" s="163">
        <v>140</v>
      </c>
      <c r="B38" s="170" t="s">
        <v>149</v>
      </c>
      <c r="C38" s="558">
        <f>'[56]Sch C'!D23</f>
        <v>27258.04</v>
      </c>
      <c r="D38" s="558">
        <f>'[56]Sch C'!F23</f>
        <v>0</v>
      </c>
      <c r="E38" s="171">
        <f t="shared" si="4"/>
        <v>27258.04</v>
      </c>
      <c r="F38" s="484"/>
      <c r="G38" s="171">
        <f t="shared" si="5"/>
        <v>27258.04</v>
      </c>
      <c r="H38" s="172">
        <f t="shared" si="6"/>
        <v>2.0271551981063856E-3</v>
      </c>
      <c r="I38" s="336"/>
      <c r="J38" s="168"/>
      <c r="K38" s="168"/>
      <c r="M38" s="359">
        <f t="shared" si="7"/>
        <v>0.58095952599160261</v>
      </c>
      <c r="N38" s="359">
        <f>SUMMARY!J41</f>
        <v>0.78350447706162407</v>
      </c>
      <c r="P38"/>
      <c r="Q38"/>
      <c r="Z38" s="168"/>
      <c r="AA38" s="168"/>
      <c r="AB38" s="513"/>
      <c r="AC38" s="513"/>
    </row>
    <row r="39" spans="1:29" s="167" customFormat="1">
      <c r="A39" s="163">
        <v>150</v>
      </c>
      <c r="B39" s="170" t="s">
        <v>29</v>
      </c>
      <c r="C39" s="558">
        <f>'[56]Sch C'!D24</f>
        <v>86476.97</v>
      </c>
      <c r="D39" s="558">
        <f>'[56]Sch C'!F24</f>
        <v>45493.21</v>
      </c>
      <c r="E39" s="171">
        <f t="shared" si="4"/>
        <v>131970.18</v>
      </c>
      <c r="F39" s="484"/>
      <c r="G39" s="171">
        <f t="shared" si="5"/>
        <v>131970.18</v>
      </c>
      <c r="H39" s="172">
        <f t="shared" si="6"/>
        <v>9.8145001027966552E-3</v>
      </c>
      <c r="I39" s="336"/>
      <c r="J39" s="168"/>
      <c r="K39" s="168"/>
      <c r="M39" s="359">
        <f t="shared" si="7"/>
        <v>2.8127236300858924</v>
      </c>
      <c r="N39" s="359">
        <f>SUMMARY!J42</f>
        <v>1.2663707557948845</v>
      </c>
      <c r="P39"/>
      <c r="Q39"/>
      <c r="Z39" s="168"/>
      <c r="AA39" s="168"/>
      <c r="AB39" s="513"/>
      <c r="AC39" s="513"/>
    </row>
    <row r="40" spans="1:29" s="167" customFormat="1">
      <c r="A40" s="163">
        <v>160</v>
      </c>
      <c r="B40" s="170" t="s">
        <v>30</v>
      </c>
      <c r="C40" s="558">
        <f>'[56]Sch C'!D25</f>
        <v>0</v>
      </c>
      <c r="D40" s="558">
        <f>'[56]Sch C'!F25</f>
        <v>0</v>
      </c>
      <c r="E40" s="171">
        <f t="shared" si="4"/>
        <v>0</v>
      </c>
      <c r="F40" s="484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  <c r="Z40" s="168"/>
      <c r="AA40" s="168"/>
      <c r="AB40" s="513"/>
      <c r="AC40" s="513"/>
    </row>
    <row r="41" spans="1:29" s="167" customFormat="1">
      <c r="A41" s="163">
        <v>170</v>
      </c>
      <c r="B41" s="170" t="s">
        <v>31</v>
      </c>
      <c r="C41" s="558">
        <f>'[56]Sch C'!D26</f>
        <v>679477.48</v>
      </c>
      <c r="D41" s="558">
        <f>'[56]Sch C'!F26</f>
        <v>0</v>
      </c>
      <c r="E41" s="171">
        <f t="shared" si="4"/>
        <v>679477.48</v>
      </c>
      <c r="F41" s="484"/>
      <c r="G41" s="171">
        <f t="shared" si="5"/>
        <v>679477.48</v>
      </c>
      <c r="H41" s="172">
        <f t="shared" si="6"/>
        <v>5.0532111097431345E-2</v>
      </c>
      <c r="I41" s="336"/>
      <c r="J41" s="168"/>
      <c r="K41" s="168"/>
      <c r="M41" s="359">
        <f t="shared" si="7"/>
        <v>14.481925872247917</v>
      </c>
      <c r="N41" s="359">
        <f>SUMMARY!J44</f>
        <v>13.276275078297671</v>
      </c>
      <c r="P41"/>
      <c r="Q41"/>
      <c r="Z41" s="168"/>
      <c r="AA41" s="168"/>
      <c r="AB41" s="513"/>
      <c r="AC41" s="513"/>
    </row>
    <row r="42" spans="1:29" s="167" customFormat="1">
      <c r="A42" s="163">
        <v>180</v>
      </c>
      <c r="B42" s="170" t="s">
        <v>32</v>
      </c>
      <c r="C42" s="558">
        <f>'[56]Sch C'!D27</f>
        <v>16109.32</v>
      </c>
      <c r="D42" s="558">
        <f>'[56]Sch C'!F27</f>
        <v>0</v>
      </c>
      <c r="E42" s="171">
        <f t="shared" si="4"/>
        <v>16109.32</v>
      </c>
      <c r="F42" s="484"/>
      <c r="G42" s="171">
        <f t="shared" si="5"/>
        <v>16109.32</v>
      </c>
      <c r="H42" s="172">
        <f t="shared" si="6"/>
        <v>1.1980352136822441E-3</v>
      </c>
      <c r="I42" s="336"/>
      <c r="J42" s="168"/>
      <c r="K42" s="168"/>
      <c r="M42" s="359">
        <f t="shared" si="7"/>
        <v>0.34334320850828021</v>
      </c>
      <c r="N42" s="359">
        <f>SUMMARY!J45</f>
        <v>0.53704966247864372</v>
      </c>
      <c r="P42"/>
      <c r="Q42"/>
      <c r="Z42" s="168"/>
      <c r="AA42" s="168"/>
      <c r="AB42" s="513"/>
      <c r="AC42" s="513"/>
    </row>
    <row r="43" spans="1:29" s="167" customFormat="1">
      <c r="A43" s="163">
        <v>190</v>
      </c>
      <c r="B43" s="170" t="s">
        <v>33</v>
      </c>
      <c r="C43" s="558">
        <f>'[56]Sch C'!D28</f>
        <v>0</v>
      </c>
      <c r="D43" s="558">
        <f>'[56]Sch C'!F28</f>
        <v>0</v>
      </c>
      <c r="E43" s="171">
        <f t="shared" si="4"/>
        <v>0</v>
      </c>
      <c r="F43" s="484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  <c r="Z43" s="168"/>
      <c r="AA43" s="168"/>
      <c r="AB43" s="513"/>
      <c r="AC43" s="513"/>
    </row>
    <row r="44" spans="1:29" s="167" customFormat="1">
      <c r="A44" s="163">
        <v>200</v>
      </c>
      <c r="B44" s="170" t="s">
        <v>34</v>
      </c>
      <c r="C44" s="558">
        <f>'[56]Sch C'!D29</f>
        <v>575112.37</v>
      </c>
      <c r="D44" s="558">
        <f>'[56]Sch C'!F29</f>
        <v>-575112.37</v>
      </c>
      <c r="E44" s="171">
        <f t="shared" si="4"/>
        <v>0</v>
      </c>
      <c r="F44" s="484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  <c r="Z44" s="168"/>
      <c r="AA44" s="168"/>
      <c r="AB44" s="513"/>
      <c r="AC44" s="513"/>
    </row>
    <row r="45" spans="1:29" s="167" customFormat="1">
      <c r="A45" s="163">
        <v>210</v>
      </c>
      <c r="B45" s="170" t="s">
        <v>35</v>
      </c>
      <c r="C45" s="558">
        <f>'[56]Sch C'!D30</f>
        <v>0</v>
      </c>
      <c r="D45" s="558">
        <f>'[56]Sch C'!F30</f>
        <v>0</v>
      </c>
      <c r="E45" s="171">
        <f t="shared" si="4"/>
        <v>0</v>
      </c>
      <c r="F45" s="484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  <c r="Z45" s="168"/>
      <c r="AA45" s="168"/>
      <c r="AB45" s="513"/>
      <c r="AC45" s="513"/>
    </row>
    <row r="46" spans="1:29" s="167" customFormat="1">
      <c r="A46" s="163">
        <v>220</v>
      </c>
      <c r="B46" s="170" t="s">
        <v>190</v>
      </c>
      <c r="C46" s="558">
        <f>'[56]Sch C'!D31</f>
        <v>1282.6300000000001</v>
      </c>
      <c r="D46" s="558">
        <f>'[56]Sch C'!F31</f>
        <v>0</v>
      </c>
      <c r="E46" s="171">
        <f t="shared" si="4"/>
        <v>1282.6300000000001</v>
      </c>
      <c r="F46" s="484"/>
      <c r="G46" s="171">
        <f t="shared" si="5"/>
        <v>1282.6300000000001</v>
      </c>
      <c r="H46" s="172">
        <f t="shared" si="6"/>
        <v>9.5388005584671291E-5</v>
      </c>
      <c r="I46" s="336"/>
      <c r="J46" s="168"/>
      <c r="K46" s="168"/>
      <c r="M46" s="359">
        <f t="shared" si="7"/>
        <v>2.7337112896694306E-2</v>
      </c>
      <c r="N46" s="359">
        <f>SUMMARY!J49</f>
        <v>1.2423066513894216</v>
      </c>
      <c r="P46"/>
      <c r="Q46"/>
      <c r="Z46" s="168"/>
      <c r="AA46" s="168"/>
      <c r="AB46" s="513"/>
      <c r="AC46" s="513"/>
    </row>
    <row r="47" spans="1:29" s="167" customFormat="1">
      <c r="A47" s="163">
        <v>230</v>
      </c>
      <c r="B47" s="170" t="s">
        <v>191</v>
      </c>
      <c r="C47" s="558">
        <f>'[56]Sch C'!D32</f>
        <v>500</v>
      </c>
      <c r="D47" s="558">
        <f>'[56]Sch C'!F32</f>
        <v>21272.92</v>
      </c>
      <c r="E47" s="171">
        <f t="shared" si="4"/>
        <v>21772.92</v>
      </c>
      <c r="F47" s="484"/>
      <c r="G47" s="171">
        <f t="shared" si="5"/>
        <v>21772.92</v>
      </c>
      <c r="H47" s="172">
        <f t="shared" si="6"/>
        <v>1.6192319020719933E-3</v>
      </c>
      <c r="I47" s="336"/>
      <c r="J47" s="168"/>
      <c r="K47" s="168"/>
      <c r="M47" s="359">
        <f t="shared" si="7"/>
        <v>0.46405336857136764</v>
      </c>
      <c r="N47" s="359">
        <f>SUMMARY!J50</f>
        <v>2.4834328319281553</v>
      </c>
      <c r="P47"/>
      <c r="Q47"/>
      <c r="Z47" s="168"/>
      <c r="AA47" s="168"/>
      <c r="AB47" s="513"/>
      <c r="AC47" s="513"/>
    </row>
    <row r="48" spans="1:29" s="167" customFormat="1">
      <c r="A48" s="163">
        <v>240</v>
      </c>
      <c r="B48" s="170" t="s">
        <v>201</v>
      </c>
      <c r="C48" s="558">
        <f>'[56]Sch C'!D33</f>
        <v>108.93</v>
      </c>
      <c r="D48" s="558">
        <f>'[56]Sch C'!F33</f>
        <v>-108.93</v>
      </c>
      <c r="E48" s="171">
        <f t="shared" si="4"/>
        <v>0</v>
      </c>
      <c r="F48" s="484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  <c r="Z48" s="168"/>
      <c r="AA48" s="168"/>
      <c r="AB48" s="513"/>
      <c r="AC48" s="513"/>
    </row>
    <row r="49" spans="1:29" s="167" customFormat="1">
      <c r="A49" s="163">
        <v>250</v>
      </c>
      <c r="B49" s="170" t="s">
        <v>202</v>
      </c>
      <c r="C49" s="558">
        <f>'[56]Sch C'!D34</f>
        <v>0</v>
      </c>
      <c r="D49" s="558">
        <f>'[56]Sch C'!F34</f>
        <v>0</v>
      </c>
      <c r="E49" s="171">
        <f t="shared" si="4"/>
        <v>0</v>
      </c>
      <c r="F49" s="484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  <c r="Z49" s="168"/>
      <c r="AA49" s="168"/>
      <c r="AB49" s="513"/>
      <c r="AC49" s="513"/>
    </row>
    <row r="50" spans="1:29" s="167" customFormat="1">
      <c r="A50" s="163">
        <v>270</v>
      </c>
      <c r="B50" s="170" t="s">
        <v>203</v>
      </c>
      <c r="C50" s="558">
        <f>'[56]Sch C'!D35</f>
        <v>14790.2</v>
      </c>
      <c r="D50" s="558">
        <f>'[56]Sch C'!F35</f>
        <v>-14790.2</v>
      </c>
      <c r="E50" s="171">
        <f t="shared" si="4"/>
        <v>0</v>
      </c>
      <c r="F50" s="484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  <c r="Z50" s="168"/>
      <c r="AA50" s="168"/>
      <c r="AB50" s="513"/>
      <c r="AC50" s="513"/>
    </row>
    <row r="51" spans="1:29" s="167" customFormat="1">
      <c r="A51" s="163">
        <v>280</v>
      </c>
      <c r="B51" s="170" t="s">
        <v>204</v>
      </c>
      <c r="C51" s="558">
        <f>'[56]Sch C'!D36</f>
        <v>0</v>
      </c>
      <c r="D51" s="558">
        <f>'[56]Sch C'!F36</f>
        <v>105992.61</v>
      </c>
      <c r="E51" s="171">
        <f t="shared" si="4"/>
        <v>105992.61</v>
      </c>
      <c r="F51" s="484"/>
      <c r="G51" s="171">
        <f t="shared" si="5"/>
        <v>105992.61</v>
      </c>
      <c r="H51" s="172">
        <f t="shared" si="6"/>
        <v>7.8825722730747651E-3</v>
      </c>
      <c r="I51" s="336"/>
      <c r="J51" s="183">
        <v>7211.96</v>
      </c>
      <c r="K51" s="183">
        <v>7517.89</v>
      </c>
      <c r="M51" s="359">
        <f t="shared" si="7"/>
        <v>2.2590551802041818</v>
      </c>
      <c r="N51" s="359">
        <f>SUMMARY!J54</f>
        <v>0.71016556619157756</v>
      </c>
      <c r="P51"/>
      <c r="Q51"/>
      <c r="Z51" s="183">
        <v>0</v>
      </c>
      <c r="AA51" s="183">
        <v>0</v>
      </c>
      <c r="AB51" s="486">
        <v>0</v>
      </c>
      <c r="AC51" s="486">
        <v>0</v>
      </c>
    </row>
    <row r="52" spans="1:29" s="167" customFormat="1">
      <c r="A52" s="163">
        <v>290</v>
      </c>
      <c r="B52" s="170" t="s">
        <v>205</v>
      </c>
      <c r="C52" s="558">
        <f>'[56]Sch C'!D37</f>
        <v>0</v>
      </c>
      <c r="D52" s="558">
        <f>'[56]Sch C'!F37</f>
        <v>28290.37</v>
      </c>
      <c r="E52" s="171">
        <f t="shared" si="4"/>
        <v>28290.37</v>
      </c>
      <c r="F52" s="484"/>
      <c r="G52" s="171">
        <f t="shared" si="5"/>
        <v>28290.37</v>
      </c>
      <c r="H52" s="172">
        <f t="shared" si="6"/>
        <v>2.1039286244298174E-3</v>
      </c>
      <c r="I52" s="336"/>
      <c r="J52" s="168"/>
      <c r="K52" s="168"/>
      <c r="M52" s="359">
        <f t="shared" si="7"/>
        <v>0.60296191308425151</v>
      </c>
      <c r="N52" s="359">
        <f>SUMMARY!J55</f>
        <v>0.1226645084196832</v>
      </c>
      <c r="P52"/>
      <c r="Q52"/>
      <c r="Z52" s="168"/>
      <c r="AA52" s="168"/>
      <c r="AB52" s="513"/>
      <c r="AC52" s="513"/>
    </row>
    <row r="53" spans="1:29" s="167" customFormat="1">
      <c r="A53" s="163">
        <v>300</v>
      </c>
      <c r="B53" s="170" t="s">
        <v>206</v>
      </c>
      <c r="C53" s="558">
        <f>'[56]Sch C'!D38</f>
        <v>578.77</v>
      </c>
      <c r="D53" s="558">
        <f>'[56]Sch C'!F38</f>
        <v>0</v>
      </c>
      <c r="E53" s="171">
        <f t="shared" si="4"/>
        <v>578.77</v>
      </c>
      <c r="F53" s="484"/>
      <c r="G53" s="171">
        <f t="shared" si="5"/>
        <v>578.77</v>
      </c>
      <c r="H53" s="172">
        <f t="shared" si="6"/>
        <v>4.3042589049250524E-5</v>
      </c>
      <c r="I53" s="336"/>
      <c r="J53" s="168"/>
      <c r="K53" s="168"/>
      <c r="M53" s="359">
        <f t="shared" si="7"/>
        <v>1.2335514397152539E-2</v>
      </c>
      <c r="N53" s="359">
        <f>SUMMARY!J56</f>
        <v>2.2357065225546585E-3</v>
      </c>
      <c r="P53"/>
      <c r="Q53"/>
      <c r="Z53" s="168"/>
      <c r="AA53" s="168"/>
      <c r="AB53" s="513"/>
      <c r="AC53" s="513"/>
    </row>
    <row r="54" spans="1:29" s="167" customFormat="1">
      <c r="A54" s="163">
        <v>310</v>
      </c>
      <c r="B54" s="170" t="s">
        <v>207</v>
      </c>
      <c r="C54" s="558">
        <f>'[56]Sch C'!D39</f>
        <v>9942.52</v>
      </c>
      <c r="D54" s="558">
        <f>'[56]Sch C'!F39</f>
        <v>0</v>
      </c>
      <c r="E54" s="171">
        <f t="shared" si="4"/>
        <v>9942.52</v>
      </c>
      <c r="F54" s="484"/>
      <c r="G54" s="171">
        <f t="shared" si="5"/>
        <v>9942.52</v>
      </c>
      <c r="H54" s="172">
        <f t="shared" si="6"/>
        <v>7.3941600717721088E-4</v>
      </c>
      <c r="I54" s="336"/>
      <c r="J54" s="168"/>
      <c r="K54" s="168"/>
      <c r="M54" s="359">
        <f t="shared" si="7"/>
        <v>0.21190818218632113</v>
      </c>
      <c r="N54" s="359">
        <f>SUMMARY!J57</f>
        <v>0.27779592873572578</v>
      </c>
      <c r="P54"/>
      <c r="Q54"/>
      <c r="Z54" s="168"/>
      <c r="AA54" s="168"/>
      <c r="AB54" s="513"/>
      <c r="AC54" s="513"/>
    </row>
    <row r="55" spans="1:29" s="167" customFormat="1">
      <c r="A55" s="163">
        <v>320</v>
      </c>
      <c r="B55" s="170" t="s">
        <v>208</v>
      </c>
      <c r="C55" s="558">
        <f>'[56]Sch C'!D40</f>
        <v>17628.919999999998</v>
      </c>
      <c r="D55" s="558">
        <f>'[56]Sch C'!F40</f>
        <v>0</v>
      </c>
      <c r="E55" s="171">
        <f t="shared" si="4"/>
        <v>17628.919999999998</v>
      </c>
      <c r="F55" s="484"/>
      <c r="G55" s="171">
        <f t="shared" si="5"/>
        <v>17628.919999999998</v>
      </c>
      <c r="H55" s="172">
        <f t="shared" si="6"/>
        <v>1.3110464587696555E-3</v>
      </c>
      <c r="I55" s="336"/>
      <c r="J55" s="168"/>
      <c r="K55" s="168"/>
      <c r="M55" s="359">
        <f t="shared" si="7"/>
        <v>0.37573094055713036</v>
      </c>
      <c r="N55" s="359">
        <f>SUMMARY!J58</f>
        <v>0.16653887337107628</v>
      </c>
      <c r="P55"/>
      <c r="Q55"/>
      <c r="Z55" s="168"/>
      <c r="AA55" s="168"/>
      <c r="AB55" s="513"/>
      <c r="AC55" s="513"/>
    </row>
    <row r="56" spans="1:29" s="167" customFormat="1">
      <c r="A56" s="163">
        <v>330</v>
      </c>
      <c r="B56" s="170" t="s">
        <v>48</v>
      </c>
      <c r="C56" s="558">
        <f>'[56]Sch C'!D41</f>
        <v>165902.97</v>
      </c>
      <c r="D56" s="558">
        <f>'[56]Sch C'!F41</f>
        <v>-6120.65</v>
      </c>
      <c r="E56" s="171">
        <f t="shared" si="4"/>
        <v>159782.32</v>
      </c>
      <c r="F56" s="484"/>
      <c r="G56" s="171">
        <f t="shared" si="5"/>
        <v>159782.32</v>
      </c>
      <c r="H56" s="172">
        <f t="shared" si="6"/>
        <v>1.1882863204892864E-2</v>
      </c>
      <c r="I56" s="336"/>
      <c r="J56" s="168"/>
      <c r="K56" s="168"/>
      <c r="M56" s="359">
        <f t="shared" si="7"/>
        <v>3.405492870692044</v>
      </c>
      <c r="N56" s="359">
        <f>SUMMARY!J59</f>
        <v>2.14994424305825</v>
      </c>
      <c r="P56"/>
      <c r="Q56"/>
      <c r="Z56" s="168"/>
      <c r="AA56" s="168"/>
      <c r="AB56" s="513"/>
      <c r="AC56" s="513"/>
    </row>
    <row r="57" spans="1:29" s="167" customFormat="1">
      <c r="A57" s="163">
        <v>340</v>
      </c>
      <c r="B57" s="170" t="s">
        <v>209</v>
      </c>
      <c r="C57" s="558">
        <f>'[56]Sch C'!D42</f>
        <v>0</v>
      </c>
      <c r="D57" s="558">
        <f>'[56]Sch C'!F42</f>
        <v>0</v>
      </c>
      <c r="E57" s="171">
        <f t="shared" si="4"/>
        <v>0</v>
      </c>
      <c r="F57" s="484"/>
      <c r="G57" s="171">
        <f t="shared" si="5"/>
        <v>0</v>
      </c>
      <c r="H57" s="172">
        <f t="shared" si="6"/>
        <v>0</v>
      </c>
      <c r="I57" s="33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  <c r="Z57" s="168"/>
      <c r="AA57" s="168"/>
      <c r="AB57" s="513"/>
      <c r="AC57" s="513"/>
    </row>
    <row r="58" spans="1:29" s="167" customFormat="1">
      <c r="A58" s="163">
        <v>350</v>
      </c>
      <c r="B58" s="170" t="s">
        <v>210</v>
      </c>
      <c r="C58" s="558">
        <f>'[56]Sch C'!D43</f>
        <v>0</v>
      </c>
      <c r="D58" s="558">
        <f>'[56]Sch C'!F43</f>
        <v>0</v>
      </c>
      <c r="E58" s="171">
        <f t="shared" si="4"/>
        <v>0</v>
      </c>
      <c r="F58" s="484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  <c r="Z58" s="168"/>
      <c r="AA58" s="168"/>
      <c r="AB58" s="513"/>
      <c r="AC58" s="513"/>
    </row>
    <row r="59" spans="1:29" s="167" customFormat="1">
      <c r="A59" s="163">
        <v>360</v>
      </c>
      <c r="B59" s="170" t="s">
        <v>211</v>
      </c>
      <c r="C59" s="558">
        <f>'[56]Sch C'!D44</f>
        <v>0</v>
      </c>
      <c r="D59" s="558">
        <f>'[56]Sch C'!F44</f>
        <v>0</v>
      </c>
      <c r="E59" s="171">
        <f t="shared" si="4"/>
        <v>0</v>
      </c>
      <c r="F59" s="484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  <c r="Z59" s="168"/>
      <c r="AA59" s="168"/>
      <c r="AB59" s="513"/>
      <c r="AC59" s="513"/>
    </row>
    <row r="60" spans="1:29" s="167" customFormat="1">
      <c r="A60" s="163">
        <v>490</v>
      </c>
      <c r="B60" s="170" t="s">
        <v>36</v>
      </c>
      <c r="C60" s="558">
        <f>'[56]Sch C'!D45</f>
        <v>149350.75</v>
      </c>
      <c r="D60" s="558">
        <f>'[56]Sch C'!F45</f>
        <v>-135242.79</v>
      </c>
      <c r="E60" s="171">
        <f t="shared" si="4"/>
        <v>14107.959999999992</v>
      </c>
      <c r="F60" s="484"/>
      <c r="G60" s="171">
        <f t="shared" si="5"/>
        <v>14107.959999999992</v>
      </c>
      <c r="H60" s="172">
        <f t="shared" si="6"/>
        <v>1.0491959234294522E-3</v>
      </c>
      <c r="I60" s="336"/>
      <c r="J60" s="168"/>
      <c r="K60" s="168"/>
      <c r="M60" s="359">
        <f t="shared" si="7"/>
        <v>0.30068756793623036</v>
      </c>
      <c r="N60" s="359">
        <f>SUMMARY!J63</f>
        <v>0.69532317482298633</v>
      </c>
      <c r="P60"/>
      <c r="Q60"/>
      <c r="Z60" s="168"/>
      <c r="AA60" s="168"/>
      <c r="AB60" s="513"/>
      <c r="AC60" s="513"/>
    </row>
    <row r="61" spans="1:29" s="167" customFormat="1">
      <c r="A61" s="163"/>
      <c r="B61" s="170" t="s">
        <v>177</v>
      </c>
      <c r="C61" s="558">
        <f>SUM(C25:C60)</f>
        <v>2966854.8800000004</v>
      </c>
      <c r="D61" s="558">
        <f>SUM(D25:D60)</f>
        <v>-612261.98</v>
      </c>
      <c r="E61" s="171">
        <f t="shared" ref="E61:F61" si="8">SUM(E25:E60)</f>
        <v>2354592.8999999994</v>
      </c>
      <c r="F61" s="171">
        <f t="shared" si="8"/>
        <v>0</v>
      </c>
      <c r="G61" s="171">
        <f>SUM(G25:G60)</f>
        <v>2354592.8999999994</v>
      </c>
      <c r="H61" s="186">
        <f t="shared" si="6"/>
        <v>0.17510889398721946</v>
      </c>
      <c r="I61" s="338"/>
      <c r="J61" s="168"/>
      <c r="K61" s="168"/>
      <c r="M61" s="364">
        <f>G61/G$228</f>
        <v>50.184208955860086</v>
      </c>
      <c r="N61" s="359">
        <f>SUMMARY!J64</f>
        <v>53.728790309602623</v>
      </c>
      <c r="O61" s="354">
        <f>M61/N61-1</f>
        <v>-6.5971731976795178E-2</v>
      </c>
      <c r="P61"/>
      <c r="Q61"/>
      <c r="Z61" s="168"/>
      <c r="AA61" s="168"/>
      <c r="AB61" s="513"/>
      <c r="AC61" s="513"/>
    </row>
    <row r="62" spans="1:29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  <c r="Z62" s="168"/>
      <c r="AA62" s="168"/>
      <c r="AB62" s="513"/>
      <c r="AC62" s="513"/>
    </row>
    <row r="63" spans="1:29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  <c r="Z63" s="168"/>
      <c r="AA63" s="168"/>
      <c r="AB63" s="513"/>
      <c r="AC63" s="513"/>
    </row>
    <row r="64" spans="1:29" s="167" customFormat="1">
      <c r="A64" s="188">
        <v>230</v>
      </c>
      <c r="B64" s="189" t="s">
        <v>253</v>
      </c>
      <c r="C64" s="558">
        <f>'[56]Sch C'!D57</f>
        <v>948370.64</v>
      </c>
      <c r="D64" s="558">
        <f>'[56]Sch C'!F57</f>
        <v>0</v>
      </c>
      <c r="E64" s="171">
        <f t="shared" ref="E64:E78" si="9">C64+D64</f>
        <v>948370.64</v>
      </c>
      <c r="F64" s="484"/>
      <c r="G64" s="171">
        <f t="shared" ref="G64:G78" si="10">E64+F64</f>
        <v>948370.64</v>
      </c>
      <c r="H64" s="172">
        <f t="shared" ref="H64:H79" si="11">IF($G$208=0,0,G64/$G$208)</f>
        <v>7.0529446453504341E-2</v>
      </c>
      <c r="I64" s="336"/>
      <c r="J64" s="190"/>
      <c r="K64" s="168"/>
      <c r="M64" s="359">
        <f t="shared" ref="M64:M79" si="12">G64/G$228</f>
        <v>20.212933779492317</v>
      </c>
      <c r="N64" s="359">
        <f>SUMMARY!J67</f>
        <v>5.7390436698400178</v>
      </c>
      <c r="P64"/>
      <c r="Q64"/>
      <c r="Z64" s="190"/>
      <c r="AA64" s="168"/>
      <c r="AB64" s="514"/>
      <c r="AC64" s="513"/>
    </row>
    <row r="65" spans="1:29" s="167" customFormat="1">
      <c r="A65" s="191">
        <v>240</v>
      </c>
      <c r="B65" s="189" t="s">
        <v>254</v>
      </c>
      <c r="C65" s="558">
        <f>'[56]Sch C'!D58</f>
        <v>56736.1</v>
      </c>
      <c r="D65" s="558">
        <f>'[56]Sch C'!F58</f>
        <v>0</v>
      </c>
      <c r="E65" s="171">
        <f t="shared" si="9"/>
        <v>56736.1</v>
      </c>
      <c r="F65" s="484"/>
      <c r="G65" s="171">
        <f t="shared" si="10"/>
        <v>56736.1</v>
      </c>
      <c r="H65" s="172">
        <f t="shared" si="11"/>
        <v>4.219411228220506E-3</v>
      </c>
      <c r="I65" s="336"/>
      <c r="J65" s="190"/>
      <c r="K65" s="168"/>
      <c r="M65" s="359">
        <f t="shared" si="12"/>
        <v>1.209235064685948</v>
      </c>
      <c r="N65" s="359">
        <f>SUMMARY!J68</f>
        <v>5.746156082994454</v>
      </c>
      <c r="P65"/>
      <c r="Q65"/>
      <c r="Z65" s="190"/>
      <c r="AA65" s="168"/>
      <c r="AB65" s="514"/>
      <c r="AC65" s="513"/>
    </row>
    <row r="66" spans="1:29" s="167" customFormat="1">
      <c r="A66" s="142">
        <v>250</v>
      </c>
      <c r="B66" s="189" t="s">
        <v>307</v>
      </c>
      <c r="C66" s="558">
        <f>'[56]Sch C'!D59</f>
        <v>0</v>
      </c>
      <c r="D66" s="558">
        <f>'[56]Sch C'!F59</f>
        <v>0</v>
      </c>
      <c r="E66" s="171">
        <f t="shared" si="9"/>
        <v>0</v>
      </c>
      <c r="F66" s="484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  <c r="Z66" s="190"/>
      <c r="AA66" s="168"/>
      <c r="AB66" s="514"/>
      <c r="AC66" s="513"/>
    </row>
    <row r="67" spans="1:29" s="167" customFormat="1">
      <c r="A67" s="142">
        <v>260</v>
      </c>
      <c r="B67" s="192" t="s">
        <v>308</v>
      </c>
      <c r="C67" s="558">
        <f>'[56]Sch C'!D60</f>
        <v>63779.3</v>
      </c>
      <c r="D67" s="558">
        <f>'[56]Sch C'!F60</f>
        <v>0</v>
      </c>
      <c r="E67" s="171">
        <f t="shared" si="9"/>
        <v>63779.3</v>
      </c>
      <c r="F67" s="484"/>
      <c r="G67" s="171">
        <f t="shared" si="10"/>
        <v>63779.3</v>
      </c>
      <c r="H67" s="172">
        <f t="shared" si="11"/>
        <v>4.7432074913158319E-3</v>
      </c>
      <c r="I67" s="336"/>
      <c r="J67" s="193"/>
      <c r="K67" s="168"/>
      <c r="M67" s="359">
        <f t="shared" si="12"/>
        <v>1.359349090986594</v>
      </c>
      <c r="N67" s="359">
        <f>SUMMARY!J70</f>
        <v>1.3209605424779576</v>
      </c>
      <c r="P67"/>
      <c r="Q67"/>
      <c r="Z67" s="193"/>
      <c r="AA67" s="168"/>
      <c r="AB67" s="515"/>
      <c r="AC67" s="513"/>
    </row>
    <row r="68" spans="1:29" s="167" customFormat="1">
      <c r="A68" s="142">
        <v>270</v>
      </c>
      <c r="B68" s="192" t="s">
        <v>309</v>
      </c>
      <c r="C68" s="558">
        <f>'[56]Sch C'!D61</f>
        <v>21272.92</v>
      </c>
      <c r="D68" s="558">
        <f>'[56]Sch C'!F61</f>
        <v>-21272.92</v>
      </c>
      <c r="E68" s="171">
        <f t="shared" si="9"/>
        <v>0</v>
      </c>
      <c r="F68" s="484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  <c r="Z68" s="193"/>
      <c r="AA68" s="168"/>
      <c r="AB68" s="515"/>
      <c r="AC68" s="513"/>
    </row>
    <row r="69" spans="1:29" s="167" customFormat="1">
      <c r="A69" s="142">
        <v>280</v>
      </c>
      <c r="B69" s="194" t="s">
        <v>258</v>
      </c>
      <c r="C69" s="558">
        <f>'[56]Sch C'!D62</f>
        <v>14744.44</v>
      </c>
      <c r="D69" s="558">
        <f>'[56]Sch C'!F62</f>
        <v>0</v>
      </c>
      <c r="E69" s="171">
        <f t="shared" si="9"/>
        <v>14744.44</v>
      </c>
      <c r="F69" s="484"/>
      <c r="G69" s="171">
        <f t="shared" si="10"/>
        <v>14744.44</v>
      </c>
      <c r="H69" s="172">
        <f t="shared" si="11"/>
        <v>1.0965303517482443E-3</v>
      </c>
      <c r="I69" s="336"/>
      <c r="J69" s="195"/>
      <c r="K69" s="168"/>
      <c r="M69" s="359">
        <f t="shared" si="12"/>
        <v>0.31425307444745199</v>
      </c>
      <c r="N69" s="359">
        <f>SUMMARY!J72</f>
        <v>0.16713696357256011</v>
      </c>
      <c r="P69"/>
      <c r="Q69"/>
      <c r="Z69" s="195"/>
      <c r="AA69" s="168"/>
      <c r="AB69" s="516"/>
      <c r="AC69" s="513"/>
    </row>
    <row r="70" spans="1:29" s="167" customFormat="1">
      <c r="A70" s="142">
        <v>290</v>
      </c>
      <c r="B70" s="194" t="s">
        <v>259</v>
      </c>
      <c r="C70" s="558">
        <f>'[56]Sch C'!D63</f>
        <v>0</v>
      </c>
      <c r="D70" s="558">
        <f>'[56]Sch C'!F63</f>
        <v>0</v>
      </c>
      <c r="E70" s="171">
        <f t="shared" si="9"/>
        <v>0</v>
      </c>
      <c r="F70" s="484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  <c r="Z70" s="195"/>
      <c r="AA70" s="168"/>
      <c r="AB70" s="516"/>
      <c r="AC70" s="513"/>
    </row>
    <row r="71" spans="1:29" s="167" customFormat="1">
      <c r="A71" s="142">
        <v>300</v>
      </c>
      <c r="B71" s="194" t="s">
        <v>260</v>
      </c>
      <c r="C71" s="558">
        <f>'[56]Sch C'!D64</f>
        <v>0</v>
      </c>
      <c r="D71" s="558">
        <f>'[56]Sch C'!F64</f>
        <v>0</v>
      </c>
      <c r="E71" s="171">
        <f t="shared" si="9"/>
        <v>0</v>
      </c>
      <c r="F71" s="484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  <c r="Z71" s="195"/>
      <c r="AA71" s="168"/>
      <c r="AB71" s="516"/>
      <c r="AC71" s="513"/>
    </row>
    <row r="72" spans="1:29" s="167" customFormat="1">
      <c r="A72" s="142">
        <v>310</v>
      </c>
      <c r="B72" s="194" t="s">
        <v>310</v>
      </c>
      <c r="C72" s="558">
        <f>'[56]Sch C'!D65</f>
        <v>3713.63</v>
      </c>
      <c r="D72" s="558">
        <f>'[56]Sch C'!F65</f>
        <v>0</v>
      </c>
      <c r="E72" s="171">
        <f t="shared" si="9"/>
        <v>3713.63</v>
      </c>
      <c r="F72" s="484"/>
      <c r="G72" s="171">
        <f t="shared" si="10"/>
        <v>3713.63</v>
      </c>
      <c r="H72" s="172">
        <f t="shared" si="11"/>
        <v>2.7617922485783335E-4</v>
      </c>
      <c r="I72" s="336"/>
      <c r="J72" s="195"/>
      <c r="K72" s="168"/>
      <c r="M72" s="359">
        <f t="shared" si="12"/>
        <v>7.9149811377054069E-2</v>
      </c>
      <c r="N72" s="359">
        <f>SUMMARY!J75</f>
        <v>0.16263825084835873</v>
      </c>
      <c r="P72"/>
      <c r="Q72"/>
      <c r="Z72" s="195"/>
      <c r="AA72" s="168"/>
      <c r="AB72" s="516"/>
      <c r="AC72" s="513"/>
    </row>
    <row r="73" spans="1:29" s="167" customFormat="1">
      <c r="A73" s="142">
        <v>320</v>
      </c>
      <c r="B73" s="194" t="s">
        <v>262</v>
      </c>
      <c r="C73" s="558">
        <f>'[56]Sch C'!D66</f>
        <v>60474.5</v>
      </c>
      <c r="D73" s="558">
        <f>'[56]Sch C'!F66</f>
        <v>-58329.8</v>
      </c>
      <c r="E73" s="171">
        <f t="shared" si="9"/>
        <v>2144.6999999999971</v>
      </c>
      <c r="F73" s="484"/>
      <c r="G73" s="171">
        <f t="shared" si="10"/>
        <v>2144.6999999999971</v>
      </c>
      <c r="H73" s="172">
        <f t="shared" si="11"/>
        <v>1.5949935334230776E-4</v>
      </c>
      <c r="I73" s="336"/>
      <c r="J73" s="195"/>
      <c r="K73" s="168"/>
      <c r="M73" s="359">
        <f t="shared" si="12"/>
        <v>4.5710692896267974E-2</v>
      </c>
      <c r="N73" s="359">
        <f>SUMMARY!J76</f>
        <v>0.81830256983551586</v>
      </c>
      <c r="P73"/>
      <c r="Q73"/>
      <c r="Z73" s="195"/>
      <c r="AA73" s="168"/>
      <c r="AB73" s="516"/>
      <c r="AC73" s="513"/>
    </row>
    <row r="74" spans="1:29" s="167" customFormat="1">
      <c r="A74" s="142">
        <v>330</v>
      </c>
      <c r="B74" s="194" t="s">
        <v>263</v>
      </c>
      <c r="C74" s="558">
        <f>'[56]Sch C'!D67</f>
        <v>210211.93</v>
      </c>
      <c r="D74" s="558">
        <f>'[56]Sch C'!F67</f>
        <v>0</v>
      </c>
      <c r="E74" s="171">
        <f t="shared" si="9"/>
        <v>210211.93</v>
      </c>
      <c r="F74" s="484"/>
      <c r="G74" s="171">
        <f t="shared" si="10"/>
        <v>210211.93</v>
      </c>
      <c r="H74" s="172">
        <f t="shared" si="11"/>
        <v>1.563326661063949E-2</v>
      </c>
      <c r="I74" s="336"/>
      <c r="J74" s="195"/>
      <c r="K74" s="168"/>
      <c r="M74" s="359">
        <f t="shared" si="12"/>
        <v>4.4803156503761805</v>
      </c>
      <c r="N74" s="359">
        <f>SUMMARY!J77</f>
        <v>3.2132948973832529</v>
      </c>
      <c r="P74"/>
      <c r="Q74"/>
      <c r="Z74" s="195"/>
      <c r="AA74" s="168"/>
      <c r="AB74" s="516"/>
      <c r="AC74" s="513"/>
    </row>
    <row r="75" spans="1:29" s="167" customFormat="1">
      <c r="A75" s="142">
        <v>340</v>
      </c>
      <c r="B75" s="194" t="s">
        <v>264</v>
      </c>
      <c r="C75" s="558">
        <f>'[56]Sch C'!D68</f>
        <v>0</v>
      </c>
      <c r="D75" s="558">
        <f>'[56]Sch C'!F68</f>
        <v>0</v>
      </c>
      <c r="E75" s="171">
        <f t="shared" si="9"/>
        <v>0</v>
      </c>
      <c r="F75" s="484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  <c r="Z75" s="195"/>
      <c r="AA75" s="168"/>
      <c r="AB75" s="516"/>
      <c r="AC75" s="513"/>
    </row>
    <row r="76" spans="1:29" s="167" customFormat="1">
      <c r="A76" s="167">
        <v>350</v>
      </c>
      <c r="B76" s="194" t="s">
        <v>311</v>
      </c>
      <c r="C76" s="558">
        <f>'[56]Sch C'!D69</f>
        <v>14974.06</v>
      </c>
      <c r="D76" s="558">
        <f>'[56]Sch C'!F69</f>
        <v>0</v>
      </c>
      <c r="E76" s="171">
        <f t="shared" si="9"/>
        <v>14974.06</v>
      </c>
      <c r="F76" s="484"/>
      <c r="G76" s="171">
        <f t="shared" si="10"/>
        <v>14974.06</v>
      </c>
      <c r="H76" s="172">
        <f t="shared" si="11"/>
        <v>1.1136069785559379E-3</v>
      </c>
      <c r="I76" s="336"/>
      <c r="J76" s="195"/>
      <c r="K76" s="168"/>
      <c r="M76" s="359">
        <f t="shared" si="12"/>
        <v>0.31914704064451499</v>
      </c>
      <c r="N76" s="359">
        <f>SUMMARY!J79</f>
        <v>0.13243591488759648</v>
      </c>
      <c r="P76"/>
      <c r="Q76"/>
      <c r="Z76" s="195"/>
      <c r="AA76" s="168"/>
      <c r="AB76" s="516"/>
      <c r="AC76" s="513"/>
    </row>
    <row r="77" spans="1:29" s="167" customFormat="1">
      <c r="A77" s="142">
        <v>360</v>
      </c>
      <c r="B77" s="194" t="s">
        <v>192</v>
      </c>
      <c r="C77" s="558">
        <f>'[56]Sch C'!D70</f>
        <v>0</v>
      </c>
      <c r="D77" s="558">
        <f>'[56]Sch C'!F70</f>
        <v>0</v>
      </c>
      <c r="E77" s="171">
        <f t="shared" si="9"/>
        <v>0</v>
      </c>
      <c r="F77" s="484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  <c r="Z77" s="195"/>
      <c r="AA77" s="168"/>
      <c r="AB77" s="516"/>
      <c r="AC77" s="513"/>
    </row>
    <row r="78" spans="1:29" s="167" customFormat="1">
      <c r="A78" s="142">
        <v>490</v>
      </c>
      <c r="B78" s="194" t="s">
        <v>312</v>
      </c>
      <c r="C78" s="558">
        <f>'[56]Sch C'!D71</f>
        <v>0</v>
      </c>
      <c r="D78" s="558">
        <f>'[56]Sch C'!F71</f>
        <v>0</v>
      </c>
      <c r="E78" s="171">
        <f t="shared" si="9"/>
        <v>0</v>
      </c>
      <c r="F78" s="484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  <c r="Z78" s="195"/>
      <c r="AA78" s="168"/>
      <c r="AB78" s="516"/>
      <c r="AC78" s="513"/>
    </row>
    <row r="79" spans="1:29" s="167" customFormat="1">
      <c r="A79" s="163"/>
      <c r="B79" s="170" t="s">
        <v>150</v>
      </c>
      <c r="C79" s="558">
        <f>SUM(C64:C78)</f>
        <v>1394277.5199999998</v>
      </c>
      <c r="D79" s="558">
        <f>SUM(D64:D78)</f>
        <v>-79602.720000000001</v>
      </c>
      <c r="E79" s="171">
        <f t="shared" ref="E79:F79" si="13">SUM(E64:E78)</f>
        <v>1314674.7999999998</v>
      </c>
      <c r="F79" s="171">
        <f t="shared" si="13"/>
        <v>0</v>
      </c>
      <c r="G79" s="171">
        <f>SUM(G64:G78)</f>
        <v>1314674.7999999998</v>
      </c>
      <c r="H79" s="172">
        <f t="shared" si="11"/>
        <v>9.7771147692184479E-2</v>
      </c>
      <c r="I79" s="336"/>
      <c r="J79" s="195"/>
      <c r="K79" s="168"/>
      <c r="M79" s="359">
        <f t="shared" si="12"/>
        <v>28.020094204906325</v>
      </c>
      <c r="N79" s="359">
        <f>SUMMARY!J82</f>
        <v>22.656344165426013</v>
      </c>
      <c r="P79"/>
      <c r="Q79"/>
      <c r="Z79" s="195"/>
      <c r="AA79" s="168"/>
      <c r="AB79" s="516"/>
      <c r="AC79" s="513"/>
    </row>
    <row r="80" spans="1:29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  <c r="Z80" s="168"/>
      <c r="AA80" s="168"/>
      <c r="AB80" s="513"/>
      <c r="AC80" s="513"/>
    </row>
    <row r="81" spans="1:29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  <c r="Z81" s="168"/>
      <c r="AA81" s="168"/>
      <c r="AB81" s="513"/>
      <c r="AC81" s="513"/>
    </row>
    <row r="82" spans="1:29" s="167" customFormat="1">
      <c r="A82" s="169" t="s">
        <v>85</v>
      </c>
      <c r="B82" s="148" t="s">
        <v>44</v>
      </c>
      <c r="C82" s="558">
        <f>'[56]Sch C'!D75</f>
        <v>75393.38</v>
      </c>
      <c r="D82" s="558">
        <f>'[56]Sch C'!F75</f>
        <v>0</v>
      </c>
      <c r="E82" s="171">
        <f t="shared" ref="E82:E92" si="14">C82+D82</f>
        <v>75393.38</v>
      </c>
      <c r="F82" s="484"/>
      <c r="G82" s="171">
        <f t="shared" ref="G82:G92" si="15">E82+F82</f>
        <v>75393.38</v>
      </c>
      <c r="H82" s="172">
        <f t="shared" ref="H82:H93" si="16">IF($G$208=0,0,G82/$G$208)</f>
        <v>5.6069358680891955E-3</v>
      </c>
      <c r="I82" s="336"/>
      <c r="J82" s="183">
        <v>4383.83</v>
      </c>
      <c r="K82" s="183">
        <v>4932.28</v>
      </c>
      <c r="M82" s="359">
        <f t="shared" ref="M82:M92" si="17">G82/G$228</f>
        <v>1.6068837784266503</v>
      </c>
      <c r="N82" s="359">
        <f>SUMMARY!J85</f>
        <v>2.536968118505103</v>
      </c>
      <c r="P82"/>
      <c r="Q82"/>
      <c r="Z82" s="183">
        <v>1132</v>
      </c>
      <c r="AA82" s="183">
        <v>1252</v>
      </c>
      <c r="AB82" s="486">
        <v>2896</v>
      </c>
      <c r="AC82" s="486">
        <v>3233</v>
      </c>
    </row>
    <row r="83" spans="1:29" s="167" customFormat="1">
      <c r="A83" s="169" t="s">
        <v>86</v>
      </c>
      <c r="B83" s="199" t="s">
        <v>45</v>
      </c>
      <c r="C83" s="558">
        <f>'[56]Sch C'!D76</f>
        <v>9416.5</v>
      </c>
      <c r="D83" s="558">
        <f>'[56]Sch C'!F76</f>
        <v>0</v>
      </c>
      <c r="E83" s="171">
        <f t="shared" si="14"/>
        <v>9416.5</v>
      </c>
      <c r="F83" s="484"/>
      <c r="G83" s="171">
        <f t="shared" si="15"/>
        <v>9416.5</v>
      </c>
      <c r="H83" s="172">
        <f t="shared" si="16"/>
        <v>7.0029638678968773E-4</v>
      </c>
      <c r="I83" s="336"/>
      <c r="J83" s="168"/>
      <c r="K83" s="168"/>
      <c r="M83" s="359">
        <f t="shared" si="17"/>
        <v>0.20069694580020886</v>
      </c>
      <c r="N83" s="359">
        <f>SUMMARY!J86</f>
        <v>0.51085058065727817</v>
      </c>
      <c r="P83"/>
      <c r="Q83"/>
      <c r="Z83" s="168"/>
      <c r="AA83" s="168"/>
      <c r="AB83" s="513"/>
      <c r="AC83" s="513"/>
    </row>
    <row r="84" spans="1:29" s="167" customFormat="1">
      <c r="A84" s="169" t="s">
        <v>93</v>
      </c>
      <c r="B84" s="199" t="s">
        <v>47</v>
      </c>
      <c r="C84" s="558">
        <f>'[56]Sch C'!D77</f>
        <v>13704.2</v>
      </c>
      <c r="D84" s="558">
        <f>'[56]Sch C'!F77</f>
        <v>0</v>
      </c>
      <c r="E84" s="171">
        <f t="shared" si="14"/>
        <v>13704.2</v>
      </c>
      <c r="F84" s="484"/>
      <c r="G84" s="171">
        <f t="shared" si="15"/>
        <v>13704.2</v>
      </c>
      <c r="H84" s="172">
        <f t="shared" si="16"/>
        <v>1.0191686660482385E-3</v>
      </c>
      <c r="I84" s="336"/>
      <c r="J84" s="168"/>
      <c r="K84" s="168"/>
      <c r="M84" s="359">
        <f t="shared" si="17"/>
        <v>0.29208209893646497</v>
      </c>
      <c r="N84" s="359">
        <f>SUMMARY!J87</f>
        <v>0.62330034041531523</v>
      </c>
      <c r="P84"/>
      <c r="Q84"/>
      <c r="Z84" s="168"/>
      <c r="AA84" s="168"/>
      <c r="AB84" s="513"/>
      <c r="AC84" s="513"/>
    </row>
    <row r="85" spans="1:29" s="167" customFormat="1">
      <c r="A85" s="169">
        <v>230</v>
      </c>
      <c r="B85" s="199" t="s">
        <v>46</v>
      </c>
      <c r="C85" s="558">
        <f>'[56]Sch C'!D78</f>
        <v>0</v>
      </c>
      <c r="D85" s="558">
        <f>'[56]Sch C'!F78</f>
        <v>0</v>
      </c>
      <c r="E85" s="171">
        <f t="shared" si="14"/>
        <v>0</v>
      </c>
      <c r="F85" s="484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  <c r="Z85" s="168"/>
      <c r="AA85" s="168"/>
      <c r="AB85" s="513"/>
      <c r="AC85" s="513"/>
    </row>
    <row r="86" spans="1:29" s="167" customFormat="1">
      <c r="A86" s="169">
        <v>240</v>
      </c>
      <c r="B86" s="200" t="s">
        <v>267</v>
      </c>
      <c r="C86" s="558">
        <f>'[56]Sch C'!D79</f>
        <v>12223.78</v>
      </c>
      <c r="D86" s="558">
        <f>'[56]Sch C'!F79</f>
        <v>0</v>
      </c>
      <c r="E86" s="171">
        <f t="shared" si="14"/>
        <v>12223.78</v>
      </c>
      <c r="F86" s="484"/>
      <c r="G86" s="171">
        <f>E86+F86</f>
        <v>12223.78</v>
      </c>
      <c r="H86" s="172">
        <f t="shared" si="16"/>
        <v>9.0907120128625807E-4</v>
      </c>
      <c r="I86" s="336"/>
      <c r="J86" s="168"/>
      <c r="K86" s="168"/>
      <c r="M86" s="359">
        <f t="shared" si="17"/>
        <v>0.26052942304823207</v>
      </c>
      <c r="N86" s="359">
        <f>SUMMARY!J89</f>
        <v>0.42480855389944888</v>
      </c>
      <c r="P86"/>
      <c r="Q86"/>
      <c r="Z86" s="168"/>
      <c r="AA86" s="168"/>
      <c r="AB86" s="513"/>
      <c r="AC86" s="513"/>
    </row>
    <row r="87" spans="1:29" s="167" customFormat="1">
      <c r="A87" s="169">
        <v>310</v>
      </c>
      <c r="B87" s="199" t="s">
        <v>54</v>
      </c>
      <c r="C87" s="558">
        <f>'[56]Sch C'!D80</f>
        <v>11256.09</v>
      </c>
      <c r="D87" s="558">
        <f>'[56]Sch C'!F80</f>
        <v>0</v>
      </c>
      <c r="E87" s="171">
        <f t="shared" si="14"/>
        <v>11256.09</v>
      </c>
      <c r="F87" s="484"/>
      <c r="G87" s="171">
        <f t="shared" si="15"/>
        <v>11256.09</v>
      </c>
      <c r="H87" s="172">
        <f t="shared" si="16"/>
        <v>8.3710499191626785E-4</v>
      </c>
      <c r="I87" s="336"/>
      <c r="J87" s="168"/>
      <c r="K87" s="168"/>
      <c r="M87" s="359">
        <f t="shared" si="17"/>
        <v>0.23990472942731089</v>
      </c>
      <c r="N87" s="359">
        <f>SUMMARY!J90</f>
        <v>1.0101009938069276</v>
      </c>
      <c r="P87"/>
      <c r="Q87"/>
      <c r="Z87" s="168"/>
      <c r="AA87" s="168"/>
      <c r="AB87" s="513"/>
      <c r="AC87" s="513"/>
    </row>
    <row r="88" spans="1:29" s="167" customFormat="1">
      <c r="A88" s="169">
        <v>320</v>
      </c>
      <c r="B88" s="201" t="s">
        <v>313</v>
      </c>
      <c r="C88" s="558">
        <f>'[56]Sch C'!D81</f>
        <v>3607.99</v>
      </c>
      <c r="D88" s="558">
        <f>'[56]Sch C'!F81</f>
        <v>0</v>
      </c>
      <c r="E88" s="171">
        <f t="shared" si="14"/>
        <v>3607.99</v>
      </c>
      <c r="F88" s="484"/>
      <c r="G88" s="171">
        <f t="shared" si="15"/>
        <v>3607.99</v>
      </c>
      <c r="H88" s="172">
        <f t="shared" si="16"/>
        <v>2.6832287586399671E-4</v>
      </c>
      <c r="I88" s="336"/>
      <c r="J88" s="168"/>
      <c r="K88" s="168"/>
      <c r="M88" s="359">
        <f t="shared" si="17"/>
        <v>7.6898271489162173E-2</v>
      </c>
      <c r="N88" s="359">
        <f>SUMMARY!J91</f>
        <v>0.64997885266319244</v>
      </c>
      <c r="P88"/>
      <c r="Q88"/>
      <c r="Z88" s="168"/>
      <c r="AA88" s="168"/>
      <c r="AB88" s="513"/>
      <c r="AC88" s="513"/>
    </row>
    <row r="89" spans="1:29" s="167" customFormat="1">
      <c r="A89" s="169">
        <v>330</v>
      </c>
      <c r="B89" s="201" t="s">
        <v>314</v>
      </c>
      <c r="C89" s="558">
        <f>'[56]Sch C'!D82</f>
        <v>31178.19</v>
      </c>
      <c r="D89" s="558">
        <f>'[56]Sch C'!F82</f>
        <v>0</v>
      </c>
      <c r="E89" s="171">
        <f t="shared" si="14"/>
        <v>31178.19</v>
      </c>
      <c r="F89" s="484"/>
      <c r="G89" s="171">
        <f t="shared" si="15"/>
        <v>31178.19</v>
      </c>
      <c r="H89" s="172">
        <f t="shared" si="16"/>
        <v>2.3186931241589094E-3</v>
      </c>
      <c r="I89" s="336"/>
      <c r="J89" s="168"/>
      <c r="K89" s="168"/>
      <c r="M89" s="359">
        <f t="shared" si="17"/>
        <v>0.66451096570685642</v>
      </c>
      <c r="N89" s="359">
        <f>SUMMARY!J92</f>
        <v>0.42366280341015539</v>
      </c>
      <c r="P89"/>
      <c r="Q89"/>
      <c r="Z89" s="168"/>
      <c r="AA89" s="168"/>
      <c r="AB89" s="513"/>
      <c r="AC89" s="513"/>
    </row>
    <row r="90" spans="1:29" s="167" customFormat="1">
      <c r="A90" s="163">
        <v>340</v>
      </c>
      <c r="B90" s="201" t="s">
        <v>300</v>
      </c>
      <c r="C90" s="558">
        <f>'[56]Sch C'!D83</f>
        <v>0</v>
      </c>
      <c r="D90" s="558">
        <f>'[56]Sch C'!F83</f>
        <v>0</v>
      </c>
      <c r="E90" s="171">
        <f t="shared" si="14"/>
        <v>0</v>
      </c>
      <c r="F90" s="484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  <c r="Z90" s="168"/>
      <c r="AA90" s="168"/>
      <c r="AB90" s="513"/>
      <c r="AC90" s="513"/>
    </row>
    <row r="91" spans="1:29" s="167" customFormat="1">
      <c r="A91" s="163">
        <v>350</v>
      </c>
      <c r="B91" s="199" t="s">
        <v>49</v>
      </c>
      <c r="C91" s="558">
        <f>'[56]Sch C'!D84</f>
        <v>213126.45</v>
      </c>
      <c r="D91" s="558">
        <f>'[56]Sch C'!F84</f>
        <v>0</v>
      </c>
      <c r="E91" s="171">
        <f t="shared" si="14"/>
        <v>213126.45</v>
      </c>
      <c r="F91" s="484"/>
      <c r="G91" s="171">
        <f t="shared" si="15"/>
        <v>213126.45</v>
      </c>
      <c r="H91" s="172">
        <f t="shared" si="16"/>
        <v>1.5850016764648547E-2</v>
      </c>
      <c r="I91" s="336"/>
      <c r="J91" s="168"/>
      <c r="K91" s="168"/>
      <c r="M91" s="359">
        <f t="shared" si="17"/>
        <v>4.5424337688356529</v>
      </c>
      <c r="N91" s="359">
        <f>SUMMARY!J94</f>
        <v>4.7538617738038829</v>
      </c>
      <c r="P91"/>
      <c r="Q91"/>
      <c r="Z91" s="168"/>
      <c r="AA91" s="168"/>
      <c r="AB91" s="513"/>
      <c r="AC91" s="513"/>
    </row>
    <row r="92" spans="1:29" s="167" customFormat="1">
      <c r="A92" s="163">
        <v>490</v>
      </c>
      <c r="B92" s="148" t="s">
        <v>312</v>
      </c>
      <c r="C92" s="558">
        <f>'[56]Sch C'!D85</f>
        <v>120</v>
      </c>
      <c r="D92" s="558">
        <f>'[56]Sch C'!F85</f>
        <v>0</v>
      </c>
      <c r="E92" s="171">
        <f t="shared" si="14"/>
        <v>120</v>
      </c>
      <c r="F92" s="484"/>
      <c r="G92" s="171">
        <f t="shared" si="15"/>
        <v>120</v>
      </c>
      <c r="H92" s="172">
        <f t="shared" si="16"/>
        <v>8.9242888987163506E-6</v>
      </c>
      <c r="I92" s="336"/>
      <c r="J92" s="168"/>
      <c r="K92" s="168"/>
      <c r="M92" s="359">
        <f t="shared" si="17"/>
        <v>2.5575992668215434E-3</v>
      </c>
      <c r="N92" s="359">
        <f>SUMMARY!J95</f>
        <v>0.10488413981894537</v>
      </c>
      <c r="P92"/>
      <c r="Q92"/>
      <c r="Z92" s="168"/>
      <c r="AA92" s="168"/>
      <c r="AB92" s="513"/>
      <c r="AC92" s="513"/>
    </row>
    <row r="93" spans="1:29" s="167" customFormat="1">
      <c r="A93" s="163"/>
      <c r="B93" s="170" t="s">
        <v>50</v>
      </c>
      <c r="C93" s="558">
        <f>SUM(C82:C92)</f>
        <v>370026.58</v>
      </c>
      <c r="D93" s="558">
        <f>SUM(D82:D92)</f>
        <v>0</v>
      </c>
      <c r="E93" s="171">
        <f t="shared" ref="E93:F93" si="18">SUM(E82:E92)</f>
        <v>370026.58</v>
      </c>
      <c r="F93" s="171">
        <f t="shared" si="18"/>
        <v>0</v>
      </c>
      <c r="G93" s="171">
        <f>SUM(G82:G92)</f>
        <v>370026.58</v>
      </c>
      <c r="H93" s="172">
        <f t="shared" si="16"/>
        <v>2.7518534167699817E-2</v>
      </c>
      <c r="I93" s="336"/>
      <c r="J93" s="168"/>
      <c r="K93" s="168"/>
      <c r="M93" s="364">
        <f>G93/G$228</f>
        <v>7.8864975809373608</v>
      </c>
      <c r="N93" s="359">
        <f>SUMMARY!J96</f>
        <v>11.458724454710746</v>
      </c>
      <c r="O93" s="354">
        <f>M93/N93-1</f>
        <v>-0.31174734045592856</v>
      </c>
      <c r="P93"/>
      <c r="Q93"/>
      <c r="Z93" s="168"/>
      <c r="AA93" s="168"/>
      <c r="AB93" s="513"/>
      <c r="AC93" s="513"/>
    </row>
    <row r="94" spans="1:29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  <c r="Z94" s="168"/>
      <c r="AA94" s="168"/>
      <c r="AB94" s="513"/>
      <c r="AC94" s="513"/>
    </row>
    <row r="95" spans="1:29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  <c r="Z95" s="168"/>
      <c r="AA95" s="168"/>
      <c r="AB95" s="513"/>
      <c r="AC95" s="513"/>
    </row>
    <row r="96" spans="1:29" s="167" customFormat="1">
      <c r="A96" s="169" t="s">
        <v>85</v>
      </c>
      <c r="B96" s="170" t="s">
        <v>44</v>
      </c>
      <c r="C96" s="558">
        <f>'[56]Sch C'!D89</f>
        <v>433796.34</v>
      </c>
      <c r="D96" s="558">
        <f>'[56]Sch C'!F89</f>
        <v>0</v>
      </c>
      <c r="E96" s="171">
        <f t="shared" ref="E96:E101" si="19">C96+D96</f>
        <v>433796.34</v>
      </c>
      <c r="F96" s="484"/>
      <c r="G96" s="171">
        <f t="shared" ref="G96:G101" si="20">E96+F96</f>
        <v>433796.34</v>
      </c>
      <c r="H96" s="172">
        <f t="shared" ref="H96:H102" si="21">IF($G$208=0,0,G96/$G$208)</f>
        <v>3.2261032178048203E-2</v>
      </c>
      <c r="I96" s="336"/>
      <c r="J96" s="183">
        <v>31670.04</v>
      </c>
      <c r="K96" s="183">
        <v>35698.54</v>
      </c>
      <c r="M96" s="364">
        <f t="shared" ref="M96:M101" si="22">G96/G$228</f>
        <v>9.2456433427822429</v>
      </c>
      <c r="N96" s="359">
        <f>SUMMARY!J99</f>
        <v>8.3100610477681069</v>
      </c>
      <c r="P96"/>
      <c r="Q96"/>
      <c r="Z96" s="183">
        <v>7695</v>
      </c>
      <c r="AA96" s="183">
        <v>7974</v>
      </c>
      <c r="AB96" s="486">
        <v>22963</v>
      </c>
      <c r="AC96" s="486">
        <v>24522</v>
      </c>
    </row>
    <row r="97" spans="1:29" s="167" customFormat="1">
      <c r="A97" s="169" t="s">
        <v>86</v>
      </c>
      <c r="B97" s="170" t="s">
        <v>45</v>
      </c>
      <c r="C97" s="558">
        <f>'[56]Sch C'!D90</f>
        <v>65448.66</v>
      </c>
      <c r="D97" s="558">
        <f>'[56]Sch C'!F90</f>
        <v>0</v>
      </c>
      <c r="E97" s="171">
        <f t="shared" si="19"/>
        <v>65448.66</v>
      </c>
      <c r="F97" s="484"/>
      <c r="G97" s="171">
        <f t="shared" si="20"/>
        <v>65448.66</v>
      </c>
      <c r="H97" s="172">
        <f t="shared" si="21"/>
        <v>4.8673562489488413E-3</v>
      </c>
      <c r="I97" s="336"/>
      <c r="J97" s="168"/>
      <c r="K97" s="168"/>
      <c r="M97" s="364">
        <f t="shared" si="22"/>
        <v>1.3949287069204375</v>
      </c>
      <c r="N97" s="359">
        <f>SUMMARY!J100</f>
        <v>1.5162882954735211</v>
      </c>
      <c r="P97"/>
      <c r="Q97"/>
      <c r="Z97" s="168"/>
      <c r="AA97" s="168"/>
      <c r="AB97" s="513"/>
      <c r="AC97" s="513"/>
    </row>
    <row r="98" spans="1:29" s="167" customFormat="1">
      <c r="A98" s="169">
        <v>310</v>
      </c>
      <c r="B98" s="170" t="s">
        <v>54</v>
      </c>
      <c r="C98" s="558">
        <f>'[56]Sch C'!D91</f>
        <v>12003.99</v>
      </c>
      <c r="D98" s="558">
        <f>'[56]Sch C'!F91</f>
        <v>0</v>
      </c>
      <c r="E98" s="171">
        <f t="shared" si="19"/>
        <v>12003.99</v>
      </c>
      <c r="F98" s="484"/>
      <c r="G98" s="171">
        <f t="shared" si="20"/>
        <v>12003.99</v>
      </c>
      <c r="H98" s="172">
        <f t="shared" si="21"/>
        <v>8.9272562247751748E-4</v>
      </c>
      <c r="I98" s="336"/>
      <c r="J98" s="168"/>
      <c r="K98" s="168"/>
      <c r="M98" s="364">
        <f t="shared" si="22"/>
        <v>0.25584496685777619</v>
      </c>
      <c r="N98" s="359">
        <f>SUMMARY!J101</f>
        <v>2.5247120350104719</v>
      </c>
      <c r="P98"/>
      <c r="Q98"/>
      <c r="Z98" s="168"/>
      <c r="AA98" s="168"/>
      <c r="AB98" s="513"/>
      <c r="AC98" s="513"/>
    </row>
    <row r="99" spans="1:29" s="167" customFormat="1">
      <c r="A99" s="169">
        <v>380</v>
      </c>
      <c r="B99" s="170" t="s">
        <v>52</v>
      </c>
      <c r="C99" s="558">
        <f>'[56]Sch C'!D92</f>
        <v>335731.77</v>
      </c>
      <c r="D99" s="558">
        <f>'[56]Sch C'!F92</f>
        <v>0</v>
      </c>
      <c r="E99" s="171">
        <f t="shared" si="19"/>
        <v>335731.77</v>
      </c>
      <c r="F99" s="484"/>
      <c r="G99" s="171">
        <f t="shared" si="20"/>
        <v>335731.77</v>
      </c>
      <c r="H99" s="172">
        <f t="shared" si="21"/>
        <v>2.4968060899644928E-2</v>
      </c>
      <c r="I99" s="336"/>
      <c r="J99" s="168"/>
      <c r="K99" s="168"/>
      <c r="M99" s="364">
        <f t="shared" si="22"/>
        <v>7.1555610733391593</v>
      </c>
      <c r="N99" s="359">
        <f>SUMMARY!J102</f>
        <v>6.7604047844643738</v>
      </c>
      <c r="P99"/>
      <c r="Q99"/>
      <c r="Z99" s="168"/>
      <c r="AA99" s="168"/>
      <c r="AB99" s="513"/>
      <c r="AC99" s="513"/>
    </row>
    <row r="100" spans="1:29" s="167" customFormat="1">
      <c r="A100" s="169">
        <v>390</v>
      </c>
      <c r="B100" s="170" t="s">
        <v>53</v>
      </c>
      <c r="C100" s="558">
        <f>'[56]Sch C'!D93</f>
        <v>31650.1</v>
      </c>
      <c r="D100" s="558">
        <f>'[56]Sch C'!F93</f>
        <v>0</v>
      </c>
      <c r="E100" s="171">
        <f t="shared" si="19"/>
        <v>31650.1</v>
      </c>
      <c r="F100" s="484"/>
      <c r="G100" s="171">
        <f t="shared" si="20"/>
        <v>31650.1</v>
      </c>
      <c r="H100" s="172">
        <f t="shared" si="21"/>
        <v>2.353788633943853E-3</v>
      </c>
      <c r="I100" s="336"/>
      <c r="J100" s="168"/>
      <c r="K100" s="168"/>
      <c r="M100" s="364">
        <f t="shared" si="22"/>
        <v>0.67456893795690442</v>
      </c>
      <c r="N100" s="359">
        <f>SUMMARY!J103</f>
        <v>0.72385493548615287</v>
      </c>
      <c r="P100"/>
      <c r="Q100"/>
      <c r="Z100" s="168"/>
      <c r="AA100" s="168"/>
      <c r="AB100" s="513"/>
      <c r="AC100" s="513"/>
    </row>
    <row r="101" spans="1:29" s="167" customFormat="1">
      <c r="A101" s="169">
        <v>490</v>
      </c>
      <c r="B101" s="202" t="s">
        <v>312</v>
      </c>
      <c r="C101" s="558">
        <f>'[56]Sch C'!D94</f>
        <v>1999.47</v>
      </c>
      <c r="D101" s="558">
        <f>'[56]Sch C'!F94</f>
        <v>0</v>
      </c>
      <c r="E101" s="171">
        <f t="shared" si="19"/>
        <v>1999.47</v>
      </c>
      <c r="F101" s="484"/>
      <c r="G101" s="171">
        <f t="shared" si="20"/>
        <v>1999.47</v>
      </c>
      <c r="H101" s="172">
        <f t="shared" si="21"/>
        <v>1.4869873270263652E-4</v>
      </c>
      <c r="I101" s="336"/>
      <c r="J101" s="168"/>
      <c r="K101" s="168"/>
      <c r="M101" s="364">
        <f t="shared" si="22"/>
        <v>4.2615358383597264E-2</v>
      </c>
      <c r="N101" s="359">
        <f>SUMMARY!J104</f>
        <v>6.5755939582712558E-2</v>
      </c>
      <c r="P101"/>
      <c r="Q101"/>
      <c r="Z101" s="168"/>
      <c r="AA101" s="168"/>
      <c r="AB101" s="513"/>
      <c r="AC101" s="513"/>
    </row>
    <row r="102" spans="1:29" s="167" customFormat="1">
      <c r="A102" s="169"/>
      <c r="B102" s="170" t="s">
        <v>55</v>
      </c>
      <c r="C102" s="558">
        <f>SUM(C96:C101)</f>
        <v>880630.33</v>
      </c>
      <c r="D102" s="558">
        <f>SUM(D96:D101)</f>
        <v>0</v>
      </c>
      <c r="E102" s="171">
        <f t="shared" ref="E102:F102" si="23">SUM(E96:E101)</f>
        <v>880630.33</v>
      </c>
      <c r="F102" s="171">
        <f t="shared" si="23"/>
        <v>0</v>
      </c>
      <c r="G102" s="171">
        <f>SUM(G96:G101)</f>
        <v>880630.33</v>
      </c>
      <c r="H102" s="172">
        <f t="shared" si="21"/>
        <v>6.5491662315765975E-2</v>
      </c>
      <c r="I102" s="336"/>
      <c r="J102" s="168"/>
      <c r="K102" s="168"/>
      <c r="M102" s="364">
        <f>G102/G$228</f>
        <v>18.769162386240115</v>
      </c>
      <c r="N102" s="359">
        <f>SUMMARY!J105</f>
        <v>19.901077037785338</v>
      </c>
      <c r="O102" s="354">
        <f>M102/N102-1</f>
        <v>-5.6877054914972969E-2</v>
      </c>
      <c r="P102"/>
      <c r="Q102"/>
      <c r="Z102" s="168"/>
      <c r="AA102" s="168"/>
      <c r="AB102" s="513"/>
      <c r="AC102" s="513"/>
    </row>
    <row r="103" spans="1:29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  <c r="Z103" s="168"/>
      <c r="AA103" s="168"/>
      <c r="AB103" s="513"/>
      <c r="AC103" s="513"/>
    </row>
    <row r="104" spans="1:29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  <c r="Z104" s="168"/>
      <c r="AA104" s="168"/>
      <c r="AB104" s="513"/>
      <c r="AC104" s="513"/>
    </row>
    <row r="105" spans="1:29" s="167" customFormat="1">
      <c r="A105" s="169" t="s">
        <v>85</v>
      </c>
      <c r="B105" s="170" t="s">
        <v>44</v>
      </c>
      <c r="C105" s="558">
        <f>'[56]Sch C'!D98</f>
        <v>48456.17</v>
      </c>
      <c r="D105" s="558">
        <f>'[56]Sch C'!F98</f>
        <v>0</v>
      </c>
      <c r="E105" s="171">
        <f t="shared" ref="E105:E110" si="24">C105+D105</f>
        <v>48456.17</v>
      </c>
      <c r="F105" s="484"/>
      <c r="G105" s="171">
        <f t="shared" ref="G105:G110" si="25">E105+F105</f>
        <v>48456.17</v>
      </c>
      <c r="H105" s="172">
        <f t="shared" ref="H105:H111" si="26">IF($G$208=0,0,G105/$G$208)</f>
        <v>3.603640500044269E-3</v>
      </c>
      <c r="I105" s="336"/>
      <c r="J105" s="183">
        <v>4371.29</v>
      </c>
      <c r="K105" s="183">
        <v>4782.1400000000003</v>
      </c>
      <c r="M105" s="364">
        <f t="shared" ref="M105:M110" si="27">G105/G$228</f>
        <v>1.0327622072081672</v>
      </c>
      <c r="N105" s="359">
        <f>SUMMARY!J108</f>
        <v>1.037156498380404</v>
      </c>
      <c r="P105"/>
      <c r="Q105"/>
      <c r="Z105" s="183">
        <v>963</v>
      </c>
      <c r="AA105" s="183">
        <v>1063</v>
      </c>
      <c r="AB105" s="486">
        <v>2791</v>
      </c>
      <c r="AC105" s="486">
        <v>3141</v>
      </c>
    </row>
    <row r="106" spans="1:29" s="167" customFormat="1">
      <c r="A106" s="169" t="s">
        <v>86</v>
      </c>
      <c r="B106" s="170" t="s">
        <v>45</v>
      </c>
      <c r="C106" s="558">
        <f>'[56]Sch C'!D99</f>
        <v>10690.74</v>
      </c>
      <c r="D106" s="558">
        <f>'[56]Sch C'!F99</f>
        <v>0</v>
      </c>
      <c r="E106" s="171">
        <f t="shared" si="24"/>
        <v>10690.74</v>
      </c>
      <c r="F106" s="484"/>
      <c r="G106" s="171">
        <f t="shared" si="25"/>
        <v>10690.74</v>
      </c>
      <c r="H106" s="172">
        <f t="shared" si="26"/>
        <v>7.9506043584219035E-4</v>
      </c>
      <c r="I106" s="336"/>
      <c r="J106" s="168"/>
      <c r="K106" s="168"/>
      <c r="M106" s="364">
        <f t="shared" si="27"/>
        <v>0.22785523988149789</v>
      </c>
      <c r="N106" s="359">
        <f>SUMMARY!J109</f>
        <v>0.20576729906268329</v>
      </c>
      <c r="P106"/>
      <c r="Q106"/>
      <c r="Z106" s="168"/>
      <c r="AA106" s="168"/>
      <c r="AB106" s="513"/>
      <c r="AC106" s="513"/>
    </row>
    <row r="107" spans="1:29" s="167" customFormat="1">
      <c r="A107" s="169">
        <v>110</v>
      </c>
      <c r="B107" s="170" t="s">
        <v>47</v>
      </c>
      <c r="C107" s="558">
        <f>'[56]Sch C'!D100</f>
        <v>12226.43</v>
      </c>
      <c r="D107" s="558">
        <f>'[56]Sch C'!F100</f>
        <v>0</v>
      </c>
      <c r="E107" s="171">
        <f t="shared" si="24"/>
        <v>12226.43</v>
      </c>
      <c r="F107" s="484"/>
      <c r="G107" s="171">
        <f t="shared" si="25"/>
        <v>12226.43</v>
      </c>
      <c r="H107" s="172">
        <f t="shared" si="26"/>
        <v>9.092682793327714E-4</v>
      </c>
      <c r="I107" s="336"/>
      <c r="J107" s="168"/>
      <c r="K107" s="168"/>
      <c r="M107" s="364">
        <f t="shared" si="27"/>
        <v>0.26058590336537435</v>
      </c>
      <c r="N107" s="359">
        <f>SUMMARY!J110</f>
        <v>0.1677349841046627</v>
      </c>
      <c r="P107"/>
      <c r="Q107"/>
      <c r="Z107" s="168"/>
      <c r="AA107" s="168"/>
      <c r="AB107" s="513"/>
      <c r="AC107" s="513"/>
    </row>
    <row r="108" spans="1:29" s="167" customFormat="1">
      <c r="A108" s="169">
        <v>310</v>
      </c>
      <c r="B108" s="170" t="s">
        <v>54</v>
      </c>
      <c r="C108" s="558">
        <f>'[56]Sch C'!D101</f>
        <v>0</v>
      </c>
      <c r="D108" s="558">
        <f>'[56]Sch C'!F101</f>
        <v>0</v>
      </c>
      <c r="E108" s="171">
        <f t="shared" si="24"/>
        <v>0</v>
      </c>
      <c r="F108" s="484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  <c r="Z108" s="168"/>
      <c r="AA108" s="168"/>
      <c r="AB108" s="513"/>
      <c r="AC108" s="513"/>
    </row>
    <row r="109" spans="1:29" s="167" customFormat="1">
      <c r="A109" s="169">
        <v>410</v>
      </c>
      <c r="B109" s="170" t="s">
        <v>57</v>
      </c>
      <c r="C109" s="558">
        <f>'[56]Sch C'!D102</f>
        <v>16734.009999999998</v>
      </c>
      <c r="D109" s="558">
        <f>'[56]Sch C'!F102</f>
        <v>0</v>
      </c>
      <c r="E109" s="171">
        <f t="shared" si="24"/>
        <v>16734.009999999998</v>
      </c>
      <c r="F109" s="484"/>
      <c r="G109" s="171">
        <f t="shared" si="25"/>
        <v>16734.009999999998</v>
      </c>
      <c r="H109" s="172">
        <f t="shared" si="26"/>
        <v>1.2444928306167367E-3</v>
      </c>
      <c r="I109" s="336"/>
      <c r="J109" s="168"/>
      <c r="K109" s="168"/>
      <c r="M109" s="364">
        <f t="shared" si="27"/>
        <v>0.35665743089153645</v>
      </c>
      <c r="N109" s="359">
        <f>SUMMARY!J112</f>
        <v>0.24781104699146178</v>
      </c>
      <c r="P109"/>
      <c r="Q109"/>
      <c r="Z109" s="168"/>
      <c r="AA109" s="168"/>
      <c r="AB109" s="513"/>
      <c r="AC109" s="513"/>
    </row>
    <row r="110" spans="1:29" s="167" customFormat="1">
      <c r="A110" s="169">
        <v>490</v>
      </c>
      <c r="B110" s="202" t="s">
        <v>312</v>
      </c>
      <c r="C110" s="558">
        <f>'[56]Sch C'!D103</f>
        <v>3994.24</v>
      </c>
      <c r="D110" s="558">
        <f>'[56]Sch C'!F103</f>
        <v>0</v>
      </c>
      <c r="E110" s="171">
        <f t="shared" si="24"/>
        <v>3994.24</v>
      </c>
      <c r="F110" s="484"/>
      <c r="G110" s="171">
        <f t="shared" si="25"/>
        <v>3994.24</v>
      </c>
      <c r="H110" s="172">
        <f t="shared" si="26"/>
        <v>2.9704793075673995E-4</v>
      </c>
      <c r="I110" s="336"/>
      <c r="J110" s="168"/>
      <c r="K110" s="168"/>
      <c r="M110" s="364">
        <f t="shared" si="27"/>
        <v>8.5130544129244007E-2</v>
      </c>
      <c r="N110" s="359">
        <f>SUMMARY!J113</f>
        <v>1.442148153547029E-2</v>
      </c>
      <c r="P110"/>
      <c r="Q110"/>
      <c r="Z110" s="168"/>
      <c r="AA110" s="168"/>
      <c r="AB110" s="513"/>
      <c r="AC110" s="513"/>
    </row>
    <row r="111" spans="1:29" s="167" customFormat="1">
      <c r="A111" s="163"/>
      <c r="B111" s="170" t="s">
        <v>58</v>
      </c>
      <c r="C111" s="558">
        <f>SUM(C105:C110)</f>
        <v>92101.59</v>
      </c>
      <c r="D111" s="558">
        <f>SUM(D105:D110)</f>
        <v>0</v>
      </c>
      <c r="E111" s="171">
        <f t="shared" ref="E111:F111" si="28">SUM(E105:E110)</f>
        <v>92101.59</v>
      </c>
      <c r="F111" s="171">
        <f t="shared" si="28"/>
        <v>0</v>
      </c>
      <c r="G111" s="171">
        <f>SUM(G105:G110)</f>
        <v>92101.59</v>
      </c>
      <c r="H111" s="172">
        <f t="shared" si="26"/>
        <v>6.849509976592707E-3</v>
      </c>
      <c r="I111" s="336"/>
      <c r="J111" s="168"/>
      <c r="K111" s="168"/>
      <c r="M111" s="364">
        <f>G111/G$228</f>
        <v>1.96299132547582</v>
      </c>
      <c r="N111" s="359">
        <f>SUMMARY!J114</f>
        <v>2.4242384372309496</v>
      </c>
      <c r="O111" s="354">
        <f>M111/N111-1</f>
        <v>-0.19026474651642855</v>
      </c>
      <c r="P111"/>
      <c r="Q111"/>
      <c r="Z111" s="168"/>
      <c r="AA111" s="168"/>
      <c r="AB111" s="513"/>
      <c r="AC111" s="513"/>
    </row>
    <row r="112" spans="1:29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  <c r="Z112" s="168"/>
      <c r="AA112" s="168"/>
      <c r="AB112" s="513"/>
      <c r="AC112" s="513"/>
    </row>
    <row r="113" spans="1:29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  <c r="Z113" s="168"/>
      <c r="AA113" s="168"/>
      <c r="AB113" s="513"/>
      <c r="AC113" s="513"/>
    </row>
    <row r="114" spans="1:29" s="167" customFormat="1">
      <c r="A114" s="169" t="s">
        <v>85</v>
      </c>
      <c r="B114" s="170" t="s">
        <v>44</v>
      </c>
      <c r="C114" s="558">
        <f>'[56]Sch C'!D115</f>
        <v>178469.87</v>
      </c>
      <c r="D114" s="558">
        <f>'[56]Sch C'!F115</f>
        <v>0</v>
      </c>
      <c r="E114" s="171">
        <f t="shared" ref="E114:E118" si="29">C114+D114</f>
        <v>178469.87</v>
      </c>
      <c r="F114" s="484"/>
      <c r="G114" s="171">
        <f>E114+F114</f>
        <v>178469.87</v>
      </c>
      <c r="H114" s="172">
        <f t="shared" ref="H114:H119" si="30">IF($G$208=0,0,G114/$G$208)</f>
        <v>1.3272638996636252E-2</v>
      </c>
      <c r="I114" s="336"/>
      <c r="J114" s="183">
        <v>16967.96</v>
      </c>
      <c r="K114" s="183">
        <v>18176.37</v>
      </c>
      <c r="M114" s="364">
        <f t="shared" ref="M114:M119" si="31">G114/G$228</f>
        <v>3.8037867388478013</v>
      </c>
      <c r="N114" s="359">
        <f>SUMMARY!J117</f>
        <v>3.2429359621060407</v>
      </c>
      <c r="P114"/>
      <c r="Q114"/>
      <c r="Z114" s="183">
        <v>4252</v>
      </c>
      <c r="AA114" s="183">
        <v>4630</v>
      </c>
      <c r="AB114" s="486">
        <v>12507</v>
      </c>
      <c r="AC114" s="486">
        <v>13770</v>
      </c>
    </row>
    <row r="115" spans="1:29" s="167" customFormat="1">
      <c r="A115" s="169" t="s">
        <v>86</v>
      </c>
      <c r="B115" s="170" t="s">
        <v>151</v>
      </c>
      <c r="C115" s="558">
        <f>'[56]Sch C'!D116</f>
        <v>50964.7</v>
      </c>
      <c r="D115" s="558">
        <f>'[56]Sch C'!F116</f>
        <v>0</v>
      </c>
      <c r="E115" s="171">
        <f t="shared" si="29"/>
        <v>50964.7</v>
      </c>
      <c r="F115" s="484"/>
      <c r="G115" s="171">
        <f>E115+F115</f>
        <v>50964.7</v>
      </c>
      <c r="H115" s="172">
        <f t="shared" si="30"/>
        <v>3.7901975536367436E-3</v>
      </c>
      <c r="I115" s="336"/>
      <c r="J115" s="168"/>
      <c r="K115" s="168"/>
      <c r="M115" s="364">
        <f t="shared" si="31"/>
        <v>1.086227327948166</v>
      </c>
      <c r="N115" s="359">
        <f>SUMMARY!J118</f>
        <v>0.64416765619740102</v>
      </c>
      <c r="P115"/>
      <c r="Q115"/>
      <c r="Z115" s="168"/>
      <c r="AA115" s="168"/>
      <c r="AB115" s="513"/>
      <c r="AC115" s="513"/>
    </row>
    <row r="116" spans="1:29" s="167" customFormat="1">
      <c r="A116" s="169" t="s">
        <v>93</v>
      </c>
      <c r="B116" s="170" t="s">
        <v>47</v>
      </c>
      <c r="C116" s="558">
        <f>'[56]Sch C'!D117</f>
        <v>30029.34</v>
      </c>
      <c r="D116" s="558">
        <f>'[56]Sch C'!F117</f>
        <v>0</v>
      </c>
      <c r="E116" s="171">
        <f t="shared" si="29"/>
        <v>30029.34</v>
      </c>
      <c r="F116" s="484"/>
      <c r="G116" s="171">
        <f>E116+F116</f>
        <v>30029.34</v>
      </c>
      <c r="H116" s="172">
        <f t="shared" si="30"/>
        <v>2.2332542133148242E-3</v>
      </c>
      <c r="I116" s="336"/>
      <c r="J116" s="168"/>
      <c r="K116" s="168"/>
      <c r="M116" s="364">
        <f t="shared" si="31"/>
        <v>0.64002514972612379</v>
      </c>
      <c r="N116" s="359">
        <f>SUMMARY!J119</f>
        <v>0.86820957192988468</v>
      </c>
      <c r="P116"/>
      <c r="Q116"/>
      <c r="Z116" s="168"/>
      <c r="AA116" s="168"/>
      <c r="AB116" s="513"/>
      <c r="AC116" s="513"/>
    </row>
    <row r="117" spans="1:29" s="167" customFormat="1">
      <c r="A117" s="169">
        <v>310</v>
      </c>
      <c r="B117" s="170" t="s">
        <v>60</v>
      </c>
      <c r="C117" s="558">
        <f>'[56]Sch C'!D118</f>
        <v>0</v>
      </c>
      <c r="D117" s="558">
        <f>'[56]Sch C'!F118</f>
        <v>0</v>
      </c>
      <c r="E117" s="171">
        <f t="shared" si="29"/>
        <v>0</v>
      </c>
      <c r="F117" s="484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  <c r="Z117" s="168"/>
      <c r="AA117" s="168"/>
      <c r="AB117" s="513"/>
      <c r="AC117" s="513"/>
    </row>
    <row r="118" spans="1:29" s="167" customFormat="1">
      <c r="A118" s="169">
        <v>490</v>
      </c>
      <c r="B118" s="202" t="s">
        <v>312</v>
      </c>
      <c r="C118" s="558">
        <f>'[56]Sch C'!D119</f>
        <v>100</v>
      </c>
      <c r="D118" s="558">
        <f>'[56]Sch C'!F119</f>
        <v>0</v>
      </c>
      <c r="E118" s="171">
        <f t="shared" si="29"/>
        <v>100</v>
      </c>
      <c r="F118" s="484"/>
      <c r="G118" s="171">
        <f>E118+F118</f>
        <v>100</v>
      </c>
      <c r="H118" s="172">
        <f t="shared" si="30"/>
        <v>7.4369074155969594E-6</v>
      </c>
      <c r="I118" s="336"/>
      <c r="J118" s="168"/>
      <c r="K118" s="168"/>
      <c r="M118" s="364">
        <f t="shared" si="31"/>
        <v>2.1313327223512861E-3</v>
      </c>
      <c r="N118" s="359">
        <f>SUMMARY!J121</f>
        <v>8.9442087594777155E-3</v>
      </c>
      <c r="P118"/>
      <c r="Q118"/>
      <c r="Z118" s="168"/>
      <c r="AA118" s="168"/>
      <c r="AB118" s="513"/>
      <c r="AC118" s="513"/>
    </row>
    <row r="119" spans="1:29" s="167" customFormat="1">
      <c r="A119" s="163"/>
      <c r="B119" s="170" t="s">
        <v>61</v>
      </c>
      <c r="C119" s="558">
        <f>SUM(C114:C118)</f>
        <v>259563.91</v>
      </c>
      <c r="D119" s="558">
        <f>SUM(D114:D118)</f>
        <v>0</v>
      </c>
      <c r="E119" s="171">
        <f t="shared" ref="E119:F119" si="32">SUM(E114:E118)</f>
        <v>259563.91</v>
      </c>
      <c r="F119" s="171">
        <f t="shared" si="32"/>
        <v>0</v>
      </c>
      <c r="G119" s="171">
        <f>SUM(G114:G118)</f>
        <v>259563.91</v>
      </c>
      <c r="H119" s="172">
        <f t="shared" si="30"/>
        <v>1.9303527671003417E-2</v>
      </c>
      <c r="I119" s="336"/>
      <c r="J119" s="168"/>
      <c r="K119" s="168"/>
      <c r="M119" s="364">
        <f t="shared" si="31"/>
        <v>5.5321705492444426</v>
      </c>
      <c r="N119" s="359">
        <f>SUMMARY!J122</f>
        <v>6.0247597205909562</v>
      </c>
      <c r="O119" s="354">
        <f>M119/N119-1</f>
        <v>-8.1760799466073397E-2</v>
      </c>
      <c r="P119"/>
      <c r="Q119"/>
      <c r="Z119" s="168"/>
      <c r="AA119" s="168"/>
      <c r="AB119" s="513"/>
      <c r="AC119" s="513"/>
    </row>
    <row r="120" spans="1:29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  <c r="Z120" s="203"/>
      <c r="AA120" s="203"/>
      <c r="AB120" s="203"/>
      <c r="AC120" s="203"/>
    </row>
    <row r="121" spans="1:29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  <c r="Z121" s="204"/>
      <c r="AA121" s="204"/>
      <c r="AB121" s="483"/>
      <c r="AC121" s="483"/>
    </row>
    <row r="122" spans="1:29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  <c r="Z122" s="204"/>
      <c r="AA122" s="204"/>
      <c r="AB122" s="483"/>
      <c r="AC122" s="483"/>
    </row>
    <row r="123" spans="1:29" s="167" customFormat="1">
      <c r="B123" s="163" t="s">
        <v>232</v>
      </c>
      <c r="C123" s="558">
        <f>'[56]Sch C'!D124</f>
        <v>0</v>
      </c>
      <c r="D123" s="558">
        <f>'[56]Sch C'!F124</f>
        <v>0</v>
      </c>
      <c r="E123" s="171">
        <f t="shared" ref="E123:E127" si="33">C123+D123</f>
        <v>0</v>
      </c>
      <c r="F123" s="484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  <c r="Z123" s="183">
        <v>0</v>
      </c>
      <c r="AA123" s="183">
        <v>0</v>
      </c>
      <c r="AB123" s="486">
        <v>0</v>
      </c>
      <c r="AC123" s="486">
        <v>0</v>
      </c>
    </row>
    <row r="124" spans="1:29" s="167" customFormat="1">
      <c r="B124" s="163" t="s">
        <v>194</v>
      </c>
      <c r="C124" s="558">
        <f>'[56]Sch C'!D125</f>
        <v>0</v>
      </c>
      <c r="D124" s="558">
        <f>'[56]Sch C'!F125</f>
        <v>0</v>
      </c>
      <c r="E124" s="171">
        <f t="shared" si="33"/>
        <v>0</v>
      </c>
      <c r="F124" s="484"/>
      <c r="G124" s="171">
        <f>E124+F124</f>
        <v>0</v>
      </c>
      <c r="H124" s="172">
        <f>IF($G$208=0,0,G124/$G$208)</f>
        <v>0</v>
      </c>
      <c r="I124" s="336"/>
      <c r="J124" s="183">
        <v>0</v>
      </c>
      <c r="K124" s="183">
        <v>0</v>
      </c>
      <c r="M124" s="364">
        <f t="shared" si="34"/>
        <v>0</v>
      </c>
      <c r="N124" s="359">
        <f>SUMMARY!J127</f>
        <v>7.6528583695016472</v>
      </c>
      <c r="P124"/>
      <c r="Q124"/>
      <c r="Z124" s="183">
        <v>7324</v>
      </c>
      <c r="AA124" s="183">
        <v>7799</v>
      </c>
      <c r="AB124" s="486">
        <v>20604</v>
      </c>
      <c r="AC124" s="486">
        <v>22375</v>
      </c>
    </row>
    <row r="125" spans="1:29" s="167" customFormat="1">
      <c r="A125" s="163" t="s">
        <v>198</v>
      </c>
      <c r="B125" s="163" t="s">
        <v>195</v>
      </c>
      <c r="C125" s="558">
        <f>'[56]Sch C'!D126</f>
        <v>0</v>
      </c>
      <c r="D125" s="558">
        <f>'[56]Sch C'!F126</f>
        <v>0</v>
      </c>
      <c r="E125" s="171">
        <f t="shared" si="33"/>
        <v>0</v>
      </c>
      <c r="F125" s="484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  <c r="Z125" s="183">
        <v>0</v>
      </c>
      <c r="AA125" s="183">
        <v>0</v>
      </c>
      <c r="AB125" s="486">
        <v>0</v>
      </c>
      <c r="AC125" s="486">
        <v>0</v>
      </c>
    </row>
    <row r="126" spans="1:29" s="167" customFormat="1">
      <c r="A126" s="169"/>
      <c r="B126" s="163" t="s">
        <v>196</v>
      </c>
      <c r="C126" s="558">
        <f>'[56]Sch C'!D127</f>
        <v>0</v>
      </c>
      <c r="D126" s="558">
        <f>'[56]Sch C'!F127</f>
        <v>0</v>
      </c>
      <c r="E126" s="171">
        <f t="shared" si="33"/>
        <v>0</v>
      </c>
      <c r="F126" s="484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  <c r="Z126" s="183">
        <v>0</v>
      </c>
      <c r="AA126" s="183">
        <v>0</v>
      </c>
      <c r="AB126" s="486">
        <v>0</v>
      </c>
      <c r="AC126" s="486">
        <v>0</v>
      </c>
    </row>
    <row r="127" spans="1:29" s="167" customFormat="1">
      <c r="A127" s="169"/>
      <c r="B127" s="163" t="s">
        <v>197</v>
      </c>
      <c r="C127" s="558">
        <f>'[56]Sch C'!D128</f>
        <v>863512.55</v>
      </c>
      <c r="D127" s="558">
        <f>'[56]Sch C'!F128</f>
        <v>0</v>
      </c>
      <c r="E127" s="171">
        <f t="shared" si="33"/>
        <v>863512.55</v>
      </c>
      <c r="F127" s="484"/>
      <c r="G127" s="171">
        <f>E127+F127</f>
        <v>863512.55</v>
      </c>
      <c r="H127" s="172">
        <f>IF($G$208=0,0,G127/$G$208)</f>
        <v>6.4218628865560401E-2</v>
      </c>
      <c r="I127" s="336"/>
      <c r="J127" s="183">
        <v>22003.66</v>
      </c>
      <c r="K127" s="183">
        <v>29747.78</v>
      </c>
      <c r="M127" s="364">
        <f t="shared" si="34"/>
        <v>18.404325539760013</v>
      </c>
      <c r="N127" s="359">
        <f>SUMMARY!J130</f>
        <v>3.5158276990454227</v>
      </c>
      <c r="P127"/>
      <c r="Q127"/>
      <c r="Z127" s="183">
        <v>0</v>
      </c>
      <c r="AA127" s="183">
        <v>0</v>
      </c>
      <c r="AB127" s="486">
        <v>0</v>
      </c>
      <c r="AC127" s="486">
        <v>0</v>
      </c>
    </row>
    <row r="128" spans="1:29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  <c r="Z128" s="207"/>
      <c r="AA128" s="207"/>
      <c r="AB128" s="517"/>
      <c r="AC128" s="517"/>
    </row>
    <row r="129" spans="1:29" s="167" customFormat="1">
      <c r="A129" s="169"/>
      <c r="B129" s="163" t="s">
        <v>232</v>
      </c>
      <c r="C129" s="558">
        <f>'[56]Sch C'!D130</f>
        <v>0</v>
      </c>
      <c r="D129" s="558">
        <f>'[56]Sch C'!F130</f>
        <v>0</v>
      </c>
      <c r="E129" s="171">
        <f t="shared" ref="E129:E133" si="35">C129+D129</f>
        <v>0</v>
      </c>
      <c r="F129" s="484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  <c r="Z129" s="204"/>
      <c r="AA129" s="204"/>
      <c r="AB129" s="483"/>
      <c r="AC129" s="483"/>
    </row>
    <row r="130" spans="1:29" s="167" customFormat="1">
      <c r="A130" s="169"/>
      <c r="B130" s="163" t="s">
        <v>194</v>
      </c>
      <c r="C130" s="558">
        <f>'[56]Sch C'!D131</f>
        <v>0</v>
      </c>
      <c r="D130" s="558">
        <f>'[56]Sch C'!F131</f>
        <v>0</v>
      </c>
      <c r="E130" s="171">
        <f t="shared" si="35"/>
        <v>0</v>
      </c>
      <c r="F130" s="484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  <c r="Z130" s="204"/>
      <c r="AA130" s="204"/>
      <c r="AB130" s="483"/>
      <c r="AC130" s="483"/>
    </row>
    <row r="131" spans="1:29" s="167" customFormat="1">
      <c r="B131" s="163" t="s">
        <v>195</v>
      </c>
      <c r="C131" s="558">
        <f>'[56]Sch C'!D132</f>
        <v>0</v>
      </c>
      <c r="D131" s="558">
        <f>'[56]Sch C'!F132</f>
        <v>0</v>
      </c>
      <c r="E131" s="171">
        <f t="shared" si="35"/>
        <v>0</v>
      </c>
      <c r="F131" s="484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  <c r="Z131" s="168"/>
      <c r="AA131" s="168"/>
      <c r="AB131" s="513"/>
      <c r="AC131" s="513"/>
    </row>
    <row r="132" spans="1:29" s="167" customFormat="1">
      <c r="B132" s="163" t="s">
        <v>196</v>
      </c>
      <c r="C132" s="558">
        <f>'[56]Sch C'!D133</f>
        <v>0</v>
      </c>
      <c r="D132" s="558">
        <f>'[56]Sch C'!F133</f>
        <v>0</v>
      </c>
      <c r="E132" s="171">
        <f t="shared" si="35"/>
        <v>0</v>
      </c>
      <c r="F132" s="484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  <c r="Z132" s="168"/>
      <c r="AA132" s="168"/>
      <c r="AB132" s="513"/>
      <c r="AC132" s="513"/>
    </row>
    <row r="133" spans="1:29" s="167" customFormat="1">
      <c r="B133" s="163" t="s">
        <v>197</v>
      </c>
      <c r="C133" s="558">
        <f>'[56]Sch C'!D134</f>
        <v>134910.03</v>
      </c>
      <c r="D133" s="558">
        <f>'[56]Sch C'!F134</f>
        <v>0</v>
      </c>
      <c r="E133" s="171">
        <f t="shared" si="35"/>
        <v>134910.03</v>
      </c>
      <c r="F133" s="484"/>
      <c r="G133" s="171">
        <f>E133+F133</f>
        <v>134910.03</v>
      </c>
      <c r="H133" s="172">
        <f>IF($G$208=0,0,G133/$G$208)</f>
        <v>1.0033134025454082E-2</v>
      </c>
      <c r="I133" s="336"/>
      <c r="J133" s="168"/>
      <c r="K133" s="168"/>
      <c r="M133" s="364">
        <f t="shared" si="34"/>
        <v>2.8753816151239371</v>
      </c>
      <c r="N133" s="359">
        <f>SUMMARY!J136</f>
        <v>0.68147708722106659</v>
      </c>
      <c r="P133"/>
      <c r="Q133"/>
      <c r="Z133" s="168"/>
      <c r="AA133" s="168"/>
      <c r="AB133" s="513"/>
      <c r="AC133" s="513"/>
    </row>
    <row r="134" spans="1:29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  <c r="Z134" s="204"/>
      <c r="AA134" s="204"/>
      <c r="AB134" s="483"/>
      <c r="AC134" s="483"/>
    </row>
    <row r="135" spans="1:29" s="167" customFormat="1">
      <c r="A135" s="169"/>
      <c r="B135" s="163" t="s">
        <v>194</v>
      </c>
      <c r="C135" s="558">
        <f>'[56]Sch C'!D136</f>
        <v>1021540.41</v>
      </c>
      <c r="D135" s="558">
        <f>'[56]Sch C'!F136</f>
        <v>0</v>
      </c>
      <c r="E135" s="171">
        <f t="shared" ref="E135:E138" si="36">C135+D135</f>
        <v>1021540.41</v>
      </c>
      <c r="F135" s="484"/>
      <c r="G135" s="171">
        <f>E135+F135</f>
        <v>1021540.41</v>
      </c>
      <c r="H135" s="172">
        <f>IF($G$208=0,0,G135/$G$208)</f>
        <v>7.597101450460958E-2</v>
      </c>
      <c r="I135" s="336"/>
      <c r="J135" s="183">
        <v>29468.14</v>
      </c>
      <c r="K135" s="183">
        <v>31495.87</v>
      </c>
      <c r="M135" s="364">
        <f t="shared" si="34"/>
        <v>21.77242503037149</v>
      </c>
      <c r="N135" s="359">
        <f>SUMMARY!J138</f>
        <v>22.831883555057285</v>
      </c>
      <c r="P135"/>
      <c r="Q135"/>
      <c r="Z135" s="183">
        <v>9954</v>
      </c>
      <c r="AA135" s="183">
        <v>10678</v>
      </c>
      <c r="AB135" s="486">
        <v>28226.21</v>
      </c>
      <c r="AC135" s="486">
        <v>29083</v>
      </c>
    </row>
    <row r="136" spans="1:29" s="167" customFormat="1">
      <c r="A136" s="169"/>
      <c r="B136" s="163" t="s">
        <v>195</v>
      </c>
      <c r="C136" s="558">
        <f>'[56]Sch C'!D137</f>
        <v>601756.56000000006</v>
      </c>
      <c r="D136" s="558">
        <f>'[56]Sch C'!F137</f>
        <v>0</v>
      </c>
      <c r="E136" s="171">
        <f t="shared" si="36"/>
        <v>601756.56000000006</v>
      </c>
      <c r="F136" s="484"/>
      <c r="G136" s="171">
        <f>E136+F136</f>
        <v>601756.56000000006</v>
      </c>
      <c r="H136" s="172">
        <f>IF($G$208=0,0,G136/$G$208)</f>
        <v>4.4752078234481171E-2</v>
      </c>
      <c r="I136" s="336"/>
      <c r="J136" s="183">
        <v>26107.599999999999</v>
      </c>
      <c r="K136" s="183">
        <v>26454.44</v>
      </c>
      <c r="M136" s="364">
        <f t="shared" si="34"/>
        <v>12.825434472175452</v>
      </c>
      <c r="N136" s="359">
        <f>SUMMARY!J139</f>
        <v>12.148107264801752</v>
      </c>
      <c r="P136"/>
      <c r="Q136"/>
      <c r="Z136" s="183">
        <v>3718</v>
      </c>
      <c r="AA136" s="183">
        <v>3754</v>
      </c>
      <c r="AB136" s="486">
        <v>10703</v>
      </c>
      <c r="AC136" s="486">
        <v>10902</v>
      </c>
    </row>
    <row r="137" spans="1:29" s="167" customFormat="1">
      <c r="A137" s="169"/>
      <c r="B137" s="163" t="s">
        <v>196</v>
      </c>
      <c r="C137" s="558">
        <f>'[56]Sch C'!D138</f>
        <v>1632992.79</v>
      </c>
      <c r="D137" s="558">
        <f>'[56]Sch C'!F138</f>
        <v>0</v>
      </c>
      <c r="E137" s="171">
        <f t="shared" si="36"/>
        <v>1632992.79</v>
      </c>
      <c r="F137" s="484"/>
      <c r="G137" s="171">
        <f>E137+F137</f>
        <v>1632992.79</v>
      </c>
      <c r="H137" s="172">
        <f>IF($G$208=0,0,G137/$G$208)</f>
        <v>0.12144416189567368</v>
      </c>
      <c r="I137" s="336"/>
      <c r="J137" s="183">
        <v>103318.38</v>
      </c>
      <c r="K137" s="183">
        <v>107033.84</v>
      </c>
      <c r="M137" s="364">
        <f t="shared" si="34"/>
        <v>34.804509686907224</v>
      </c>
      <c r="N137" s="359">
        <f>SUMMARY!J140</f>
        <v>29.755103028612584</v>
      </c>
      <c r="P137"/>
      <c r="Q137"/>
      <c r="Z137" s="183">
        <v>27478</v>
      </c>
      <c r="AA137" s="183">
        <v>28370</v>
      </c>
      <c r="AB137" s="486">
        <v>72439.23</v>
      </c>
      <c r="AC137" s="486">
        <v>74134</v>
      </c>
    </row>
    <row r="138" spans="1:29" s="167" customFormat="1">
      <c r="A138" s="169"/>
      <c r="B138" s="163" t="s">
        <v>197</v>
      </c>
      <c r="C138" s="558">
        <f>'[56]Sch C'!D139</f>
        <v>428775.26</v>
      </c>
      <c r="D138" s="558">
        <f>'[56]Sch C'!F139</f>
        <v>0</v>
      </c>
      <c r="E138" s="171">
        <f t="shared" si="36"/>
        <v>428775.26</v>
      </c>
      <c r="F138" s="484"/>
      <c r="G138" s="171">
        <f>E138+F138</f>
        <v>428775.26</v>
      </c>
      <c r="H138" s="172">
        <f>IF($G$208=0,0,G138/$G$208)</f>
        <v>3.1887619107185142E-2</v>
      </c>
      <c r="I138" s="336"/>
      <c r="J138" s="183">
        <v>14039.29</v>
      </c>
      <c r="K138" s="183">
        <v>16696.45</v>
      </c>
      <c r="M138" s="364">
        <f t="shared" si="34"/>
        <v>9.138627421726806</v>
      </c>
      <c r="N138" s="359">
        <f>SUMMARY!J141</f>
        <v>2.6137536270315449</v>
      </c>
      <c r="P138"/>
      <c r="Q138"/>
      <c r="Z138" s="183">
        <v>10372</v>
      </c>
      <c r="AA138" s="183">
        <v>10574</v>
      </c>
      <c r="AB138" s="486">
        <v>29461</v>
      </c>
      <c r="AC138" s="486">
        <v>30441</v>
      </c>
    </row>
    <row r="139" spans="1:29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  <c r="Z139" s="404"/>
      <c r="AA139" s="404"/>
      <c r="AB139" s="518"/>
      <c r="AC139" s="518"/>
    </row>
    <row r="140" spans="1:29" s="167" customFormat="1">
      <c r="A140" s="169"/>
      <c r="B140" s="163" t="s">
        <v>194</v>
      </c>
      <c r="C140" s="558">
        <f>'[56]Sch C'!D141</f>
        <v>142952.94</v>
      </c>
      <c r="D140" s="558">
        <f>'[56]Sch C'!F141</f>
        <v>0</v>
      </c>
      <c r="E140" s="171">
        <f t="shared" ref="E140:E143" si="37">C140+D140</f>
        <v>142952.94</v>
      </c>
      <c r="F140" s="484"/>
      <c r="G140" s="171">
        <f>E140+F140</f>
        <v>142952.94</v>
      </c>
      <c r="H140" s="172">
        <f>IF($G$208=0,0,G140/$G$208)</f>
        <v>1.0631277795673872E-2</v>
      </c>
      <c r="I140" s="336"/>
      <c r="J140" s="168"/>
      <c r="K140" s="168"/>
      <c r="M140" s="364">
        <f t="shared" si="34"/>
        <v>3.0468027877832009</v>
      </c>
      <c r="N140" s="359">
        <f>SUMMARY!J143</f>
        <v>4.2102596407658526</v>
      </c>
      <c r="P140"/>
      <c r="Q140"/>
      <c r="Z140" s="168"/>
      <c r="AA140" s="168"/>
      <c r="AB140" s="513"/>
      <c r="AC140" s="513"/>
    </row>
    <row r="141" spans="1:29" s="167" customFormat="1">
      <c r="A141" s="169"/>
      <c r="B141" s="163" t="s">
        <v>195</v>
      </c>
      <c r="C141" s="558">
        <f>'[56]Sch C'!D142</f>
        <v>86792.86</v>
      </c>
      <c r="D141" s="558">
        <f>'[56]Sch C'!F142</f>
        <v>0</v>
      </c>
      <c r="E141" s="171">
        <f t="shared" si="37"/>
        <v>86792.86</v>
      </c>
      <c r="F141" s="484"/>
      <c r="G141" s="171">
        <f>E141+F141</f>
        <v>86792.86</v>
      </c>
      <c r="H141" s="172">
        <f>IF($G$208=0,0,G141/$G$208)</f>
        <v>6.4547046415486869E-3</v>
      </c>
      <c r="I141" s="336"/>
      <c r="J141" s="168"/>
      <c r="K141" s="168"/>
      <c r="M141" s="364">
        <f t="shared" si="34"/>
        <v>1.8498446258445407</v>
      </c>
      <c r="N141" s="359">
        <f>SUMMARY!J144</f>
        <v>2.2256603513522144</v>
      </c>
      <c r="P141"/>
      <c r="Q141"/>
      <c r="Z141" s="168"/>
      <c r="AA141" s="168"/>
      <c r="AB141" s="513"/>
      <c r="AC141" s="513"/>
    </row>
    <row r="142" spans="1:29" s="167" customFormat="1">
      <c r="A142" s="169"/>
      <c r="B142" s="163" t="s">
        <v>196</v>
      </c>
      <c r="C142" s="558">
        <f>'[56]Sch C'!D143</f>
        <v>229745.8</v>
      </c>
      <c r="D142" s="558">
        <f>'[56]Sch C'!F143</f>
        <v>0</v>
      </c>
      <c r="E142" s="171">
        <f t="shared" si="37"/>
        <v>229745.8</v>
      </c>
      <c r="F142" s="484"/>
      <c r="G142" s="171">
        <f>E142+F142</f>
        <v>229745.8</v>
      </c>
      <c r="H142" s="172">
        <f>IF($G$208=0,0,G142/$G$208)</f>
        <v>1.708598243722256E-2</v>
      </c>
      <c r="I142" s="336"/>
      <c r="J142" s="168"/>
      <c r="K142" s="168"/>
      <c r="M142" s="364">
        <f t="shared" si="34"/>
        <v>4.8966474136277416</v>
      </c>
      <c r="N142" s="359">
        <f>SUMMARY!J145</f>
        <v>5.5063490246705751</v>
      </c>
      <c r="P142"/>
      <c r="Q142"/>
      <c r="Z142" s="168"/>
      <c r="AA142" s="168"/>
      <c r="AB142" s="513"/>
      <c r="AC142" s="513"/>
    </row>
    <row r="143" spans="1:29" s="167" customFormat="1">
      <c r="A143" s="169"/>
      <c r="B143" s="163" t="s">
        <v>197</v>
      </c>
      <c r="C143" s="558">
        <f>'[56]Sch C'!D144</f>
        <v>61891.03</v>
      </c>
      <c r="D143" s="558">
        <f>'[56]Sch C'!F144</f>
        <v>0</v>
      </c>
      <c r="E143" s="171">
        <f t="shared" si="37"/>
        <v>61891.03</v>
      </c>
      <c r="F143" s="484"/>
      <c r="G143" s="171">
        <f>E143+F143</f>
        <v>61891.03</v>
      </c>
      <c r="H143" s="172">
        <f>IF($G$208=0,0,G143/$G$208)</f>
        <v>4.6027785996593388E-3</v>
      </c>
      <c r="I143" s="336"/>
      <c r="J143" s="168"/>
      <c r="K143" s="168"/>
      <c r="M143" s="364">
        <f t="shared" si="34"/>
        <v>1.3191037745902512</v>
      </c>
      <c r="N143" s="359">
        <f>SUMMARY!J146</f>
        <v>0.55064368222190041</v>
      </c>
      <c r="P143"/>
      <c r="Q143"/>
      <c r="Z143" s="168"/>
      <c r="AA143" s="168"/>
      <c r="AB143" s="513"/>
      <c r="AC143" s="513"/>
    </row>
    <row r="144" spans="1:29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  <c r="Z144" s="204"/>
      <c r="AA144" s="204"/>
      <c r="AB144" s="483"/>
      <c r="AC144" s="483"/>
    </row>
    <row r="145" spans="1:29" s="167" customFormat="1">
      <c r="A145" s="169"/>
      <c r="B145" s="163" t="s">
        <v>232</v>
      </c>
      <c r="C145" s="558">
        <f>'[56]Sch C'!D146</f>
        <v>84000</v>
      </c>
      <c r="D145" s="558">
        <f>'[56]Sch C'!F146</f>
        <v>0</v>
      </c>
      <c r="E145" s="171">
        <f t="shared" ref="E145:E153" si="38">C145+D145</f>
        <v>84000</v>
      </c>
      <c r="F145" s="484"/>
      <c r="G145" s="171">
        <f t="shared" ref="G145:G153" si="39">E145+F145</f>
        <v>84000</v>
      </c>
      <c r="H145" s="172">
        <f t="shared" ref="H145:H153" si="40">IF($G$208=0,0,G145/$G$208)</f>
        <v>6.2470022291014459E-3</v>
      </c>
      <c r="I145" s="336"/>
      <c r="J145" s="183">
        <v>0</v>
      </c>
      <c r="K145" s="183">
        <v>0</v>
      </c>
      <c r="M145" s="364">
        <f t="shared" si="34"/>
        <v>1.7903194867750805</v>
      </c>
      <c r="N145" s="359">
        <f>SUMMARY!J148</f>
        <v>1.6451259729597054</v>
      </c>
      <c r="P145"/>
      <c r="Q145"/>
      <c r="Z145" s="183">
        <v>0</v>
      </c>
      <c r="AA145" s="183">
        <v>0</v>
      </c>
      <c r="AB145" s="486">
        <v>0</v>
      </c>
      <c r="AC145" s="486">
        <v>0</v>
      </c>
    </row>
    <row r="146" spans="1:29" s="167" customFormat="1">
      <c r="A146" s="169"/>
      <c r="B146" s="163" t="s">
        <v>194</v>
      </c>
      <c r="C146" s="558">
        <f>'[56]Sch C'!D147</f>
        <v>18388.25</v>
      </c>
      <c r="D146" s="558">
        <f>'[56]Sch C'!F147</f>
        <v>0</v>
      </c>
      <c r="E146" s="171">
        <f t="shared" si="38"/>
        <v>18388.25</v>
      </c>
      <c r="F146" s="484"/>
      <c r="G146" s="171">
        <f t="shared" si="39"/>
        <v>18388.25</v>
      </c>
      <c r="H146" s="172">
        <f t="shared" si="40"/>
        <v>1.367517127848508E-3</v>
      </c>
      <c r="I146" s="336"/>
      <c r="J146" s="183">
        <v>0</v>
      </c>
      <c r="K146" s="183">
        <v>0</v>
      </c>
      <c r="M146" s="364">
        <f t="shared" si="34"/>
        <v>0.39191478931776041</v>
      </c>
      <c r="N146" s="359">
        <f>SUMMARY!J149</f>
        <v>0.46540336428082985</v>
      </c>
      <c r="P146"/>
      <c r="Q146"/>
      <c r="Z146" s="183">
        <v>0</v>
      </c>
      <c r="AA146" s="183">
        <v>0</v>
      </c>
      <c r="AB146" s="486">
        <v>0</v>
      </c>
      <c r="AC146" s="486">
        <v>0</v>
      </c>
    </row>
    <row r="147" spans="1:29" s="167" customFormat="1">
      <c r="A147" s="169"/>
      <c r="B147" s="163" t="s">
        <v>195</v>
      </c>
      <c r="C147" s="558">
        <f>'[56]Sch C'!D148</f>
        <v>2560.19</v>
      </c>
      <c r="D147" s="558">
        <f>'[56]Sch C'!F148</f>
        <v>0</v>
      </c>
      <c r="E147" s="171">
        <f t="shared" si="38"/>
        <v>2560.19</v>
      </c>
      <c r="F147" s="484"/>
      <c r="G147" s="171">
        <f t="shared" si="39"/>
        <v>2560.19</v>
      </c>
      <c r="H147" s="172">
        <f t="shared" si="40"/>
        <v>1.903989599633718E-4</v>
      </c>
      <c r="I147" s="336"/>
      <c r="J147" s="183">
        <v>0</v>
      </c>
      <c r="K147" s="183">
        <v>0</v>
      </c>
      <c r="M147" s="364">
        <f t="shared" si="34"/>
        <v>5.45661672243654E-2</v>
      </c>
      <c r="N147" s="359">
        <f>SUMMARY!J150</f>
        <v>0.21006426087323665</v>
      </c>
      <c r="P147"/>
      <c r="Q147"/>
      <c r="Z147" s="183">
        <v>0</v>
      </c>
      <c r="AA147" s="183">
        <v>0</v>
      </c>
      <c r="AB147" s="486">
        <v>0</v>
      </c>
      <c r="AC147" s="486">
        <v>0</v>
      </c>
    </row>
    <row r="148" spans="1:29" s="167" customFormat="1">
      <c r="A148" s="169"/>
      <c r="B148" s="163" t="s">
        <v>196</v>
      </c>
      <c r="C148" s="558">
        <f>'[56]Sch C'!D149</f>
        <v>3080.43</v>
      </c>
      <c r="D148" s="558">
        <f>'[56]Sch C'!F149</f>
        <v>0</v>
      </c>
      <c r="E148" s="171">
        <f t="shared" si="38"/>
        <v>3080.43</v>
      </c>
      <c r="F148" s="484"/>
      <c r="G148" s="171">
        <f t="shared" si="39"/>
        <v>3080.43</v>
      </c>
      <c r="H148" s="172">
        <f t="shared" si="40"/>
        <v>2.290887271022734E-4</v>
      </c>
      <c r="I148" s="336"/>
      <c r="J148" s="183">
        <v>0</v>
      </c>
      <c r="K148" s="183">
        <v>0</v>
      </c>
      <c r="M148" s="364">
        <f t="shared" si="34"/>
        <v>6.5654212579125723E-2</v>
      </c>
      <c r="N148" s="359">
        <f>SUMMARY!J151</f>
        <v>0.30946371189888716</v>
      </c>
      <c r="P148"/>
      <c r="Q148"/>
      <c r="Z148" s="183">
        <v>0</v>
      </c>
      <c r="AA148" s="183">
        <v>0</v>
      </c>
      <c r="AB148" s="486">
        <v>0</v>
      </c>
      <c r="AC148" s="486">
        <v>0</v>
      </c>
    </row>
    <row r="149" spans="1:29" s="167" customFormat="1">
      <c r="A149" s="169"/>
      <c r="B149" s="163" t="s">
        <v>197</v>
      </c>
      <c r="C149" s="558">
        <f>'[56]Sch C'!D150</f>
        <v>15410</v>
      </c>
      <c r="D149" s="558">
        <f>'[56]Sch C'!F150</f>
        <v>0</v>
      </c>
      <c r="E149" s="171">
        <f t="shared" si="38"/>
        <v>15410</v>
      </c>
      <c r="F149" s="484"/>
      <c r="G149" s="171">
        <f t="shared" si="39"/>
        <v>15410</v>
      </c>
      <c r="H149" s="172">
        <f t="shared" si="40"/>
        <v>1.1460274327434914E-3</v>
      </c>
      <c r="I149" s="336"/>
      <c r="J149" s="183">
        <v>0</v>
      </c>
      <c r="K149" s="183">
        <v>0</v>
      </c>
      <c r="M149" s="364">
        <f t="shared" si="34"/>
        <v>0.32843837251433322</v>
      </c>
      <c r="N149" s="359">
        <f>SUMMARY!J152</f>
        <v>0.63962211863516594</v>
      </c>
      <c r="P149"/>
      <c r="Q149"/>
      <c r="Z149" s="183">
        <v>0</v>
      </c>
      <c r="AA149" s="183">
        <v>0</v>
      </c>
      <c r="AB149" s="486">
        <v>0</v>
      </c>
      <c r="AC149" s="486">
        <v>0</v>
      </c>
    </row>
    <row r="150" spans="1:29" s="167" customFormat="1">
      <c r="A150" s="169">
        <v>110</v>
      </c>
      <c r="B150" s="167" t="s">
        <v>65</v>
      </c>
      <c r="C150" s="558">
        <f>'[56]Sch C'!D151</f>
        <v>448362.66</v>
      </c>
      <c r="D150" s="558">
        <f>'[56]Sch C'!F151</f>
        <v>0</v>
      </c>
      <c r="E150" s="171">
        <f t="shared" si="38"/>
        <v>448362.66</v>
      </c>
      <c r="F150" s="484"/>
      <c r="G150" s="171">
        <f t="shared" si="39"/>
        <v>448362.66</v>
      </c>
      <c r="H150" s="172">
        <f t="shared" si="40"/>
        <v>3.334431591030778E-2</v>
      </c>
      <c r="I150" s="336"/>
      <c r="J150" s="168"/>
      <c r="K150" s="168"/>
      <c r="M150" s="364">
        <f t="shared" si="34"/>
        <v>9.5561000873846407</v>
      </c>
      <c r="N150" s="359">
        <f>SUMMARY!J153</f>
        <v>5.6321022575023187</v>
      </c>
      <c r="P150"/>
      <c r="Q150"/>
      <c r="Z150" s="168"/>
      <c r="AA150" s="168"/>
      <c r="AB150" s="513"/>
      <c r="AC150" s="513"/>
    </row>
    <row r="151" spans="1:29" s="167" customFormat="1">
      <c r="A151" s="169">
        <v>111</v>
      </c>
      <c r="B151" s="170" t="s">
        <v>97</v>
      </c>
      <c r="C151" s="558">
        <f>'[56]Sch C'!D152</f>
        <v>3988.27</v>
      </c>
      <c r="D151" s="558">
        <f>'[56]Sch C'!F152</f>
        <v>0</v>
      </c>
      <c r="E151" s="171">
        <f t="shared" si="38"/>
        <v>3988.27</v>
      </c>
      <c r="F151" s="484"/>
      <c r="G151" s="171">
        <f t="shared" si="39"/>
        <v>3988.27</v>
      </c>
      <c r="H151" s="172">
        <f t="shared" si="40"/>
        <v>2.9660394738402886E-4</v>
      </c>
      <c r="I151" s="336"/>
      <c r="J151" s="168"/>
      <c r="K151" s="168"/>
      <c r="M151" s="364">
        <f t="shared" si="34"/>
        <v>8.500330356571964E-2</v>
      </c>
      <c r="N151" s="359">
        <f>SUMMARY!J154</f>
        <v>0.34937544615199928</v>
      </c>
      <c r="P151"/>
      <c r="Q151"/>
      <c r="Z151" s="168"/>
      <c r="AA151" s="168"/>
      <c r="AB151" s="513"/>
      <c r="AC151" s="513"/>
    </row>
    <row r="152" spans="1:29" s="167" customFormat="1">
      <c r="A152" s="169">
        <v>230</v>
      </c>
      <c r="B152" s="170" t="s">
        <v>66</v>
      </c>
      <c r="C152" s="558">
        <f>'[56]Sch C'!D153</f>
        <v>3414.6</v>
      </c>
      <c r="D152" s="558">
        <f>'[56]Sch C'!F153</f>
        <v>0</v>
      </c>
      <c r="E152" s="171">
        <f t="shared" si="38"/>
        <v>3414.6</v>
      </c>
      <c r="F152" s="484"/>
      <c r="G152" s="171">
        <f t="shared" si="39"/>
        <v>3414.6</v>
      </c>
      <c r="H152" s="172">
        <f t="shared" si="40"/>
        <v>2.5394064061297377E-4</v>
      </c>
      <c r="I152" s="336"/>
      <c r="J152" s="168"/>
      <c r="K152" s="168"/>
      <c r="M152" s="364">
        <f t="shared" si="34"/>
        <v>7.2776487137407017E-2</v>
      </c>
      <c r="N152" s="359">
        <f>SUMMARY!J155</f>
        <v>0.16440170079037233</v>
      </c>
      <c r="P152"/>
      <c r="Q152"/>
      <c r="Z152" s="168"/>
      <c r="AA152" s="168"/>
      <c r="AB152" s="513"/>
      <c r="AC152" s="513"/>
    </row>
    <row r="153" spans="1:29" s="167" customFormat="1">
      <c r="A153" s="169">
        <v>430</v>
      </c>
      <c r="B153" s="170" t="s">
        <v>99</v>
      </c>
      <c r="C153" s="558">
        <f>'[56]Sch C'!D154</f>
        <v>-300</v>
      </c>
      <c r="D153" s="558">
        <f>'[56]Sch C'!F154</f>
        <v>0</v>
      </c>
      <c r="E153" s="171">
        <f t="shared" si="38"/>
        <v>-300</v>
      </c>
      <c r="F153" s="484"/>
      <c r="G153" s="171">
        <f t="shared" si="39"/>
        <v>-300</v>
      </c>
      <c r="H153" s="172">
        <f t="shared" si="40"/>
        <v>-2.2310722246790879E-5</v>
      </c>
      <c r="I153" s="336"/>
      <c r="J153" s="168"/>
      <c r="K153" s="168"/>
      <c r="M153" s="364">
        <f t="shared" si="34"/>
        <v>-6.3939981670538592E-3</v>
      </c>
      <c r="N153" s="359">
        <f>SUMMARY!J156</f>
        <v>0.93843811429637136</v>
      </c>
      <c r="P153"/>
      <c r="Q153"/>
      <c r="Z153" s="168"/>
      <c r="AA153" s="168"/>
      <c r="AB153" s="513"/>
      <c r="AC153" s="513"/>
    </row>
    <row r="154" spans="1:29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  <c r="Z154" s="168"/>
      <c r="AA154" s="168"/>
      <c r="AB154" s="513"/>
      <c r="AC154" s="513"/>
    </row>
    <row r="155" spans="1:29" s="167" customFormat="1">
      <c r="A155" s="169">
        <v>440.1</v>
      </c>
      <c r="B155" s="163" t="s">
        <v>223</v>
      </c>
      <c r="C155" s="558">
        <f>'[56]Sch C'!D156</f>
        <v>0</v>
      </c>
      <c r="D155" s="558">
        <f>'[56]Sch C'!F156</f>
        <v>0</v>
      </c>
      <c r="E155" s="171">
        <f t="shared" ref="E155:E160" si="41">C155+D155</f>
        <v>0</v>
      </c>
      <c r="F155" s="484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  <c r="Z155" s="168"/>
      <c r="AA155" s="168"/>
      <c r="AB155" s="513"/>
      <c r="AC155" s="513"/>
    </row>
    <row r="156" spans="1:29" s="167" customFormat="1">
      <c r="A156" s="169">
        <v>440.2</v>
      </c>
      <c r="B156" s="163" t="s">
        <v>224</v>
      </c>
      <c r="C156" s="558">
        <f>'[56]Sch C'!D157</f>
        <v>0</v>
      </c>
      <c r="D156" s="558">
        <f>'[56]Sch C'!F157</f>
        <v>0</v>
      </c>
      <c r="E156" s="171">
        <f t="shared" si="41"/>
        <v>0</v>
      </c>
      <c r="F156" s="484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  <c r="Z156" s="168"/>
      <c r="AA156" s="168"/>
      <c r="AB156" s="513"/>
      <c r="AC156" s="513"/>
    </row>
    <row r="157" spans="1:29" s="167" customFormat="1">
      <c r="A157" s="169">
        <v>440.3</v>
      </c>
      <c r="B157" s="163" t="s">
        <v>225</v>
      </c>
      <c r="C157" s="558">
        <f>'[56]Sch C'!D158</f>
        <v>0</v>
      </c>
      <c r="D157" s="558">
        <f>'[56]Sch C'!F158</f>
        <v>0</v>
      </c>
      <c r="E157" s="171">
        <f t="shared" si="41"/>
        <v>0</v>
      </c>
      <c r="F157" s="484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  <c r="Z157" s="168"/>
      <c r="AA157" s="168"/>
      <c r="AB157" s="513"/>
      <c r="AC157" s="513"/>
    </row>
    <row r="158" spans="1:29" s="167" customFormat="1">
      <c r="A158" s="169">
        <v>440.4</v>
      </c>
      <c r="B158" s="163" t="s">
        <v>226</v>
      </c>
      <c r="C158" s="558">
        <f>'[56]Sch C'!D159</f>
        <v>0</v>
      </c>
      <c r="D158" s="558">
        <f>'[56]Sch C'!F159</f>
        <v>0</v>
      </c>
      <c r="E158" s="171">
        <f t="shared" si="41"/>
        <v>0</v>
      </c>
      <c r="F158" s="484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  <c r="Z158" s="168"/>
      <c r="AA158" s="168"/>
      <c r="AB158" s="513"/>
      <c r="AC158" s="513"/>
    </row>
    <row r="159" spans="1:29" s="167" customFormat="1">
      <c r="A159" s="169">
        <v>440.5</v>
      </c>
      <c r="B159" s="163" t="s">
        <v>301</v>
      </c>
      <c r="C159" s="558">
        <f>'[56]Sch C'!D160</f>
        <v>8086.76</v>
      </c>
      <c r="D159" s="558">
        <f>'[56]Sch C'!F160</f>
        <v>0</v>
      </c>
      <c r="E159" s="171">
        <f t="shared" si="41"/>
        <v>8086.76</v>
      </c>
      <c r="F159" s="484"/>
      <c r="G159" s="171">
        <f t="shared" si="42"/>
        <v>8086.76</v>
      </c>
      <c r="H159" s="172">
        <f>IF($G$208=0,0,G159/$G$208)</f>
        <v>6.0140485412152865E-4</v>
      </c>
      <c r="I159" s="336"/>
      <c r="J159" s="168"/>
      <c r="K159" s="168"/>
      <c r="M159" s="364">
        <f t="shared" si="34"/>
        <v>0.17235576205801489</v>
      </c>
      <c r="N159" s="359">
        <f>SUMMARY!J162</f>
        <v>1.6643468549097623E-2</v>
      </c>
      <c r="P159"/>
      <c r="Q159"/>
      <c r="Z159" s="168"/>
      <c r="AA159" s="168"/>
      <c r="AB159" s="513"/>
      <c r="AC159" s="513"/>
    </row>
    <row r="160" spans="1:29" s="167" customFormat="1">
      <c r="A160" s="169">
        <v>490</v>
      </c>
      <c r="B160" s="202" t="s">
        <v>315</v>
      </c>
      <c r="C160" s="558">
        <f>'[56]Sch C'!D161</f>
        <v>60099.93</v>
      </c>
      <c r="D160" s="558">
        <f>'[56]Sch C'!F161</f>
        <v>0</v>
      </c>
      <c r="E160" s="171">
        <f t="shared" si="41"/>
        <v>60099.93</v>
      </c>
      <c r="F160" s="484"/>
      <c r="G160" s="171">
        <f t="shared" si="42"/>
        <v>60099.93</v>
      </c>
      <c r="H160" s="172">
        <f t="shared" si="43"/>
        <v>4.4695761509385814E-3</v>
      </c>
      <c r="I160" s="336"/>
      <c r="J160" s="168"/>
      <c r="K160" s="168"/>
      <c r="M160" s="364">
        <f t="shared" si="34"/>
        <v>1.2809294742002173</v>
      </c>
      <c r="N160" s="359">
        <f>SUMMARY!J163</f>
        <v>0.85264911391265397</v>
      </c>
      <c r="P160"/>
      <c r="Q160"/>
      <c r="Z160" s="168"/>
      <c r="AA160" s="168"/>
      <c r="AB160" s="513"/>
      <c r="AC160" s="513"/>
    </row>
    <row r="161" spans="1:29" s="167" customFormat="1">
      <c r="A161" s="169"/>
      <c r="B161" s="170" t="s">
        <v>233</v>
      </c>
      <c r="C161" s="558">
        <f>SUM(C123:C160)</f>
        <v>5851961.3199999994</v>
      </c>
      <c r="D161" s="558">
        <f>SUM(D123:D160)</f>
        <v>0</v>
      </c>
      <c r="E161" s="171">
        <f t="shared" ref="E161:F161" si="44">SUM(E123:E160)</f>
        <v>5851961.3199999994</v>
      </c>
      <c r="F161" s="171">
        <f t="shared" si="44"/>
        <v>0</v>
      </c>
      <c r="G161" s="171">
        <f>SUM(G123:G160)</f>
        <v>5851961.3199999994</v>
      </c>
      <c r="H161" s="172">
        <f t="shared" si="43"/>
        <v>0.43520494536494569</v>
      </c>
      <c r="I161" s="336"/>
      <c r="J161" s="168"/>
      <c r="K161" s="168"/>
      <c r="M161" s="364">
        <f>G161/G$228</f>
        <v>124.72476651250025</v>
      </c>
      <c r="N161" s="359">
        <f>SUMMARY!J164</f>
        <v>105.56901037202306</v>
      </c>
      <c r="O161" s="354">
        <f>M161/N161-1</f>
        <v>0.18145245534624888</v>
      </c>
      <c r="P161"/>
      <c r="Q161"/>
      <c r="Z161" s="168"/>
      <c r="AA161" s="168"/>
      <c r="AB161" s="513"/>
      <c r="AC161" s="513"/>
    </row>
    <row r="162" spans="1:29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  <c r="Z162" s="168"/>
      <c r="AA162" s="168"/>
      <c r="AB162" s="513"/>
      <c r="AC162" s="513"/>
    </row>
    <row r="163" spans="1:29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  <c r="Z163" s="168"/>
      <c r="AA163" s="168"/>
      <c r="AB163" s="513"/>
      <c r="AC163" s="513"/>
    </row>
    <row r="164" spans="1:29" s="221" customFormat="1">
      <c r="A164" s="215" t="s">
        <v>95</v>
      </c>
      <c r="B164" s="148" t="s">
        <v>102</v>
      </c>
      <c r="C164" s="558">
        <f>'[56]Sch C'!D175</f>
        <v>0</v>
      </c>
      <c r="D164" s="558">
        <f>'[56]Sch C'!F175</f>
        <v>0</v>
      </c>
      <c r="E164" s="171">
        <f t="shared" ref="E164:E196" si="45">C164+D164</f>
        <v>0</v>
      </c>
      <c r="F164" s="484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  <c r="Z164" s="217">
        <v>0</v>
      </c>
      <c r="AA164" s="217">
        <v>0</v>
      </c>
      <c r="AB164" s="486">
        <v>0</v>
      </c>
      <c r="AC164" s="486">
        <v>0</v>
      </c>
    </row>
    <row r="165" spans="1:29" s="221" customFormat="1">
      <c r="A165" s="215" t="s">
        <v>123</v>
      </c>
      <c r="B165" s="148" t="s">
        <v>103</v>
      </c>
      <c r="C165" s="558">
        <f>'[56]Sch C'!D176</f>
        <v>0</v>
      </c>
      <c r="D165" s="558">
        <f>'[56]Sch C'!F176</f>
        <v>0</v>
      </c>
      <c r="E165" s="171">
        <f t="shared" si="45"/>
        <v>0</v>
      </c>
      <c r="F165" s="484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  <c r="Z165" s="222"/>
      <c r="AA165" s="222"/>
      <c r="AB165" s="519"/>
      <c r="AC165" s="519"/>
    </row>
    <row r="166" spans="1:29" s="221" customFormat="1">
      <c r="A166" s="215" t="s">
        <v>124</v>
      </c>
      <c r="B166" s="148" t="s">
        <v>104</v>
      </c>
      <c r="C166" s="558">
        <f>'[56]Sch C'!D177</f>
        <v>0</v>
      </c>
      <c r="D166" s="558">
        <f>'[56]Sch C'!F177</f>
        <v>0</v>
      </c>
      <c r="E166" s="171">
        <f t="shared" si="45"/>
        <v>0</v>
      </c>
      <c r="F166" s="484"/>
      <c r="G166" s="171">
        <f t="shared" si="46"/>
        <v>0</v>
      </c>
      <c r="H166" s="172">
        <f t="shared" si="47"/>
        <v>0</v>
      </c>
      <c r="I166" s="342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  <c r="Z166" s="217">
        <v>0</v>
      </c>
      <c r="AA166" s="217">
        <v>0</v>
      </c>
      <c r="AB166" s="486">
        <v>0</v>
      </c>
      <c r="AC166" s="486">
        <v>0</v>
      </c>
    </row>
    <row r="167" spans="1:29" s="221" customFormat="1">
      <c r="A167" s="215" t="s">
        <v>157</v>
      </c>
      <c r="B167" s="148" t="s">
        <v>105</v>
      </c>
      <c r="C167" s="558">
        <f>'[56]Sch C'!D178</f>
        <v>0</v>
      </c>
      <c r="D167" s="558">
        <f>'[56]Sch C'!F178</f>
        <v>0</v>
      </c>
      <c r="E167" s="171">
        <f t="shared" si="45"/>
        <v>0</v>
      </c>
      <c r="F167" s="484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  <c r="Z167" s="222"/>
      <c r="AA167" s="222"/>
      <c r="AB167" s="519"/>
      <c r="AC167" s="519"/>
    </row>
    <row r="168" spans="1:29" s="221" customFormat="1">
      <c r="A168" s="215" t="s">
        <v>158</v>
      </c>
      <c r="B168" s="148" t="s">
        <v>316</v>
      </c>
      <c r="C168" s="558">
        <f>'[56]Sch C'!D179</f>
        <v>0</v>
      </c>
      <c r="D168" s="558">
        <f>'[56]Sch C'!F179</f>
        <v>0</v>
      </c>
      <c r="E168" s="171">
        <f t="shared" si="45"/>
        <v>0</v>
      </c>
      <c r="F168" s="484"/>
      <c r="G168" s="171">
        <f t="shared" si="46"/>
        <v>0</v>
      </c>
      <c r="H168" s="172">
        <f t="shared" si="47"/>
        <v>0</v>
      </c>
      <c r="I168" s="342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  <c r="Z168" s="217">
        <v>0</v>
      </c>
      <c r="AA168" s="217">
        <v>0</v>
      </c>
      <c r="AB168" s="486">
        <v>0</v>
      </c>
      <c r="AC168" s="486">
        <v>0</v>
      </c>
    </row>
    <row r="169" spans="1:29" s="221" customFormat="1">
      <c r="A169" s="215" t="s">
        <v>86</v>
      </c>
      <c r="B169" s="148" t="s">
        <v>317</v>
      </c>
      <c r="C169" s="558">
        <f>'[56]Sch C'!D180</f>
        <v>0</v>
      </c>
      <c r="D169" s="558">
        <f>'[56]Sch C'!F180</f>
        <v>0</v>
      </c>
      <c r="E169" s="171">
        <f t="shared" si="45"/>
        <v>0</v>
      </c>
      <c r="F169" s="484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  <c r="Z169" s="222"/>
      <c r="AA169" s="222"/>
      <c r="AB169" s="519"/>
      <c r="AC169" s="519"/>
    </row>
    <row r="170" spans="1:29" s="221" customFormat="1">
      <c r="A170" s="215" t="s">
        <v>96</v>
      </c>
      <c r="B170" s="148" t="s">
        <v>318</v>
      </c>
      <c r="C170" s="558">
        <f>'[56]Sch C'!D181</f>
        <v>0</v>
      </c>
      <c r="D170" s="558">
        <f>'[56]Sch C'!F181</f>
        <v>0</v>
      </c>
      <c r="E170" s="171">
        <f t="shared" si="45"/>
        <v>0</v>
      </c>
      <c r="F170" s="484"/>
      <c r="G170" s="171">
        <f t="shared" si="46"/>
        <v>0</v>
      </c>
      <c r="H170" s="172">
        <f t="shared" si="47"/>
        <v>0</v>
      </c>
      <c r="I170" s="342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  <c r="Z170" s="217">
        <v>0</v>
      </c>
      <c r="AA170" s="217">
        <v>0</v>
      </c>
      <c r="AB170" s="486">
        <v>0</v>
      </c>
      <c r="AC170" s="486">
        <v>0</v>
      </c>
    </row>
    <row r="171" spans="1:29" s="221" customFormat="1">
      <c r="A171" s="215" t="s">
        <v>125</v>
      </c>
      <c r="B171" s="148" t="s">
        <v>109</v>
      </c>
      <c r="C171" s="558">
        <f>'[56]Sch C'!D182</f>
        <v>0</v>
      </c>
      <c r="D171" s="558">
        <f>'[56]Sch C'!F182</f>
        <v>0</v>
      </c>
      <c r="E171" s="171">
        <f t="shared" si="45"/>
        <v>0</v>
      </c>
      <c r="F171" s="484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  <c r="Z171" s="222"/>
      <c r="AA171" s="222"/>
      <c r="AB171" s="519"/>
      <c r="AC171" s="519"/>
    </row>
    <row r="172" spans="1:29" s="221" customFormat="1">
      <c r="A172" s="215" t="s">
        <v>126</v>
      </c>
      <c r="B172" s="148" t="s">
        <v>319</v>
      </c>
      <c r="C172" s="558">
        <f>'[56]Sch C'!D183</f>
        <v>0</v>
      </c>
      <c r="D172" s="558">
        <f>'[56]Sch C'!F183</f>
        <v>0</v>
      </c>
      <c r="E172" s="171">
        <f t="shared" si="45"/>
        <v>0</v>
      </c>
      <c r="F172" s="484"/>
      <c r="G172" s="171">
        <f t="shared" si="46"/>
        <v>0</v>
      </c>
      <c r="H172" s="172">
        <f t="shared" si="47"/>
        <v>0</v>
      </c>
      <c r="I172" s="342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  <c r="Z172" s="217">
        <v>0</v>
      </c>
      <c r="AA172" s="217">
        <v>0</v>
      </c>
      <c r="AB172" s="486">
        <v>0</v>
      </c>
      <c r="AC172" s="486">
        <v>0</v>
      </c>
    </row>
    <row r="173" spans="1:29" s="221" customFormat="1">
      <c r="A173" s="215" t="s">
        <v>127</v>
      </c>
      <c r="B173" s="148" t="s">
        <v>111</v>
      </c>
      <c r="C173" s="558">
        <f>'[56]Sch C'!D184</f>
        <v>0</v>
      </c>
      <c r="D173" s="558">
        <f>'[56]Sch C'!F184</f>
        <v>0</v>
      </c>
      <c r="E173" s="171">
        <f t="shared" si="45"/>
        <v>0</v>
      </c>
      <c r="F173" s="484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  <c r="Z173" s="222"/>
      <c r="AA173" s="222"/>
      <c r="AB173" s="519"/>
      <c r="AC173" s="519"/>
    </row>
    <row r="174" spans="1:29" s="221" customFormat="1">
      <c r="A174" s="215" t="s">
        <v>128</v>
      </c>
      <c r="B174" s="148" t="s">
        <v>320</v>
      </c>
      <c r="C174" s="558">
        <f>'[56]Sch C'!D185</f>
        <v>0</v>
      </c>
      <c r="D174" s="558">
        <f>'[56]Sch C'!F185</f>
        <v>0</v>
      </c>
      <c r="E174" s="171">
        <f t="shared" si="45"/>
        <v>0</v>
      </c>
      <c r="F174" s="484"/>
      <c r="G174" s="171">
        <f t="shared" si="46"/>
        <v>0</v>
      </c>
      <c r="H174" s="172">
        <f t="shared" si="47"/>
        <v>0</v>
      </c>
      <c r="I174" s="342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  <c r="Z174" s="217">
        <v>0</v>
      </c>
      <c r="AA174" s="217">
        <v>0</v>
      </c>
      <c r="AB174" s="486">
        <v>0</v>
      </c>
      <c r="AC174" s="486">
        <v>0</v>
      </c>
    </row>
    <row r="175" spans="1:29" s="221" customFormat="1">
      <c r="A175" s="215" t="s">
        <v>129</v>
      </c>
      <c r="B175" s="148" t="s">
        <v>321</v>
      </c>
      <c r="C175" s="558">
        <f>'[56]Sch C'!D186</f>
        <v>0</v>
      </c>
      <c r="D175" s="558">
        <f>'[56]Sch C'!F186</f>
        <v>0</v>
      </c>
      <c r="E175" s="171">
        <f t="shared" si="45"/>
        <v>0</v>
      </c>
      <c r="F175" s="484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  <c r="Z175" s="223"/>
      <c r="AA175" s="218"/>
      <c r="AB175" s="520"/>
      <c r="AC175" s="521"/>
    </row>
    <row r="176" spans="1:29" s="221" customFormat="1">
      <c r="A176" s="224" t="s">
        <v>293</v>
      </c>
      <c r="B176" s="148" t="s">
        <v>154</v>
      </c>
      <c r="C176" s="558">
        <f>'[56]Sch C'!D187</f>
        <v>0</v>
      </c>
      <c r="D176" s="558">
        <f>'[56]Sch C'!F187</f>
        <v>0</v>
      </c>
      <c r="E176" s="171">
        <f t="shared" si="45"/>
        <v>0</v>
      </c>
      <c r="F176" s="484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  <c r="Z176" s="223"/>
      <c r="AA176" s="218"/>
      <c r="AB176" s="520"/>
      <c r="AC176" s="521"/>
    </row>
    <row r="177" spans="1:29" s="221" customFormat="1">
      <c r="A177" s="224" t="s">
        <v>294</v>
      </c>
      <c r="B177" s="148" t="s">
        <v>322</v>
      </c>
      <c r="C177" s="558">
        <f>'[56]Sch C'!D188</f>
        <v>0</v>
      </c>
      <c r="D177" s="558">
        <f>'[56]Sch C'!F188</f>
        <v>0</v>
      </c>
      <c r="E177" s="171">
        <f t="shared" si="45"/>
        <v>0</v>
      </c>
      <c r="F177" s="484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  <c r="Z177" s="223"/>
      <c r="AA177" s="218"/>
      <c r="AB177" s="520"/>
      <c r="AC177" s="521"/>
    </row>
    <row r="178" spans="1:29" s="221" customFormat="1">
      <c r="A178" s="224" t="s">
        <v>295</v>
      </c>
      <c r="B178" s="148" t="s">
        <v>323</v>
      </c>
      <c r="C178" s="558">
        <f>'[56]Sch C'!D189</f>
        <v>0</v>
      </c>
      <c r="D178" s="558">
        <f>'[56]Sch C'!F189</f>
        <v>0</v>
      </c>
      <c r="E178" s="171">
        <f t="shared" si="45"/>
        <v>0</v>
      </c>
      <c r="F178" s="484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  <c r="Z178" s="223"/>
      <c r="AA178" s="218"/>
      <c r="AB178" s="520"/>
      <c r="AC178" s="521"/>
    </row>
    <row r="179" spans="1:29" s="221" customFormat="1">
      <c r="A179" s="224" t="s">
        <v>296</v>
      </c>
      <c r="B179" s="148" t="s">
        <v>324</v>
      </c>
      <c r="C179" s="558">
        <f>'[56]Sch C'!D190</f>
        <v>0</v>
      </c>
      <c r="D179" s="558">
        <f>'[56]Sch C'!F190</f>
        <v>0</v>
      </c>
      <c r="E179" s="171">
        <f t="shared" si="45"/>
        <v>0</v>
      </c>
      <c r="F179" s="484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  <c r="Z179" s="223"/>
      <c r="AA179" s="218"/>
      <c r="AB179" s="520"/>
      <c r="AC179" s="521"/>
    </row>
    <row r="180" spans="1:29" s="221" customFormat="1">
      <c r="A180" s="224" t="s">
        <v>297</v>
      </c>
      <c r="B180" s="148" t="s">
        <v>325</v>
      </c>
      <c r="C180" s="558">
        <f>'[56]Sch C'!D191</f>
        <v>0</v>
      </c>
      <c r="D180" s="558">
        <f>'[56]Sch C'!F191</f>
        <v>0</v>
      </c>
      <c r="E180" s="171">
        <f t="shared" si="45"/>
        <v>0</v>
      </c>
      <c r="F180" s="484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  <c r="Z180" s="223"/>
      <c r="AA180" s="218"/>
      <c r="AB180" s="520"/>
      <c r="AC180" s="521"/>
    </row>
    <row r="181" spans="1:29" s="221" customFormat="1">
      <c r="A181" s="224" t="s">
        <v>298</v>
      </c>
      <c r="B181" s="148" t="s">
        <v>117</v>
      </c>
      <c r="C181" s="558">
        <f>'[56]Sch C'!D192</f>
        <v>0</v>
      </c>
      <c r="D181" s="558">
        <f>'[56]Sch C'!F192</f>
        <v>0</v>
      </c>
      <c r="E181" s="171">
        <f t="shared" si="45"/>
        <v>0</v>
      </c>
      <c r="F181" s="484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  <c r="Z181" s="223"/>
      <c r="AA181" s="218"/>
      <c r="AB181" s="520"/>
      <c r="AC181" s="521"/>
    </row>
    <row r="182" spans="1:29" s="221" customFormat="1">
      <c r="A182" s="224" t="s">
        <v>132</v>
      </c>
      <c r="B182" s="148" t="s">
        <v>118</v>
      </c>
      <c r="C182" s="558">
        <f>'[56]Sch C'!D193</f>
        <v>0</v>
      </c>
      <c r="D182" s="558">
        <f>'[56]Sch C'!F193</f>
        <v>0</v>
      </c>
      <c r="E182" s="171">
        <f t="shared" si="45"/>
        <v>0</v>
      </c>
      <c r="F182" s="484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  <c r="Z182" s="223"/>
      <c r="AA182" s="218"/>
      <c r="AB182" s="520"/>
      <c r="AC182" s="521"/>
    </row>
    <row r="183" spans="1:29" s="221" customFormat="1">
      <c r="A183" s="224" t="s">
        <v>133</v>
      </c>
      <c r="B183" s="148" t="s">
        <v>119</v>
      </c>
      <c r="C183" s="558">
        <f>'[56]Sch C'!D194</f>
        <v>615952.32999999996</v>
      </c>
      <c r="D183" s="558">
        <f>'[56]Sch C'!F194</f>
        <v>-11549.22</v>
      </c>
      <c r="E183" s="171">
        <f t="shared" si="45"/>
        <v>604403.11</v>
      </c>
      <c r="F183" s="484"/>
      <c r="G183" s="171">
        <f t="shared" si="46"/>
        <v>604403.11</v>
      </c>
      <c r="H183" s="172">
        <f t="shared" si="47"/>
        <v>4.4948899707688644E-2</v>
      </c>
      <c r="I183" s="336"/>
      <c r="J183" s="223"/>
      <c r="K183" s="218"/>
      <c r="M183" s="364">
        <f t="shared" si="48"/>
        <v>12.88184125833884</v>
      </c>
      <c r="N183" s="359">
        <f>SUMMARY!J186</f>
        <v>7.2780776577335544</v>
      </c>
      <c r="O183" s="220"/>
      <c r="P183"/>
      <c r="Q183"/>
      <c r="R183" s="220"/>
      <c r="S183" s="220"/>
      <c r="Z183" s="223"/>
      <c r="AA183" s="218"/>
      <c r="AB183" s="520"/>
      <c r="AC183" s="521"/>
    </row>
    <row r="184" spans="1:29" s="221" customFormat="1">
      <c r="A184" s="224" t="s">
        <v>134</v>
      </c>
      <c r="B184" s="148" t="s">
        <v>326</v>
      </c>
      <c r="C184" s="558">
        <f>'[56]Sch C'!D195</f>
        <v>108650.2</v>
      </c>
      <c r="D184" s="558">
        <f>'[56]Sch C'!F195</f>
        <v>-1965.82</v>
      </c>
      <c r="E184" s="171">
        <f t="shared" si="45"/>
        <v>106684.37999999999</v>
      </c>
      <c r="F184" s="484"/>
      <c r="G184" s="171">
        <f t="shared" si="46"/>
        <v>106684.37999999999</v>
      </c>
      <c r="H184" s="172">
        <f t="shared" si="47"/>
        <v>7.9340185675036388E-3</v>
      </c>
      <c r="I184" s="336"/>
      <c r="J184" s="223"/>
      <c r="K184" s="218"/>
      <c r="M184" s="364">
        <f t="shared" si="48"/>
        <v>2.273799100577591</v>
      </c>
      <c r="N184" s="359">
        <f>SUMMARY!J187</f>
        <v>1.7471448792019588</v>
      </c>
      <c r="O184" s="220"/>
      <c r="P184"/>
      <c r="Q184"/>
      <c r="R184" s="220"/>
      <c r="S184" s="220"/>
      <c r="Z184" s="223"/>
      <c r="AA184" s="218"/>
      <c r="AB184" s="520"/>
      <c r="AC184" s="521"/>
    </row>
    <row r="185" spans="1:29" s="221" customFormat="1">
      <c r="A185" s="224" t="s">
        <v>135</v>
      </c>
      <c r="B185" s="148" t="s">
        <v>327</v>
      </c>
      <c r="C185" s="558">
        <f>'[56]Sch C'!D196</f>
        <v>0</v>
      </c>
      <c r="D185" s="558">
        <f>'[56]Sch C'!F196</f>
        <v>0</v>
      </c>
      <c r="E185" s="171">
        <f t="shared" si="45"/>
        <v>0</v>
      </c>
      <c r="F185" s="484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  <c r="Z185" s="223"/>
      <c r="AA185" s="218"/>
      <c r="AB185" s="520"/>
      <c r="AC185" s="521"/>
    </row>
    <row r="186" spans="1:29" s="221" customFormat="1">
      <c r="A186" s="224" t="s">
        <v>136</v>
      </c>
      <c r="B186" s="148" t="s">
        <v>328</v>
      </c>
      <c r="C186" s="558">
        <f>'[56]Sch C'!D197</f>
        <v>581375.68999999994</v>
      </c>
      <c r="D186" s="558">
        <f>'[56]Sch C'!F197</f>
        <v>-11057.76</v>
      </c>
      <c r="E186" s="171">
        <f t="shared" si="45"/>
        <v>570317.92999999993</v>
      </c>
      <c r="F186" s="484"/>
      <c r="G186" s="171">
        <f t="shared" si="46"/>
        <v>570317.92999999993</v>
      </c>
      <c r="H186" s="172">
        <f t="shared" si="47"/>
        <v>4.2414016428649073E-2</v>
      </c>
      <c r="I186" s="336"/>
      <c r="J186" s="223"/>
      <c r="K186" s="218"/>
      <c r="M186" s="364">
        <f t="shared" si="48"/>
        <v>12.155372663526501</v>
      </c>
      <c r="N186" s="359">
        <f>SUMMARY!J189</f>
        <v>5.0164683871805966</v>
      </c>
      <c r="O186" s="220"/>
      <c r="P186"/>
      <c r="Q186"/>
      <c r="R186" s="220"/>
      <c r="S186" s="220"/>
      <c r="Z186" s="223"/>
      <c r="AA186" s="218"/>
      <c r="AB186" s="520"/>
      <c r="AC186" s="521"/>
    </row>
    <row r="187" spans="1:29" s="221" customFormat="1">
      <c r="A187" s="224" t="s">
        <v>137</v>
      </c>
      <c r="B187" s="148" t="s">
        <v>122</v>
      </c>
      <c r="C187" s="558">
        <f>'[56]Sch C'!D198</f>
        <v>34730.480000000003</v>
      </c>
      <c r="D187" s="558">
        <f>'[56]Sch C'!F198</f>
        <v>0</v>
      </c>
      <c r="E187" s="171">
        <f t="shared" si="45"/>
        <v>34730.480000000003</v>
      </c>
      <c r="F187" s="484"/>
      <c r="G187" s="171">
        <f t="shared" si="46"/>
        <v>34730.480000000003</v>
      </c>
      <c r="H187" s="172">
        <f t="shared" si="47"/>
        <v>2.5828736425924192E-3</v>
      </c>
      <c r="I187" s="336"/>
      <c r="J187" s="223"/>
      <c r="K187" s="218"/>
      <c r="M187" s="364">
        <f t="shared" si="48"/>
        <v>0.74022208486966912</v>
      </c>
      <c r="N187" s="359">
        <f>SUMMARY!J190</f>
        <v>1.4762344610483848</v>
      </c>
      <c r="O187" s="220"/>
      <c r="P187"/>
      <c r="Q187"/>
      <c r="R187" s="220"/>
      <c r="S187" s="220"/>
      <c r="Z187" s="223"/>
      <c r="AA187" s="218"/>
      <c r="AB187" s="520"/>
      <c r="AC187" s="521"/>
    </row>
    <row r="188" spans="1:29" s="221" customFormat="1">
      <c r="A188" s="224" t="s">
        <v>275</v>
      </c>
      <c r="B188" s="148" t="s">
        <v>329</v>
      </c>
      <c r="C188" s="558">
        <f>'[56]Sch C'!D199</f>
        <v>0</v>
      </c>
      <c r="D188" s="558">
        <f>'[56]Sch C'!F199</f>
        <v>0</v>
      </c>
      <c r="E188" s="171">
        <f t="shared" si="45"/>
        <v>0</v>
      </c>
      <c r="F188" s="484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  <c r="Z188" s="223"/>
      <c r="AA188" s="218"/>
      <c r="AB188" s="520"/>
      <c r="AC188" s="521"/>
    </row>
    <row r="189" spans="1:29" s="221" customFormat="1">
      <c r="A189" s="224" t="s">
        <v>277</v>
      </c>
      <c r="B189" s="148" t="s">
        <v>278</v>
      </c>
      <c r="C189" s="558">
        <f>'[56]Sch C'!D200</f>
        <v>0</v>
      </c>
      <c r="D189" s="558">
        <f>'[56]Sch C'!F200</f>
        <v>0</v>
      </c>
      <c r="E189" s="171">
        <f t="shared" si="45"/>
        <v>0</v>
      </c>
      <c r="F189" s="484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  <c r="Z189" s="223"/>
      <c r="AA189" s="218"/>
      <c r="AB189" s="520"/>
      <c r="AC189" s="521"/>
    </row>
    <row r="190" spans="1:29" s="221" customFormat="1">
      <c r="A190" s="225" t="s">
        <v>279</v>
      </c>
      <c r="B190" s="226" t="s">
        <v>280</v>
      </c>
      <c r="C190" s="558">
        <f>'[56]Sch C'!D201</f>
        <v>0</v>
      </c>
      <c r="D190" s="558">
        <f>'[56]Sch C'!F201</f>
        <v>0</v>
      </c>
      <c r="E190" s="171">
        <f t="shared" si="45"/>
        <v>0</v>
      </c>
      <c r="F190" s="484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  <c r="Z190" s="223"/>
      <c r="AA190" s="218"/>
      <c r="AB190" s="520"/>
      <c r="AC190" s="521"/>
    </row>
    <row r="191" spans="1:29" s="221" customFormat="1">
      <c r="A191" s="225" t="s">
        <v>281</v>
      </c>
      <c r="B191" s="226" t="s">
        <v>282</v>
      </c>
      <c r="C191" s="558">
        <f>'[56]Sch C'!D202</f>
        <v>0</v>
      </c>
      <c r="D191" s="558">
        <f>'[56]Sch C'!F202</f>
        <v>0</v>
      </c>
      <c r="E191" s="171">
        <f t="shared" si="45"/>
        <v>0</v>
      </c>
      <c r="F191" s="484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  <c r="Z191" s="223"/>
      <c r="AA191" s="218"/>
      <c r="AB191" s="520"/>
      <c r="AC191" s="521"/>
    </row>
    <row r="192" spans="1:29" s="221" customFormat="1">
      <c r="A192" s="225" t="s">
        <v>283</v>
      </c>
      <c r="B192" s="226" t="s">
        <v>330</v>
      </c>
      <c r="C192" s="558">
        <f>'[56]Sch C'!D203</f>
        <v>0</v>
      </c>
      <c r="D192" s="558">
        <f>'[56]Sch C'!F203</f>
        <v>0</v>
      </c>
      <c r="E192" s="171">
        <f t="shared" si="45"/>
        <v>0</v>
      </c>
      <c r="F192" s="484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  <c r="Z192" s="223"/>
      <c r="AA192" s="218"/>
      <c r="AB192" s="520"/>
      <c r="AC192" s="521"/>
    </row>
    <row r="193" spans="1:29" s="221" customFormat="1">
      <c r="A193" s="225" t="s">
        <v>285</v>
      </c>
      <c r="B193" s="226" t="s">
        <v>331</v>
      </c>
      <c r="C193" s="558">
        <f>'[56]Sch C'!D204</f>
        <v>0</v>
      </c>
      <c r="D193" s="558">
        <f>'[56]Sch C'!F204</f>
        <v>0</v>
      </c>
      <c r="E193" s="171">
        <f t="shared" si="45"/>
        <v>0</v>
      </c>
      <c r="F193" s="484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  <c r="Z193" s="223"/>
      <c r="AA193" s="218"/>
      <c r="AB193" s="520"/>
      <c r="AC193" s="521"/>
    </row>
    <row r="194" spans="1:29" s="221" customFormat="1">
      <c r="A194" s="224" t="s">
        <v>138</v>
      </c>
      <c r="B194" s="148" t="s">
        <v>332</v>
      </c>
      <c r="C194" s="558">
        <f>'[56]Sch C'!D205</f>
        <v>859840</v>
      </c>
      <c r="D194" s="558">
        <f>'[56]Sch C'!F205</f>
        <v>-202195.92</v>
      </c>
      <c r="E194" s="171">
        <f t="shared" si="45"/>
        <v>657644.07999999996</v>
      </c>
      <c r="F194" s="484"/>
      <c r="G194" s="171">
        <f t="shared" si="46"/>
        <v>657644.07999999996</v>
      </c>
      <c r="H194" s="172">
        <f t="shared" si="47"/>
        <v>4.8908381353754395E-2</v>
      </c>
      <c r="I194" s="336"/>
      <c r="J194" s="223"/>
      <c r="K194" s="218"/>
      <c r="M194" s="364">
        <f t="shared" si="48"/>
        <v>14.016583473646071</v>
      </c>
      <c r="N194" s="359">
        <f>SUMMARY!J197</f>
        <v>9.4138592764245246</v>
      </c>
      <c r="O194" s="220"/>
      <c r="P194"/>
      <c r="Q194"/>
      <c r="R194" s="220"/>
      <c r="S194" s="220"/>
      <c r="Z194" s="223"/>
      <c r="AA194" s="218"/>
      <c r="AB194" s="520"/>
      <c r="AC194" s="521"/>
    </row>
    <row r="195" spans="1:29" s="221" customFormat="1">
      <c r="A195" s="224" t="s">
        <v>139</v>
      </c>
      <c r="B195" s="148" t="s">
        <v>67</v>
      </c>
      <c r="C195" s="558">
        <f>'[56]Sch C'!D206</f>
        <v>54856.88</v>
      </c>
      <c r="D195" s="558">
        <f>'[56]Sch C'!F206</f>
        <v>0</v>
      </c>
      <c r="E195" s="171">
        <f t="shared" si="45"/>
        <v>54856.88</v>
      </c>
      <c r="F195" s="484"/>
      <c r="G195" s="171">
        <f t="shared" si="46"/>
        <v>54856.88</v>
      </c>
      <c r="H195" s="172">
        <f t="shared" si="47"/>
        <v>4.0796553766851255E-3</v>
      </c>
      <c r="I195" s="336"/>
      <c r="J195" s="223"/>
      <c r="K195" s="218"/>
      <c r="M195" s="364">
        <f t="shared" si="48"/>
        <v>1.1691826339009783</v>
      </c>
      <c r="N195" s="359">
        <f>SUMMARY!J198</f>
        <v>0.50303072526897752</v>
      </c>
      <c r="O195" s="220"/>
      <c r="P195"/>
      <c r="Q195"/>
      <c r="R195" s="220"/>
      <c r="S195" s="220"/>
      <c r="Z195" s="223"/>
      <c r="AA195" s="218"/>
      <c r="AB195" s="520"/>
      <c r="AC195" s="521"/>
    </row>
    <row r="196" spans="1:29" s="221" customFormat="1">
      <c r="A196" s="225" t="s">
        <v>143</v>
      </c>
      <c r="B196" s="194" t="s">
        <v>333</v>
      </c>
      <c r="C196" s="558">
        <f>'[56]Sch C'!D207</f>
        <v>-34096.269999999997</v>
      </c>
      <c r="D196" s="558">
        <f>'[56]Sch C'!F207</f>
        <v>0</v>
      </c>
      <c r="E196" s="171">
        <f t="shared" si="45"/>
        <v>-34096.269999999997</v>
      </c>
      <c r="F196" s="484"/>
      <c r="G196" s="171">
        <f t="shared" si="46"/>
        <v>-34096.269999999997</v>
      </c>
      <c r="H196" s="172">
        <f t="shared" si="47"/>
        <v>-2.5357080320719612E-3</v>
      </c>
      <c r="I196" s="336"/>
      <c r="J196" s="223"/>
      <c r="K196" s="218"/>
      <c r="M196" s="364">
        <f t="shared" si="48"/>
        <v>-0.72670495961124482</v>
      </c>
      <c r="N196" s="359">
        <f>SUMMARY!J199</f>
        <v>0.37420738931321718</v>
      </c>
      <c r="O196" s="220"/>
      <c r="P196"/>
      <c r="Q196"/>
      <c r="R196" s="220"/>
      <c r="S196" s="220"/>
      <c r="Z196" s="223"/>
      <c r="AA196" s="218"/>
      <c r="AB196" s="520"/>
      <c r="AC196" s="521"/>
    </row>
    <row r="197" spans="1:29" s="167" customFormat="1">
      <c r="A197" s="163"/>
      <c r="B197" s="212" t="s">
        <v>130</v>
      </c>
      <c r="C197" s="558">
        <f>SUM(C164:C196)</f>
        <v>2221309.3099999996</v>
      </c>
      <c r="D197" s="558">
        <f>SUM(D164:D196)</f>
        <v>-226768.72</v>
      </c>
      <c r="E197" s="171">
        <f t="shared" ref="E197:F197" si="49">SUM(E164:E196)</f>
        <v>1994540.5899999999</v>
      </c>
      <c r="F197" s="171">
        <f t="shared" si="49"/>
        <v>0</v>
      </c>
      <c r="G197" s="171">
        <f>SUM(G164:G196)</f>
        <v>1994540.5899999999</v>
      </c>
      <c r="H197" s="172">
        <f>IF($G$208=0,0,G197/$G$208)</f>
        <v>0.14833213704480133</v>
      </c>
      <c r="I197" s="336"/>
      <c r="J197" s="168"/>
      <c r="K197" s="168"/>
      <c r="M197" s="364">
        <f>G197/G$228</f>
        <v>42.510296255248406</v>
      </c>
      <c r="N197" s="359">
        <f>SUMMARY!J200</f>
        <v>37.406784978272242</v>
      </c>
      <c r="O197" s="354"/>
      <c r="P197"/>
      <c r="Q197"/>
      <c r="Z197" s="168"/>
      <c r="AA197" s="168"/>
      <c r="AB197" s="513"/>
      <c r="AC197" s="513"/>
    </row>
    <row r="198" spans="1:2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  <c r="Z198" s="168"/>
      <c r="AA198" s="168"/>
      <c r="AB198" s="513"/>
      <c r="AC198" s="513"/>
    </row>
    <row r="199" spans="1:2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  <c r="Z199" s="168"/>
      <c r="AA199" s="168"/>
      <c r="AB199" s="513"/>
      <c r="AC199" s="513"/>
    </row>
    <row r="200" spans="1:29" s="167" customFormat="1">
      <c r="A200" s="169" t="s">
        <v>85</v>
      </c>
      <c r="B200" s="170" t="s">
        <v>69</v>
      </c>
      <c r="C200" s="558">
        <f>'[56]Sch C'!D211</f>
        <v>255570.27</v>
      </c>
      <c r="D200" s="558">
        <f>'[56]Sch C'!F211</f>
        <v>0</v>
      </c>
      <c r="E200" s="171">
        <f t="shared" ref="E200:E205" si="50">C200+D200</f>
        <v>255570.27</v>
      </c>
      <c r="F200" s="484"/>
      <c r="G200" s="171">
        <f t="shared" ref="G200:G205" si="51">E200+F200</f>
        <v>255570.27</v>
      </c>
      <c r="H200" s="172">
        <f t="shared" ref="H200:H206" si="52">IF($G$208=0,0,G200/$G$208)</f>
        <v>1.900652436169117E-2</v>
      </c>
      <c r="I200" s="336"/>
      <c r="J200" s="183">
        <v>13987.57</v>
      </c>
      <c r="K200" s="183">
        <v>15228.31</v>
      </c>
      <c r="M200" s="364">
        <f t="shared" ref="M200:M205" si="53">G200/G$228</f>
        <v>5.4470527931115322</v>
      </c>
      <c r="N200" s="359">
        <f>SUMMARY!J203</f>
        <v>5.2601700809246292</v>
      </c>
      <c r="P200"/>
      <c r="Q200"/>
      <c r="Z200" s="183">
        <v>3262</v>
      </c>
      <c r="AA200" s="183">
        <v>3585</v>
      </c>
      <c r="AB200" s="486">
        <v>9321</v>
      </c>
      <c r="AC200" s="486">
        <v>10191</v>
      </c>
    </row>
    <row r="201" spans="1:29" s="167" customFormat="1">
      <c r="A201" s="169" t="s">
        <v>86</v>
      </c>
      <c r="B201" s="170" t="s">
        <v>45</v>
      </c>
      <c r="C201" s="558">
        <f>'[56]Sch C'!D212</f>
        <v>41234.410000000003</v>
      </c>
      <c r="D201" s="558">
        <f>'[56]Sch C'!F212</f>
        <v>0</v>
      </c>
      <c r="E201" s="171">
        <f t="shared" si="50"/>
        <v>41234.410000000003</v>
      </c>
      <c r="F201" s="484"/>
      <c r="G201" s="171">
        <f t="shared" si="51"/>
        <v>41234.410000000003</v>
      </c>
      <c r="H201" s="172">
        <f t="shared" si="52"/>
        <v>3.0665648950676545E-3</v>
      </c>
      <c r="I201" s="336"/>
      <c r="J201" s="168"/>
      <c r="K201" s="168"/>
      <c r="M201" s="364">
        <f t="shared" si="53"/>
        <v>0.87884247319849107</v>
      </c>
      <c r="N201" s="359">
        <f>SUMMARY!J204</f>
        <v>1.0692430699343443</v>
      </c>
      <c r="P201"/>
      <c r="Q201"/>
      <c r="Z201" s="168"/>
      <c r="AA201" s="168"/>
      <c r="AB201" s="513"/>
      <c r="AC201" s="513"/>
    </row>
    <row r="202" spans="1:29" s="167" customFormat="1">
      <c r="A202" s="169" t="s">
        <v>140</v>
      </c>
      <c r="B202" s="170" t="s">
        <v>54</v>
      </c>
      <c r="C202" s="558">
        <f>'[56]Sch C'!D213</f>
        <v>23558.51</v>
      </c>
      <c r="D202" s="558">
        <f>'[56]Sch C'!F213</f>
        <v>0</v>
      </c>
      <c r="E202" s="171">
        <f t="shared" si="50"/>
        <v>23558.51</v>
      </c>
      <c r="F202" s="484"/>
      <c r="G202" s="171">
        <f t="shared" si="51"/>
        <v>23558.51</v>
      </c>
      <c r="H202" s="172">
        <f t="shared" si="52"/>
        <v>1.7520245771941512E-3</v>
      </c>
      <c r="I202" s="336"/>
      <c r="J202" s="168"/>
      <c r="K202" s="168"/>
      <c r="M202" s="364">
        <f t="shared" si="53"/>
        <v>0.50211023252839992</v>
      </c>
      <c r="N202" s="359">
        <f>SUMMARY!J205</f>
        <v>0.45326453571252473</v>
      </c>
      <c r="P202"/>
      <c r="Q202"/>
      <c r="Z202" s="168"/>
      <c r="AA202" s="168"/>
      <c r="AB202" s="513"/>
      <c r="AC202" s="513"/>
    </row>
    <row r="203" spans="1:29" s="167" customFormat="1">
      <c r="A203" s="169" t="s">
        <v>141</v>
      </c>
      <c r="B203" s="170" t="s">
        <v>70</v>
      </c>
      <c r="C203" s="558">
        <f>'[56]Sch C'!D214</f>
        <v>451.16</v>
      </c>
      <c r="D203" s="558">
        <f>'[56]Sch C'!F214</f>
        <v>0</v>
      </c>
      <c r="E203" s="171">
        <f t="shared" si="50"/>
        <v>451.16</v>
      </c>
      <c r="F203" s="484"/>
      <c r="G203" s="171">
        <f t="shared" si="51"/>
        <v>451.16</v>
      </c>
      <c r="H203" s="172">
        <f t="shared" si="52"/>
        <v>3.3552351496207242E-5</v>
      </c>
      <c r="I203" s="336"/>
      <c r="J203" s="168"/>
      <c r="K203" s="168"/>
      <c r="M203" s="364">
        <f t="shared" si="53"/>
        <v>9.6157207101600639E-3</v>
      </c>
      <c r="N203" s="359">
        <f>SUMMARY!J206</f>
        <v>6.3990415636810301E-3</v>
      </c>
      <c r="P203"/>
      <c r="Q203"/>
      <c r="Z203" s="168"/>
      <c r="AA203" s="168"/>
      <c r="AB203" s="513"/>
      <c r="AC203" s="513"/>
    </row>
    <row r="204" spans="1:29" s="167" customFormat="1">
      <c r="A204" s="169" t="s">
        <v>142</v>
      </c>
      <c r="B204" s="202" t="s">
        <v>71</v>
      </c>
      <c r="C204" s="558">
        <f>'[56]Sch C'!D215</f>
        <v>0</v>
      </c>
      <c r="D204" s="558">
        <f>'[56]Sch C'!F215</f>
        <v>0</v>
      </c>
      <c r="E204" s="171">
        <f t="shared" si="50"/>
        <v>0</v>
      </c>
      <c r="F204" s="484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  <c r="Z204" s="168"/>
      <c r="AA204" s="168"/>
      <c r="AB204" s="513"/>
      <c r="AC204" s="513"/>
    </row>
    <row r="205" spans="1:29" s="167" customFormat="1">
      <c r="A205" s="169" t="s">
        <v>143</v>
      </c>
      <c r="B205" s="170" t="s">
        <v>312</v>
      </c>
      <c r="C205" s="558">
        <f>'[56]Sch C'!D216</f>
        <v>7543.13</v>
      </c>
      <c r="D205" s="558">
        <f>'[56]Sch C'!F216</f>
        <v>0</v>
      </c>
      <c r="E205" s="171">
        <f t="shared" si="50"/>
        <v>7543.13</v>
      </c>
      <c r="F205" s="484"/>
      <c r="G205" s="171">
        <f t="shared" si="51"/>
        <v>7543.13</v>
      </c>
      <c r="H205" s="172">
        <f t="shared" si="52"/>
        <v>5.6097559433811888E-4</v>
      </c>
      <c r="I205" s="336"/>
      <c r="J205" s="168"/>
      <c r="K205" s="168"/>
      <c r="M205" s="364">
        <f t="shared" si="53"/>
        <v>0.16076919797949657</v>
      </c>
      <c r="N205" s="359">
        <f>SUMMARY!J208</f>
        <v>0.36243287087155324</v>
      </c>
      <c r="P205"/>
      <c r="Q205"/>
      <c r="Z205" s="168"/>
      <c r="AA205" s="168"/>
      <c r="AB205" s="513"/>
      <c r="AC205" s="513"/>
    </row>
    <row r="206" spans="1:29" s="167" customFormat="1">
      <c r="A206" s="163"/>
      <c r="B206" s="170" t="s">
        <v>144</v>
      </c>
      <c r="C206" s="558">
        <f>SUM(C200:C205)</f>
        <v>328357.48</v>
      </c>
      <c r="D206" s="558">
        <f>SUM(D200:D205)</f>
        <v>0</v>
      </c>
      <c r="E206" s="171">
        <f t="shared" ref="E206:F206" si="54">SUM(E200:E205)</f>
        <v>328357.48</v>
      </c>
      <c r="F206" s="171">
        <f t="shared" si="54"/>
        <v>0</v>
      </c>
      <c r="G206" s="171">
        <f>SUM(G200:G205)</f>
        <v>328357.48</v>
      </c>
      <c r="H206" s="172">
        <f t="shared" si="52"/>
        <v>2.4419641779787303E-2</v>
      </c>
      <c r="I206" s="336"/>
      <c r="J206" s="168"/>
      <c r="K206" s="168"/>
      <c r="M206" s="364">
        <f>G206/G$228</f>
        <v>6.9983904175280802</v>
      </c>
      <c r="N206" s="359">
        <f>SUMMARY!J209</f>
        <v>7.1515095990067339</v>
      </c>
      <c r="O206" s="354">
        <f>M206/N206-1</f>
        <v>-2.1410749626892822E-2</v>
      </c>
      <c r="P206"/>
      <c r="Q206"/>
    </row>
    <row r="207" spans="1:2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29" s="167" customFormat="1">
      <c r="A208" s="227"/>
      <c r="B208" s="228" t="s">
        <v>145</v>
      </c>
      <c r="C208" s="558">
        <f>SUM(C25:C206)/2</f>
        <v>14365082.92</v>
      </c>
      <c r="D208" s="558">
        <f>SUM(D25:D206)/2</f>
        <v>-918633.41999999993</v>
      </c>
      <c r="E208" s="171">
        <f t="shared" ref="E208:F208" si="55">SUM(E25:E206)/2</f>
        <v>13446449.499999996</v>
      </c>
      <c r="F208" s="171">
        <f t="shared" si="55"/>
        <v>0</v>
      </c>
      <c r="G208" s="171">
        <f>SUM(G25:G206)/2</f>
        <v>13446449.499999996</v>
      </c>
      <c r="H208" s="172">
        <f>IF($G$208=0,0,G208/$G$208)</f>
        <v>1</v>
      </c>
      <c r="I208" s="336"/>
      <c r="J208" s="183">
        <f>SUM(J25:J200)</f>
        <v>283977.41000000003</v>
      </c>
      <c r="K208" s="183">
        <f>SUM(K25:K200)</f>
        <v>311283.05000000005</v>
      </c>
      <c r="M208" s="364">
        <f>G208/G$228</f>
        <v>286.58857818794087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-0.5465799676108426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'[56]Sch C'!D221</f>
        <v>14365082.92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-848746.41000000015</v>
      </c>
      <c r="D215" s="558">
        <f>D21-D208</f>
        <v>918633.41999999993</v>
      </c>
      <c r="E215" s="171">
        <f t="shared" ref="E215:F215" si="56">E21-E208</f>
        <v>69887.010000005364</v>
      </c>
      <c r="F215" s="171">
        <f t="shared" si="56"/>
        <v>1704992.32</v>
      </c>
      <c r="G215" s="171">
        <f>G21-G208</f>
        <v>1774879.3300000057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'[56]Sch D'!C9</f>
        <v>25643</v>
      </c>
      <c r="D219" s="592"/>
      <c r="E219" s="235">
        <f t="shared" ref="E219:G227" si="57">C219+D219</f>
        <v>25643</v>
      </c>
      <c r="F219" s="485"/>
      <c r="G219" s="235">
        <f t="shared" si="57"/>
        <v>25643</v>
      </c>
      <c r="H219" s="172">
        <f t="shared" ref="H219:H228" si="58">IF($G$228=0,0,G219/$G$228)</f>
        <v>0.54653764999254029</v>
      </c>
      <c r="I219" s="336"/>
      <c r="J219" s="168"/>
      <c r="K219" s="168"/>
    </row>
    <row r="220" spans="1:17">
      <c r="A220" s="163"/>
      <c r="B220" s="170" t="s">
        <v>217</v>
      </c>
      <c r="C220" s="592">
        <f>'[56]Sch D'!D9</f>
        <v>0</v>
      </c>
      <c r="D220" s="592"/>
      <c r="E220" s="235">
        <f t="shared" ref="E220:E227" si="59">C220+D220</f>
        <v>0</v>
      </c>
      <c r="F220" s="485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'[56]Sch D'!E9</f>
        <v>6261</v>
      </c>
      <c r="D221" s="592"/>
      <c r="E221" s="235">
        <f t="shared" si="59"/>
        <v>6261</v>
      </c>
      <c r="F221" s="485"/>
      <c r="G221" s="235">
        <f t="shared" si="57"/>
        <v>6261</v>
      </c>
      <c r="H221" s="172">
        <f t="shared" si="58"/>
        <v>0.13344274174641405</v>
      </c>
      <c r="I221" s="336"/>
      <c r="J221" s="168"/>
      <c r="K221" s="168"/>
    </row>
    <row r="222" spans="1:17">
      <c r="A222" s="163"/>
      <c r="B222" s="202" t="s">
        <v>334</v>
      </c>
      <c r="C222" s="592">
        <f>'[56]Sch D'!F9</f>
        <v>2818</v>
      </c>
      <c r="D222" s="592"/>
      <c r="E222" s="235">
        <f>C222+D222</f>
        <v>2818</v>
      </c>
      <c r="F222" s="485"/>
      <c r="G222" s="235">
        <f>E222+F222</f>
        <v>2818</v>
      </c>
      <c r="H222" s="172">
        <f t="shared" si="58"/>
        <v>6.0060956115859244E-2</v>
      </c>
      <c r="I222" s="336"/>
      <c r="J222" s="168"/>
      <c r="K222" s="168"/>
    </row>
    <row r="223" spans="1:17">
      <c r="A223" s="163"/>
      <c r="B223" s="170" t="s">
        <v>73</v>
      </c>
      <c r="C223" s="592">
        <f>'[56]Sch D'!G9</f>
        <v>0</v>
      </c>
      <c r="D223" s="592"/>
      <c r="E223" s="235">
        <f t="shared" si="59"/>
        <v>0</v>
      </c>
      <c r="F223" s="485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'[56]Sch D'!H9</f>
        <v>4906</v>
      </c>
      <c r="D224" s="592"/>
      <c r="E224" s="235">
        <f t="shared" si="59"/>
        <v>4906</v>
      </c>
      <c r="F224" s="485"/>
      <c r="G224" s="235">
        <f t="shared" si="57"/>
        <v>4906</v>
      </c>
      <c r="H224" s="172">
        <f t="shared" si="58"/>
        <v>0.10456318335855411</v>
      </c>
      <c r="I224" s="336"/>
      <c r="J224" s="168"/>
      <c r="K224" s="168"/>
    </row>
    <row r="225" spans="1:11">
      <c r="A225" s="163"/>
      <c r="B225" s="170" t="s">
        <v>236</v>
      </c>
      <c r="C225" s="592">
        <f>'[56]Sch D'!I9</f>
        <v>5313</v>
      </c>
      <c r="D225" s="592"/>
      <c r="E225" s="235">
        <f t="shared" si="59"/>
        <v>5313</v>
      </c>
      <c r="F225" s="485"/>
      <c r="G225" s="235">
        <f t="shared" si="57"/>
        <v>5313</v>
      </c>
      <c r="H225" s="172">
        <f t="shared" si="58"/>
        <v>0.11323770753852384</v>
      </c>
      <c r="I225" s="336"/>
      <c r="J225" s="168"/>
      <c r="K225" s="168"/>
    </row>
    <row r="226" spans="1:11">
      <c r="A226" s="163"/>
      <c r="B226" s="170" t="s">
        <v>235</v>
      </c>
      <c r="C226" s="592">
        <f>'[56]Sch D'!J9</f>
        <v>1952</v>
      </c>
      <c r="D226" s="592"/>
      <c r="E226" s="235">
        <f>C226+D226</f>
        <v>1952</v>
      </c>
      <c r="F226" s="485"/>
      <c r="G226" s="235">
        <f>E226+F226</f>
        <v>1952</v>
      </c>
      <c r="H226" s="172">
        <f t="shared" si="58"/>
        <v>4.1603614740297105E-2</v>
      </c>
      <c r="I226" s="336"/>
      <c r="J226" s="168"/>
      <c r="K226" s="168"/>
    </row>
    <row r="227" spans="1:11">
      <c r="A227" s="163"/>
      <c r="B227" s="170" t="s">
        <v>179</v>
      </c>
      <c r="C227" s="592">
        <f>'[56]Sch D'!K9</f>
        <v>26</v>
      </c>
      <c r="D227" s="592"/>
      <c r="E227" s="235">
        <f t="shared" si="59"/>
        <v>26</v>
      </c>
      <c r="F227" s="485"/>
      <c r="G227" s="235">
        <f t="shared" si="57"/>
        <v>26</v>
      </c>
      <c r="H227" s="172">
        <f t="shared" si="58"/>
        <v>5.5414650781133448E-4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46919</v>
      </c>
      <c r="D228" s="592">
        <f>SUM(D219:D227)</f>
        <v>0</v>
      </c>
      <c r="E228" s="237">
        <f>SUM(E219:E227)</f>
        <v>46919</v>
      </c>
      <c r="F228" s="237">
        <f>SUM(F219:F227)</f>
        <v>0</v>
      </c>
      <c r="G228" s="237">
        <f>SUM(G219:G227)</f>
        <v>46919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'[56]Sch D'!N22</f>
        <v>168</v>
      </c>
      <c r="D231" s="559"/>
      <c r="E231" s="235">
        <f>C231+D231</f>
        <v>168</v>
      </c>
      <c r="F231" s="235"/>
      <c r="G231" s="235">
        <f>E231+F231</f>
        <v>168</v>
      </c>
      <c r="H231" s="167"/>
      <c r="J231" s="168"/>
      <c r="K231" s="168"/>
    </row>
    <row r="232" spans="1:11">
      <c r="A232" s="163"/>
      <c r="B232" s="202" t="s">
        <v>290</v>
      </c>
      <c r="C232" s="593">
        <f>'[56]Sch D'!N24</f>
        <v>168</v>
      </c>
      <c r="D232" s="559"/>
      <c r="E232" s="235">
        <f>C232+D232</f>
        <v>168</v>
      </c>
      <c r="F232" s="235"/>
      <c r="G232" s="235">
        <f>E232+F232</f>
        <v>168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'[56]Sch D'!N28</f>
        <v>61488</v>
      </c>
      <c r="D235" s="483"/>
      <c r="E235" s="234">
        <f>E231*E233</f>
        <v>61488</v>
      </c>
      <c r="F235" s="239"/>
      <c r="G235" s="234">
        <f>G231*G233</f>
        <v>61488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'[56]Sch D'!N30</f>
        <v>0.76305945875618009</v>
      </c>
      <c r="D236" s="239"/>
      <c r="E236" s="244">
        <f>E228/E235</f>
        <v>0.76305945875618009</v>
      </c>
      <c r="F236" s="245"/>
      <c r="G236" s="244">
        <f>G228/G235</f>
        <v>0.76305945875618009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'[56]Sch D'!N32</f>
        <v>0.41704072339318243</v>
      </c>
      <c r="D237" s="239"/>
      <c r="E237" s="244">
        <f>(E219+E220)/E235</f>
        <v>0.41704072339318243</v>
      </c>
      <c r="F237" s="245"/>
      <c r="G237" s="244">
        <f>(G219+G220)/G235</f>
        <v>0.41704072339318243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'[56]Sch D'!N34</f>
        <v>0.5465376499925404</v>
      </c>
      <c r="D238" s="239"/>
      <c r="E238" s="244">
        <f>(E237/E236)</f>
        <v>0.5465376499925404</v>
      </c>
      <c r="F238" s="245"/>
      <c r="G238" s="244">
        <f>(G237/G236)</f>
        <v>0.5465376499925404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'[56]Sch B'!C85</f>
        <v>287.36673109243702</v>
      </c>
    </row>
    <row r="242" spans="2:7">
      <c r="F242" s="142" t="s">
        <v>341</v>
      </c>
      <c r="G242" s="558">
        <f>'[56]Sch B'!E85</f>
        <v>266.24239662447258</v>
      </c>
    </row>
    <row r="243" spans="2:7">
      <c r="F243" s="142" t="s">
        <v>342</v>
      </c>
      <c r="G243" s="558">
        <f>'[56]Sch B'!G85</f>
        <v>299.29958151700089</v>
      </c>
    </row>
    <row r="244" spans="2:7">
      <c r="F244" s="142" t="s">
        <v>343</v>
      </c>
      <c r="G244" s="558">
        <f>'[56]Sch B'!I85</f>
        <v>245.39960982658963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473</v>
      </c>
      <c r="D2" s="246"/>
      <c r="E2" s="144"/>
      <c r="F2" s="256" t="s">
        <v>452</v>
      </c>
    </row>
    <row r="3" spans="1:17">
      <c r="A3" s="145"/>
      <c r="B3" s="140" t="s">
        <v>79</v>
      </c>
      <c r="C3" s="489">
        <v>42186</v>
      </c>
      <c r="D3" s="144"/>
      <c r="E3" s="147"/>
      <c r="F3" t="s">
        <v>453</v>
      </c>
    </row>
    <row r="4" spans="1:17">
      <c r="A4" s="145"/>
      <c r="B4" s="148" t="s">
        <v>80</v>
      </c>
      <c r="C4" s="489">
        <v>42551</v>
      </c>
      <c r="D4" s="144"/>
      <c r="E4" s="149"/>
      <c r="F4"/>
      <c r="G4" s="150"/>
    </row>
    <row r="5" spans="1:17">
      <c r="A5" s="145"/>
      <c r="B5" s="148"/>
      <c r="C5" s="151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399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51" t="s">
        <v>719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'[57]Sch B'!E10</f>
        <v>2241635.0099999998</v>
      </c>
      <c r="D11" s="558">
        <f>'[57]Sch B'!G10</f>
        <v>0</v>
      </c>
      <c r="E11" s="171">
        <f>C11+D11</f>
        <v>2241635.0099999998</v>
      </c>
      <c r="F11" s="564">
        <v>1184081</v>
      </c>
      <c r="G11" s="171">
        <f t="shared" ref="G11:G20" si="0">E11+F11</f>
        <v>3425716.01</v>
      </c>
      <c r="H11" s="172">
        <f t="shared" ref="H11:H21" si="1">IF($G$21=0,0,G11/$G$21)</f>
        <v>0.60033245964284032</v>
      </c>
      <c r="I11" s="555" t="s">
        <v>718</v>
      </c>
      <c r="J11" s="368" t="s">
        <v>344</v>
      </c>
      <c r="K11" s="369">
        <f>G21</f>
        <v>5706364.79</v>
      </c>
      <c r="M11" s="359">
        <f>IFERROR(G11/G219,0)</f>
        <v>315.73419447004608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'[57]Sch B'!E15</f>
        <v>0</v>
      </c>
      <c r="D12" s="558">
        <f>'[57]Sch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4579329.1199999982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'[57]Sch B'!E21</f>
        <v>963300.09999999986</v>
      </c>
      <c r="D13" s="558">
        <f>'[57]Sch B'!G21</f>
        <v>0</v>
      </c>
      <c r="E13" s="171">
        <f t="shared" si="2"/>
        <v>963300.09999999986</v>
      </c>
      <c r="F13" s="171"/>
      <c r="G13" s="171">
        <f t="shared" si="0"/>
        <v>963300.09999999986</v>
      </c>
      <c r="H13" s="172">
        <f t="shared" si="1"/>
        <v>0.16881151756861304</v>
      </c>
      <c r="I13" s="336"/>
      <c r="J13" s="370" t="s">
        <v>346</v>
      </c>
      <c r="K13" s="371">
        <f>G228</f>
        <v>19464</v>
      </c>
      <c r="M13" s="359">
        <f t="shared" si="3"/>
        <v>556.1778868360276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'[57]Sch B'!E27</f>
        <v>423586.25000000006</v>
      </c>
      <c r="D14" s="558">
        <f>'[57]Sch B'!G27</f>
        <v>0</v>
      </c>
      <c r="E14" s="171">
        <f t="shared" si="2"/>
        <v>423586.25000000006</v>
      </c>
      <c r="F14" s="175"/>
      <c r="G14" s="175">
        <f>E14+F14</f>
        <v>423586.25000000006</v>
      </c>
      <c r="H14" s="176">
        <f t="shared" si="1"/>
        <v>7.4230489214833398E-2</v>
      </c>
      <c r="I14" s="337"/>
      <c r="J14" s="370" t="s">
        <v>347</v>
      </c>
      <c r="K14" s="371">
        <f>G231</f>
        <v>61</v>
      </c>
      <c r="M14" s="359">
        <f t="shared" si="3"/>
        <v>388.25504124656283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'[57]Sch B'!E32</f>
        <v>0</v>
      </c>
      <c r="D15" s="558">
        <f>'[57]Sch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22326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'[57]Sch B'!E37</f>
        <v>357004.45999999996</v>
      </c>
      <c r="D16" s="558">
        <f>'[57]Sch B'!G37</f>
        <v>0</v>
      </c>
      <c r="E16" s="171">
        <f t="shared" si="2"/>
        <v>357004.45999999996</v>
      </c>
      <c r="F16" s="171"/>
      <c r="G16" s="171">
        <f t="shared" si="0"/>
        <v>357004.45999999996</v>
      </c>
      <c r="H16" s="172">
        <f t="shared" si="1"/>
        <v>6.2562502247599905E-2</v>
      </c>
      <c r="I16" s="336"/>
      <c r="J16" s="372"/>
      <c r="K16" s="371"/>
      <c r="M16" s="359">
        <f t="shared" si="3"/>
        <v>111.59876836511408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'[57]Sch B'!E42</f>
        <v>0</v>
      </c>
      <c r="D17" s="558">
        <f>'[57]Sch B'!G42</f>
        <v>352815.45</v>
      </c>
      <c r="E17" s="171">
        <f t="shared" si="2"/>
        <v>352815.45</v>
      </c>
      <c r="F17" s="171"/>
      <c r="G17" s="171">
        <f>E17+F17</f>
        <v>352815.45</v>
      </c>
      <c r="H17" s="172">
        <f t="shared" si="1"/>
        <v>6.1828407924127825E-2</v>
      </c>
      <c r="I17" s="336"/>
      <c r="J17" s="370" t="s">
        <v>156</v>
      </c>
      <c r="K17" s="371">
        <f>J208</f>
        <v>95088.909999999974</v>
      </c>
      <c r="M17" s="359">
        <f t="shared" si="3"/>
        <v>187.17000000000002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'[57]Sch B'!E47</f>
        <v>486501.06999999995</v>
      </c>
      <c r="D18" s="558">
        <f>'[57]Sch B'!G47</f>
        <v>-352815.45</v>
      </c>
      <c r="E18" s="171">
        <f t="shared" si="2"/>
        <v>133685.61999999994</v>
      </c>
      <c r="F18" s="171"/>
      <c r="G18" s="171">
        <f>E18+F18</f>
        <v>133685.61999999994</v>
      </c>
      <c r="H18" s="172">
        <f t="shared" si="1"/>
        <v>2.3427457745826996E-2</v>
      </c>
      <c r="I18" s="336"/>
      <c r="J18" s="373" t="s">
        <v>252</v>
      </c>
      <c r="K18" s="374">
        <f>K208</f>
        <v>102756.01999999999</v>
      </c>
      <c r="M18" s="359">
        <f t="shared" si="3"/>
        <v>189.08857142857133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'[57]Sch B'!E52</f>
        <v>0</v>
      </c>
      <c r="D19" s="558">
        <f>'[57]Sch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'[57]Sch B'!E67</f>
        <v>-3686.5400000000009</v>
      </c>
      <c r="D20" s="558">
        <f>'[57]Sch B'!G67</f>
        <v>53943.44</v>
      </c>
      <c r="E20" s="171">
        <f t="shared" si="2"/>
        <v>50256.9</v>
      </c>
      <c r="F20" s="171"/>
      <c r="G20" s="171">
        <f t="shared" si="0"/>
        <v>50256.9</v>
      </c>
      <c r="H20" s="172">
        <f t="shared" si="1"/>
        <v>8.8071656561584805E-3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4468340.3499999996</v>
      </c>
      <c r="D21" s="558">
        <f>SUM(D11:D20)</f>
        <v>53943.44</v>
      </c>
      <c r="E21" s="171">
        <f>SUM(E11:E20)</f>
        <v>4522283.79</v>
      </c>
      <c r="F21" s="171">
        <f>SUM(F11:F20)</f>
        <v>1184081</v>
      </c>
      <c r="G21" s="171">
        <f>SUM(G11:G20)</f>
        <v>5706364.79</v>
      </c>
      <c r="H21" s="172">
        <f t="shared" si="1"/>
        <v>1</v>
      </c>
      <c r="I21" s="336"/>
      <c r="J21" s="168"/>
      <c r="K21" s="168"/>
      <c r="M21" s="359">
        <f>IFERROR(G21/G228,0)</f>
        <v>293.17533857377725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'[57]Sch C'!D10</f>
        <v>0</v>
      </c>
      <c r="D25" s="558">
        <f>'[57]Sch C'!F10</f>
        <v>73082.58</v>
      </c>
      <c r="E25" s="171">
        <f t="shared" ref="E25:E60" si="4">C25+D25</f>
        <v>73082.58</v>
      </c>
      <c r="F25" s="171"/>
      <c r="G25" s="182">
        <f>E25+F25</f>
        <v>73082.58</v>
      </c>
      <c r="H25" s="172">
        <f>IF($G$208=0,0,G25/$G$208)</f>
        <v>1.5959232910518567E-2</v>
      </c>
      <c r="I25" s="336"/>
      <c r="J25" s="183">
        <v>1896.08</v>
      </c>
      <c r="K25" s="183">
        <v>2080.08</v>
      </c>
      <c r="M25" s="359">
        <f>G25/G$228</f>
        <v>3.7547564734895191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'[57]Sch C'!D11</f>
        <v>0</v>
      </c>
      <c r="D26" s="558">
        <f>'[57]Sch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'[57]Sch C'!D12</f>
        <v>51799.32</v>
      </c>
      <c r="D27" s="558">
        <f>'[57]Sch C'!F12</f>
        <v>-34113.39</v>
      </c>
      <c r="E27" s="171">
        <f t="shared" si="4"/>
        <v>17685.93</v>
      </c>
      <c r="F27" s="171"/>
      <c r="G27" s="171">
        <f t="shared" si="5"/>
        <v>17685.93</v>
      </c>
      <c r="H27" s="172">
        <f t="shared" si="6"/>
        <v>3.8621224936110309E-3</v>
      </c>
      <c r="I27" s="336"/>
      <c r="J27" s="185">
        <v>3906.98</v>
      </c>
      <c r="K27" s="185">
        <v>4219.09</v>
      </c>
      <c r="M27" s="359">
        <f t="shared" si="7"/>
        <v>0.90864827373612822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'[57]Sch C'!D13</f>
        <v>16178.26</v>
      </c>
      <c r="D28" s="558">
        <f>'[57]Sch C'!F13</f>
        <v>6495.32</v>
      </c>
      <c r="E28" s="171">
        <f t="shared" si="4"/>
        <v>22673.58</v>
      </c>
      <c r="F28" s="171"/>
      <c r="G28" s="171">
        <f t="shared" si="5"/>
        <v>22673.58</v>
      </c>
      <c r="H28" s="172">
        <f t="shared" si="6"/>
        <v>4.9512885852589714E-3</v>
      </c>
      <c r="I28" s="336"/>
      <c r="J28" s="168"/>
      <c r="K28" s="168"/>
      <c r="M28" s="359">
        <f t="shared" si="7"/>
        <v>1.1648982737361284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'[57]Sch C'!D14</f>
        <v>0</v>
      </c>
      <c r="D29" s="558">
        <f>'[57]Sch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'[57]Sch C'!D15</f>
        <v>0</v>
      </c>
      <c r="D30" s="558">
        <f>'[57]Sch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'[57]Sch C'!D16</f>
        <v>242335.68</v>
      </c>
      <c r="D31" s="558">
        <f>'[57]Sch C'!F16</f>
        <v>-37976</v>
      </c>
      <c r="E31" s="171">
        <f t="shared" si="4"/>
        <v>204359.67999999999</v>
      </c>
      <c r="F31" s="171"/>
      <c r="G31" s="171">
        <f t="shared" si="5"/>
        <v>204359.67999999999</v>
      </c>
      <c r="H31" s="172">
        <f t="shared" si="6"/>
        <v>4.4626554380524645E-2</v>
      </c>
      <c r="I31" s="336"/>
      <c r="J31" s="168"/>
      <c r="K31" s="168"/>
      <c r="M31" s="359">
        <f t="shared" si="7"/>
        <v>10.499367036580352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'[57]Sch C'!D17</f>
        <v>10231.870000000001</v>
      </c>
      <c r="D32" s="558">
        <f>'[57]Sch C'!F17</f>
        <v>-10231.870000000001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'[57]Sch C'!D18</f>
        <v>8831.7199999999993</v>
      </c>
      <c r="D33" s="558">
        <f>'[57]Sch C'!F18</f>
        <v>0</v>
      </c>
      <c r="E33" s="171">
        <f t="shared" si="4"/>
        <v>8831.7199999999993</v>
      </c>
      <c r="F33" s="171"/>
      <c r="G33" s="171">
        <f t="shared" si="5"/>
        <v>8831.7199999999993</v>
      </c>
      <c r="H33" s="172">
        <f t="shared" si="6"/>
        <v>1.9286056469337157E-3</v>
      </c>
      <c r="I33" s="336"/>
      <c r="J33" s="168"/>
      <c r="K33" s="168"/>
      <c r="M33" s="359">
        <f t="shared" si="7"/>
        <v>0.4537464036169338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'[57]Sch C'!D19</f>
        <v>19132.32</v>
      </c>
      <c r="D34" s="558">
        <f>'[57]Sch C'!F19</f>
        <v>0</v>
      </c>
      <c r="E34" s="171">
        <f t="shared" si="4"/>
        <v>19132.32</v>
      </c>
      <c r="F34" s="171"/>
      <c r="G34" s="171">
        <f t="shared" si="5"/>
        <v>19132.32</v>
      </c>
      <c r="H34" s="172">
        <f t="shared" si="6"/>
        <v>4.1779744365698715E-3</v>
      </c>
      <c r="I34" s="336"/>
      <c r="J34" s="168"/>
      <c r="K34" s="168"/>
      <c r="M34" s="359">
        <f t="shared" si="7"/>
        <v>0.98295930949445132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'[57]Sch C'!D20</f>
        <v>9017.0300000000007</v>
      </c>
      <c r="D35" s="558">
        <f>'[57]Sch C'!F20</f>
        <v>0</v>
      </c>
      <c r="E35" s="171">
        <f t="shared" si="4"/>
        <v>9017.0300000000007</v>
      </c>
      <c r="F35" s="171"/>
      <c r="G35" s="171">
        <f t="shared" si="5"/>
        <v>9017.0300000000007</v>
      </c>
      <c r="H35" s="172">
        <f t="shared" si="6"/>
        <v>1.9690722731892231E-3</v>
      </c>
      <c r="I35" s="336"/>
      <c r="J35" s="168"/>
      <c r="K35" s="168"/>
      <c r="M35" s="359">
        <f t="shared" si="7"/>
        <v>0.46326705713111388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'[57]Sch C'!D21</f>
        <v>91299</v>
      </c>
      <c r="D36" s="558">
        <f>'[57]Sch C'!F21</f>
        <v>0</v>
      </c>
      <c r="E36" s="171">
        <f t="shared" si="4"/>
        <v>91299</v>
      </c>
      <c r="F36" s="171"/>
      <c r="G36" s="171">
        <f t="shared" si="5"/>
        <v>91299</v>
      </c>
      <c r="H36" s="172">
        <f t="shared" si="6"/>
        <v>1.9937199883986508E-2</v>
      </c>
      <c r="I36" s="336"/>
      <c r="J36" s="168"/>
      <c r="K36" s="168"/>
      <c r="M36" s="359">
        <f t="shared" si="7"/>
        <v>4.6906596794081379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'[57]Sch C'!D22</f>
        <v>0</v>
      </c>
      <c r="D37" s="558">
        <f>'[57]Sch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'[57]Sch C'!D23</f>
        <v>21286.11</v>
      </c>
      <c r="D38" s="558">
        <f>'[57]Sch C'!F23</f>
        <v>0</v>
      </c>
      <c r="E38" s="171">
        <f t="shared" si="4"/>
        <v>21286.11</v>
      </c>
      <c r="F38" s="171"/>
      <c r="G38" s="171">
        <f t="shared" si="5"/>
        <v>21286.11</v>
      </c>
      <c r="H38" s="172">
        <f t="shared" si="6"/>
        <v>4.6483031558124848E-3</v>
      </c>
      <c r="I38" s="336"/>
      <c r="J38" s="168"/>
      <c r="K38" s="168"/>
      <c r="M38" s="359">
        <f t="shared" si="7"/>
        <v>1.0936143649815044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'[57]Sch C'!D24</f>
        <v>33813.620000000003</v>
      </c>
      <c r="D39" s="558">
        <f>'[57]Sch C'!F24</f>
        <v>37570.080000000002</v>
      </c>
      <c r="E39" s="171">
        <f t="shared" si="4"/>
        <v>71383.700000000012</v>
      </c>
      <c r="F39" s="171"/>
      <c r="G39" s="171">
        <f t="shared" si="5"/>
        <v>71383.700000000012</v>
      </c>
      <c r="H39" s="172">
        <f t="shared" si="6"/>
        <v>1.5588244070127032E-2</v>
      </c>
      <c r="I39" s="336"/>
      <c r="J39" s="168"/>
      <c r="K39" s="168"/>
      <c r="M39" s="359">
        <f t="shared" si="7"/>
        <v>3.6674732840115092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'[57]Sch C'!D25</f>
        <v>0</v>
      </c>
      <c r="D40" s="558">
        <f>'[57]Sch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'[57]Sch C'!D26</f>
        <v>306581.67</v>
      </c>
      <c r="D41" s="558">
        <f>'[57]Sch C'!F26</f>
        <v>0</v>
      </c>
      <c r="E41" s="171">
        <f t="shared" si="4"/>
        <v>306581.67</v>
      </c>
      <c r="F41" s="171"/>
      <c r="G41" s="171">
        <f t="shared" si="5"/>
        <v>306581.67</v>
      </c>
      <c r="H41" s="172">
        <f t="shared" si="6"/>
        <v>6.6949035975819984E-2</v>
      </c>
      <c r="I41" s="336"/>
      <c r="J41" s="168"/>
      <c r="K41" s="168"/>
      <c r="M41" s="359">
        <f t="shared" si="7"/>
        <v>15.751216091245375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'[57]Sch C'!D27</f>
        <v>4032.06</v>
      </c>
      <c r="D42" s="558">
        <f>'[57]Sch C'!F27</f>
        <v>53943.44</v>
      </c>
      <c r="E42" s="171">
        <f t="shared" si="4"/>
        <v>57975.5</v>
      </c>
      <c r="F42" s="171"/>
      <c r="G42" s="171">
        <f t="shared" si="5"/>
        <v>57975.5</v>
      </c>
      <c r="H42" s="172">
        <f t="shared" si="6"/>
        <v>1.2660260592931573E-2</v>
      </c>
      <c r="I42" s="336"/>
      <c r="J42" s="168"/>
      <c r="K42" s="168"/>
      <c r="M42" s="359">
        <f t="shared" si="7"/>
        <v>2.9786015207562682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'[57]Sch C'!D28</f>
        <v>0</v>
      </c>
      <c r="D43" s="558">
        <f>'[57]Sch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'[57]Sch C'!D29</f>
        <v>324155.65000000002</v>
      </c>
      <c r="D44" s="558">
        <f>'[57]Sch C'!F29</f>
        <v>-324155.65000000002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'[57]Sch C'!D30</f>
        <v>0</v>
      </c>
      <c r="D45" s="558">
        <f>'[57]Sch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'[57]Sch C'!D31</f>
        <v>105.89</v>
      </c>
      <c r="D46" s="558">
        <f>'[57]Sch C'!F31</f>
        <v>0</v>
      </c>
      <c r="E46" s="171">
        <f t="shared" si="4"/>
        <v>105.89</v>
      </c>
      <c r="F46" s="171"/>
      <c r="G46" s="171">
        <f t="shared" si="5"/>
        <v>105.89</v>
      </c>
      <c r="H46" s="172">
        <f t="shared" si="6"/>
        <v>2.3123474470863114E-5</v>
      </c>
      <c r="I46" s="336"/>
      <c r="J46" s="168"/>
      <c r="K46" s="168"/>
      <c r="M46" s="359">
        <f t="shared" si="7"/>
        <v>5.440300041101521E-3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'[57]Sch C'!D32</f>
        <v>600</v>
      </c>
      <c r="D47" s="558">
        <f>'[57]Sch C'!F32</f>
        <v>30401.8</v>
      </c>
      <c r="E47" s="171">
        <f t="shared" si="4"/>
        <v>31001.8</v>
      </c>
      <c r="F47" s="171"/>
      <c r="G47" s="171">
        <f t="shared" si="5"/>
        <v>31001.8</v>
      </c>
      <c r="H47" s="172">
        <f t="shared" si="6"/>
        <v>6.7699436287732935E-3</v>
      </c>
      <c r="I47" s="336"/>
      <c r="J47" s="168"/>
      <c r="K47" s="168"/>
      <c r="M47" s="359">
        <f t="shared" si="7"/>
        <v>1.5927764077270858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'[57]Sch C'!D33</f>
        <v>0</v>
      </c>
      <c r="D48" s="558">
        <f>'[57]Sch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'[57]Sch C'!D34</f>
        <v>0</v>
      </c>
      <c r="D49" s="558">
        <f>'[57]Sch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'[57]Sch C'!D35</f>
        <v>6448.92</v>
      </c>
      <c r="D50" s="558">
        <f>'[57]Sch C'!F35</f>
        <v>-6448.92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'[57]Sch C'!D36</f>
        <v>0</v>
      </c>
      <c r="D51" s="558">
        <f>'[57]Sch C'!F36</f>
        <v>34113.39</v>
      </c>
      <c r="E51" s="171">
        <f t="shared" si="4"/>
        <v>34113.39</v>
      </c>
      <c r="F51" s="171"/>
      <c r="G51" s="171">
        <f t="shared" si="5"/>
        <v>34113.39</v>
      </c>
      <c r="H51" s="172">
        <f t="shared" si="6"/>
        <v>7.4494296230011988E-3</v>
      </c>
      <c r="I51" s="336"/>
      <c r="J51" s="183">
        <v>2247.27</v>
      </c>
      <c r="K51" s="183">
        <v>2287.27</v>
      </c>
      <c r="M51" s="359">
        <f t="shared" si="7"/>
        <v>1.7526402589395806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'[57]Sch C'!D37</f>
        <v>0</v>
      </c>
      <c r="D52" s="558">
        <f>'[57]Sch C'!F37</f>
        <v>10677.48</v>
      </c>
      <c r="E52" s="171">
        <f t="shared" si="4"/>
        <v>10677.48</v>
      </c>
      <c r="F52" s="171"/>
      <c r="G52" s="171">
        <f t="shared" si="5"/>
        <v>10677.48</v>
      </c>
      <c r="H52" s="172">
        <f t="shared" si="6"/>
        <v>2.3316690546147083E-3</v>
      </c>
      <c r="I52" s="336"/>
      <c r="J52" s="168"/>
      <c r="K52" s="168"/>
      <c r="M52" s="359">
        <f t="shared" si="7"/>
        <v>0.54857583230579532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'[57]Sch C'!D38</f>
        <v>1585.1</v>
      </c>
      <c r="D53" s="558">
        <f>'[57]Sch C'!F38</f>
        <v>0</v>
      </c>
      <c r="E53" s="171">
        <f t="shared" si="4"/>
        <v>1585.1</v>
      </c>
      <c r="F53" s="171"/>
      <c r="G53" s="171">
        <f t="shared" si="5"/>
        <v>1585.1</v>
      </c>
      <c r="H53" s="172">
        <f t="shared" si="6"/>
        <v>3.4614240611733986E-4</v>
      </c>
      <c r="I53" s="336"/>
      <c r="J53" s="168"/>
      <c r="K53" s="168"/>
      <c r="M53" s="359">
        <f t="shared" si="7"/>
        <v>8.1437525688450474E-2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'[57]Sch C'!D39</f>
        <v>5332.51</v>
      </c>
      <c r="D54" s="558">
        <f>'[57]Sch C'!F39</f>
        <v>0</v>
      </c>
      <c r="E54" s="171">
        <f t="shared" si="4"/>
        <v>5332.51</v>
      </c>
      <c r="F54" s="171"/>
      <c r="G54" s="171">
        <f t="shared" si="5"/>
        <v>5332.51</v>
      </c>
      <c r="H54" s="172">
        <f t="shared" si="6"/>
        <v>1.1644740660177756E-3</v>
      </c>
      <c r="I54" s="336"/>
      <c r="J54" s="168"/>
      <c r="K54" s="168"/>
      <c r="M54" s="359">
        <f t="shared" si="7"/>
        <v>0.27396783806000824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'[57]Sch C'!D40</f>
        <v>14095.64</v>
      </c>
      <c r="D55" s="558">
        <f>'[57]Sch C'!F40</f>
        <v>0</v>
      </c>
      <c r="E55" s="171">
        <f t="shared" si="4"/>
        <v>14095.64</v>
      </c>
      <c r="F55" s="171"/>
      <c r="G55" s="171">
        <f t="shared" si="5"/>
        <v>14095.64</v>
      </c>
      <c r="H55" s="172">
        <f t="shared" si="6"/>
        <v>3.0781015364102077E-3</v>
      </c>
      <c r="I55" s="336"/>
      <c r="J55" s="168"/>
      <c r="K55" s="168"/>
      <c r="M55" s="359">
        <f t="shared" si="7"/>
        <v>0.72419030004110152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'[57]Sch C'!D41</f>
        <v>45014.78</v>
      </c>
      <c r="D56" s="558">
        <f>'[57]Sch C'!F41</f>
        <v>-6307.52</v>
      </c>
      <c r="E56" s="171">
        <f t="shared" si="4"/>
        <v>38707.259999999995</v>
      </c>
      <c r="F56" s="171"/>
      <c r="G56" s="171">
        <f t="shared" si="5"/>
        <v>38707.259999999995</v>
      </c>
      <c r="H56" s="172">
        <f t="shared" si="6"/>
        <v>8.4526049527534307E-3</v>
      </c>
      <c r="I56" s="336"/>
      <c r="J56" s="168"/>
      <c r="K56" s="168"/>
      <c r="M56" s="359">
        <f t="shared" si="7"/>
        <v>1.9886590628853265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'[57]Sch C'!D42</f>
        <v>474.33</v>
      </c>
      <c r="D57" s="558">
        <f>'[57]Sch C'!F42</f>
        <v>0</v>
      </c>
      <c r="E57" s="171">
        <f t="shared" si="4"/>
        <v>474.33</v>
      </c>
      <c r="F57" s="171"/>
      <c r="G57" s="171">
        <f t="shared" si="5"/>
        <v>474.33</v>
      </c>
      <c r="H57" s="172">
        <f t="shared" si="6"/>
        <v>1.0358067471682406E-4</v>
      </c>
      <c r="I57" s="336"/>
      <c r="J57" s="168"/>
      <c r="K57" s="168"/>
      <c r="M57" s="359">
        <f t="shared" si="7"/>
        <v>2.4369605425400738E-2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'[57]Sch C'!D43</f>
        <v>0</v>
      </c>
      <c r="D58" s="558">
        <f>'[57]Sch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'[57]Sch C'!D44</f>
        <v>0</v>
      </c>
      <c r="D59" s="558">
        <f>'[57]Sch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'[57]Sch C'!D45</f>
        <v>90255.38</v>
      </c>
      <c r="D60" s="558">
        <f>'[57]Sch C'!F45</f>
        <v>-90255</v>
      </c>
      <c r="E60" s="171">
        <f t="shared" si="4"/>
        <v>0.38000000000465661</v>
      </c>
      <c r="F60" s="171"/>
      <c r="G60" s="171">
        <f t="shared" si="5"/>
        <v>0.38000000000465661</v>
      </c>
      <c r="H60" s="172">
        <f t="shared" si="6"/>
        <v>8.2981587487351582E-8</v>
      </c>
      <c r="I60" s="336"/>
      <c r="J60" s="168"/>
      <c r="K60" s="168"/>
      <c r="M60" s="359">
        <f t="shared" si="7"/>
        <v>1.9523222359466532E-5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1302606.8599999999</v>
      </c>
      <c r="D61" s="558">
        <f>SUM(D25:D60)</f>
        <v>-263204.26</v>
      </c>
      <c r="E61" s="171">
        <f t="shared" ref="E61:F61" si="8">SUM(E25:E60)</f>
        <v>1039402.6000000001</v>
      </c>
      <c r="F61" s="171">
        <f t="shared" si="8"/>
        <v>0</v>
      </c>
      <c r="G61" s="171">
        <f>SUM(G25:G60)</f>
        <v>1039402.6000000001</v>
      </c>
      <c r="H61" s="186">
        <f t="shared" si="6"/>
        <v>0.22697704680374678</v>
      </c>
      <c r="I61" s="338"/>
      <c r="J61" s="168"/>
      <c r="K61" s="168"/>
      <c r="M61" s="364">
        <f>G61/G$228</f>
        <v>53.401284422523638</v>
      </c>
      <c r="N61" s="359">
        <f>SUMMARY!J64</f>
        <v>53.728790309602623</v>
      </c>
      <c r="O61" s="354">
        <f>M61/N61-1</f>
        <v>-6.0955380754301736E-3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'[57]Sch C'!D57</f>
        <v>384729</v>
      </c>
      <c r="D64" s="558">
        <f>'[57]Sch C'!F57</f>
        <v>-384729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'[57]Sch C'!D58</f>
        <v>24057.25</v>
      </c>
      <c r="D65" s="558">
        <f>'[57]Sch C'!F58</f>
        <v>70138.399999999994</v>
      </c>
      <c r="E65" s="171">
        <f t="shared" si="9"/>
        <v>94195.65</v>
      </c>
      <c r="F65" s="171"/>
      <c r="G65" s="171">
        <f t="shared" si="10"/>
        <v>94195.65</v>
      </c>
      <c r="H65" s="172">
        <f t="shared" si="11"/>
        <v>2.0569748871860957E-2</v>
      </c>
      <c r="I65" s="336"/>
      <c r="J65" s="190"/>
      <c r="K65" s="168"/>
      <c r="M65" s="359">
        <f t="shared" si="12"/>
        <v>4.8394805795314424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'[57]Sch C'!D59</f>
        <v>0</v>
      </c>
      <c r="D66" s="558">
        <f>'[57]Sch C'!F59</f>
        <v>21067.64</v>
      </c>
      <c r="E66" s="171">
        <f t="shared" si="9"/>
        <v>21067.64</v>
      </c>
      <c r="F66" s="171"/>
      <c r="G66" s="171">
        <f t="shared" si="10"/>
        <v>21067.64</v>
      </c>
      <c r="H66" s="172">
        <f t="shared" si="11"/>
        <v>4.6005952941858014E-3</v>
      </c>
      <c r="I66" s="336"/>
      <c r="J66" s="190"/>
      <c r="K66" s="168"/>
      <c r="M66" s="359">
        <f t="shared" si="12"/>
        <v>1.082390053431977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'[57]Sch C'!D60</f>
        <v>39999.96</v>
      </c>
      <c r="D67" s="558">
        <f>'[57]Sch C'!F60</f>
        <v>0</v>
      </c>
      <c r="E67" s="171">
        <f t="shared" si="9"/>
        <v>39999.96</v>
      </c>
      <c r="F67" s="171"/>
      <c r="G67" s="171">
        <f t="shared" si="10"/>
        <v>39999.96</v>
      </c>
      <c r="H67" s="172">
        <f t="shared" si="11"/>
        <v>8.7348952110260242E-3</v>
      </c>
      <c r="I67" s="336"/>
      <c r="J67" s="193"/>
      <c r="K67" s="168"/>
      <c r="M67" s="359">
        <f t="shared" si="12"/>
        <v>2.0550739827373614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'[57]Sch C'!D61</f>
        <v>16802.080000000002</v>
      </c>
      <c r="D68" s="558">
        <f>'[57]Sch C'!F61</f>
        <v>-16802.080000000002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'[57]Sch C'!D62</f>
        <v>9607.6</v>
      </c>
      <c r="D69" s="558">
        <f>'[57]Sch C'!F62</f>
        <v>0</v>
      </c>
      <c r="E69" s="171">
        <f t="shared" si="9"/>
        <v>9607.6</v>
      </c>
      <c r="F69" s="171"/>
      <c r="G69" s="171">
        <f t="shared" si="10"/>
        <v>9607.6</v>
      </c>
      <c r="H69" s="172">
        <f t="shared" si="11"/>
        <v>2.0980365787729195E-3</v>
      </c>
      <c r="I69" s="336"/>
      <c r="J69" s="195"/>
      <c r="K69" s="168"/>
      <c r="M69" s="359">
        <f t="shared" si="12"/>
        <v>0.49360871352240032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'[57]Sch C'!D63</f>
        <v>0</v>
      </c>
      <c r="D70" s="558">
        <f>'[57]Sch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'[57]Sch C'!D64</f>
        <v>0</v>
      </c>
      <c r="D71" s="558">
        <f>'[57]Sch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'[57]Sch C'!D65</f>
        <v>3111.22</v>
      </c>
      <c r="D72" s="558">
        <f>'[57]Sch C'!F65</f>
        <v>2689.32</v>
      </c>
      <c r="E72" s="171">
        <f t="shared" si="9"/>
        <v>5800.54</v>
      </c>
      <c r="F72" s="171"/>
      <c r="G72" s="171">
        <f t="shared" si="10"/>
        <v>5800.54</v>
      </c>
      <c r="H72" s="172">
        <f t="shared" si="11"/>
        <v>1.2666789933631155E-3</v>
      </c>
      <c r="I72" s="336"/>
      <c r="J72" s="195"/>
      <c r="K72" s="168"/>
      <c r="M72" s="359">
        <f t="shared" si="12"/>
        <v>0.29801376900945337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'[57]Sch C'!D66</f>
        <v>49067.69</v>
      </c>
      <c r="D73" s="558">
        <f>'[57]Sch C'!F66</f>
        <v>-43401.68</v>
      </c>
      <c r="E73" s="171">
        <f t="shared" si="9"/>
        <v>5666.010000000002</v>
      </c>
      <c r="F73" s="171"/>
      <c r="G73" s="171">
        <f t="shared" si="10"/>
        <v>5666.010000000002</v>
      </c>
      <c r="H73" s="172">
        <f t="shared" si="11"/>
        <v>1.237301327666967E-3</v>
      </c>
      <c r="I73" s="336"/>
      <c r="J73" s="195"/>
      <c r="K73" s="168"/>
      <c r="M73" s="359">
        <f t="shared" si="12"/>
        <v>0.29110203452527755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'[57]Sch C'!D67</f>
        <v>55344.45</v>
      </c>
      <c r="D74" s="558">
        <f>'[57]Sch C'!F67</f>
        <v>17281.330000000002</v>
      </c>
      <c r="E74" s="171">
        <f t="shared" si="9"/>
        <v>72625.78</v>
      </c>
      <c r="F74" s="171"/>
      <c r="G74" s="171">
        <f t="shared" si="10"/>
        <v>72625.78</v>
      </c>
      <c r="H74" s="172">
        <f t="shared" si="11"/>
        <v>1.5859480307456045E-2</v>
      </c>
      <c r="I74" s="336"/>
      <c r="J74" s="195"/>
      <c r="K74" s="168"/>
      <c r="M74" s="359">
        <f t="shared" si="12"/>
        <v>3.7312875051376899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'[57]Sch C'!D68</f>
        <v>0</v>
      </c>
      <c r="D75" s="558">
        <f>'[57]Sch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'[57]Sch C'!D69</f>
        <v>0</v>
      </c>
      <c r="D76" s="558">
        <f>'[57]Sch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'[57]Sch C'!D70</f>
        <v>0</v>
      </c>
      <c r="D77" s="558">
        <f>'[57]Sch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'[57]Sch C'!D71</f>
        <v>0</v>
      </c>
      <c r="D78" s="558">
        <f>'[57]Sch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582719.25</v>
      </c>
      <c r="D79" s="558">
        <f>SUM(D64:D78)</f>
        <v>-333756.06999999995</v>
      </c>
      <c r="E79" s="171">
        <f t="shared" ref="E79:F79" si="13">SUM(E64:E78)</f>
        <v>248963.18000000002</v>
      </c>
      <c r="F79" s="171">
        <f t="shared" si="13"/>
        <v>0</v>
      </c>
      <c r="G79" s="171">
        <f>SUM(G64:G78)</f>
        <v>248963.18000000002</v>
      </c>
      <c r="H79" s="172">
        <f t="shared" si="11"/>
        <v>5.4366736584331839E-2</v>
      </c>
      <c r="I79" s="336"/>
      <c r="J79" s="195"/>
      <c r="K79" s="168"/>
      <c r="M79" s="359">
        <f t="shared" si="12"/>
        <v>12.790956637895603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'[57]Sch C'!D75</f>
        <v>39582.639999999999</v>
      </c>
      <c r="D82" s="558">
        <f>'[57]Sch C'!F75</f>
        <v>0</v>
      </c>
      <c r="E82" s="171">
        <f t="shared" ref="E82:E92" si="14">C82+D82</f>
        <v>39582.639999999999</v>
      </c>
      <c r="F82" s="171"/>
      <c r="G82" s="171">
        <f t="shared" ref="G82:G92" si="15">E82+F82</f>
        <v>39582.639999999999</v>
      </c>
      <c r="H82" s="172">
        <f t="shared" ref="H82:H93" si="16">IF($G$208=0,0,G82/$G$208)</f>
        <v>8.6437639581581367E-3</v>
      </c>
      <c r="I82" s="336"/>
      <c r="J82" s="183">
        <v>2049.27</v>
      </c>
      <c r="K82" s="183">
        <v>2212.77</v>
      </c>
      <c r="M82" s="359">
        <f t="shared" ref="M82:M92" si="17">G82/G$228</f>
        <v>2.0336333744348543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'[57]Sch C'!D76</f>
        <v>5541.14</v>
      </c>
      <c r="D83" s="558">
        <f>'[57]Sch C'!F76</f>
        <v>0</v>
      </c>
      <c r="E83" s="171">
        <f t="shared" si="14"/>
        <v>5541.14</v>
      </c>
      <c r="F83" s="171"/>
      <c r="G83" s="171">
        <f t="shared" si="15"/>
        <v>5541.14</v>
      </c>
      <c r="H83" s="172">
        <f t="shared" si="16"/>
        <v>1.21003314127376E-3</v>
      </c>
      <c r="I83" s="336"/>
      <c r="J83" s="168"/>
      <c r="K83" s="168"/>
      <c r="M83" s="359">
        <f t="shared" si="17"/>
        <v>0.28468660090423348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'[57]Sch C'!D77</f>
        <v>6961.05</v>
      </c>
      <c r="D84" s="558">
        <f>'[57]Sch C'!F77</f>
        <v>0</v>
      </c>
      <c r="E84" s="171">
        <f t="shared" si="14"/>
        <v>6961.05</v>
      </c>
      <c r="F84" s="171"/>
      <c r="G84" s="171">
        <f t="shared" si="15"/>
        <v>6961.05</v>
      </c>
      <c r="H84" s="172">
        <f t="shared" si="16"/>
        <v>1.5201025778203954E-3</v>
      </c>
      <c r="I84" s="336"/>
      <c r="J84" s="168"/>
      <c r="K84" s="168"/>
      <c r="M84" s="359">
        <f t="shared" si="17"/>
        <v>0.35763717632552405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'[57]Sch C'!D78</f>
        <v>0</v>
      </c>
      <c r="D85" s="558">
        <f>'[57]Sch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'[57]Sch C'!D79</f>
        <v>8205.18</v>
      </c>
      <c r="D86" s="558">
        <f>'[57]Sch C'!F79</f>
        <v>0</v>
      </c>
      <c r="E86" s="171">
        <f t="shared" si="14"/>
        <v>8205.18</v>
      </c>
      <c r="F86" s="171"/>
      <c r="G86" s="171">
        <f>E86+F86</f>
        <v>8205.18</v>
      </c>
      <c r="H86" s="172">
        <f t="shared" si="16"/>
        <v>1.7917864789766418E-3</v>
      </c>
      <c r="I86" s="336"/>
      <c r="J86" s="168"/>
      <c r="K86" s="168"/>
      <c r="M86" s="359">
        <f t="shared" si="17"/>
        <v>0.42155672009864364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'[57]Sch C'!D80</f>
        <v>8207.3799999999992</v>
      </c>
      <c r="D87" s="558">
        <f>'[57]Sch C'!F80</f>
        <v>0</v>
      </c>
      <c r="E87" s="171">
        <f t="shared" si="14"/>
        <v>8207.3799999999992</v>
      </c>
      <c r="F87" s="171"/>
      <c r="G87" s="171">
        <f t="shared" si="15"/>
        <v>8207.3799999999992</v>
      </c>
      <c r="H87" s="172">
        <f t="shared" si="16"/>
        <v>1.7922668986936677E-3</v>
      </c>
      <c r="I87" s="336"/>
      <c r="J87" s="168"/>
      <c r="K87" s="168"/>
      <c r="M87" s="359">
        <f t="shared" si="17"/>
        <v>0.42166974928072337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'[57]Sch C'!D81</f>
        <v>3445.88</v>
      </c>
      <c r="D88" s="558">
        <f>'[57]Sch C'!F81</f>
        <v>0</v>
      </c>
      <c r="E88" s="171">
        <f t="shared" si="14"/>
        <v>3445.88</v>
      </c>
      <c r="F88" s="171"/>
      <c r="G88" s="171">
        <f t="shared" si="15"/>
        <v>3445.88</v>
      </c>
      <c r="H88" s="172">
        <f t="shared" si="16"/>
        <v>7.5248577023002907E-4</v>
      </c>
      <c r="I88" s="336"/>
      <c r="J88" s="168"/>
      <c r="K88" s="168"/>
      <c r="M88" s="359">
        <f t="shared" si="17"/>
        <v>0.1770386354295109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'[57]Sch C'!D82</f>
        <v>3272.17</v>
      </c>
      <c r="D89" s="558">
        <f>'[57]Sch C'!F82</f>
        <v>0</v>
      </c>
      <c r="E89" s="171">
        <f t="shared" si="14"/>
        <v>3272.17</v>
      </c>
      <c r="F89" s="171"/>
      <c r="G89" s="171">
        <f t="shared" si="15"/>
        <v>3272.17</v>
      </c>
      <c r="H89" s="172">
        <f t="shared" si="16"/>
        <v>7.1455226611884172E-4</v>
      </c>
      <c r="I89" s="336"/>
      <c r="J89" s="168"/>
      <c r="K89" s="168"/>
      <c r="M89" s="359">
        <f t="shared" si="17"/>
        <v>0.16811395396629675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'[57]Sch C'!D83</f>
        <v>0</v>
      </c>
      <c r="D90" s="558">
        <f>'[57]Sch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'[57]Sch C'!D84</f>
        <v>67582.429999999993</v>
      </c>
      <c r="D91" s="558">
        <f>'[57]Sch C'!F84</f>
        <v>0</v>
      </c>
      <c r="E91" s="171">
        <f t="shared" si="14"/>
        <v>67582.429999999993</v>
      </c>
      <c r="F91" s="171"/>
      <c r="G91" s="171">
        <f t="shared" si="15"/>
        <v>67582.429999999993</v>
      </c>
      <c r="H91" s="172">
        <f t="shared" si="16"/>
        <v>1.4758150862063397E-2</v>
      </c>
      <c r="I91" s="336"/>
      <c r="J91" s="168"/>
      <c r="K91" s="168"/>
      <c r="M91" s="359">
        <f t="shared" si="17"/>
        <v>3.4721758117550348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'[57]Sch C'!D85</f>
        <v>0</v>
      </c>
      <c r="D92" s="558">
        <f>'[57]Sch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142797.87</v>
      </c>
      <c r="D93" s="558">
        <f>SUM(D82:D92)</f>
        <v>0</v>
      </c>
      <c r="E93" s="171">
        <f t="shared" ref="E93:F93" si="18">SUM(E82:E92)</f>
        <v>142797.87</v>
      </c>
      <c r="F93" s="171">
        <f t="shared" si="18"/>
        <v>0</v>
      </c>
      <c r="G93" s="171">
        <f>SUM(G82:G92)</f>
        <v>142797.87</v>
      </c>
      <c r="H93" s="172">
        <f t="shared" si="16"/>
        <v>3.118314195333487E-2</v>
      </c>
      <c r="I93" s="336"/>
      <c r="J93" s="168"/>
      <c r="K93" s="168"/>
      <c r="M93" s="364">
        <f>G93/G$228</f>
        <v>7.336512022194821</v>
      </c>
      <c r="N93" s="359">
        <f>SUMMARY!J96</f>
        <v>11.458724454710746</v>
      </c>
      <c r="O93" s="354">
        <f>M93/N93-1</f>
        <v>-0.35974444178394216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'[57]Sch C'!D89</f>
        <v>180036.06</v>
      </c>
      <c r="D96" s="558">
        <f>'[57]Sch C'!F89</f>
        <v>0</v>
      </c>
      <c r="E96" s="171">
        <f t="shared" ref="E96:E101" si="19">C96+D96</f>
        <v>180036.06</v>
      </c>
      <c r="F96" s="171"/>
      <c r="G96" s="171">
        <f t="shared" ref="G96:G101" si="20">E96+F96</f>
        <v>180036.06</v>
      </c>
      <c r="H96" s="172">
        <f t="shared" ref="H96:H102" si="21">IF($G$208=0,0,G96/$G$208)</f>
        <v>3.9314942272592121E-2</v>
      </c>
      <c r="I96" s="336"/>
      <c r="J96" s="183">
        <v>13431.63</v>
      </c>
      <c r="K96" s="183">
        <v>14658.18</v>
      </c>
      <c r="M96" s="364">
        <f t="shared" ref="M96:M101" si="22">G96/G$228</f>
        <v>9.2496948212083847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'[57]Sch C'!D90</f>
        <v>29455.05</v>
      </c>
      <c r="D97" s="558">
        <f>'[57]Sch C'!F90</f>
        <v>0</v>
      </c>
      <c r="E97" s="171">
        <f t="shared" si="19"/>
        <v>29455.05</v>
      </c>
      <c r="F97" s="171"/>
      <c r="G97" s="171">
        <f t="shared" si="20"/>
        <v>29455.05</v>
      </c>
      <c r="H97" s="172">
        <f t="shared" si="21"/>
        <v>6.4321758118141134E-3</v>
      </c>
      <c r="I97" s="336"/>
      <c r="J97" s="168"/>
      <c r="K97" s="168"/>
      <c r="M97" s="364">
        <f t="shared" si="22"/>
        <v>1.5133091861898891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'[57]Sch C'!D91</f>
        <v>15057.21</v>
      </c>
      <c r="D98" s="558">
        <f>'[57]Sch C'!F91</f>
        <v>0</v>
      </c>
      <c r="E98" s="171">
        <f t="shared" si="19"/>
        <v>15057.21</v>
      </c>
      <c r="F98" s="171"/>
      <c r="G98" s="171">
        <f t="shared" si="20"/>
        <v>15057.21</v>
      </c>
      <c r="H98" s="172">
        <f t="shared" si="21"/>
        <v>3.2880820760924048E-3</v>
      </c>
      <c r="I98" s="336"/>
      <c r="J98" s="168"/>
      <c r="K98" s="168"/>
      <c r="M98" s="364">
        <f t="shared" si="22"/>
        <v>0.77359278668310727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'[57]Sch C'!D92</f>
        <v>132807.10999999999</v>
      </c>
      <c r="D99" s="558">
        <f>'[57]Sch C'!F92</f>
        <v>0</v>
      </c>
      <c r="E99" s="171">
        <f t="shared" si="19"/>
        <v>132807.10999999999</v>
      </c>
      <c r="F99" s="171"/>
      <c r="G99" s="171">
        <f t="shared" si="20"/>
        <v>132807.10999999999</v>
      </c>
      <c r="H99" s="172">
        <f t="shared" si="21"/>
        <v>2.9001433729663885E-2</v>
      </c>
      <c r="I99" s="336"/>
      <c r="J99" s="168"/>
      <c r="K99" s="168"/>
      <c r="M99" s="364">
        <f t="shared" si="22"/>
        <v>6.8232177353062058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'[57]Sch C'!D93</f>
        <v>8607.43</v>
      </c>
      <c r="D100" s="558">
        <f>'[57]Sch C'!F93</f>
        <v>0</v>
      </c>
      <c r="E100" s="171">
        <f t="shared" si="19"/>
        <v>8607.43</v>
      </c>
      <c r="F100" s="171"/>
      <c r="G100" s="171">
        <f t="shared" si="20"/>
        <v>8607.43</v>
      </c>
      <c r="H100" s="172">
        <f t="shared" si="21"/>
        <v>1.8796268567829E-3</v>
      </c>
      <c r="I100" s="336"/>
      <c r="J100" s="168"/>
      <c r="K100" s="168"/>
      <c r="M100" s="364">
        <f t="shared" si="22"/>
        <v>0.44222307850390463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'[57]Sch C'!D94</f>
        <v>615.25</v>
      </c>
      <c r="D101" s="558">
        <f>'[57]Sch C'!F94</f>
        <v>0</v>
      </c>
      <c r="E101" s="171">
        <f t="shared" si="19"/>
        <v>615.25</v>
      </c>
      <c r="F101" s="171"/>
      <c r="G101" s="171">
        <f t="shared" si="20"/>
        <v>615.25</v>
      </c>
      <c r="H101" s="172">
        <f t="shared" si="21"/>
        <v>1.3435374131833534E-4</v>
      </c>
      <c r="I101" s="336"/>
      <c r="J101" s="168"/>
      <c r="K101" s="168"/>
      <c r="M101" s="364">
        <f t="shared" si="22"/>
        <v>3.1609638306617345E-2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366578.10999999993</v>
      </c>
      <c r="D102" s="558">
        <f>SUM(D96:D101)</f>
        <v>0</v>
      </c>
      <c r="E102" s="171">
        <f t="shared" ref="E102:F102" si="23">SUM(E96:E101)</f>
        <v>366578.10999999993</v>
      </c>
      <c r="F102" s="171">
        <f t="shared" si="23"/>
        <v>0</v>
      </c>
      <c r="G102" s="171">
        <f>SUM(G96:G101)</f>
        <v>366578.10999999993</v>
      </c>
      <c r="H102" s="172">
        <f t="shared" si="21"/>
        <v>8.0050614488263741E-2</v>
      </c>
      <c r="I102" s="336"/>
      <c r="J102" s="168"/>
      <c r="K102" s="168"/>
      <c r="M102" s="364">
        <f>G102/G$228</f>
        <v>18.833647246198105</v>
      </c>
      <c r="N102" s="359">
        <f>SUMMARY!J105</f>
        <v>19.901077037785338</v>
      </c>
      <c r="O102" s="354">
        <f>M102/N102-1</f>
        <v>-5.3636785062464165E-2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'[57]Sch C'!D98</f>
        <v>300.13</v>
      </c>
      <c r="D105" s="558">
        <f>'[57]Sch C'!F98</f>
        <v>0</v>
      </c>
      <c r="E105" s="171">
        <f t="shared" ref="E105:E110" si="24">C105+D105</f>
        <v>300.13</v>
      </c>
      <c r="F105" s="171"/>
      <c r="G105" s="171">
        <f t="shared" ref="G105:G110" si="25">E105+F105</f>
        <v>300.13</v>
      </c>
      <c r="H105" s="172">
        <f t="shared" ref="H105:H111" si="26">IF($G$208=0,0,G105/$G$208)</f>
        <v>6.5540168032299039E-5</v>
      </c>
      <c r="I105" s="336"/>
      <c r="J105" s="183">
        <v>0</v>
      </c>
      <c r="K105" s="183">
        <v>16</v>
      </c>
      <c r="M105" s="364">
        <f t="shared" ref="M105:M110" si="27">G105/G$228</f>
        <v>1.5419749280723387E-2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'[57]Sch C'!D99</f>
        <v>1014.28</v>
      </c>
      <c r="D106" s="558">
        <f>'[57]Sch C'!F99</f>
        <v>0</v>
      </c>
      <c r="E106" s="171">
        <f t="shared" si="24"/>
        <v>1014.28</v>
      </c>
      <c r="F106" s="171"/>
      <c r="G106" s="171">
        <f t="shared" si="25"/>
        <v>1014.28</v>
      </c>
      <c r="H106" s="172">
        <f t="shared" si="26"/>
        <v>2.2149095935694623E-4</v>
      </c>
      <c r="I106" s="336"/>
      <c r="J106" s="168"/>
      <c r="K106" s="168"/>
      <c r="M106" s="364">
        <f t="shared" si="27"/>
        <v>5.211056309083436E-2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'[57]Sch C'!D100</f>
        <v>0</v>
      </c>
      <c r="D107" s="558">
        <f>'[57]Sch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'[57]Sch C'!D101</f>
        <v>268.54000000000002</v>
      </c>
      <c r="D108" s="558">
        <f>'[57]Sch C'!F101</f>
        <v>0</v>
      </c>
      <c r="E108" s="171">
        <f t="shared" si="24"/>
        <v>268.54000000000002</v>
      </c>
      <c r="F108" s="171"/>
      <c r="G108" s="171">
        <f t="shared" si="25"/>
        <v>268.54000000000002</v>
      </c>
      <c r="H108" s="172">
        <f t="shared" si="26"/>
        <v>5.8641777641000858E-5</v>
      </c>
      <c r="I108" s="336"/>
      <c r="J108" s="168"/>
      <c r="K108" s="168"/>
      <c r="M108" s="364">
        <f t="shared" si="27"/>
        <v>1.3796752979860256E-2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'[57]Sch C'!D102</f>
        <v>2578.19</v>
      </c>
      <c r="D109" s="558">
        <f>'[57]Sch C'!F102</f>
        <v>0</v>
      </c>
      <c r="E109" s="171">
        <f t="shared" si="24"/>
        <v>2578.19</v>
      </c>
      <c r="F109" s="171"/>
      <c r="G109" s="171">
        <f t="shared" si="25"/>
        <v>2578.19</v>
      </c>
      <c r="H109" s="172">
        <f t="shared" si="26"/>
        <v>5.6300605010892971E-4</v>
      </c>
      <c r="I109" s="336"/>
      <c r="J109" s="168"/>
      <c r="K109" s="168"/>
      <c r="M109" s="364">
        <f t="shared" si="27"/>
        <v>0.13245941224825319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'[57]Sch C'!D103</f>
        <v>0</v>
      </c>
      <c r="D110" s="558">
        <f>'[57]Sch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4161.1399999999994</v>
      </c>
      <c r="D111" s="558">
        <f>SUM(D105:D110)</f>
        <v>0</v>
      </c>
      <c r="E111" s="171">
        <f t="shared" ref="E111:F111" si="28">SUM(E105:E110)</f>
        <v>4161.1399999999994</v>
      </c>
      <c r="F111" s="171">
        <f t="shared" si="28"/>
        <v>0</v>
      </c>
      <c r="G111" s="171">
        <f>SUM(G105:G110)</f>
        <v>4161.1399999999994</v>
      </c>
      <c r="H111" s="172">
        <f t="shared" si="26"/>
        <v>9.0867895513917576E-4</v>
      </c>
      <c r="I111" s="336"/>
      <c r="J111" s="168"/>
      <c r="K111" s="168"/>
      <c r="M111" s="364">
        <f>G111/G$228</f>
        <v>0.21378647759967115</v>
      </c>
      <c r="N111" s="359">
        <f>SUMMARY!J114</f>
        <v>2.4242384372309496</v>
      </c>
      <c r="O111" s="354">
        <f>M111/N111-1</f>
        <v>-0.91181293295396071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'[57]Sch C'!D115</f>
        <v>95363.6</v>
      </c>
      <c r="D114" s="558">
        <f>'[57]Sch C'!F115</f>
        <v>0</v>
      </c>
      <c r="E114" s="171">
        <f t="shared" ref="E114:E118" si="29">C114+D114</f>
        <v>95363.6</v>
      </c>
      <c r="F114" s="171"/>
      <c r="G114" s="171">
        <f>E114+F114</f>
        <v>95363.6</v>
      </c>
      <c r="H114" s="172">
        <f t="shared" ref="H114:H119" si="30">IF($G$208=0,0,G114/$G$208)</f>
        <v>2.0824797148452184E-2</v>
      </c>
      <c r="I114" s="336"/>
      <c r="J114" s="183">
        <v>9114.66</v>
      </c>
      <c r="K114" s="183">
        <v>10129</v>
      </c>
      <c r="M114" s="364">
        <f t="shared" ref="M114:M119" si="31">G114/G$228</f>
        <v>4.8994862309905471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'[57]Sch C'!D116</f>
        <v>19650.8</v>
      </c>
      <c r="D115" s="558">
        <f>'[57]Sch C'!F116</f>
        <v>0</v>
      </c>
      <c r="E115" s="171">
        <f t="shared" si="29"/>
        <v>19650.8</v>
      </c>
      <c r="F115" s="171"/>
      <c r="G115" s="171">
        <f>E115+F115</f>
        <v>19650.8</v>
      </c>
      <c r="H115" s="172">
        <f t="shared" si="30"/>
        <v>4.2911962615170161E-3</v>
      </c>
      <c r="I115" s="336"/>
      <c r="J115" s="168"/>
      <c r="K115" s="168"/>
      <c r="M115" s="364">
        <f t="shared" si="31"/>
        <v>1.0095972050965885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'[57]Sch C'!D117</f>
        <v>18322.37</v>
      </c>
      <c r="D116" s="558">
        <f>'[57]Sch C'!F117</f>
        <v>0</v>
      </c>
      <c r="E116" s="171">
        <f t="shared" si="29"/>
        <v>18322.37</v>
      </c>
      <c r="F116" s="171"/>
      <c r="G116" s="171">
        <f>E116+F116</f>
        <v>18322.37</v>
      </c>
      <c r="H116" s="172">
        <f t="shared" si="30"/>
        <v>4.0011035502947219E-3</v>
      </c>
      <c r="I116" s="336"/>
      <c r="J116" s="168"/>
      <c r="K116" s="168"/>
      <c r="M116" s="364">
        <f t="shared" si="31"/>
        <v>0.94134658857377718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'[57]Sch C'!D118</f>
        <v>190.93</v>
      </c>
      <c r="D117" s="558">
        <f>'[57]Sch C'!F118</f>
        <v>0</v>
      </c>
      <c r="E117" s="171">
        <f t="shared" si="29"/>
        <v>190.93</v>
      </c>
      <c r="F117" s="171"/>
      <c r="G117" s="171">
        <f>E117+F117</f>
        <v>190.93</v>
      </c>
      <c r="H117" s="172">
        <f t="shared" si="30"/>
        <v>4.1693880259910226E-5</v>
      </c>
      <c r="I117" s="336"/>
      <c r="J117" s="168"/>
      <c r="K117" s="168"/>
      <c r="M117" s="364">
        <f t="shared" si="31"/>
        <v>9.8093916974928072E-3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'[57]Sch C'!D119</f>
        <v>366.4</v>
      </c>
      <c r="D118" s="558">
        <f>'[57]Sch C'!F119</f>
        <v>0</v>
      </c>
      <c r="E118" s="171">
        <f t="shared" si="29"/>
        <v>366.4</v>
      </c>
      <c r="F118" s="171"/>
      <c r="G118" s="171">
        <f>E118+F118</f>
        <v>366.4</v>
      </c>
      <c r="H118" s="172">
        <f t="shared" si="30"/>
        <v>8.001172014471852E-5</v>
      </c>
      <c r="I118" s="336"/>
      <c r="J118" s="168"/>
      <c r="K118" s="168"/>
      <c r="M118" s="364">
        <f t="shared" si="31"/>
        <v>1.8824496506370733E-2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133894.1</v>
      </c>
      <c r="D119" s="558">
        <f>SUM(D114:D118)</f>
        <v>0</v>
      </c>
      <c r="E119" s="171">
        <f t="shared" ref="E119:F119" si="32">SUM(E114:E118)</f>
        <v>133894.1</v>
      </c>
      <c r="F119" s="171">
        <f t="shared" si="32"/>
        <v>0</v>
      </c>
      <c r="G119" s="171">
        <f>SUM(G114:G118)</f>
        <v>133894.1</v>
      </c>
      <c r="H119" s="172">
        <f t="shared" si="30"/>
        <v>2.9238802560668551E-2</v>
      </c>
      <c r="I119" s="336"/>
      <c r="J119" s="168"/>
      <c r="K119" s="168"/>
      <c r="M119" s="364">
        <f t="shared" si="31"/>
        <v>6.8790639128647761</v>
      </c>
      <c r="N119" s="359">
        <f>SUMMARY!J122</f>
        <v>6.0247597205909562</v>
      </c>
      <c r="O119" s="354">
        <f>M119/N119-1</f>
        <v>0.14179888192952239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'[57]Sch C'!D124</f>
        <v>0</v>
      </c>
      <c r="D123" s="558">
        <f>'[57]Sch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'[57]Sch C'!D125</f>
        <v>0</v>
      </c>
      <c r="D124" s="558">
        <f>'[57]Sch C'!F125</f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6"/>
      <c r="J124" s="183" t="s">
        <v>198</v>
      </c>
      <c r="K124" s="183" t="s">
        <v>198</v>
      </c>
      <c r="M124" s="364">
        <f t="shared" si="34"/>
        <v>0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'[57]Sch C'!D126</f>
        <v>0</v>
      </c>
      <c r="D125" s="558">
        <f>'[57]Sch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 t="s">
        <v>198</v>
      </c>
      <c r="K125" s="183" t="s">
        <v>198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'[57]Sch C'!D127</f>
        <v>0</v>
      </c>
      <c r="D126" s="558">
        <f>'[57]Sch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 t="s">
        <v>198</v>
      </c>
      <c r="K126" s="183" t="s">
        <v>198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'[57]Sch C'!D128</f>
        <v>235792.63</v>
      </c>
      <c r="D127" s="558">
        <f>'[57]Sch C'!F128</f>
        <v>0</v>
      </c>
      <c r="E127" s="171">
        <f t="shared" si="33"/>
        <v>235792.63</v>
      </c>
      <c r="F127" s="171"/>
      <c r="G127" s="171">
        <f>E127+F127</f>
        <v>235792.63</v>
      </c>
      <c r="H127" s="172">
        <f>IF($G$208=0,0,G127/$G$208)</f>
        <v>5.1490649355205136E-2</v>
      </c>
      <c r="I127" s="336"/>
      <c r="J127" s="183" t="s">
        <v>198</v>
      </c>
      <c r="K127" s="183" t="s">
        <v>198</v>
      </c>
      <c r="M127" s="364">
        <f t="shared" si="34"/>
        <v>12.114294595150021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'[57]Sch C'!D130</f>
        <v>0</v>
      </c>
      <c r="D129" s="558">
        <f>'[57]Sch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'[57]Sch C'!D131</f>
        <v>0</v>
      </c>
      <c r="D130" s="558">
        <f>'[57]Sch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'[57]Sch C'!D132</f>
        <v>0</v>
      </c>
      <c r="D131" s="558">
        <f>'[57]Sch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'[57]Sch C'!D133</f>
        <v>0</v>
      </c>
      <c r="D132" s="558">
        <f>'[57]Sch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'[57]Sch C'!D134</f>
        <v>32933.870000000003</v>
      </c>
      <c r="D133" s="558">
        <f>'[57]Sch C'!F134</f>
        <v>0</v>
      </c>
      <c r="E133" s="171">
        <f t="shared" si="35"/>
        <v>32933.870000000003</v>
      </c>
      <c r="F133" s="171"/>
      <c r="G133" s="171">
        <f>E133+F133</f>
        <v>32933.870000000003</v>
      </c>
      <c r="H133" s="172">
        <f>IF($G$208=0,0,G133/$G$208)</f>
        <v>7.1918547754436166E-3</v>
      </c>
      <c r="I133" s="336"/>
      <c r="J133" s="168"/>
      <c r="K133" s="168"/>
      <c r="M133" s="364">
        <f t="shared" si="34"/>
        <v>1.6920401767365394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'[57]Sch C'!D136</f>
        <v>439018.85</v>
      </c>
      <c r="D135" s="558">
        <f>'[57]Sch C'!F136</f>
        <v>0</v>
      </c>
      <c r="E135" s="171">
        <f t="shared" ref="E135:E138" si="36">C135+D135</f>
        <v>439018.85</v>
      </c>
      <c r="F135" s="171"/>
      <c r="G135" s="171">
        <f>E135+F135</f>
        <v>439018.85</v>
      </c>
      <c r="H135" s="172">
        <f>IF($G$208=0,0,G135/$G$208)</f>
        <v>9.5869687130065925E-2</v>
      </c>
      <c r="I135" s="336"/>
      <c r="J135" s="183">
        <v>13111.17</v>
      </c>
      <c r="K135" s="183">
        <v>14765.56</v>
      </c>
      <c r="M135" s="364">
        <f t="shared" si="34"/>
        <v>22.555427969584873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'[57]Sch C'!D137</f>
        <v>99553.46</v>
      </c>
      <c r="D136" s="558">
        <f>'[57]Sch C'!F137</f>
        <v>0</v>
      </c>
      <c r="E136" s="171">
        <f t="shared" si="36"/>
        <v>99553.46</v>
      </c>
      <c r="F136" s="171"/>
      <c r="G136" s="171">
        <f>E136+F136</f>
        <v>99553.46</v>
      </c>
      <c r="H136" s="172">
        <f>IF($G$208=0,0,G136/$G$208)</f>
        <v>2.1739747764624538E-2</v>
      </c>
      <c r="I136" s="336"/>
      <c r="J136" s="183">
        <v>3973.88</v>
      </c>
      <c r="K136" s="183">
        <v>4043.42</v>
      </c>
      <c r="M136" s="364">
        <f t="shared" si="34"/>
        <v>5.1147482531853683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'[57]Sch C'!D138</f>
        <v>556469.9</v>
      </c>
      <c r="D137" s="558">
        <f>'[57]Sch C'!F138</f>
        <v>0</v>
      </c>
      <c r="E137" s="171">
        <f t="shared" si="36"/>
        <v>556469.9</v>
      </c>
      <c r="F137" s="171"/>
      <c r="G137" s="171">
        <f>E137+F137</f>
        <v>556469.9</v>
      </c>
      <c r="H137" s="172">
        <f>IF($G$208=0,0,G137/$G$208)</f>
        <v>0.1215177781325314</v>
      </c>
      <c r="I137" s="336"/>
      <c r="J137" s="183">
        <v>37399.89</v>
      </c>
      <c r="K137" s="183">
        <v>39855.379999999997</v>
      </c>
      <c r="M137" s="364">
        <f t="shared" si="34"/>
        <v>28.589698931360463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'[57]Sch C'!D139</f>
        <v>43114.48</v>
      </c>
      <c r="D138" s="558">
        <f>'[57]Sch C'!F139</f>
        <v>0</v>
      </c>
      <c r="E138" s="171">
        <f t="shared" si="36"/>
        <v>43114.48</v>
      </c>
      <c r="F138" s="171"/>
      <c r="G138" s="171">
        <f>E138+F138</f>
        <v>43114.48</v>
      </c>
      <c r="H138" s="172">
        <f>IF($G$208=0,0,G138/$G$208)</f>
        <v>9.4150210369679695E-3</v>
      </c>
      <c r="I138" s="336"/>
      <c r="J138" s="183">
        <v>2673.93</v>
      </c>
      <c r="K138" s="183">
        <v>2790.4</v>
      </c>
      <c r="M138" s="364">
        <f t="shared" si="34"/>
        <v>2.2150883682696261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'[57]Sch C'!D141</f>
        <v>74320.14</v>
      </c>
      <c r="D140" s="558">
        <f>'[57]Sch C'!F141</f>
        <v>0</v>
      </c>
      <c r="E140" s="171">
        <f t="shared" ref="E140:E143" si="37">C140+D140</f>
        <v>74320.14</v>
      </c>
      <c r="F140" s="171"/>
      <c r="G140" s="171">
        <f>E140+F140</f>
        <v>74320.14</v>
      </c>
      <c r="H140" s="172">
        <f>IF($G$208=0,0,G140/$G$208)</f>
        <v>1.6229482103701693E-2</v>
      </c>
      <c r="I140" s="336"/>
      <c r="J140" s="168"/>
      <c r="K140" s="168"/>
      <c r="M140" s="364">
        <f t="shared" si="34"/>
        <v>3.818338471023428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'[57]Sch C'!D142</f>
        <v>16722.03</v>
      </c>
      <c r="D141" s="558">
        <f>'[57]Sch C'!F142</f>
        <v>0</v>
      </c>
      <c r="E141" s="171">
        <f t="shared" si="37"/>
        <v>16722.03</v>
      </c>
      <c r="F141" s="171"/>
      <c r="G141" s="171">
        <f>E141+F141</f>
        <v>16722.03</v>
      </c>
      <c r="H141" s="172">
        <f>IF($G$208=0,0,G141/$G$208)</f>
        <v>3.6516331457739828E-3</v>
      </c>
      <c r="I141" s="336"/>
      <c r="J141" s="168"/>
      <c r="K141" s="168"/>
      <c r="M141" s="364">
        <f t="shared" si="34"/>
        <v>0.85912607891491977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'[57]Sch C'!D143</f>
        <v>94758.18</v>
      </c>
      <c r="D142" s="558">
        <f>'[57]Sch C'!F143</f>
        <v>0</v>
      </c>
      <c r="E142" s="171">
        <f t="shared" si="37"/>
        <v>94758.18</v>
      </c>
      <c r="F142" s="171"/>
      <c r="G142" s="171">
        <f>E142+F142</f>
        <v>94758.18</v>
      </c>
      <c r="H142" s="172">
        <f>IF($G$208=0,0,G142/$G$208)</f>
        <v>2.0692590009778557E-2</v>
      </c>
      <c r="I142" s="336"/>
      <c r="J142" s="168"/>
      <c r="K142" s="168"/>
      <c r="M142" s="364">
        <f t="shared" si="34"/>
        <v>4.8683816276202219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'[57]Sch C'!D144</f>
        <v>4974.47</v>
      </c>
      <c r="D143" s="558">
        <f>'[57]Sch C'!F144</f>
        <v>0</v>
      </c>
      <c r="E143" s="171">
        <f t="shared" si="37"/>
        <v>4974.47</v>
      </c>
      <c r="F143" s="171"/>
      <c r="G143" s="171">
        <f>E143+F143</f>
        <v>4974.47</v>
      </c>
      <c r="H143" s="172">
        <f>IF($G$208=0,0,G143/$G$208)</f>
        <v>1.0862879407977566E-3</v>
      </c>
      <c r="I143" s="336"/>
      <c r="J143" s="168"/>
      <c r="K143" s="168"/>
      <c r="M143" s="364">
        <f t="shared" si="34"/>
        <v>0.25557285244554051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'[57]Sch C'!D146</f>
        <v>149790.44</v>
      </c>
      <c r="D145" s="558">
        <f>'[57]Sch C'!F146</f>
        <v>0</v>
      </c>
      <c r="E145" s="171">
        <f t="shared" ref="E145:E153" si="38">C145+D145</f>
        <v>149790.44</v>
      </c>
      <c r="F145" s="171"/>
      <c r="G145" s="171">
        <f t="shared" ref="G145:G153" si="39">E145+F145</f>
        <v>149790.44</v>
      </c>
      <c r="H145" s="172">
        <f t="shared" ref="H145:H153" si="40">IF($G$208=0,0,G145/$G$208)</f>
        <v>3.2710127635464659E-2</v>
      </c>
      <c r="I145" s="336"/>
      <c r="J145" s="183">
        <v>0</v>
      </c>
      <c r="K145" s="183">
        <v>0</v>
      </c>
      <c r="M145" s="364">
        <f t="shared" si="34"/>
        <v>7.6957685984381428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'[57]Sch C'!D147</f>
        <v>0</v>
      </c>
      <c r="D146" s="558">
        <f>'[57]Sch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'[57]Sch C'!D148</f>
        <v>0</v>
      </c>
      <c r="D147" s="558">
        <f>'[57]Sch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'[57]Sch C'!D149</f>
        <v>0</v>
      </c>
      <c r="D148" s="558">
        <f>'[57]Sch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'[57]Sch C'!D150</f>
        <v>0</v>
      </c>
      <c r="D149" s="558">
        <f>'[57]Sch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6"/>
      <c r="J149" s="183">
        <v>0</v>
      </c>
      <c r="K149" s="183">
        <v>0</v>
      </c>
      <c r="M149" s="364">
        <f t="shared" si="34"/>
        <v>0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'[57]Sch C'!D151</f>
        <v>88009.06</v>
      </c>
      <c r="D150" s="558">
        <f>'[57]Sch C'!F151</f>
        <v>0</v>
      </c>
      <c r="E150" s="171">
        <f t="shared" si="38"/>
        <v>88009.06</v>
      </c>
      <c r="F150" s="171"/>
      <c r="G150" s="171">
        <f t="shared" si="39"/>
        <v>88009.06</v>
      </c>
      <c r="H150" s="172">
        <f t="shared" si="40"/>
        <v>1.9218767136789685E-2</v>
      </c>
      <c r="I150" s="336"/>
      <c r="J150" s="168"/>
      <c r="K150" s="168"/>
      <c r="M150" s="364">
        <f t="shared" si="34"/>
        <v>4.5216327579120428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'[57]Sch C'!D152</f>
        <v>1580.92</v>
      </c>
      <c r="D151" s="558">
        <f>'[57]Sch C'!F152</f>
        <v>0</v>
      </c>
      <c r="E151" s="171">
        <f t="shared" si="38"/>
        <v>1580.92</v>
      </c>
      <c r="F151" s="171"/>
      <c r="G151" s="171">
        <f t="shared" si="39"/>
        <v>1580.92</v>
      </c>
      <c r="H151" s="172">
        <f t="shared" si="40"/>
        <v>3.4522960865499019E-4</v>
      </c>
      <c r="I151" s="336"/>
      <c r="J151" s="168"/>
      <c r="K151" s="168"/>
      <c r="M151" s="364">
        <f t="shared" si="34"/>
        <v>8.1222770242498979E-2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'[57]Sch C'!D153</f>
        <v>19178.14</v>
      </c>
      <c r="D152" s="558">
        <f>'[57]Sch C'!F153</f>
        <v>0</v>
      </c>
      <c r="E152" s="171">
        <f t="shared" si="38"/>
        <v>19178.14</v>
      </c>
      <c r="F152" s="171"/>
      <c r="G152" s="171">
        <f t="shared" si="39"/>
        <v>19178.14</v>
      </c>
      <c r="H152" s="172">
        <f t="shared" si="40"/>
        <v>4.1879802690399344E-3</v>
      </c>
      <c r="I152" s="336"/>
      <c r="J152" s="168"/>
      <c r="K152" s="168"/>
      <c r="M152" s="364">
        <f t="shared" si="34"/>
        <v>0.98531339909576654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'[57]Sch C'!D154</f>
        <v>0</v>
      </c>
      <c r="D153" s="558">
        <f>'[57]Sch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'[57]Sch C'!D156</f>
        <v>0</v>
      </c>
      <c r="D155" s="558">
        <f>'[57]Sch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'[57]Sch C'!D157</f>
        <v>0</v>
      </c>
      <c r="D156" s="558">
        <f>'[57]Sch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'[57]Sch C'!D158</f>
        <v>0</v>
      </c>
      <c r="D157" s="558">
        <f>'[57]Sch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'[57]Sch C'!D159</f>
        <v>0</v>
      </c>
      <c r="D158" s="558">
        <f>'[57]Sch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'[57]Sch C'!D160</f>
        <v>1745</v>
      </c>
      <c r="D159" s="558">
        <f>'[57]Sch C'!F160</f>
        <v>0</v>
      </c>
      <c r="E159" s="171">
        <f t="shared" si="41"/>
        <v>1745</v>
      </c>
      <c r="F159" s="171"/>
      <c r="G159" s="171">
        <f t="shared" si="42"/>
        <v>1745</v>
      </c>
      <c r="H159" s="172">
        <f>IF($G$208=0,0,G159/$G$208)</f>
        <v>3.8106018464119493E-4</v>
      </c>
      <c r="I159" s="336"/>
      <c r="J159" s="168"/>
      <c r="K159" s="168"/>
      <c r="M159" s="364">
        <f t="shared" si="34"/>
        <v>8.9652692149609539E-2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'[57]Sch C'!D161</f>
        <v>29379.8</v>
      </c>
      <c r="D160" s="558">
        <f>'[57]Sch C'!F161</f>
        <v>0</v>
      </c>
      <c r="E160" s="171">
        <f t="shared" si="41"/>
        <v>29379.8</v>
      </c>
      <c r="F160" s="171"/>
      <c r="G160" s="171">
        <f t="shared" si="42"/>
        <v>29379.8</v>
      </c>
      <c r="H160" s="172">
        <f t="shared" si="43"/>
        <v>6.4157432737658327E-3</v>
      </c>
      <c r="I160" s="336"/>
      <c r="J160" s="168"/>
      <c r="K160" s="168"/>
      <c r="M160" s="364">
        <f t="shared" si="34"/>
        <v>1.5094430743937526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1887341.3699999996</v>
      </c>
      <c r="D161" s="558">
        <f>SUM(D123:D160)</f>
        <v>0</v>
      </c>
      <c r="E161" s="171">
        <f t="shared" ref="E161:F161" si="44">SUM(E123:E160)</f>
        <v>1887341.3699999996</v>
      </c>
      <c r="F161" s="171">
        <f t="shared" si="44"/>
        <v>0</v>
      </c>
      <c r="G161" s="171">
        <f>SUM(G123:G160)</f>
        <v>1887341.3699999996</v>
      </c>
      <c r="H161" s="172">
        <f t="shared" si="43"/>
        <v>0.41214363950324678</v>
      </c>
      <c r="I161" s="336"/>
      <c r="J161" s="168"/>
      <c r="K161" s="168"/>
      <c r="M161" s="364">
        <f>G161/G$228</f>
        <v>96.965750616522797</v>
      </c>
      <c r="N161" s="359">
        <f>SUMMARY!J164</f>
        <v>105.56901037202306</v>
      </c>
      <c r="O161" s="354">
        <f>M161/N161-1</f>
        <v>-8.1494178312201182E-2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'[57]Sch C'!D175</f>
        <v>0</v>
      </c>
      <c r="D164" s="558">
        <f>'[57]Sch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'[57]Sch C'!D176</f>
        <v>0</v>
      </c>
      <c r="D165" s="558">
        <f>'[57]Sch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'[57]Sch C'!D177</f>
        <v>0</v>
      </c>
      <c r="D166" s="558">
        <f>'[57]Sch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'[57]Sch C'!D178</f>
        <v>0</v>
      </c>
      <c r="D167" s="558">
        <f>'[57]Sch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'[57]Sch C'!D179</f>
        <v>0</v>
      </c>
      <c r="D168" s="558">
        <f>'[57]Sch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'[57]Sch C'!D180</f>
        <v>0</v>
      </c>
      <c r="D169" s="558">
        <f>'[57]Sch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'[57]Sch C'!D181</f>
        <v>0</v>
      </c>
      <c r="D170" s="558">
        <f>'[57]Sch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'[57]Sch C'!D182</f>
        <v>0</v>
      </c>
      <c r="D171" s="558">
        <f>'[57]Sch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'[57]Sch C'!D183</f>
        <v>0</v>
      </c>
      <c r="D172" s="558">
        <f>'[57]Sch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'[57]Sch C'!D184</f>
        <v>0</v>
      </c>
      <c r="D173" s="558">
        <f>'[57]Sch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'[57]Sch C'!D185</f>
        <v>0</v>
      </c>
      <c r="D174" s="558">
        <f>'[57]Sch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'[57]Sch C'!D186</f>
        <v>0</v>
      </c>
      <c r="D175" s="558">
        <f>'[57]Sch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'[57]Sch C'!D187</f>
        <v>0</v>
      </c>
      <c r="D176" s="558">
        <f>'[57]Sch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'[57]Sch C'!D188</f>
        <v>0</v>
      </c>
      <c r="D177" s="558">
        <f>'[57]Sch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'[57]Sch C'!D189</f>
        <v>0</v>
      </c>
      <c r="D178" s="558">
        <f>'[57]Sch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'[57]Sch C'!D190</f>
        <v>0</v>
      </c>
      <c r="D179" s="558">
        <f>'[57]Sch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'[57]Sch C'!D191</f>
        <v>0</v>
      </c>
      <c r="D180" s="558">
        <f>'[57]Sch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'[57]Sch C'!D192</f>
        <v>0</v>
      </c>
      <c r="D181" s="558">
        <f>'[57]Sch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'[57]Sch C'!D193</f>
        <v>0</v>
      </c>
      <c r="D182" s="558">
        <f>'[57]Sch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'[57]Sch C'!D194</f>
        <v>204469.91</v>
      </c>
      <c r="D183" s="558">
        <f>'[57]Sch C'!F194</f>
        <v>-3980.09</v>
      </c>
      <c r="E183" s="171">
        <f t="shared" si="45"/>
        <v>200489.82</v>
      </c>
      <c r="F183" s="216"/>
      <c r="G183" s="171">
        <f t="shared" si="46"/>
        <v>200489.82</v>
      </c>
      <c r="H183" s="172">
        <f t="shared" si="47"/>
        <v>4.3781482995919732E-2</v>
      </c>
      <c r="I183" s="336"/>
      <c r="J183" s="223"/>
      <c r="K183" s="218"/>
      <c r="M183" s="364">
        <f t="shared" si="48"/>
        <v>10.300545622688039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'[57]Sch C'!D195</f>
        <v>45795.83</v>
      </c>
      <c r="D184" s="558">
        <f>'[57]Sch C'!F195</f>
        <v>-893.49</v>
      </c>
      <c r="E184" s="171">
        <f t="shared" si="45"/>
        <v>44902.340000000004</v>
      </c>
      <c r="F184" s="216"/>
      <c r="G184" s="171">
        <f t="shared" si="46"/>
        <v>44902.340000000004</v>
      </c>
      <c r="H184" s="172">
        <f t="shared" si="47"/>
        <v>9.8054406711872294E-3</v>
      </c>
      <c r="I184" s="336"/>
      <c r="J184" s="223"/>
      <c r="K184" s="218"/>
      <c r="M184" s="364">
        <f t="shared" si="48"/>
        <v>2.3069430743937529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'[57]Sch C'!D196</f>
        <v>0</v>
      </c>
      <c r="D185" s="558">
        <f>'[57]Sch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'[57]Sch C'!D197</f>
        <v>167994.78</v>
      </c>
      <c r="D186" s="558">
        <f>'[57]Sch C'!F197</f>
        <v>-3249.06</v>
      </c>
      <c r="E186" s="171">
        <f t="shared" si="45"/>
        <v>164745.72</v>
      </c>
      <c r="F186" s="216"/>
      <c r="G186" s="171">
        <f t="shared" si="46"/>
        <v>164745.72</v>
      </c>
      <c r="H186" s="172">
        <f t="shared" si="47"/>
        <v>3.5975950992576847E-2</v>
      </c>
      <c r="I186" s="336"/>
      <c r="J186" s="223"/>
      <c r="K186" s="218"/>
      <c r="M186" s="364">
        <f t="shared" si="48"/>
        <v>8.4641245376078924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'[57]Sch C'!D198</f>
        <v>23593.75</v>
      </c>
      <c r="D187" s="558">
        <f>'[57]Sch C'!F198</f>
        <v>0</v>
      </c>
      <c r="E187" s="171">
        <f t="shared" si="45"/>
        <v>23593.75</v>
      </c>
      <c r="F187" s="216"/>
      <c r="G187" s="171">
        <f t="shared" si="46"/>
        <v>23593.75</v>
      </c>
      <c r="H187" s="172">
        <f t="shared" si="47"/>
        <v>5.1522284993571303E-3</v>
      </c>
      <c r="I187" s="336"/>
      <c r="J187" s="223"/>
      <c r="K187" s="218"/>
      <c r="M187" s="364">
        <f t="shared" si="48"/>
        <v>1.2121737566789972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'[57]Sch C'!D199</f>
        <v>0</v>
      </c>
      <c r="D188" s="558">
        <f>'[57]Sch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'[57]Sch C'!D200</f>
        <v>0</v>
      </c>
      <c r="D189" s="558">
        <f>'[57]Sch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'[57]Sch C'!D201</f>
        <v>0</v>
      </c>
      <c r="D190" s="558">
        <f>'[57]Sch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'[57]Sch C'!D202</f>
        <v>0</v>
      </c>
      <c r="D191" s="558">
        <f>'[57]Sch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'[57]Sch C'!D203</f>
        <v>0</v>
      </c>
      <c r="D192" s="558">
        <f>'[57]Sch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'[57]Sch C'!D204</f>
        <v>0</v>
      </c>
      <c r="D193" s="558">
        <f>'[57]Sch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'[57]Sch C'!D205</f>
        <v>223831.21</v>
      </c>
      <c r="D194" s="558">
        <f>'[57]Sch C'!F205</f>
        <v>-63375.06</v>
      </c>
      <c r="E194" s="171">
        <f t="shared" si="45"/>
        <v>160456.15</v>
      </c>
      <c r="F194" s="216"/>
      <c r="G194" s="171">
        <f t="shared" si="46"/>
        <v>160456.15</v>
      </c>
      <c r="H194" s="172">
        <f t="shared" si="47"/>
        <v>3.5039226444593279E-2</v>
      </c>
      <c r="I194" s="336"/>
      <c r="J194" s="223"/>
      <c r="K194" s="218"/>
      <c r="M194" s="364">
        <f t="shared" si="48"/>
        <v>8.243739724619811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'[57]Sch C'!D206</f>
        <v>7594.56</v>
      </c>
      <c r="D195" s="558">
        <f>'[57]Sch C'!F206</f>
        <v>0</v>
      </c>
      <c r="E195" s="171">
        <f t="shared" si="45"/>
        <v>7594.56</v>
      </c>
      <c r="F195" s="216"/>
      <c r="G195" s="171">
        <f t="shared" si="46"/>
        <v>7594.56</v>
      </c>
      <c r="H195" s="172">
        <f t="shared" si="47"/>
        <v>1.6584438027900479E-3</v>
      </c>
      <c r="I195" s="336"/>
      <c r="J195" s="223"/>
      <c r="K195" s="218"/>
      <c r="M195" s="364">
        <f t="shared" si="48"/>
        <v>0.39018495684340321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'[57]Sch C'!D207</f>
        <v>34894.43</v>
      </c>
      <c r="D196" s="558">
        <f>'[57]Sch C'!F207</f>
        <v>0</v>
      </c>
      <c r="E196" s="171">
        <f t="shared" si="45"/>
        <v>34894.43</v>
      </c>
      <c r="F196" s="216"/>
      <c r="G196" s="171">
        <f t="shared" si="46"/>
        <v>34894.43</v>
      </c>
      <c r="H196" s="172">
        <f t="shared" si="47"/>
        <v>7.6199873574494276E-3</v>
      </c>
      <c r="I196" s="336"/>
      <c r="J196" s="223"/>
      <c r="K196" s="218"/>
      <c r="M196" s="364">
        <f t="shared" si="48"/>
        <v>1.7927676736539253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708174.47000000009</v>
      </c>
      <c r="D197" s="558">
        <f>SUM(D164:D196)</f>
        <v>-71497.7</v>
      </c>
      <c r="E197" s="171">
        <f t="shared" ref="E197:F197" si="49">SUM(E164:E196)</f>
        <v>636676.77000000014</v>
      </c>
      <c r="F197" s="171">
        <f t="shared" si="49"/>
        <v>0</v>
      </c>
      <c r="G197" s="171">
        <f>SUM(G164:G196)</f>
        <v>636676.77000000014</v>
      </c>
      <c r="H197" s="172">
        <f>IF($G$208=0,0,G197/$G$208)</f>
        <v>0.13903276076387372</v>
      </c>
      <c r="I197" s="336"/>
      <c r="J197" s="168"/>
      <c r="K197" s="168"/>
      <c r="M197" s="364">
        <f>G197/G$228</f>
        <v>32.710479346485826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'[57]Sch C'!D211</f>
        <v>88547.59</v>
      </c>
      <c r="D200" s="558">
        <f>'[57]Sch C'!F211</f>
        <v>0</v>
      </c>
      <c r="E200" s="171">
        <f t="shared" ref="E200:E205" si="50">C200+D200</f>
        <v>88547.59</v>
      </c>
      <c r="F200" s="171"/>
      <c r="G200" s="171">
        <f t="shared" ref="G200:G205" si="51">E200+F200</f>
        <v>88547.59</v>
      </c>
      <c r="H200" s="172">
        <f t="shared" ref="H200:H206" si="52">IF($G$208=0,0,G200/$G$208)</f>
        <v>1.9336367332339729E-2</v>
      </c>
      <c r="I200" s="336"/>
      <c r="J200" s="183">
        <v>5284.15</v>
      </c>
      <c r="K200" s="183">
        <v>5698.87</v>
      </c>
      <c r="M200" s="364">
        <f t="shared" ref="M200:M205" si="53">G200/G$228</f>
        <v>4.5493007603781335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'[57]Sch C'!D212</f>
        <v>16228.35</v>
      </c>
      <c r="D201" s="558">
        <f>'[57]Sch C'!F212</f>
        <v>0</v>
      </c>
      <c r="E201" s="171">
        <f t="shared" si="50"/>
        <v>16228.35</v>
      </c>
      <c r="F201" s="171"/>
      <c r="G201" s="171">
        <f t="shared" si="51"/>
        <v>16228.35</v>
      </c>
      <c r="H201" s="172">
        <f t="shared" si="52"/>
        <v>3.5438269612733156E-3</v>
      </c>
      <c r="I201" s="336"/>
      <c r="J201" s="168"/>
      <c r="K201" s="168"/>
      <c r="M201" s="364">
        <f t="shared" si="53"/>
        <v>0.83376233045622694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'[57]Sch C'!D213</f>
        <v>10081.36</v>
      </c>
      <c r="D202" s="558">
        <f>'[57]Sch C'!F213</f>
        <v>0</v>
      </c>
      <c r="E202" s="171">
        <f t="shared" si="50"/>
        <v>10081.36</v>
      </c>
      <c r="F202" s="171"/>
      <c r="G202" s="171">
        <f t="shared" si="51"/>
        <v>10081.36</v>
      </c>
      <c r="H202" s="172">
        <f t="shared" si="52"/>
        <v>2.201492781108514E-3</v>
      </c>
      <c r="I202" s="336"/>
      <c r="J202" s="168"/>
      <c r="K202" s="168"/>
      <c r="M202" s="364">
        <f t="shared" si="53"/>
        <v>0.5179490341142623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'[57]Sch C'!D214</f>
        <v>0</v>
      </c>
      <c r="D203" s="558">
        <f>'[57]Sch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'[57]Sch C'!D215</f>
        <v>0</v>
      </c>
      <c r="D204" s="558">
        <f>'[57]Sch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'[57]Sch C'!D216</f>
        <v>4656.68</v>
      </c>
      <c r="D205" s="558">
        <f>'[57]Sch C'!F216</f>
        <v>0</v>
      </c>
      <c r="E205" s="171">
        <f t="shared" si="50"/>
        <v>4656.68</v>
      </c>
      <c r="F205" s="171"/>
      <c r="G205" s="171">
        <f t="shared" si="51"/>
        <v>4656.68</v>
      </c>
      <c r="H205" s="172">
        <f t="shared" si="52"/>
        <v>1.0168913126733293E-3</v>
      </c>
      <c r="I205" s="336"/>
      <c r="J205" s="168"/>
      <c r="K205" s="168"/>
      <c r="M205" s="364">
        <f t="shared" si="53"/>
        <v>0.2392457870941225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119513.98000000001</v>
      </c>
      <c r="D206" s="558">
        <f>SUM(D200:D205)</f>
        <v>0</v>
      </c>
      <c r="E206" s="171">
        <f t="shared" ref="E206:F206" si="54">SUM(E200:E205)</f>
        <v>119513.98000000001</v>
      </c>
      <c r="F206" s="171">
        <f t="shared" si="54"/>
        <v>0</v>
      </c>
      <c r="G206" s="171">
        <f>SUM(G200:G205)</f>
        <v>119513.98000000001</v>
      </c>
      <c r="H206" s="172">
        <f t="shared" si="52"/>
        <v>2.6098578387394888E-2</v>
      </c>
      <c r="I206" s="336"/>
      <c r="J206" s="168"/>
      <c r="K206" s="168"/>
      <c r="M206" s="364">
        <f>G206/G$228</f>
        <v>6.1402579120427463</v>
      </c>
      <c r="N206" s="359">
        <f>SUMMARY!J209</f>
        <v>7.1515095990067339</v>
      </c>
      <c r="O206" s="354">
        <f>M206/N206-1</f>
        <v>-0.14140394737139683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5247787.1499999994</v>
      </c>
      <c r="D208" s="558">
        <f>SUM(D25:D206)/2</f>
        <v>-668458.03000000014</v>
      </c>
      <c r="E208" s="171">
        <f t="shared" ref="E208:F208" si="55">SUM(E25:E206)/2</f>
        <v>4579329.1199999982</v>
      </c>
      <c r="F208" s="171">
        <f t="shared" si="55"/>
        <v>0</v>
      </c>
      <c r="G208" s="171">
        <f>SUM(G25:G206)/2</f>
        <v>4579329.1199999982</v>
      </c>
      <c r="H208" s="172">
        <f>IF($G$208=0,0,G208/$G$208)</f>
        <v>1</v>
      </c>
      <c r="I208" s="336"/>
      <c r="J208" s="183">
        <f>SUM(J25:J200)</f>
        <v>95088.909999999974</v>
      </c>
      <c r="K208" s="183">
        <f>SUM(K25:K200)</f>
        <v>102756.01999999999</v>
      </c>
      <c r="M208" s="364">
        <f>G208/G$228</f>
        <v>235.2717385943279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-1.4123889416298727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'[57]Sch C'!D221</f>
        <v>5247787.1500000004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-779446.79999999981</v>
      </c>
      <c r="D215" s="558">
        <f>D21-D208</f>
        <v>722401.4700000002</v>
      </c>
      <c r="E215" s="171">
        <f t="shared" ref="E215:F215" si="56">E21-E208</f>
        <v>-57045.329999998212</v>
      </c>
      <c r="F215" s="171">
        <f t="shared" si="56"/>
        <v>1184081</v>
      </c>
      <c r="G215" s="171">
        <f>G21-G208</f>
        <v>1127035.6700000018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'[57]Sch D'!C9</f>
        <v>10850</v>
      </c>
      <c r="D219" s="592"/>
      <c r="E219" s="235">
        <f t="shared" ref="E219:G227" si="57">C219+D219</f>
        <v>10850</v>
      </c>
      <c r="F219" s="234"/>
      <c r="G219" s="235">
        <f t="shared" si="57"/>
        <v>10850</v>
      </c>
      <c r="H219" s="172">
        <f t="shared" ref="H219:H228" si="58">IF($G$228=0,0,G219/$G$228)</f>
        <v>0.55743937525688447</v>
      </c>
      <c r="I219" s="336"/>
      <c r="J219" s="168"/>
      <c r="K219" s="168"/>
    </row>
    <row r="220" spans="1:17">
      <c r="A220" s="163"/>
      <c r="B220" s="170" t="s">
        <v>217</v>
      </c>
      <c r="C220" s="592">
        <f>'[57]Sch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'[57]Sch D'!E9</f>
        <v>1732</v>
      </c>
      <c r="D221" s="592"/>
      <c r="E221" s="235">
        <f t="shared" si="59"/>
        <v>1732</v>
      </c>
      <c r="F221" s="234"/>
      <c r="G221" s="235">
        <f t="shared" si="57"/>
        <v>1732</v>
      </c>
      <c r="H221" s="172">
        <f t="shared" si="58"/>
        <v>8.8984792437320187E-2</v>
      </c>
      <c r="I221" s="336"/>
      <c r="J221" s="168"/>
      <c r="K221" s="168"/>
    </row>
    <row r="222" spans="1:17">
      <c r="A222" s="163"/>
      <c r="B222" s="202" t="s">
        <v>334</v>
      </c>
      <c r="C222" s="592">
        <f>'[57]Sch D'!F9</f>
        <v>1091</v>
      </c>
      <c r="D222" s="592"/>
      <c r="E222" s="235">
        <f>C222+D222</f>
        <v>1091</v>
      </c>
      <c r="F222" s="234"/>
      <c r="G222" s="235">
        <f>E222+F222</f>
        <v>1091</v>
      </c>
      <c r="H222" s="172">
        <f t="shared" si="58"/>
        <v>5.6052198931360459E-2</v>
      </c>
      <c r="I222" s="336"/>
      <c r="J222" s="168"/>
      <c r="K222" s="168"/>
    </row>
    <row r="223" spans="1:17">
      <c r="A223" s="163"/>
      <c r="B223" s="170" t="s">
        <v>73</v>
      </c>
      <c r="C223" s="592">
        <f>'[57]Sch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'[57]Sch D'!H9</f>
        <v>3199</v>
      </c>
      <c r="D224" s="592"/>
      <c r="E224" s="235">
        <f t="shared" si="59"/>
        <v>3199</v>
      </c>
      <c r="F224" s="234"/>
      <c r="G224" s="235">
        <f t="shared" si="57"/>
        <v>3199</v>
      </c>
      <c r="H224" s="172">
        <f t="shared" si="58"/>
        <v>0.16435470612412659</v>
      </c>
      <c r="I224" s="336"/>
      <c r="J224" s="168"/>
      <c r="K224" s="168"/>
    </row>
    <row r="225" spans="1:11">
      <c r="A225" s="163"/>
      <c r="B225" s="170" t="s">
        <v>236</v>
      </c>
      <c r="C225" s="592">
        <f>'[57]Sch D'!I9</f>
        <v>1885</v>
      </c>
      <c r="D225" s="592"/>
      <c r="E225" s="235">
        <f t="shared" si="59"/>
        <v>1885</v>
      </c>
      <c r="F225" s="234"/>
      <c r="G225" s="235">
        <f t="shared" si="57"/>
        <v>1885</v>
      </c>
      <c r="H225" s="172">
        <f t="shared" si="58"/>
        <v>9.6845458281956426E-2</v>
      </c>
      <c r="I225" s="336"/>
      <c r="J225" s="168"/>
      <c r="K225" s="168"/>
    </row>
    <row r="226" spans="1:11">
      <c r="A226" s="163"/>
      <c r="B226" s="170" t="s">
        <v>235</v>
      </c>
      <c r="C226" s="592">
        <f>'[57]Sch D'!J9</f>
        <v>707</v>
      </c>
      <c r="D226" s="592"/>
      <c r="E226" s="235">
        <f>C226+D226</f>
        <v>707</v>
      </c>
      <c r="F226" s="234"/>
      <c r="G226" s="235">
        <f>E226+F226</f>
        <v>707</v>
      </c>
      <c r="H226" s="172">
        <f t="shared" si="58"/>
        <v>3.6323468968351827E-2</v>
      </c>
      <c r="I226" s="336"/>
      <c r="J226" s="168"/>
      <c r="K226" s="168"/>
    </row>
    <row r="227" spans="1:11">
      <c r="A227" s="163"/>
      <c r="B227" s="170" t="s">
        <v>179</v>
      </c>
      <c r="C227" s="592">
        <f>'[57]Sch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19464</v>
      </c>
      <c r="D228" s="592">
        <f>SUM(D219:D227)</f>
        <v>0</v>
      </c>
      <c r="E228" s="237">
        <f>SUM(E219:E227)</f>
        <v>19464</v>
      </c>
      <c r="F228" s="237">
        <f>SUM(F219:F227)</f>
        <v>0</v>
      </c>
      <c r="G228" s="237">
        <f>SUM(G219:G227)</f>
        <v>19464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318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'[57]Sch D'!N22</f>
        <v>61</v>
      </c>
      <c r="D231" s="559"/>
      <c r="E231" s="235">
        <f>C231+D231</f>
        <v>61</v>
      </c>
      <c r="F231" s="235"/>
      <c r="G231" s="235">
        <f>E231+F231</f>
        <v>61</v>
      </c>
      <c r="H231" s="508"/>
      <c r="J231" s="168"/>
      <c r="K231" s="168"/>
    </row>
    <row r="232" spans="1:11">
      <c r="A232" s="163"/>
      <c r="B232" s="202" t="s">
        <v>290</v>
      </c>
      <c r="C232" s="593">
        <f>'[57]Sch D'!N24</f>
        <v>61</v>
      </c>
      <c r="D232" s="559"/>
      <c r="E232" s="235">
        <f>C232+D232</f>
        <v>61</v>
      </c>
      <c r="F232" s="235"/>
      <c r="G232" s="235">
        <f>E232+F232</f>
        <v>61</v>
      </c>
      <c r="H232" s="508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'[57]Sch D'!N28</f>
        <v>22326</v>
      </c>
      <c r="D235" s="483"/>
      <c r="E235" s="234">
        <f>E231*E233</f>
        <v>22326</v>
      </c>
      <c r="F235" s="239"/>
      <c r="G235" s="234">
        <f>G231*G233</f>
        <v>22326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'[57]Sch D'!N30</f>
        <v>0.87180865358774517</v>
      </c>
      <c r="D236" s="239"/>
      <c r="E236" s="244">
        <f>E228/E235</f>
        <v>0.87180865358774517</v>
      </c>
      <c r="F236" s="245"/>
      <c r="G236" s="244">
        <f>G228/G235</f>
        <v>0.87180865358774517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'[57]Sch D'!N32</f>
        <v>0.48598047119949833</v>
      </c>
      <c r="D237" s="239"/>
      <c r="E237" s="244">
        <f>(E219+E220)/E235</f>
        <v>0.48598047119949833</v>
      </c>
      <c r="F237" s="245"/>
      <c r="G237" s="244">
        <f>(G219+G220)/G235</f>
        <v>0.48598047119949833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'[57]Sch D'!N34</f>
        <v>0.55743937525688447</v>
      </c>
      <c r="D238" s="239"/>
      <c r="E238" s="244">
        <f>(E237/E236)</f>
        <v>0.55743937525688447</v>
      </c>
      <c r="F238" s="245"/>
      <c r="G238" s="244">
        <f>(G237/G236)</f>
        <v>0.55743937525688447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'[57]Sch B'!C85</f>
        <v>143.25335078534033</v>
      </c>
    </row>
    <row r="242" spans="2:7">
      <c r="B242" s="460"/>
      <c r="F242" s="142" t="s">
        <v>341</v>
      </c>
      <c r="G242" s="558">
        <f>'[57]Sch B'!E85</f>
        <v>89.096931034482779</v>
      </c>
    </row>
    <row r="243" spans="2:7">
      <c r="B243" s="460"/>
      <c r="F243" s="142" t="s">
        <v>342</v>
      </c>
      <c r="G243" s="558">
        <f>'[57]Sch B'!G85</f>
        <v>103.08745305164318</v>
      </c>
    </row>
    <row r="244" spans="2:7">
      <c r="F244" s="142" t="s">
        <v>343</v>
      </c>
      <c r="G244" s="558">
        <f>'[57]Sch B'!I85</f>
        <v>115.30723702664798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2">
    <tabColor rgb="FFE28CAB"/>
  </sheetPr>
  <dimension ref="A1:T245"/>
  <sheetViews>
    <sheetView showGridLines="0" topLeftCell="A222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557</v>
      </c>
      <c r="D2" s="246"/>
      <c r="E2" s="144"/>
      <c r="F2" s="256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F4" s="595" t="s">
        <v>472</v>
      </c>
      <c r="G4" s="150"/>
    </row>
    <row r="5" spans="1:17">
      <c r="A5" s="145"/>
      <c r="B5" s="148"/>
      <c r="C5" s="151"/>
      <c r="D5" s="144"/>
      <c r="F5" s="460" t="s">
        <v>471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84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687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v>1741515.1999999997</v>
      </c>
      <c r="D11" s="558">
        <v>-244988.41</v>
      </c>
      <c r="E11" s="171">
        <f>C11+D11</f>
        <v>1496526.7899999998</v>
      </c>
      <c r="F11" s="563">
        <f>3400275.25+670765</f>
        <v>4071040.25</v>
      </c>
      <c r="G11" s="171">
        <f t="shared" ref="G11:G20" si="0">E11+F11</f>
        <v>5567567.04</v>
      </c>
      <c r="H11" s="172">
        <f t="shared" ref="H11:H21" si="1">IF($G$21=0,0,G11/$G$21)</f>
        <v>0.41077192673773361</v>
      </c>
      <c r="I11" s="336"/>
      <c r="J11" s="368" t="s">
        <v>344</v>
      </c>
      <c r="K11" s="369">
        <f>G21</f>
        <v>13553913.199999999</v>
      </c>
      <c r="M11" s="359">
        <f>IFERROR(G11/G219,0)</f>
        <v>277.57338917140294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v>0</v>
      </c>
      <c r="D12" s="558"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12380236.409999996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v>1487268.86</v>
      </c>
      <c r="D13" s="558">
        <v>161373.41</v>
      </c>
      <c r="E13" s="171">
        <f t="shared" si="2"/>
        <v>1648642.27</v>
      </c>
      <c r="F13" s="171">
        <v>3765620.77</v>
      </c>
      <c r="G13" s="171">
        <f t="shared" si="0"/>
        <v>5414263.04</v>
      </c>
      <c r="H13" s="172">
        <f t="shared" si="1"/>
        <v>0.39946124488977841</v>
      </c>
      <c r="I13" s="336"/>
      <c r="J13" s="370" t="s">
        <v>346</v>
      </c>
      <c r="K13" s="371">
        <f>G228</f>
        <v>37019</v>
      </c>
      <c r="M13" s="359">
        <f t="shared" si="3"/>
        <v>566.464013391923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v>632750.66999999993</v>
      </c>
      <c r="D14" s="558">
        <v>29745</v>
      </c>
      <c r="E14" s="171">
        <f t="shared" si="2"/>
        <v>662495.66999999993</v>
      </c>
      <c r="F14" s="175">
        <v>598343.59</v>
      </c>
      <c r="G14" s="175">
        <f>E14+F14</f>
        <v>1260839.2599999998</v>
      </c>
      <c r="H14" s="176">
        <f t="shared" si="1"/>
        <v>9.302400283926858E-2</v>
      </c>
      <c r="I14" s="337"/>
      <c r="J14" s="370" t="s">
        <v>347</v>
      </c>
      <c r="K14" s="371">
        <f>G231</f>
        <v>124</v>
      </c>
      <c r="M14" s="359">
        <f t="shared" si="3"/>
        <v>508.1980088673921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v>0</v>
      </c>
      <c r="D15" s="558"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45384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v>366871.41999999993</v>
      </c>
      <c r="D16" s="558">
        <v>53870</v>
      </c>
      <c r="E16" s="171">
        <f t="shared" si="2"/>
        <v>420741.41999999993</v>
      </c>
      <c r="F16" s="171">
        <v>596036.54999999981</v>
      </c>
      <c r="G16" s="171">
        <f t="shared" si="0"/>
        <v>1016777.9699999997</v>
      </c>
      <c r="H16" s="172">
        <f t="shared" si="1"/>
        <v>7.5017299800916523E-2</v>
      </c>
      <c r="I16" s="336"/>
      <c r="J16" s="372"/>
      <c r="K16" s="371"/>
      <c r="M16" s="359">
        <f t="shared" si="3"/>
        <v>305.33872972972966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v>0</v>
      </c>
      <c r="D17" s="558">
        <v>81602.600000000006</v>
      </c>
      <c r="E17" s="171">
        <f t="shared" si="2"/>
        <v>81602.600000000006</v>
      </c>
      <c r="F17" s="171">
        <v>124101.97</v>
      </c>
      <c r="G17" s="171">
        <f>E17+F17</f>
        <v>205704.57</v>
      </c>
      <c r="H17" s="172">
        <f t="shared" si="1"/>
        <v>1.5176766072251371E-2</v>
      </c>
      <c r="I17" s="336"/>
      <c r="J17" s="370" t="s">
        <v>156</v>
      </c>
      <c r="K17" s="371">
        <f>J208</f>
        <v>254647.46000000002</v>
      </c>
      <c r="M17" s="359">
        <f t="shared" si="3"/>
        <v>164.16964884277735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v>133630.45000000001</v>
      </c>
      <c r="D18" s="558">
        <v>-81602.600000000006</v>
      </c>
      <c r="E18" s="171">
        <f t="shared" si="2"/>
        <v>52027.850000000006</v>
      </c>
      <c r="F18" s="171">
        <v>42477.170000000013</v>
      </c>
      <c r="G18" s="171">
        <f>E18+F18</f>
        <v>94505.020000000019</v>
      </c>
      <c r="H18" s="172">
        <f t="shared" si="1"/>
        <v>6.9725265763100818E-3</v>
      </c>
      <c r="I18" s="336"/>
      <c r="J18" s="373" t="s">
        <v>252</v>
      </c>
      <c r="K18" s="374">
        <f>K208</f>
        <v>272900.02</v>
      </c>
      <c r="M18" s="359">
        <f t="shared" si="3"/>
        <v>278.77587020648974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v>0</v>
      </c>
      <c r="D19" s="558"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v>-4469.76</v>
      </c>
      <c r="D20" s="558">
        <v>15768</v>
      </c>
      <c r="E20" s="171">
        <f t="shared" si="2"/>
        <v>11298.24</v>
      </c>
      <c r="F20" s="171">
        <v>-17041.939999999999</v>
      </c>
      <c r="G20" s="171">
        <f t="shared" si="0"/>
        <v>-5743.6999999999989</v>
      </c>
      <c r="H20" s="172">
        <f t="shared" si="1"/>
        <v>-4.2376691625854588E-4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v>4357566.84</v>
      </c>
      <c r="D21" s="558">
        <v>15768</v>
      </c>
      <c r="E21" s="171">
        <f>SUM(E11:E20)</f>
        <v>4373334.8399999989</v>
      </c>
      <c r="F21" s="171">
        <f>SUM(F11:F20)</f>
        <v>9180578.3600000013</v>
      </c>
      <c r="G21" s="171">
        <f>SUM(G11:G20)</f>
        <v>13553913.199999999</v>
      </c>
      <c r="H21" s="172">
        <f t="shared" si="1"/>
        <v>1</v>
      </c>
      <c r="I21" s="336"/>
      <c r="J21" s="168"/>
      <c r="K21" s="168"/>
      <c r="M21" s="359">
        <f>IFERROR(G21/G228,0)</f>
        <v>366.13396364029279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0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575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v>0</v>
      </c>
      <c r="D25" s="558">
        <v>45388.44</v>
      </c>
      <c r="E25" s="171">
        <f t="shared" ref="E25:E60" si="4">C25+D25</f>
        <v>45388.44</v>
      </c>
      <c r="F25" s="171">
        <v>80587.350000000006</v>
      </c>
      <c r="G25" s="182">
        <f>E25+F25</f>
        <v>125975.79000000001</v>
      </c>
      <c r="H25" s="172">
        <f>IF($G$208=0,0,G25/$G$208)</f>
        <v>1.0175556090208785E-2</v>
      </c>
      <c r="I25" s="336"/>
      <c r="J25" s="183">
        <v>0</v>
      </c>
      <c r="K25" s="183">
        <v>0</v>
      </c>
      <c r="M25" s="359">
        <f>G25/G$228</f>
        <v>3.4030035927496693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v>0</v>
      </c>
      <c r="D26" s="558"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v>57902.78</v>
      </c>
      <c r="D27" s="558">
        <v>0</v>
      </c>
      <c r="E27" s="171">
        <f t="shared" si="4"/>
        <v>57902.78</v>
      </c>
      <c r="F27" s="171">
        <v>73030.579999999987</v>
      </c>
      <c r="G27" s="171">
        <f t="shared" si="5"/>
        <v>130933.35999999999</v>
      </c>
      <c r="H27" s="172">
        <f t="shared" si="6"/>
        <v>1.0575998362538541E-2</v>
      </c>
      <c r="I27" s="336"/>
      <c r="J27" s="185">
        <f>3068.77+5369</f>
        <v>8437.77</v>
      </c>
      <c r="K27" s="185">
        <f>3238.63+6028</f>
        <v>9266.630000000001</v>
      </c>
      <c r="M27" s="359">
        <f t="shared" si="7"/>
        <v>3.5369232015991785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v>6049.79</v>
      </c>
      <c r="D28" s="558">
        <v>11241.7</v>
      </c>
      <c r="E28" s="171">
        <f t="shared" si="4"/>
        <v>17291.490000000002</v>
      </c>
      <c r="F28" s="171">
        <v>35012.68</v>
      </c>
      <c r="G28" s="171">
        <f t="shared" si="5"/>
        <v>52304.17</v>
      </c>
      <c r="H28" s="172">
        <f t="shared" si="6"/>
        <v>4.2248118911325386E-3</v>
      </c>
      <c r="I28" s="336"/>
      <c r="J28" s="168"/>
      <c r="K28" s="168"/>
      <c r="M28" s="359">
        <f t="shared" si="7"/>
        <v>1.4129006726275697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v>0</v>
      </c>
      <c r="D29" s="558"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v>0</v>
      </c>
      <c r="D30" s="558"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v>208749</v>
      </c>
      <c r="D31" s="558">
        <v>0</v>
      </c>
      <c r="E31" s="171">
        <f t="shared" si="4"/>
        <v>208749</v>
      </c>
      <c r="F31" s="171">
        <v>422195.36</v>
      </c>
      <c r="G31" s="171">
        <f t="shared" si="5"/>
        <v>630944.36</v>
      </c>
      <c r="H31" s="172">
        <f t="shared" si="6"/>
        <v>5.0963837773757036E-2</v>
      </c>
      <c r="I31" s="336"/>
      <c r="J31" s="168"/>
      <c r="K31" s="168"/>
      <c r="M31" s="359">
        <f t="shared" si="7"/>
        <v>17.043798049650178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v>2561.1799999999998</v>
      </c>
      <c r="D32" s="558">
        <v>-2561.1799999999998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v>6021.19</v>
      </c>
      <c r="D33" s="558">
        <v>0</v>
      </c>
      <c r="E33" s="171">
        <f t="shared" si="4"/>
        <v>6021.19</v>
      </c>
      <c r="F33" s="171">
        <v>5242</v>
      </c>
      <c r="G33" s="171">
        <f t="shared" si="5"/>
        <v>11263.189999999999</v>
      </c>
      <c r="H33" s="172">
        <f t="shared" si="6"/>
        <v>9.097718029764184E-4</v>
      </c>
      <c r="I33" s="336"/>
      <c r="J33" s="168"/>
      <c r="K33" s="168"/>
      <c r="M33" s="359">
        <f t="shared" si="7"/>
        <v>0.30425430184499846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v>12848.19</v>
      </c>
      <c r="D34" s="558">
        <v>0</v>
      </c>
      <c r="E34" s="171">
        <f t="shared" si="4"/>
        <v>12848.19</v>
      </c>
      <c r="F34" s="563">
        <f>20565.58-2685</f>
        <v>17880.580000000002</v>
      </c>
      <c r="G34" s="171">
        <f t="shared" si="5"/>
        <v>30728.770000000004</v>
      </c>
      <c r="H34" s="172">
        <f t="shared" si="6"/>
        <v>2.4820826503102306E-3</v>
      </c>
      <c r="I34" s="336"/>
      <c r="J34" s="168"/>
      <c r="K34" s="168"/>
      <c r="M34" s="359">
        <f t="shared" si="7"/>
        <v>0.83008103946622014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v>12270.99</v>
      </c>
      <c r="D35" s="558">
        <v>0</v>
      </c>
      <c r="E35" s="171">
        <f t="shared" si="4"/>
        <v>12270.99</v>
      </c>
      <c r="F35" s="171">
        <v>17079.740000000002</v>
      </c>
      <c r="G35" s="171">
        <f t="shared" si="5"/>
        <v>29350.730000000003</v>
      </c>
      <c r="H35" s="172">
        <f t="shared" si="6"/>
        <v>2.370772982678447E-3</v>
      </c>
      <c r="I35" s="336"/>
      <c r="J35" s="168"/>
      <c r="K35" s="168"/>
      <c r="M35" s="359">
        <f t="shared" si="7"/>
        <v>0.79285583078959465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v>40749.56</v>
      </c>
      <c r="D36" s="558">
        <v>0</v>
      </c>
      <c r="E36" s="171">
        <f t="shared" si="4"/>
        <v>40749.56</v>
      </c>
      <c r="F36" s="563">
        <f>78568.04-1790</f>
        <v>76778.039999999994</v>
      </c>
      <c r="G36" s="171">
        <f t="shared" si="5"/>
        <v>117527.59999999999</v>
      </c>
      <c r="H36" s="172">
        <f t="shared" si="6"/>
        <v>9.4931628207897863E-3</v>
      </c>
      <c r="I36" s="336"/>
      <c r="J36" s="168"/>
      <c r="K36" s="168"/>
      <c r="M36" s="359">
        <f t="shared" si="7"/>
        <v>3.1747913233744831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v>0</v>
      </c>
      <c r="D37" s="558"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v>8880</v>
      </c>
      <c r="D38" s="558">
        <v>0</v>
      </c>
      <c r="E38" s="171">
        <f t="shared" si="4"/>
        <v>8880</v>
      </c>
      <c r="F38" s="171">
        <v>22109.78</v>
      </c>
      <c r="G38" s="171">
        <f t="shared" si="5"/>
        <v>30989.78</v>
      </c>
      <c r="H38" s="172">
        <f t="shared" si="6"/>
        <v>2.5031654464181602E-3</v>
      </c>
      <c r="I38" s="336"/>
      <c r="J38" s="168"/>
      <c r="K38" s="168"/>
      <c r="M38" s="359">
        <f t="shared" si="7"/>
        <v>0.83713174315891836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v>2513.02</v>
      </c>
      <c r="D39" s="558">
        <v>35908.82</v>
      </c>
      <c r="E39" s="171">
        <f t="shared" si="4"/>
        <v>38421.839999999997</v>
      </c>
      <c r="F39" s="171">
        <v>81315.95</v>
      </c>
      <c r="G39" s="171">
        <f t="shared" si="5"/>
        <v>119737.79</v>
      </c>
      <c r="H39" s="172">
        <f t="shared" si="6"/>
        <v>9.6716884908016089E-3</v>
      </c>
      <c r="I39" s="336"/>
      <c r="J39" s="168"/>
      <c r="K39" s="168"/>
      <c r="M39" s="359">
        <f t="shared" si="7"/>
        <v>3.2344955293227802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v>0</v>
      </c>
      <c r="D40" s="558"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v>149820.96</v>
      </c>
      <c r="D41" s="558">
        <v>0</v>
      </c>
      <c r="E41" s="171">
        <f t="shared" si="4"/>
        <v>149820.96</v>
      </c>
      <c r="F41" s="171">
        <v>308579.55</v>
      </c>
      <c r="G41" s="171">
        <f t="shared" si="5"/>
        <v>458400.51</v>
      </c>
      <c r="H41" s="172">
        <f t="shared" si="6"/>
        <v>3.7026797778250194E-2</v>
      </c>
      <c r="I41" s="336"/>
      <c r="J41" s="168"/>
      <c r="K41" s="168"/>
      <c r="M41" s="359">
        <f t="shared" si="7"/>
        <v>12.382844215132771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v>4352.4799999999996</v>
      </c>
      <c r="D42" s="558">
        <v>15768.11</v>
      </c>
      <c r="E42" s="171">
        <f t="shared" si="4"/>
        <v>20120.59</v>
      </c>
      <c r="F42" s="171">
        <v>35743.840000000004</v>
      </c>
      <c r="G42" s="171">
        <f t="shared" si="5"/>
        <v>55864.430000000008</v>
      </c>
      <c r="H42" s="172">
        <f t="shared" si="6"/>
        <v>4.5123879827428937E-3</v>
      </c>
      <c r="I42" s="336"/>
      <c r="J42" s="168"/>
      <c r="K42" s="168"/>
      <c r="M42" s="359">
        <f t="shared" si="7"/>
        <v>1.5090745292957672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v>0</v>
      </c>
      <c r="D43" s="558"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v>221080.69</v>
      </c>
      <c r="D44" s="558">
        <v>-221080.69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v>0</v>
      </c>
      <c r="D45" s="558"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v>5365.41</v>
      </c>
      <c r="D46" s="558">
        <v>0</v>
      </c>
      <c r="E46" s="171">
        <f t="shared" si="4"/>
        <v>5365.41</v>
      </c>
      <c r="F46" s="171">
        <v>13407.63</v>
      </c>
      <c r="G46" s="171">
        <f t="shared" si="5"/>
        <v>18773.04</v>
      </c>
      <c r="H46" s="172">
        <f t="shared" si="6"/>
        <v>1.5163716893835961E-3</v>
      </c>
      <c r="I46" s="336"/>
      <c r="J46" s="168"/>
      <c r="K46" s="168"/>
      <c r="M46" s="359">
        <f t="shared" si="7"/>
        <v>0.50711904697587729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v>0</v>
      </c>
      <c r="D47" s="558">
        <v>4845</v>
      </c>
      <c r="E47" s="171">
        <f t="shared" si="4"/>
        <v>4845</v>
      </c>
      <c r="F47" s="171">
        <v>19926.27</v>
      </c>
      <c r="G47" s="171">
        <f t="shared" si="5"/>
        <v>24771.27</v>
      </c>
      <c r="H47" s="172">
        <f t="shared" si="6"/>
        <v>2.0008721303570007E-3</v>
      </c>
      <c r="I47" s="336"/>
      <c r="J47" s="168"/>
      <c r="K47" s="168"/>
      <c r="M47" s="359">
        <f t="shared" si="7"/>
        <v>0.66915016613090572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v>59.71</v>
      </c>
      <c r="D48" s="558">
        <v>-59.71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v>0</v>
      </c>
      <c r="D49" s="558"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v>41608.86</v>
      </c>
      <c r="D50" s="558">
        <v>-41608.86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v>0</v>
      </c>
      <c r="D51" s="558">
        <v>0</v>
      </c>
      <c r="E51" s="171">
        <f t="shared" si="4"/>
        <v>0</v>
      </c>
      <c r="F51" s="171">
        <v>34254.980000000003</v>
      </c>
      <c r="G51" s="171">
        <f t="shared" si="5"/>
        <v>34254.980000000003</v>
      </c>
      <c r="H51" s="172">
        <f t="shared" si="6"/>
        <v>2.7669083905644105E-3</v>
      </c>
      <c r="I51" s="336"/>
      <c r="J51" s="183">
        <v>2355</v>
      </c>
      <c r="K51" s="183">
        <v>2516</v>
      </c>
      <c r="M51" s="359">
        <f t="shared" si="7"/>
        <v>0.92533509819282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v>0</v>
      </c>
      <c r="D52" s="558">
        <v>0</v>
      </c>
      <c r="E52" s="171">
        <f t="shared" si="4"/>
        <v>0</v>
      </c>
      <c r="F52" s="171">
        <v>5431.02</v>
      </c>
      <c r="G52" s="171">
        <f t="shared" si="5"/>
        <v>5431.02</v>
      </c>
      <c r="H52" s="172">
        <f t="shared" si="6"/>
        <v>4.386846761353568E-4</v>
      </c>
      <c r="I52" s="336"/>
      <c r="J52" s="168"/>
      <c r="K52" s="168"/>
      <c r="M52" s="359">
        <f t="shared" si="7"/>
        <v>0.14670898727680382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v>207.17</v>
      </c>
      <c r="D53" s="558">
        <v>0</v>
      </c>
      <c r="E53" s="171">
        <f t="shared" si="4"/>
        <v>207.17</v>
      </c>
      <c r="F53" s="171">
        <v>74.489999999999995</v>
      </c>
      <c r="G53" s="171">
        <f t="shared" si="5"/>
        <v>281.65999999999997</v>
      </c>
      <c r="H53" s="172">
        <f t="shared" si="6"/>
        <v>2.2750777180029639E-5</v>
      </c>
      <c r="I53" s="336"/>
      <c r="J53" s="168"/>
      <c r="K53" s="168"/>
      <c r="M53" s="359">
        <f t="shared" si="7"/>
        <v>7.6085253518463486E-3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v>0</v>
      </c>
      <c r="D54" s="558">
        <v>0</v>
      </c>
      <c r="E54" s="171">
        <f t="shared" si="4"/>
        <v>0</v>
      </c>
      <c r="F54" s="171">
        <v>2287.67</v>
      </c>
      <c r="G54" s="171">
        <f t="shared" si="5"/>
        <v>2287.67</v>
      </c>
      <c r="H54" s="172">
        <f t="shared" si="6"/>
        <v>1.8478403192302213E-4</v>
      </c>
      <c r="I54" s="336"/>
      <c r="J54" s="168"/>
      <c r="K54" s="168"/>
      <c r="M54" s="359">
        <f t="shared" si="7"/>
        <v>6.1797185229206623E-2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v>8845.91</v>
      </c>
      <c r="D55" s="558">
        <v>0</v>
      </c>
      <c r="E55" s="171">
        <f t="shared" si="4"/>
        <v>8845.91</v>
      </c>
      <c r="F55" s="171">
        <v>17907.8</v>
      </c>
      <c r="G55" s="171">
        <f t="shared" si="5"/>
        <v>26753.71</v>
      </c>
      <c r="H55" s="172">
        <f t="shared" si="6"/>
        <v>2.1610015442346474E-3</v>
      </c>
      <c r="I55" s="336"/>
      <c r="J55" s="168"/>
      <c r="K55" s="168"/>
      <c r="M55" s="359">
        <f t="shared" si="7"/>
        <v>0.72270212593533045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v>47392.81</v>
      </c>
      <c r="D56" s="558">
        <v>-4350.2700000000004</v>
      </c>
      <c r="E56" s="171">
        <f t="shared" si="4"/>
        <v>43042.539999999994</v>
      </c>
      <c r="F56" s="563">
        <f>87899.96+30557</f>
        <v>118456.96000000001</v>
      </c>
      <c r="G56" s="171">
        <f t="shared" si="5"/>
        <v>161499.5</v>
      </c>
      <c r="H56" s="172">
        <f t="shared" si="6"/>
        <v>1.3044944753199592E-2</v>
      </c>
      <c r="I56" s="336"/>
      <c r="J56" s="168"/>
      <c r="K56" s="168"/>
      <c r="M56" s="359">
        <f t="shared" si="7"/>
        <v>4.3626110916016101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v>196.58</v>
      </c>
      <c r="D57" s="558">
        <v>0</v>
      </c>
      <c r="E57" s="171">
        <f t="shared" si="4"/>
        <v>196.58</v>
      </c>
      <c r="F57" s="171">
        <v>22.28</v>
      </c>
      <c r="G57" s="171">
        <f t="shared" si="5"/>
        <v>218.86</v>
      </c>
      <c r="H57" s="172">
        <f t="shared" si="6"/>
        <v>1.7678176147203322E-5</v>
      </c>
      <c r="I57" s="336"/>
      <c r="J57" s="168"/>
      <c r="K57" s="168"/>
      <c r="M57" s="359">
        <f t="shared" si="7"/>
        <v>5.9120991923066538E-3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v>0</v>
      </c>
      <c r="D58" s="558">
        <v>0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v>0</v>
      </c>
      <c r="D59" s="558"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v>67764.710000000006</v>
      </c>
      <c r="D60" s="558">
        <v>-56630.14</v>
      </c>
      <c r="E60" s="171">
        <f t="shared" si="4"/>
        <v>11134.570000000007</v>
      </c>
      <c r="F60" s="563">
        <f>46284.41-28767-2300</f>
        <v>15217.410000000003</v>
      </c>
      <c r="G60" s="171">
        <f t="shared" si="5"/>
        <v>26351.98000000001</v>
      </c>
      <c r="H60" s="172">
        <f t="shared" si="6"/>
        <v>2.1285522446659014E-3</v>
      </c>
      <c r="I60" s="336"/>
      <c r="J60" s="168"/>
      <c r="K60" s="168"/>
      <c r="M60" s="359">
        <f t="shared" si="7"/>
        <v>0.71185013101380401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v>905240.99000000011</v>
      </c>
      <c r="D61" s="558">
        <v>-213138.77999999997</v>
      </c>
      <c r="E61" s="171">
        <f t="shared" ref="E61:F61" si="8">SUM(E25:E60)</f>
        <v>692102.21</v>
      </c>
      <c r="F61" s="171">
        <f t="shared" si="8"/>
        <v>1402541.9599999997</v>
      </c>
      <c r="G61" s="171">
        <f>SUM(G25:G60)</f>
        <v>2094644.17</v>
      </c>
      <c r="H61" s="186">
        <f t="shared" si="6"/>
        <v>0.16919258248639538</v>
      </c>
      <c r="I61" s="338"/>
      <c r="J61" s="168"/>
      <c r="K61" s="168"/>
      <c r="M61" s="364">
        <f>G61/G$228</f>
        <v>56.582948485912638</v>
      </c>
      <c r="N61" s="359">
        <f>SUMMARY!J64</f>
        <v>53.728790309602623</v>
      </c>
      <c r="O61" s="354">
        <f>M61/N61-1</f>
        <v>5.3121578949822501E-2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v>300000</v>
      </c>
      <c r="D64" s="558">
        <v>-300000</v>
      </c>
      <c r="E64" s="171">
        <f t="shared" ref="E64:E78" si="9">C64+D64</f>
        <v>0</v>
      </c>
      <c r="F64" s="171"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v>4522.59</v>
      </c>
      <c r="D65" s="558">
        <v>97176.66</v>
      </c>
      <c r="E65" s="171">
        <f t="shared" si="9"/>
        <v>101699.25</v>
      </c>
      <c r="F65" s="563">
        <f>294817.94-15155</f>
        <v>279662.94</v>
      </c>
      <c r="G65" s="171">
        <f t="shared" si="10"/>
        <v>381362.19</v>
      </c>
      <c r="H65" s="172">
        <f t="shared" si="11"/>
        <v>3.0804112083995343E-2</v>
      </c>
      <c r="I65" s="336"/>
      <c r="J65" s="190"/>
      <c r="K65" s="168"/>
      <c r="M65" s="359">
        <f t="shared" si="12"/>
        <v>10.301796104702991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v>0</v>
      </c>
      <c r="D66" s="558">
        <v>223984.45</v>
      </c>
      <c r="E66" s="171">
        <f t="shared" si="9"/>
        <v>223984.45</v>
      </c>
      <c r="F66" s="171">
        <v>358211.86</v>
      </c>
      <c r="G66" s="171">
        <f t="shared" si="10"/>
        <v>582196.31000000006</v>
      </c>
      <c r="H66" s="172">
        <f t="shared" si="11"/>
        <v>4.7026267570281416E-2</v>
      </c>
      <c r="I66" s="336"/>
      <c r="J66" s="190"/>
      <c r="K66" s="168"/>
      <c r="M66" s="359">
        <f t="shared" si="12"/>
        <v>15.726959399227425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v>0</v>
      </c>
      <c r="D67" s="558">
        <v>0</v>
      </c>
      <c r="E67" s="171">
        <f t="shared" si="9"/>
        <v>0</v>
      </c>
      <c r="F67" s="171">
        <v>0</v>
      </c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v>4845</v>
      </c>
      <c r="D68" s="558">
        <v>-4845</v>
      </c>
      <c r="E68" s="171">
        <f t="shared" si="9"/>
        <v>0</v>
      </c>
      <c r="F68" s="171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v>8224.56</v>
      </c>
      <c r="D69" s="558">
        <v>0</v>
      </c>
      <c r="E69" s="171">
        <f t="shared" si="9"/>
        <v>8224.56</v>
      </c>
      <c r="F69" s="563">
        <f>16353.43-1338</f>
        <v>15015.43</v>
      </c>
      <c r="G69" s="171">
        <f t="shared" si="10"/>
        <v>23239.989999999998</v>
      </c>
      <c r="H69" s="172">
        <f t="shared" si="11"/>
        <v>1.8771846700139068E-3</v>
      </c>
      <c r="I69" s="336"/>
      <c r="J69" s="195"/>
      <c r="K69" s="168"/>
      <c r="M69" s="359">
        <f t="shared" si="12"/>
        <v>0.62778546151976011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v>0</v>
      </c>
      <c r="D70" s="558"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v>0</v>
      </c>
      <c r="D71" s="558"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v>1627.56</v>
      </c>
      <c r="D72" s="558">
        <v>0</v>
      </c>
      <c r="E72" s="171">
        <f t="shared" si="9"/>
        <v>1627.56</v>
      </c>
      <c r="F72" s="171">
        <v>2175.87</v>
      </c>
      <c r="G72" s="171">
        <f t="shared" si="10"/>
        <v>3803.43</v>
      </c>
      <c r="H72" s="172">
        <f t="shared" si="11"/>
        <v>3.0721788131023267E-4</v>
      </c>
      <c r="I72" s="336"/>
      <c r="J72" s="195"/>
      <c r="K72" s="168"/>
      <c r="M72" s="359">
        <f t="shared" si="12"/>
        <v>0.10274264566844053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v>40308.239999999998</v>
      </c>
      <c r="D73" s="558">
        <v>-39458.04</v>
      </c>
      <c r="E73" s="171">
        <f t="shared" si="9"/>
        <v>850.19999999999709</v>
      </c>
      <c r="F73" s="171">
        <v>844.95999999999913</v>
      </c>
      <c r="G73" s="171">
        <f t="shared" si="10"/>
        <v>1695.1599999999962</v>
      </c>
      <c r="H73" s="172">
        <f t="shared" si="11"/>
        <v>1.3692468736951986E-4</v>
      </c>
      <c r="I73" s="336"/>
      <c r="J73" s="195"/>
      <c r="K73" s="168"/>
      <c r="M73" s="359">
        <f t="shared" si="12"/>
        <v>4.5791620519192743E-2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v>20561.27</v>
      </c>
      <c r="D74" s="558">
        <v>47985.96</v>
      </c>
      <c r="E74" s="171">
        <f t="shared" si="9"/>
        <v>68547.23</v>
      </c>
      <c r="F74" s="563">
        <f>191192.84-17541</f>
        <v>173651.84</v>
      </c>
      <c r="G74" s="171">
        <f t="shared" si="10"/>
        <v>242199.07</v>
      </c>
      <c r="H74" s="172">
        <f t="shared" si="11"/>
        <v>1.9563363895407235E-2</v>
      </c>
      <c r="I74" s="336"/>
      <c r="J74" s="195"/>
      <c r="K74" s="168"/>
      <c r="M74" s="359">
        <f t="shared" si="12"/>
        <v>6.5425611172641078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v>0</v>
      </c>
      <c r="D75" s="558"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v>869.46</v>
      </c>
      <c r="D76" s="558">
        <v>0</v>
      </c>
      <c r="E76" s="171">
        <f t="shared" si="9"/>
        <v>869.46</v>
      </c>
      <c r="F76" s="171">
        <v>0</v>
      </c>
      <c r="G76" s="171">
        <f t="shared" si="10"/>
        <v>869.46</v>
      </c>
      <c r="H76" s="172">
        <f t="shared" si="11"/>
        <v>7.0229676656069631E-5</v>
      </c>
      <c r="I76" s="336"/>
      <c r="J76" s="195"/>
      <c r="K76" s="168"/>
      <c r="M76" s="359">
        <f t="shared" si="12"/>
        <v>2.3486858099894651E-2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v>0</v>
      </c>
      <c r="D77" s="558"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v>0</v>
      </c>
      <c r="D78" s="558"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v>380958.68000000005</v>
      </c>
      <c r="D79" s="558">
        <v>24844.030000000013</v>
      </c>
      <c r="E79" s="171">
        <f t="shared" ref="E79:F79" si="13">SUM(E64:E78)</f>
        <v>405802.71</v>
      </c>
      <c r="F79" s="171">
        <f t="shared" si="13"/>
        <v>829562.9</v>
      </c>
      <c r="G79" s="171">
        <f>SUM(G64:G78)</f>
        <v>1235365.6100000001</v>
      </c>
      <c r="H79" s="172">
        <f t="shared" si="11"/>
        <v>9.9785300465033727E-2</v>
      </c>
      <c r="I79" s="336"/>
      <c r="J79" s="195"/>
      <c r="K79" s="168"/>
      <c r="M79" s="359">
        <f t="shared" si="12"/>
        <v>33.371123207001816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v>17902.89</v>
      </c>
      <c r="D82" s="558">
        <v>0</v>
      </c>
      <c r="E82" s="171">
        <f t="shared" ref="E82:E92" si="14">C82+D82</f>
        <v>17902.89</v>
      </c>
      <c r="F82" s="171">
        <v>22932.75</v>
      </c>
      <c r="G82" s="171">
        <f t="shared" ref="G82:G92" si="15">E82+F82</f>
        <v>40835.64</v>
      </c>
      <c r="H82" s="172">
        <f t="shared" ref="H82:H93" si="16">IF($G$208=0,0,G82/$G$208)</f>
        <v>3.2984539751612072E-3</v>
      </c>
      <c r="I82" s="336"/>
      <c r="J82" s="183">
        <f>734.85+1240</f>
        <v>1974.85</v>
      </c>
      <c r="K82" s="183">
        <f>926.38+1359</f>
        <v>2285.38</v>
      </c>
      <c r="M82" s="359">
        <f t="shared" ref="M82:M92" si="17">G82/G$228</f>
        <v>1.1030994894513628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v>4991.09</v>
      </c>
      <c r="D83" s="558">
        <v>0</v>
      </c>
      <c r="E83" s="171">
        <f t="shared" si="14"/>
        <v>4991.09</v>
      </c>
      <c r="F83" s="171">
        <v>9693.81</v>
      </c>
      <c r="G83" s="171">
        <f t="shared" si="15"/>
        <v>14684.9</v>
      </c>
      <c r="H83" s="172">
        <f t="shared" si="16"/>
        <v>1.186156670492854E-3</v>
      </c>
      <c r="I83" s="336"/>
      <c r="J83" s="168"/>
      <c r="K83" s="168"/>
      <c r="M83" s="359">
        <f t="shared" si="17"/>
        <v>0.39668548583159996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v>950.25</v>
      </c>
      <c r="D84" s="558">
        <v>0</v>
      </c>
      <c r="E84" s="171">
        <f t="shared" si="14"/>
        <v>950.25</v>
      </c>
      <c r="F84" s="171">
        <v>7649.86</v>
      </c>
      <c r="G84" s="171">
        <f t="shared" si="15"/>
        <v>8600.11</v>
      </c>
      <c r="H84" s="172">
        <f t="shared" si="16"/>
        <v>6.9466444057993582E-4</v>
      </c>
      <c r="I84" s="336"/>
      <c r="J84" s="168"/>
      <c r="K84" s="168"/>
      <c r="M84" s="359">
        <f t="shared" si="17"/>
        <v>0.23231610794456903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v>0</v>
      </c>
      <c r="D85" s="558"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v>5247.43</v>
      </c>
      <c r="D86" s="558">
        <v>0</v>
      </c>
      <c r="E86" s="171">
        <f t="shared" si="14"/>
        <v>5247.43</v>
      </c>
      <c r="F86" s="171">
        <v>15548.28</v>
      </c>
      <c r="G86" s="171">
        <f>E86+F86</f>
        <v>20795.71</v>
      </c>
      <c r="H86" s="172">
        <f t="shared" si="16"/>
        <v>1.6797506373305198E-3</v>
      </c>
      <c r="I86" s="336"/>
      <c r="J86" s="168"/>
      <c r="K86" s="168"/>
      <c r="M86" s="359">
        <f t="shared" si="17"/>
        <v>0.56175774602231288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v>5441.51</v>
      </c>
      <c r="D87" s="558">
        <v>0</v>
      </c>
      <c r="E87" s="171">
        <f t="shared" si="14"/>
        <v>5441.51</v>
      </c>
      <c r="F87" s="171">
        <v>7332.54</v>
      </c>
      <c r="G87" s="171">
        <f t="shared" si="15"/>
        <v>12774.05</v>
      </c>
      <c r="H87" s="172">
        <f t="shared" si="16"/>
        <v>1.0318098602448257E-3</v>
      </c>
      <c r="I87" s="336"/>
      <c r="J87" s="168"/>
      <c r="K87" s="168"/>
      <c r="M87" s="359">
        <f t="shared" si="17"/>
        <v>0.34506739782273965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v>0</v>
      </c>
      <c r="D88" s="558">
        <v>0</v>
      </c>
      <c r="E88" s="171">
        <f t="shared" si="14"/>
        <v>0</v>
      </c>
      <c r="F88" s="171">
        <v>3982.69</v>
      </c>
      <c r="G88" s="171">
        <f t="shared" si="15"/>
        <v>3982.69</v>
      </c>
      <c r="H88" s="172">
        <f t="shared" si="16"/>
        <v>3.2169741094629074E-4</v>
      </c>
      <c r="I88" s="336"/>
      <c r="J88" s="168"/>
      <c r="K88" s="168"/>
      <c r="M88" s="359">
        <f t="shared" si="17"/>
        <v>0.10758502390664254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v>2797.4</v>
      </c>
      <c r="D89" s="558">
        <v>0</v>
      </c>
      <c r="E89" s="171">
        <f t="shared" si="14"/>
        <v>2797.4</v>
      </c>
      <c r="F89" s="171">
        <v>7980.52</v>
      </c>
      <c r="G89" s="171">
        <f t="shared" si="15"/>
        <v>10777.92</v>
      </c>
      <c r="H89" s="172">
        <f t="shared" si="16"/>
        <v>8.7057465165158365E-4</v>
      </c>
      <c r="I89" s="336"/>
      <c r="J89" s="168"/>
      <c r="K89" s="168"/>
      <c r="M89" s="359">
        <f t="shared" si="17"/>
        <v>0.29114562792079746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v>0</v>
      </c>
      <c r="D90" s="558"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v>54156.36</v>
      </c>
      <c r="D91" s="558">
        <v>0</v>
      </c>
      <c r="E91" s="171">
        <f t="shared" si="14"/>
        <v>54156.36</v>
      </c>
      <c r="F91" s="171">
        <v>74168.33</v>
      </c>
      <c r="G91" s="171">
        <f t="shared" si="15"/>
        <v>128324.69</v>
      </c>
      <c r="H91" s="172">
        <f t="shared" si="16"/>
        <v>1.0365285908138813E-2</v>
      </c>
      <c r="I91" s="336"/>
      <c r="J91" s="168"/>
      <c r="K91" s="168"/>
      <c r="M91" s="359">
        <f t="shared" si="17"/>
        <v>3.4664547934844272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v>0</v>
      </c>
      <c r="D92" s="558"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v>91486.93</v>
      </c>
      <c r="D93" s="558">
        <v>0</v>
      </c>
      <c r="E93" s="171">
        <f t="shared" ref="E93:F93" si="18">SUM(E82:E92)</f>
        <v>91486.93</v>
      </c>
      <c r="F93" s="171">
        <f t="shared" si="18"/>
        <v>149288.78</v>
      </c>
      <c r="G93" s="171">
        <f>SUM(G82:G92)</f>
        <v>240775.71000000002</v>
      </c>
      <c r="H93" s="172">
        <f t="shared" si="16"/>
        <v>1.9448393554546032E-2</v>
      </c>
      <c r="I93" s="336"/>
      <c r="J93" s="168"/>
      <c r="K93" s="168"/>
      <c r="M93" s="364">
        <f>G93/G$228</f>
        <v>6.5041116723844521</v>
      </c>
      <c r="N93" s="359">
        <f>SUMMARY!J96</f>
        <v>11.458724454710746</v>
      </c>
      <c r="O93" s="354">
        <f>M93/N93-1</f>
        <v>-0.43238781086924771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v>97347.59</v>
      </c>
      <c r="D96" s="558">
        <v>0</v>
      </c>
      <c r="E96" s="171">
        <f t="shared" ref="E96:E101" si="19">C96+D96</f>
        <v>97347.59</v>
      </c>
      <c r="F96" s="171">
        <v>194689.35</v>
      </c>
      <c r="G96" s="171">
        <f t="shared" ref="G96:G101" si="20">E96+F96</f>
        <v>292036.94</v>
      </c>
      <c r="H96" s="172">
        <f t="shared" ref="H96:H102" si="21">IF($G$208=0,0,G96/$G$208)</f>
        <v>2.3588963112538826E-2</v>
      </c>
      <c r="I96" s="336"/>
      <c r="J96" s="183">
        <f>6615.57+13201</f>
        <v>19816.57</v>
      </c>
      <c r="K96" s="183">
        <f>6975.61+13917</f>
        <v>20892.61</v>
      </c>
      <c r="M96" s="364">
        <f t="shared" ref="M96:M101" si="22">G96/G$228</f>
        <v>7.8888392447121749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v>16038.1</v>
      </c>
      <c r="D97" s="558">
        <v>0</v>
      </c>
      <c r="E97" s="171">
        <f t="shared" si="19"/>
        <v>16038.1</v>
      </c>
      <c r="F97" s="171">
        <v>44793.78</v>
      </c>
      <c r="G97" s="171">
        <f t="shared" si="20"/>
        <v>60831.88</v>
      </c>
      <c r="H97" s="172">
        <f t="shared" si="21"/>
        <v>4.9136283012224009E-3</v>
      </c>
      <c r="I97" s="336"/>
      <c r="J97" s="168"/>
      <c r="K97" s="168"/>
      <c r="M97" s="364">
        <f t="shared" si="22"/>
        <v>1.6432610281206947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v>14820.25</v>
      </c>
      <c r="D98" s="558">
        <v>0</v>
      </c>
      <c r="E98" s="171">
        <f t="shared" si="19"/>
        <v>14820.25</v>
      </c>
      <c r="F98" s="171">
        <v>23096.5</v>
      </c>
      <c r="G98" s="171">
        <f t="shared" si="20"/>
        <v>37916.75</v>
      </c>
      <c r="H98" s="172">
        <f t="shared" si="21"/>
        <v>3.0626838409461366E-3</v>
      </c>
      <c r="I98" s="336"/>
      <c r="J98" s="168"/>
      <c r="K98" s="168"/>
      <c r="M98" s="364">
        <f t="shared" si="22"/>
        <v>1.0242510602663497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v>96767.73</v>
      </c>
      <c r="D99" s="558">
        <v>0</v>
      </c>
      <c r="E99" s="171">
        <f t="shared" si="19"/>
        <v>96767.73</v>
      </c>
      <c r="F99" s="171">
        <v>190175.69</v>
      </c>
      <c r="G99" s="171">
        <f t="shared" si="20"/>
        <v>286943.42</v>
      </c>
      <c r="H99" s="172">
        <f t="shared" si="21"/>
        <v>2.317753962825982E-2</v>
      </c>
      <c r="I99" s="336"/>
      <c r="J99" s="168"/>
      <c r="K99" s="168"/>
      <c r="M99" s="364">
        <f t="shared" si="22"/>
        <v>7.7512471973851262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v>9014.31</v>
      </c>
      <c r="D100" s="558">
        <v>0</v>
      </c>
      <c r="E100" s="171">
        <f t="shared" si="19"/>
        <v>9014.31</v>
      </c>
      <c r="F100" s="171">
        <v>18581.05</v>
      </c>
      <c r="G100" s="171">
        <f t="shared" si="20"/>
        <v>27595.360000000001</v>
      </c>
      <c r="H100" s="172">
        <f t="shared" si="21"/>
        <v>2.2289848986817538E-3</v>
      </c>
      <c r="I100" s="336"/>
      <c r="J100" s="168"/>
      <c r="K100" s="168"/>
      <c r="M100" s="364">
        <f t="shared" si="22"/>
        <v>0.74543774818336528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v>0</v>
      </c>
      <c r="D101" s="558"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v>233987.97999999998</v>
      </c>
      <c r="D102" s="558">
        <v>0</v>
      </c>
      <c r="E102" s="171">
        <f t="shared" ref="E102:F102" si="23">SUM(E96:E101)</f>
        <v>233987.97999999998</v>
      </c>
      <c r="F102" s="171">
        <f t="shared" si="23"/>
        <v>471336.37</v>
      </c>
      <c r="G102" s="171">
        <f>SUM(G96:G101)</f>
        <v>705324.35</v>
      </c>
      <c r="H102" s="172">
        <f t="shared" si="21"/>
        <v>5.6971799781648937E-2</v>
      </c>
      <c r="I102" s="336"/>
      <c r="J102" s="168"/>
      <c r="K102" s="168"/>
      <c r="M102" s="364">
        <f>G102/G$228</f>
        <v>19.053036278667712</v>
      </c>
      <c r="N102" s="359">
        <f>SUMMARY!J105</f>
        <v>19.901077037785338</v>
      </c>
      <c r="O102" s="354">
        <f>M102/N102-1</f>
        <v>-4.2612807211764858E-2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v>16533.53</v>
      </c>
      <c r="D105" s="558">
        <v>0</v>
      </c>
      <c r="E105" s="171">
        <f t="shared" ref="E105:E110" si="24">C105+D105</f>
        <v>16533.53</v>
      </c>
      <c r="F105" s="171">
        <v>32233.68</v>
      </c>
      <c r="G105" s="171">
        <f t="shared" ref="G105:G110" si="25">E105+F105</f>
        <v>48767.21</v>
      </c>
      <c r="H105" s="172">
        <f t="shared" ref="H105:H111" si="26">IF($G$208=0,0,G105/$G$208)</f>
        <v>3.9391178314340455E-3</v>
      </c>
      <c r="I105" s="336"/>
      <c r="J105" s="183">
        <f>1752.55+3523</f>
        <v>5275.55</v>
      </c>
      <c r="K105" s="183">
        <f>1829.26+3800</f>
        <v>5629.26</v>
      </c>
      <c r="M105" s="364">
        <f t="shared" ref="M105:M110" si="27">G105/G$228</f>
        <v>1.3173562224803479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v>2018.62</v>
      </c>
      <c r="D106" s="558">
        <v>0</v>
      </c>
      <c r="E106" s="171">
        <f t="shared" si="24"/>
        <v>2018.62</v>
      </c>
      <c r="F106" s="171">
        <v>8572.66</v>
      </c>
      <c r="G106" s="171">
        <f t="shared" si="25"/>
        <v>10591.279999999999</v>
      </c>
      <c r="H106" s="172">
        <f t="shared" si="26"/>
        <v>8.5549901062026662E-4</v>
      </c>
      <c r="I106" s="336"/>
      <c r="J106" s="168"/>
      <c r="K106" s="168"/>
      <c r="M106" s="364">
        <f t="shared" si="27"/>
        <v>0.28610389259569408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v>4937.5600000000004</v>
      </c>
      <c r="D107" s="558">
        <v>0</v>
      </c>
      <c r="E107" s="171">
        <f t="shared" si="24"/>
        <v>4937.5600000000004</v>
      </c>
      <c r="F107" s="171">
        <v>6293.45</v>
      </c>
      <c r="G107" s="171">
        <f t="shared" si="25"/>
        <v>11231.01</v>
      </c>
      <c r="H107" s="172">
        <f t="shared" si="26"/>
        <v>9.0717249881660405E-4</v>
      </c>
      <c r="I107" s="336"/>
      <c r="J107" s="168"/>
      <c r="K107" s="168"/>
      <c r="M107" s="364">
        <f t="shared" si="27"/>
        <v>0.30338501850401145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v>0</v>
      </c>
      <c r="D108" s="558"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v>1564.62</v>
      </c>
      <c r="D109" s="558">
        <v>0</v>
      </c>
      <c r="E109" s="171">
        <f t="shared" si="24"/>
        <v>1564.62</v>
      </c>
      <c r="F109" s="171">
        <v>3758.43</v>
      </c>
      <c r="G109" s="171">
        <f t="shared" si="25"/>
        <v>5323.0499999999993</v>
      </c>
      <c r="H109" s="172">
        <f t="shared" si="26"/>
        <v>4.2996351795837807E-4</v>
      </c>
      <c r="I109" s="336"/>
      <c r="J109" s="168"/>
      <c r="K109" s="168"/>
      <c r="M109" s="364">
        <f t="shared" si="27"/>
        <v>0.1437923768875442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v>0</v>
      </c>
      <c r="D110" s="558">
        <v>0</v>
      </c>
      <c r="E110" s="171">
        <f t="shared" si="24"/>
        <v>0</v>
      </c>
      <c r="F110" s="171">
        <v>1305.9100000000001</v>
      </c>
      <c r="G110" s="171">
        <f t="shared" si="25"/>
        <v>1305.9100000000001</v>
      </c>
      <c r="H110" s="172">
        <f t="shared" si="26"/>
        <v>1.0548344609519459E-4</v>
      </c>
      <c r="I110" s="336"/>
      <c r="J110" s="168"/>
      <c r="K110" s="168"/>
      <c r="M110" s="364">
        <f t="shared" si="27"/>
        <v>3.5276749777141472E-2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v>25054.329999999998</v>
      </c>
      <c r="D111" s="558">
        <v>0</v>
      </c>
      <c r="E111" s="171">
        <f t="shared" ref="E111:F111" si="28">SUM(E105:E110)</f>
        <v>25054.329999999998</v>
      </c>
      <c r="F111" s="171">
        <f t="shared" si="28"/>
        <v>52164.13</v>
      </c>
      <c r="G111" s="171">
        <f>SUM(G105:G110)</f>
        <v>77218.460000000006</v>
      </c>
      <c r="H111" s="172">
        <f t="shared" si="26"/>
        <v>6.2372363049244895E-3</v>
      </c>
      <c r="I111" s="336"/>
      <c r="J111" s="168"/>
      <c r="K111" s="168"/>
      <c r="M111" s="364">
        <f>G111/G$228</f>
        <v>2.0859142602447394</v>
      </c>
      <c r="N111" s="359">
        <f>SUMMARY!J114</f>
        <v>2.4242384372309496</v>
      </c>
      <c r="O111" s="354">
        <f>M111/N111-1</f>
        <v>-0.13955895253135908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v>44353.49</v>
      </c>
      <c r="D114" s="558">
        <v>0</v>
      </c>
      <c r="E114" s="171">
        <f t="shared" ref="E114:E118" si="29">C114+D114</f>
        <v>44353.49</v>
      </c>
      <c r="F114" s="171">
        <v>82383.98</v>
      </c>
      <c r="G114" s="171">
        <f>E114+F114</f>
        <v>126737.47</v>
      </c>
      <c r="H114" s="172">
        <f t="shared" ref="H114:H119" si="30">IF($G$208=0,0,G114/$G$208)</f>
        <v>1.0237079955729218E-2</v>
      </c>
      <c r="I114" s="336"/>
      <c r="J114" s="183">
        <f>5035.01+9618</f>
        <v>14653.01</v>
      </c>
      <c r="K114" s="183">
        <f>5481.2+10316</f>
        <v>15797.2</v>
      </c>
      <c r="M114" s="364">
        <f t="shared" ref="M114:M119" si="31">G114/G$228</f>
        <v>3.4235789729598314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v>8002.62</v>
      </c>
      <c r="D115" s="558">
        <v>0</v>
      </c>
      <c r="E115" s="171">
        <f t="shared" si="29"/>
        <v>8002.62</v>
      </c>
      <c r="F115" s="171">
        <v>16378.96</v>
      </c>
      <c r="G115" s="171">
        <f>E115+F115</f>
        <v>24381.579999999998</v>
      </c>
      <c r="H115" s="172">
        <f t="shared" si="30"/>
        <v>1.9693953485658846E-3</v>
      </c>
      <c r="I115" s="336"/>
      <c r="J115" s="168"/>
      <c r="K115" s="168"/>
      <c r="M115" s="364">
        <f t="shared" si="31"/>
        <v>0.65862340960047538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v>11314.08</v>
      </c>
      <c r="D116" s="558">
        <v>0</v>
      </c>
      <c r="E116" s="171">
        <f t="shared" si="29"/>
        <v>11314.08</v>
      </c>
      <c r="F116" s="171">
        <v>33925.61</v>
      </c>
      <c r="G116" s="171">
        <f>E116+F116</f>
        <v>45239.69</v>
      </c>
      <c r="H116" s="172">
        <f t="shared" si="30"/>
        <v>3.6541862773685125E-3</v>
      </c>
      <c r="I116" s="336"/>
      <c r="J116" s="168"/>
      <c r="K116" s="168"/>
      <c r="M116" s="364">
        <f t="shared" si="31"/>
        <v>1.2220667765201654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v>1751</v>
      </c>
      <c r="D117" s="558">
        <v>0</v>
      </c>
      <c r="E117" s="171">
        <f t="shared" si="29"/>
        <v>1751</v>
      </c>
      <c r="F117" s="171">
        <v>3286.7</v>
      </c>
      <c r="G117" s="171">
        <f>E117+F117</f>
        <v>5037.7</v>
      </c>
      <c r="H117" s="172">
        <f t="shared" si="30"/>
        <v>4.0691468508071902E-4</v>
      </c>
      <c r="I117" s="336"/>
      <c r="J117" s="168"/>
      <c r="K117" s="168"/>
      <c r="M117" s="364">
        <f t="shared" si="31"/>
        <v>0.13608417299224723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v>139.19999999999999</v>
      </c>
      <c r="D118" s="558">
        <v>0</v>
      </c>
      <c r="E118" s="171">
        <f t="shared" si="29"/>
        <v>139.19999999999999</v>
      </c>
      <c r="F118" s="171">
        <v>0</v>
      </c>
      <c r="G118" s="171">
        <f>E118+F118</f>
        <v>139.19999999999999</v>
      </c>
      <c r="H118" s="172">
        <f t="shared" si="30"/>
        <v>1.1243727130086366E-5</v>
      </c>
      <c r="I118" s="336"/>
      <c r="J118" s="168"/>
      <c r="K118" s="168"/>
      <c r="M118" s="364">
        <f t="shared" si="31"/>
        <v>3.760231232610281E-3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v>65560.39</v>
      </c>
      <c r="D119" s="558">
        <v>0</v>
      </c>
      <c r="E119" s="171">
        <f t="shared" ref="E119:F119" si="32">SUM(E114:E118)</f>
        <v>65560.39</v>
      </c>
      <c r="F119" s="171">
        <f t="shared" si="32"/>
        <v>135975.25</v>
      </c>
      <c r="G119" s="171">
        <f>SUM(G114:G118)</f>
        <v>201535.64</v>
      </c>
      <c r="H119" s="172">
        <f t="shared" si="30"/>
        <v>1.627881999387442E-2</v>
      </c>
      <c r="I119" s="336"/>
      <c r="J119" s="168"/>
      <c r="K119" s="168"/>
      <c r="M119" s="364">
        <f t="shared" si="31"/>
        <v>5.4441135633053301</v>
      </c>
      <c r="N119" s="359">
        <f>SUMMARY!J122</f>
        <v>6.0247597205909562</v>
      </c>
      <c r="O119" s="354">
        <f>M119/N119-1</f>
        <v>-9.6376649727812125E-2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v>0</v>
      </c>
      <c r="D123" s="558"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v>0</v>
      </c>
      <c r="D124" s="558">
        <v>0</v>
      </c>
      <c r="E124" s="171">
        <f t="shared" si="33"/>
        <v>0</v>
      </c>
      <c r="F124" s="563">
        <f>0+177753+341780</f>
        <v>519533</v>
      </c>
      <c r="G124" s="171">
        <f>E124+F124</f>
        <v>519533</v>
      </c>
      <c r="H124" s="172">
        <f>IF($G$208=0,0,G124/$G$208)</f>
        <v>4.1964707522091665E-2</v>
      </c>
      <c r="I124" s="336"/>
      <c r="J124" s="183">
        <v>0</v>
      </c>
      <c r="K124" s="183">
        <v>0</v>
      </c>
      <c r="M124" s="364">
        <f t="shared" si="34"/>
        <v>14.034225667900268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v>0</v>
      </c>
      <c r="D125" s="558"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v>0</v>
      </c>
      <c r="D126" s="558"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v>202375.25</v>
      </c>
      <c r="D127" s="558">
        <v>2348.6799999999998</v>
      </c>
      <c r="E127" s="171">
        <f t="shared" si="33"/>
        <v>204723.93</v>
      </c>
      <c r="F127" s="563">
        <f>391014.89-177753-341780</f>
        <v>-128518.10999999999</v>
      </c>
      <c r="G127" s="171">
        <f>E127+F127</f>
        <v>76205.820000000007</v>
      </c>
      <c r="H127" s="172">
        <f>IF($G$208=0,0,G127/$G$208)</f>
        <v>6.1554414210091835E-3</v>
      </c>
      <c r="I127" s="336"/>
      <c r="J127" s="183">
        <f>7935.06+12614</f>
        <v>20549.060000000001</v>
      </c>
      <c r="K127" s="183">
        <f>8289.47+13569</f>
        <v>21858.47</v>
      </c>
      <c r="M127" s="364">
        <f t="shared" si="34"/>
        <v>2.0585596585537158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v>0</v>
      </c>
      <c r="D129" s="558"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v>0</v>
      </c>
      <c r="D130" s="558">
        <v>0</v>
      </c>
      <c r="E130" s="171">
        <f t="shared" si="35"/>
        <v>0</v>
      </c>
      <c r="F130" s="563">
        <f>0+34256+49306</f>
        <v>83562</v>
      </c>
      <c r="G130" s="171">
        <f>E130+F130</f>
        <v>83562</v>
      </c>
      <c r="H130" s="172">
        <f>IF($G$208=0,0,G130/$G$208)</f>
        <v>6.749628781927277E-3</v>
      </c>
      <c r="I130" s="336"/>
      <c r="J130" s="204"/>
      <c r="K130" s="204"/>
      <c r="M130" s="364">
        <f t="shared" si="34"/>
        <v>2.2572732920932492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v>0</v>
      </c>
      <c r="D131" s="558"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v>0</v>
      </c>
      <c r="D132" s="558"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v>42972.68</v>
      </c>
      <c r="D133" s="558">
        <v>0</v>
      </c>
      <c r="E133" s="171">
        <f t="shared" si="35"/>
        <v>42972.68</v>
      </c>
      <c r="F133" s="563">
        <f>66644.01-34256-49306</f>
        <v>-16917.990000000005</v>
      </c>
      <c r="G133" s="171">
        <f>E133+F133</f>
        <v>26054.689999999995</v>
      </c>
      <c r="H133" s="172">
        <f>IF($G$208=0,0,G133/$G$208)</f>
        <v>2.1045389714007896E-3</v>
      </c>
      <c r="I133" s="336"/>
      <c r="J133" s="168"/>
      <c r="K133" s="168"/>
      <c r="M133" s="364">
        <f t="shared" si="34"/>
        <v>0.7038193900429508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v>393174.04</v>
      </c>
      <c r="D135" s="558">
        <v>0</v>
      </c>
      <c r="E135" s="171">
        <f t="shared" ref="E135:E138" si="36">C135+D135</f>
        <v>393174.04</v>
      </c>
      <c r="F135" s="171">
        <v>803202.96</v>
      </c>
      <c r="G135" s="171">
        <f>E135+F135</f>
        <v>1196377</v>
      </c>
      <c r="H135" s="172">
        <f>IF($G$208=0,0,G135/$G$208)</f>
        <v>9.6636038309707878E-2</v>
      </c>
      <c r="I135" s="336"/>
      <c r="J135" s="183">
        <f>12678.67+25042</f>
        <v>37720.67</v>
      </c>
      <c r="K135" s="183">
        <f>13698.19+26768</f>
        <v>40466.19</v>
      </c>
      <c r="M135" s="364">
        <f t="shared" si="34"/>
        <v>32.317917825981255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v>92228.06</v>
      </c>
      <c r="D136" s="558">
        <v>0</v>
      </c>
      <c r="E136" s="171">
        <f t="shared" si="36"/>
        <v>92228.06</v>
      </c>
      <c r="F136" s="171">
        <v>171762.86</v>
      </c>
      <c r="G136" s="171">
        <f>E136+F136</f>
        <v>263990.92</v>
      </c>
      <c r="H136" s="172">
        <f>IF($G$208=0,0,G136/$G$208)</f>
        <v>2.1323576647273416E-2</v>
      </c>
      <c r="I136" s="336"/>
      <c r="J136" s="183">
        <f>3184.83+5987</f>
        <v>9171.83</v>
      </c>
      <c r="K136" s="183">
        <f>3539.58+6521</f>
        <v>10060.58</v>
      </c>
      <c r="M136" s="364">
        <f t="shared" si="34"/>
        <v>7.1312277479132336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v>432832.94</v>
      </c>
      <c r="D137" s="558">
        <v>0</v>
      </c>
      <c r="E137" s="171">
        <f t="shared" si="36"/>
        <v>432832.94</v>
      </c>
      <c r="F137" s="171">
        <v>878230.41</v>
      </c>
      <c r="G137" s="171">
        <f>E137+F137</f>
        <v>1311063.3500000001</v>
      </c>
      <c r="H137" s="172">
        <f>IF($G$208=0,0,G137/$G$208)</f>
        <v>0.10589970228201809</v>
      </c>
      <c r="I137" s="336"/>
      <c r="J137" s="183">
        <f>34486.76+69939</f>
        <v>104425.76000000001</v>
      </c>
      <c r="K137" s="183">
        <f>36846.63+74762</f>
        <v>111608.63</v>
      </c>
      <c r="M137" s="364">
        <f t="shared" si="34"/>
        <v>35.415958021556499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v>165848.57999999999</v>
      </c>
      <c r="D138" s="558">
        <v>0</v>
      </c>
      <c r="E138" s="171">
        <f t="shared" si="36"/>
        <v>165848.57999999999</v>
      </c>
      <c r="F138" s="171">
        <v>318299.24</v>
      </c>
      <c r="G138" s="171">
        <f>E138+F138</f>
        <v>484147.81999999995</v>
      </c>
      <c r="H138" s="172">
        <f>IF($G$208=0,0,G138/$G$208)</f>
        <v>3.9106508467716738E-2</v>
      </c>
      <c r="I138" s="336"/>
      <c r="J138" s="183">
        <f>6595+12965</f>
        <v>19560</v>
      </c>
      <c r="K138" s="183">
        <f>7075.86+14004</f>
        <v>21079.86</v>
      </c>
      <c r="M138" s="364">
        <f t="shared" si="34"/>
        <v>13.078360301466812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v>57993.73</v>
      </c>
      <c r="D140" s="558">
        <v>0</v>
      </c>
      <c r="E140" s="171">
        <f t="shared" ref="E140:E143" si="37">C140+D140</f>
        <v>57993.73</v>
      </c>
      <c r="F140" s="171">
        <v>119562.32</v>
      </c>
      <c r="G140" s="171">
        <f>E140+F140</f>
        <v>177556.05000000002</v>
      </c>
      <c r="H140" s="172">
        <f>IF($G$208=0,0,G140/$G$208)</f>
        <v>1.4341894946091749E-2</v>
      </c>
      <c r="I140" s="336"/>
      <c r="J140" s="168"/>
      <c r="K140" s="168"/>
      <c r="M140" s="364">
        <f t="shared" si="34"/>
        <v>4.7963491720467877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v>13735.36</v>
      </c>
      <c r="D141" s="558">
        <v>0</v>
      </c>
      <c r="E141" s="171">
        <f t="shared" si="37"/>
        <v>13735.36</v>
      </c>
      <c r="F141" s="171">
        <v>27591.3</v>
      </c>
      <c r="G141" s="171">
        <f>E141+F141</f>
        <v>41326.660000000003</v>
      </c>
      <c r="H141" s="172">
        <f>IF($G$208=0,0,G141/$G$208)</f>
        <v>3.3381155764213729E-3</v>
      </c>
      <c r="I141" s="336"/>
      <c r="J141" s="168"/>
      <c r="K141" s="168"/>
      <c r="M141" s="364">
        <f t="shared" si="34"/>
        <v>1.1163634890191525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v>64098.34</v>
      </c>
      <c r="D142" s="558">
        <v>0</v>
      </c>
      <c r="E142" s="171">
        <f t="shared" si="37"/>
        <v>64098.34</v>
      </c>
      <c r="F142" s="171">
        <v>128759.42</v>
      </c>
      <c r="G142" s="171">
        <f>E142+F142</f>
        <v>192857.76</v>
      </c>
      <c r="H142" s="172">
        <f>IF($G$208=0,0,G142/$G$208)</f>
        <v>1.5577873766951763E-2</v>
      </c>
      <c r="I142" s="336"/>
      <c r="J142" s="168"/>
      <c r="K142" s="168"/>
      <c r="M142" s="364">
        <f t="shared" si="34"/>
        <v>5.2096966422647828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v>16787.66</v>
      </c>
      <c r="D143" s="558">
        <v>0</v>
      </c>
      <c r="E143" s="171">
        <f t="shared" si="37"/>
        <v>16787.66</v>
      </c>
      <c r="F143" s="171">
        <v>59583.03</v>
      </c>
      <c r="G143" s="171">
        <f>E143+F143</f>
        <v>76370.69</v>
      </c>
      <c r="H143" s="172">
        <f>IF($G$208=0,0,G143/$G$208)</f>
        <v>6.1687586141983882E-3</v>
      </c>
      <c r="I143" s="336"/>
      <c r="J143" s="168"/>
      <c r="K143" s="168"/>
      <c r="M143" s="364">
        <f t="shared" si="34"/>
        <v>2.0630133174856153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v>22000</v>
      </c>
      <c r="D145" s="558">
        <v>0</v>
      </c>
      <c r="E145" s="171">
        <f t="shared" ref="E145:E153" si="38">C145+D145</f>
        <v>22000</v>
      </c>
      <c r="F145" s="171">
        <v>44000</v>
      </c>
      <c r="G145" s="171">
        <f t="shared" ref="G145:G153" si="39">E145+F145</f>
        <v>66000</v>
      </c>
      <c r="H145" s="172">
        <f t="shared" ref="H145:H153" si="40">IF($G$208=0,0,G145/$G$208)</f>
        <v>5.3310775185754326E-3</v>
      </c>
      <c r="I145" s="336"/>
      <c r="J145" s="183">
        <v>0</v>
      </c>
      <c r="K145" s="183">
        <v>0</v>
      </c>
      <c r="M145" s="364">
        <f t="shared" si="34"/>
        <v>1.7828682568410816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v>0</v>
      </c>
      <c r="D146" s="558"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v>0</v>
      </c>
      <c r="D147" s="558"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v>0</v>
      </c>
      <c r="D148" s="558"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v>3995</v>
      </c>
      <c r="D149" s="558">
        <v>0</v>
      </c>
      <c r="E149" s="171">
        <f t="shared" si="38"/>
        <v>3995</v>
      </c>
      <c r="F149" s="563">
        <f>6475+1684</f>
        <v>8159</v>
      </c>
      <c r="G149" s="171">
        <f t="shared" si="39"/>
        <v>12154</v>
      </c>
      <c r="H149" s="172">
        <f t="shared" si="40"/>
        <v>9.8172600243584562E-4</v>
      </c>
      <c r="I149" s="336"/>
      <c r="J149" s="183">
        <v>0</v>
      </c>
      <c r="K149" s="183">
        <v>0</v>
      </c>
      <c r="M149" s="364">
        <f t="shared" si="34"/>
        <v>0.32831789081282586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v>123202.17</v>
      </c>
      <c r="D150" s="558">
        <v>0</v>
      </c>
      <c r="E150" s="171">
        <f t="shared" si="38"/>
        <v>123202.17</v>
      </c>
      <c r="F150" s="171">
        <v>222239.54</v>
      </c>
      <c r="G150" s="171">
        <f t="shared" si="39"/>
        <v>345441.71</v>
      </c>
      <c r="H150" s="172">
        <f t="shared" si="40"/>
        <v>2.7902674759988699E-2</v>
      </c>
      <c r="I150" s="336"/>
      <c r="J150" s="168"/>
      <c r="K150" s="168"/>
      <c r="M150" s="364">
        <f t="shared" si="34"/>
        <v>9.3314705961803401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v>434.23</v>
      </c>
      <c r="D151" s="558">
        <v>0</v>
      </c>
      <c r="E151" s="171">
        <f t="shared" si="38"/>
        <v>434.23</v>
      </c>
      <c r="F151" s="171">
        <v>1408.62</v>
      </c>
      <c r="G151" s="171">
        <f t="shared" si="39"/>
        <v>1842.85</v>
      </c>
      <c r="H151" s="172">
        <f t="shared" si="40"/>
        <v>1.4885418492585961E-4</v>
      </c>
      <c r="I151" s="336"/>
      <c r="J151" s="168"/>
      <c r="K151" s="168"/>
      <c r="M151" s="364">
        <f t="shared" si="34"/>
        <v>4.9781193441205865E-2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v>-341</v>
      </c>
      <c r="D152" s="558">
        <v>0</v>
      </c>
      <c r="E152" s="171">
        <f t="shared" si="38"/>
        <v>-341</v>
      </c>
      <c r="F152" s="171">
        <v>1486.5</v>
      </c>
      <c r="G152" s="171">
        <f t="shared" si="39"/>
        <v>1145.5</v>
      </c>
      <c r="H152" s="172">
        <f t="shared" si="40"/>
        <v>9.2526504508002393E-5</v>
      </c>
      <c r="I152" s="336"/>
      <c r="J152" s="168"/>
      <c r="K152" s="168"/>
      <c r="M152" s="364">
        <f t="shared" si="34"/>
        <v>3.0943569518355439E-2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v>0</v>
      </c>
      <c r="D153" s="558"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v>0</v>
      </c>
      <c r="D155" s="558"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v>0</v>
      </c>
      <c r="D156" s="558"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v>0</v>
      </c>
      <c r="D157" s="558"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v>0</v>
      </c>
      <c r="D158" s="558"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v>250.16</v>
      </c>
      <c r="D159" s="558">
        <v>0</v>
      </c>
      <c r="E159" s="171">
        <f t="shared" si="41"/>
        <v>250.16</v>
      </c>
      <c r="F159" s="171">
        <v>194.5</v>
      </c>
      <c r="G159" s="171">
        <f t="shared" si="42"/>
        <v>444.65999999999997</v>
      </c>
      <c r="H159" s="172">
        <f>IF($G$208=0,0,G159/$G$208)</f>
        <v>3.5916923172875025E-5</v>
      </c>
      <c r="I159" s="336"/>
      <c r="J159" s="168"/>
      <c r="K159" s="168"/>
      <c r="M159" s="364">
        <f t="shared" si="34"/>
        <v>1.2011669683135686E-2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v>25880.53</v>
      </c>
      <c r="D160" s="558">
        <v>0</v>
      </c>
      <c r="E160" s="171">
        <f t="shared" si="41"/>
        <v>25880.53</v>
      </c>
      <c r="F160" s="563">
        <f>35437.51-1684</f>
        <v>33753.51</v>
      </c>
      <c r="G160" s="171">
        <f t="shared" si="42"/>
        <v>59634.04</v>
      </c>
      <c r="H160" s="172">
        <f t="shared" si="43"/>
        <v>4.8168740906943648E-3</v>
      </c>
      <c r="I160" s="336"/>
      <c r="J160" s="168"/>
      <c r="K160" s="168"/>
      <c r="M160" s="364">
        <f t="shared" si="34"/>
        <v>1.6109035900483535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v>1657467.73</v>
      </c>
      <c r="D161" s="558">
        <v>2348.6799999999998</v>
      </c>
      <c r="E161" s="171">
        <f t="shared" ref="E161:F161" si="44">SUM(E123:E160)</f>
        <v>1659816.41</v>
      </c>
      <c r="F161" s="171">
        <f t="shared" si="44"/>
        <v>3275892.1099999994</v>
      </c>
      <c r="G161" s="171">
        <f>SUM(G123:G160)</f>
        <v>4935708.5200000005</v>
      </c>
      <c r="H161" s="172">
        <f t="shared" si="43"/>
        <v>0.39867643529110941</v>
      </c>
      <c r="I161" s="336"/>
      <c r="J161" s="168"/>
      <c r="K161" s="168"/>
      <c r="M161" s="364">
        <f>G161/G$228</f>
        <v>133.32906129284964</v>
      </c>
      <c r="N161" s="359">
        <f>SUMMARY!J164</f>
        <v>105.56901037202306</v>
      </c>
      <c r="O161" s="354">
        <f>M161/N161-1</f>
        <v>0.26295643790730572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v>0</v>
      </c>
      <c r="D164" s="558"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v>0</v>
      </c>
      <c r="D165" s="558"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v>0</v>
      </c>
      <c r="D166" s="558"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v>0</v>
      </c>
      <c r="D167" s="558"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v>0</v>
      </c>
      <c r="D168" s="558"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v>0</v>
      </c>
      <c r="D169" s="558"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v>0</v>
      </c>
      <c r="D170" s="558"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v>0</v>
      </c>
      <c r="D171" s="558"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v>0</v>
      </c>
      <c r="D172" s="558"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v>0</v>
      </c>
      <c r="D173" s="558"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v>0</v>
      </c>
      <c r="D174" s="558"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v>0</v>
      </c>
      <c r="D175" s="558"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v>0</v>
      </c>
      <c r="D176" s="558"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v>0</v>
      </c>
      <c r="D177" s="558"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v>0</v>
      </c>
      <c r="D178" s="558"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v>0</v>
      </c>
      <c r="D179" s="558"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v>0</v>
      </c>
      <c r="D180" s="558"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v>0</v>
      </c>
      <c r="D181" s="558"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v>0</v>
      </c>
      <c r="D182" s="558"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v>252589.06</v>
      </c>
      <c r="D183" s="558">
        <v>-4628.4799999999996</v>
      </c>
      <c r="E183" s="171">
        <f t="shared" si="45"/>
        <v>247960.58</v>
      </c>
      <c r="F183" s="216">
        <v>494295.98000000004</v>
      </c>
      <c r="G183" s="171">
        <f t="shared" si="46"/>
        <v>742256.56</v>
      </c>
      <c r="H183" s="172">
        <f t="shared" si="47"/>
        <v>5.9954958485320252E-2</v>
      </c>
      <c r="I183" s="336"/>
      <c r="J183" s="223"/>
      <c r="K183" s="218"/>
      <c r="M183" s="364">
        <f t="shared" si="48"/>
        <v>20.050691806909967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v>88746.2</v>
      </c>
      <c r="D184" s="558">
        <v>-1367.51</v>
      </c>
      <c r="E184" s="171">
        <f t="shared" si="45"/>
        <v>87378.69</v>
      </c>
      <c r="F184" s="216">
        <v>131460.46000000002</v>
      </c>
      <c r="G184" s="171">
        <f t="shared" si="46"/>
        <v>218839.15000000002</v>
      </c>
      <c r="H184" s="172">
        <f t="shared" si="47"/>
        <v>1.7676492011350863E-2</v>
      </c>
      <c r="I184" s="336"/>
      <c r="J184" s="223"/>
      <c r="K184" s="218"/>
      <c r="M184" s="364">
        <f t="shared" si="48"/>
        <v>5.911535968016425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v>0</v>
      </c>
      <c r="D185" s="558"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v>245666.03</v>
      </c>
      <c r="D186" s="558">
        <v>-4523.29</v>
      </c>
      <c r="E186" s="171">
        <f t="shared" si="45"/>
        <v>241142.74</v>
      </c>
      <c r="F186" s="216">
        <v>498613.16000000003</v>
      </c>
      <c r="G186" s="171">
        <f t="shared" si="46"/>
        <v>739755.9</v>
      </c>
      <c r="H186" s="172">
        <f t="shared" si="47"/>
        <v>5.9752970420053571E-2</v>
      </c>
      <c r="I186" s="336"/>
      <c r="J186" s="223"/>
      <c r="K186" s="218"/>
      <c r="M186" s="364">
        <f t="shared" si="48"/>
        <v>19.983141089710688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v>34671.42</v>
      </c>
      <c r="D187" s="558">
        <v>0</v>
      </c>
      <c r="E187" s="171">
        <f t="shared" si="45"/>
        <v>34671.42</v>
      </c>
      <c r="F187" s="216">
        <v>83292.490000000005</v>
      </c>
      <c r="G187" s="171">
        <f t="shared" si="46"/>
        <v>117963.91</v>
      </c>
      <c r="H187" s="172">
        <f t="shared" si="47"/>
        <v>9.5284052818826615E-3</v>
      </c>
      <c r="I187" s="336"/>
      <c r="J187" s="223"/>
      <c r="K187" s="218"/>
      <c r="M187" s="364">
        <f t="shared" si="48"/>
        <v>3.1865774332099734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v>0</v>
      </c>
      <c r="D188" s="558"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v>0</v>
      </c>
      <c r="D189" s="558"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v>0</v>
      </c>
      <c r="D190" s="558"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v>0</v>
      </c>
      <c r="D191" s="558"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v>0</v>
      </c>
      <c r="D192" s="558"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v>0</v>
      </c>
      <c r="D193" s="558"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v>359581.39</v>
      </c>
      <c r="D194" s="558">
        <v>-78823.05</v>
      </c>
      <c r="E194" s="171">
        <f t="shared" si="45"/>
        <v>280758.34000000003</v>
      </c>
      <c r="F194" s="216">
        <v>476249.86000000004</v>
      </c>
      <c r="G194" s="171">
        <f t="shared" si="46"/>
        <v>757008.20000000007</v>
      </c>
      <c r="H194" s="172">
        <f t="shared" si="47"/>
        <v>6.1146506006019015E-2</v>
      </c>
      <c r="I194" s="336"/>
      <c r="J194" s="223"/>
      <c r="K194" s="218"/>
      <c r="M194" s="364">
        <f t="shared" si="48"/>
        <v>20.449180150733408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v>24539.68</v>
      </c>
      <c r="D195" s="558">
        <v>0</v>
      </c>
      <c r="E195" s="171">
        <f t="shared" si="45"/>
        <v>24539.68</v>
      </c>
      <c r="F195" s="216">
        <v>57928.43</v>
      </c>
      <c r="G195" s="171">
        <f t="shared" si="46"/>
        <v>82468.11</v>
      </c>
      <c r="H195" s="172">
        <f t="shared" si="47"/>
        <v>6.6612710184909968E-3</v>
      </c>
      <c r="I195" s="336"/>
      <c r="J195" s="223"/>
      <c r="K195" s="218"/>
      <c r="M195" s="364">
        <f t="shared" si="48"/>
        <v>2.2277238715254328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v>8247.2199999999993</v>
      </c>
      <c r="D196" s="558">
        <v>0</v>
      </c>
      <c r="E196" s="171">
        <f t="shared" si="45"/>
        <v>8247.2199999999993</v>
      </c>
      <c r="F196" s="216">
        <v>-75351.16</v>
      </c>
      <c r="G196" s="171">
        <f t="shared" si="46"/>
        <v>-67103.94</v>
      </c>
      <c r="H196" s="172">
        <f t="shared" si="47"/>
        <v>-5.4202470597247681E-3</v>
      </c>
      <c r="I196" s="336"/>
      <c r="J196" s="223"/>
      <c r="K196" s="218"/>
      <c r="M196" s="364">
        <f t="shared" si="48"/>
        <v>-1.8126891596207353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v>1014041.0000000001</v>
      </c>
      <c r="D197" s="558">
        <v>-89342.33</v>
      </c>
      <c r="E197" s="171">
        <f t="shared" ref="E197:F197" si="49">SUM(E164:E196)</f>
        <v>924698.67</v>
      </c>
      <c r="F197" s="171">
        <f t="shared" si="49"/>
        <v>1666489.2200000002</v>
      </c>
      <c r="G197" s="171">
        <f>SUM(G164:G196)</f>
        <v>2591187.89</v>
      </c>
      <c r="H197" s="172">
        <f>IF($G$208=0,0,G197/$G$208)</f>
        <v>0.2093003561633926</v>
      </c>
      <c r="I197" s="336"/>
      <c r="J197" s="168"/>
      <c r="K197" s="168"/>
      <c r="M197" s="364">
        <f>G197/G$228</f>
        <v>69.996161160485158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v>72574.12</v>
      </c>
      <c r="D200" s="558">
        <v>0</v>
      </c>
      <c r="E200" s="171">
        <f t="shared" ref="E200:E205" si="50">C200+D200</f>
        <v>72574.12</v>
      </c>
      <c r="F200" s="171">
        <v>137366.57</v>
      </c>
      <c r="G200" s="171">
        <f t="shared" ref="G200:G205" si="51">E200+F200</f>
        <v>209940.69</v>
      </c>
      <c r="H200" s="172">
        <f t="shared" ref="H200:H206" si="52">IF($G$208=0,0,G200/$G$208)</f>
        <v>1.6957728677169912E-2</v>
      </c>
      <c r="I200" s="336"/>
      <c r="J200" s="183">
        <f>3724.39+6983</f>
        <v>10707.39</v>
      </c>
      <c r="K200" s="183">
        <f>3929.21+7510</f>
        <v>11439.21</v>
      </c>
      <c r="M200" s="364">
        <f t="shared" ref="M200:M205" si="53">G200/G$228</f>
        <v>5.6711604851562711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v>18077.259999999998</v>
      </c>
      <c r="D201" s="558">
        <v>0</v>
      </c>
      <c r="E201" s="171">
        <f t="shared" si="50"/>
        <v>18077.259999999998</v>
      </c>
      <c r="F201" s="171">
        <v>35621.06</v>
      </c>
      <c r="G201" s="171">
        <f t="shared" si="51"/>
        <v>53698.319999999992</v>
      </c>
      <c r="H201" s="172">
        <f t="shared" si="52"/>
        <v>4.3374228263222646E-3</v>
      </c>
      <c r="I201" s="336"/>
      <c r="J201" s="168"/>
      <c r="K201" s="168"/>
      <c r="M201" s="364">
        <f t="shared" si="53"/>
        <v>1.4505610632377965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v>7657.19</v>
      </c>
      <c r="D202" s="558">
        <v>0</v>
      </c>
      <c r="E202" s="171">
        <f t="shared" si="50"/>
        <v>7657.19</v>
      </c>
      <c r="F202" s="171">
        <v>9178.0499999999993</v>
      </c>
      <c r="G202" s="171">
        <f t="shared" si="51"/>
        <v>16835.239999999998</v>
      </c>
      <c r="H202" s="172">
        <f t="shared" si="52"/>
        <v>1.3598480224821493E-3</v>
      </c>
      <c r="I202" s="336"/>
      <c r="J202" s="168"/>
      <c r="K202" s="168"/>
      <c r="M202" s="364">
        <f t="shared" si="53"/>
        <v>0.45477295442880677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v>0</v>
      </c>
      <c r="D203" s="558"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v>0</v>
      </c>
      <c r="D204" s="558"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v>7044.45</v>
      </c>
      <c r="D205" s="558">
        <v>0</v>
      </c>
      <c r="E205" s="171">
        <f t="shared" si="50"/>
        <v>7044.45</v>
      </c>
      <c r="F205" s="563">
        <f>11865.36-908</f>
        <v>10957.36</v>
      </c>
      <c r="G205" s="171">
        <f t="shared" si="51"/>
        <v>18001.810000000001</v>
      </c>
      <c r="H205" s="172">
        <f t="shared" si="52"/>
        <v>1.4540764331010061E-3</v>
      </c>
      <c r="I205" s="336"/>
      <c r="J205" s="168"/>
      <c r="K205" s="168"/>
      <c r="M205" s="364">
        <f t="shared" si="53"/>
        <v>0.4862856911315811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v>105353.01999999999</v>
      </c>
      <c r="D206" s="558">
        <v>0</v>
      </c>
      <c r="E206" s="171">
        <f t="shared" ref="E206:F206" si="54">SUM(E200:E205)</f>
        <v>105353.01999999999</v>
      </c>
      <c r="F206" s="171">
        <f t="shared" si="54"/>
        <v>193123.03999999998</v>
      </c>
      <c r="G206" s="171">
        <f>SUM(G200:G205)</f>
        <v>298476.06</v>
      </c>
      <c r="H206" s="172">
        <f t="shared" si="52"/>
        <v>2.410907595907533E-2</v>
      </c>
      <c r="I206" s="336"/>
      <c r="J206" s="168"/>
      <c r="K206" s="168"/>
      <c r="M206" s="364">
        <f>G206/G$228</f>
        <v>8.0627801939544561</v>
      </c>
      <c r="N206" s="359">
        <f>SUMMARY!J209</f>
        <v>7.1515095990067339</v>
      </c>
      <c r="O206" s="354">
        <f>M206/N206-1</f>
        <v>0.12742352958238179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v>4479151.0500000007</v>
      </c>
      <c r="D208" s="558">
        <v>-275288.39999999991</v>
      </c>
      <c r="E208" s="171">
        <f t="shared" ref="E208:F208" si="55">SUM(E25:E206)/2</f>
        <v>4203862.6500000013</v>
      </c>
      <c r="F208" s="171">
        <f t="shared" si="55"/>
        <v>8176373.7599999998</v>
      </c>
      <c r="G208" s="171">
        <f>SUM(G25:G206)/2</f>
        <v>12380236.409999996</v>
      </c>
      <c r="H208" s="172">
        <f>IF($G$208=0,0,G208/$G$208)</f>
        <v>1</v>
      </c>
      <c r="I208" s="336"/>
      <c r="J208" s="183">
        <f>SUM(J25:J200)</f>
        <v>254647.46000000002</v>
      </c>
      <c r="K208" s="183">
        <f>SUM(K25:K200)</f>
        <v>272900.02</v>
      </c>
      <c r="M208" s="364">
        <f>G208/G$228</f>
        <v>334.42925011480582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-0.26743467390067377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/>
      <c r="K210"/>
      <c r="P210"/>
      <c r="Q210"/>
    </row>
    <row r="211" spans="1:17" s="167" customFormat="1">
      <c r="A211" s="163"/>
      <c r="B211" s="228" t="s">
        <v>181</v>
      </c>
      <c r="C211" s="558">
        <v>4479151.05</v>
      </c>
      <c r="D211" s="196"/>
      <c r="E211" s="165"/>
      <c r="F211" s="595" t="s">
        <v>472</v>
      </c>
      <c r="G211"/>
      <c r="I211" s="332"/>
      <c r="J211"/>
      <c r="K211"/>
      <c r="P211"/>
      <c r="Q211"/>
    </row>
    <row r="212" spans="1:17" s="167" customFormat="1">
      <c r="A212" s="163"/>
      <c r="B212" s="170" t="s">
        <v>147</v>
      </c>
      <c r="C212" s="558">
        <v>0</v>
      </c>
      <c r="D212" s="229"/>
      <c r="E212" s="165"/>
      <c r="F212" s="460" t="s">
        <v>471</v>
      </c>
      <c r="G212"/>
      <c r="I212" s="332"/>
      <c r="J212"/>
      <c r="K212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v>-121584.21000000089</v>
      </c>
      <c r="D215" s="558">
        <v>291056.39999999991</v>
      </c>
      <c r="E215" s="171">
        <f t="shared" ref="E215:F215" si="56">E21-E208</f>
        <v>169472.18999999762</v>
      </c>
      <c r="F215" s="171">
        <f t="shared" si="56"/>
        <v>1004204.6000000015</v>
      </c>
      <c r="G215" s="171">
        <f>G21-G208</f>
        <v>1173676.7900000028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 ht="14" customHeight="1">
      <c r="A218" s="163"/>
      <c r="B218" s="233" t="s">
        <v>159</v>
      </c>
      <c r="C218" s="165"/>
      <c r="D218" s="165"/>
      <c r="E218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v>6153</v>
      </c>
      <c r="D219" s="592"/>
      <c r="E219" s="235">
        <f t="shared" ref="E219:G227" si="57">C219+D219</f>
        <v>6153</v>
      </c>
      <c r="F219" s="234">
        <v>13905</v>
      </c>
      <c r="G219" s="235">
        <f t="shared" si="57"/>
        <v>20058</v>
      </c>
      <c r="H219" s="172">
        <f t="shared" ref="H219:H228" si="58">IF($G$228=0,0,G219/$G$228)</f>
        <v>0.54182987114724868</v>
      </c>
      <c r="I219" s="336"/>
      <c r="J219" s="168"/>
      <c r="K219" s="168"/>
    </row>
    <row r="220" spans="1:17">
      <c r="A220" s="163"/>
      <c r="B220" s="170" t="s">
        <v>217</v>
      </c>
      <c r="C220" s="592"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v>2830</v>
      </c>
      <c r="D221" s="592"/>
      <c r="E221" s="235">
        <f t="shared" si="59"/>
        <v>2830</v>
      </c>
      <c r="F221" s="234">
        <v>6728</v>
      </c>
      <c r="G221" s="235">
        <f t="shared" si="57"/>
        <v>9558</v>
      </c>
      <c r="H221" s="172">
        <f t="shared" si="58"/>
        <v>0.25819173937707662</v>
      </c>
      <c r="I221" s="336"/>
      <c r="J221" s="168"/>
      <c r="K221" s="168"/>
    </row>
    <row r="222" spans="1:17">
      <c r="A222" s="163"/>
      <c r="B222" s="202" t="s">
        <v>334</v>
      </c>
      <c r="C222" s="592">
        <v>1445</v>
      </c>
      <c r="D222" s="592"/>
      <c r="E222" s="235">
        <f>C222+D222</f>
        <v>1445</v>
      </c>
      <c r="F222" s="234">
        <v>1036</v>
      </c>
      <c r="G222" s="235">
        <f>E222+F222</f>
        <v>2481</v>
      </c>
      <c r="H222" s="172">
        <f t="shared" si="58"/>
        <v>6.701963856398066E-2</v>
      </c>
      <c r="I222" s="336"/>
      <c r="J222" s="168"/>
      <c r="K222" s="168"/>
    </row>
    <row r="223" spans="1:17">
      <c r="A223" s="163"/>
      <c r="B223" s="170" t="s">
        <v>73</v>
      </c>
      <c r="C223" s="592"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v>1304</v>
      </c>
      <c r="D224" s="592"/>
      <c r="E224" s="235">
        <f t="shared" si="59"/>
        <v>1304</v>
      </c>
      <c r="F224" s="234">
        <v>2026</v>
      </c>
      <c r="G224" s="235">
        <f t="shared" si="57"/>
        <v>3330</v>
      </c>
      <c r="H224" s="172">
        <f t="shared" si="58"/>
        <v>8.9953807504254565E-2</v>
      </c>
      <c r="I224" s="336"/>
      <c r="J224" s="168"/>
      <c r="K224" s="168"/>
    </row>
    <row r="225" spans="1:11">
      <c r="A225" s="163"/>
      <c r="B225" s="170" t="s">
        <v>236</v>
      </c>
      <c r="C225" s="592">
        <v>483</v>
      </c>
      <c r="D225" s="592"/>
      <c r="E225" s="235">
        <f t="shared" si="59"/>
        <v>483</v>
      </c>
      <c r="F225" s="234">
        <v>770</v>
      </c>
      <c r="G225" s="235">
        <f t="shared" si="57"/>
        <v>1253</v>
      </c>
      <c r="H225" s="172">
        <f t="shared" si="58"/>
        <v>3.3847483724573871E-2</v>
      </c>
      <c r="I225" s="336"/>
      <c r="J225" s="168"/>
      <c r="K225" s="168"/>
    </row>
    <row r="226" spans="1:11">
      <c r="A226" s="163"/>
      <c r="B226" s="170" t="s">
        <v>235</v>
      </c>
      <c r="C226" s="592">
        <v>223</v>
      </c>
      <c r="D226" s="592"/>
      <c r="E226" s="235">
        <f>C226+D226</f>
        <v>223</v>
      </c>
      <c r="F226" s="234">
        <v>116</v>
      </c>
      <c r="G226" s="235">
        <f>E226+F226</f>
        <v>339</v>
      </c>
      <c r="H226" s="172">
        <f t="shared" si="58"/>
        <v>9.1574596828655555E-3</v>
      </c>
      <c r="I226" s="336"/>
      <c r="J226" s="168"/>
      <c r="K226" s="168"/>
    </row>
    <row r="227" spans="1:11">
      <c r="A227" s="163"/>
      <c r="B227" s="170" t="s">
        <v>179</v>
      </c>
      <c r="C227" s="592"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v>12438</v>
      </c>
      <c r="D228" s="592">
        <v>0</v>
      </c>
      <c r="E228" s="237">
        <f>SUM(E219:E227)</f>
        <v>12438</v>
      </c>
      <c r="F228" s="237">
        <f>SUM(F219:F227)</f>
        <v>24581</v>
      </c>
      <c r="G228" s="237">
        <f>SUM(G219:G227)</f>
        <v>37019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506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v>124</v>
      </c>
      <c r="D231" s="559"/>
      <c r="E231" s="235">
        <f>C231+D231</f>
        <v>124</v>
      </c>
      <c r="F231" s="507"/>
      <c r="G231" s="235">
        <f>E231+F231</f>
        <v>124</v>
      </c>
      <c r="H231" s="508"/>
      <c r="J231" s="168"/>
      <c r="K231" s="168"/>
    </row>
    <row r="232" spans="1:11">
      <c r="A232" s="163"/>
      <c r="B232" s="202" t="s">
        <v>290</v>
      </c>
      <c r="C232" s="593">
        <v>124</v>
      </c>
      <c r="D232" s="559"/>
      <c r="E232" s="235">
        <f>C232+D232</f>
        <v>124</v>
      </c>
      <c r="F232" s="507"/>
      <c r="G232" s="235">
        <f>E232+F232</f>
        <v>124</v>
      </c>
      <c r="H232"/>
      <c r="J232" s="168"/>
      <c r="K232" s="168"/>
    </row>
    <row r="233" spans="1:11">
      <c r="A233" s="163"/>
      <c r="B233" s="202" t="s">
        <v>76</v>
      </c>
      <c r="C233" s="593">
        <v>123</v>
      </c>
      <c r="D233" s="483"/>
      <c r="E233" s="235">
        <f>C233+D233</f>
        <v>123</v>
      </c>
      <c r="F233" s="239">
        <v>243</v>
      </c>
      <c r="G233" s="235">
        <f>E233+F233</f>
        <v>366</v>
      </c>
      <c r="H233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/>
      <c r="J234" s="168"/>
      <c r="K234" s="168"/>
    </row>
    <row r="235" spans="1:11" ht="26.5">
      <c r="A235" s="163"/>
      <c r="B235" s="243" t="s">
        <v>335</v>
      </c>
      <c r="C235" s="593">
        <v>15252</v>
      </c>
      <c r="D235" s="483"/>
      <c r="E235" s="234">
        <f>E231*E233</f>
        <v>15252</v>
      </c>
      <c r="F235" s="239"/>
      <c r="G235" s="234">
        <f>G231*G233</f>
        <v>45384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v>0.81549960660896936</v>
      </c>
      <c r="D236" s="239"/>
      <c r="E236" s="244">
        <f>E228/E235</f>
        <v>0.81549960660896936</v>
      </c>
      <c r="F236" s="245"/>
      <c r="G236" s="244">
        <f>G228/G235</f>
        <v>0.8156839414771726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v>0.40342250196695517</v>
      </c>
      <c r="D237" s="239"/>
      <c r="E237" s="244">
        <f>(E219+E220)/E235</f>
        <v>0.40342250196695517</v>
      </c>
      <c r="F237" s="245"/>
      <c r="G237" s="244">
        <f>(G219+G220)/G235</f>
        <v>0.44196192490745639</v>
      </c>
      <c r="H237" s="167"/>
      <c r="J237" s="168"/>
      <c r="K237" s="168"/>
    </row>
    <row r="238" spans="1:11" ht="26.5">
      <c r="A238" s="163"/>
      <c r="B238" s="243" t="s">
        <v>338</v>
      </c>
      <c r="C238" s="594">
        <v>0.49469368065605401</v>
      </c>
      <c r="D238" s="239"/>
      <c r="E238" s="244">
        <f>(E237/E236)</f>
        <v>0.49469368065605401</v>
      </c>
      <c r="F238" s="245"/>
      <c r="G238" s="244">
        <f>(G237/G236)</f>
        <v>0.54182987114724868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371.34617346938779</v>
      </c>
    </row>
    <row r="242" spans="2:7">
      <c r="F242" s="142" t="s">
        <v>341</v>
      </c>
      <c r="G242" s="558">
        <f>249*1/3+338*2/3</f>
        <v>308.33333333333337</v>
      </c>
    </row>
    <row r="243" spans="2:7">
      <c r="F243" s="142" t="s">
        <v>342</v>
      </c>
      <c r="G243" s="558">
        <v>284.97820408163267</v>
      </c>
    </row>
    <row r="244" spans="2:7">
      <c r="F244" s="142" t="s">
        <v>343</v>
      </c>
      <c r="G244" s="558">
        <v>277.42326405867971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B13" sqref="B13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ignoredErrors>
    <ignoredError sqref="C6:H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28CAB"/>
  </sheetPr>
  <dimension ref="A1:T249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556"/>
      <c r="D1" s="472"/>
      <c r="E1" s="472"/>
      <c r="F1" s="472"/>
      <c r="G1" s="472"/>
      <c r="H1" s="472"/>
      <c r="I1" s="473"/>
      <c r="J1" s="581"/>
    </row>
    <row r="2" spans="1:17" ht="23">
      <c r="B2" s="143" t="s">
        <v>189</v>
      </c>
      <c r="C2" s="246" t="s">
        <v>370</v>
      </c>
      <c r="D2" s="246"/>
      <c r="E2" s="581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213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446</v>
      </c>
      <c r="C11" s="558">
        <f>'[6]Sch B'!E10</f>
        <v>2100508</v>
      </c>
      <c r="D11" s="558">
        <f>'[6]Sch B'!G10</f>
        <v>-4095</v>
      </c>
      <c r="E11" s="171">
        <f>C11+D11</f>
        <v>2096413</v>
      </c>
      <c r="F11" s="677">
        <f>(-235043)</f>
        <v>-235043</v>
      </c>
      <c r="G11" s="171">
        <f t="shared" ref="G11:G20" si="0">E11+F11</f>
        <v>1861370</v>
      </c>
      <c r="H11" s="172">
        <f t="shared" ref="H11:H21" si="1">IF($G$21=0,0,G11/$G$21)</f>
        <v>0.67439646992286018</v>
      </c>
      <c r="I11" s="453"/>
      <c r="J11" s="368" t="s">
        <v>344</v>
      </c>
      <c r="K11" s="369">
        <f>G21</f>
        <v>2760053</v>
      </c>
      <c r="M11" s="359">
        <f>IFERROR(G11/G219,0)</f>
        <v>232.11996508292805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'[6]Sch B'!E15</f>
        <v>0</v>
      </c>
      <c r="D12" s="558">
        <f>'[6]Sch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3704047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'[6]Sch B'!E21</f>
        <v>0</v>
      </c>
      <c r="D13" s="558">
        <f>'[6]Sch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J13" s="370" t="s">
        <v>346</v>
      </c>
      <c r="K13" s="371">
        <f>G228</f>
        <v>12152</v>
      </c>
      <c r="M13" s="359">
        <f t="shared" si="3"/>
        <v>0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'[6]Sch B'!E27</f>
        <v>0</v>
      </c>
      <c r="D14" s="558">
        <f>'[6]Sch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J14" s="370" t="s">
        <v>347</v>
      </c>
      <c r="K14" s="371">
        <f>G231</f>
        <v>36</v>
      </c>
      <c r="M14" s="359">
        <f t="shared" si="3"/>
        <v>0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'[6]Sch B'!E32</f>
        <v>0</v>
      </c>
      <c r="D15" s="558">
        <f>'[6]Sch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J15" s="370" t="s">
        <v>348</v>
      </c>
      <c r="K15" s="371">
        <f>G235</f>
        <v>13176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'[6]Sch B'!E37</f>
        <v>884220</v>
      </c>
      <c r="D16" s="558">
        <f>'[6]Sch B'!G37</f>
        <v>0</v>
      </c>
      <c r="E16" s="171">
        <f t="shared" si="2"/>
        <v>884220</v>
      </c>
      <c r="F16" s="171"/>
      <c r="G16" s="171">
        <f t="shared" si="0"/>
        <v>884220</v>
      </c>
      <c r="H16" s="172">
        <f t="shared" si="1"/>
        <v>0.32036341331126611</v>
      </c>
      <c r="J16" s="372"/>
      <c r="K16" s="371"/>
      <c r="M16" s="359">
        <f t="shared" si="3"/>
        <v>217.14636542239685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445</v>
      </c>
      <c r="C17" s="558">
        <f>'[6]Sch B'!E42</f>
        <v>9961</v>
      </c>
      <c r="D17" s="558">
        <f>'[6]Sch B'!G42</f>
        <v>0</v>
      </c>
      <c r="E17" s="171">
        <f t="shared" si="2"/>
        <v>9961</v>
      </c>
      <c r="F17" s="171"/>
      <c r="G17" s="171">
        <f>E17+F17</f>
        <v>9961</v>
      </c>
      <c r="H17" s="172">
        <f t="shared" si="1"/>
        <v>3.6089886679712309E-3</v>
      </c>
      <c r="I17" s="453"/>
      <c r="J17" s="370" t="s">
        <v>156</v>
      </c>
      <c r="K17" s="371">
        <f>J208</f>
        <v>80730</v>
      </c>
      <c r="M17" s="359">
        <f t="shared" si="3"/>
        <v>163.29508196721312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444</v>
      </c>
      <c r="C18" s="558">
        <f>'[6]Sch B'!E47</f>
        <v>0</v>
      </c>
      <c r="D18" s="558">
        <f>'[6]Sch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53"/>
      <c r="J18" s="373" t="s">
        <v>252</v>
      </c>
      <c r="K18" s="374">
        <f>K208</f>
        <v>89776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'[6]Sch B'!E52</f>
        <v>0</v>
      </c>
      <c r="D19" s="558">
        <f>'[6]Sch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'[6]Sch B'!E67</f>
        <v>3169</v>
      </c>
      <c r="D20" s="558">
        <f>'[6]Sch B'!G67</f>
        <v>0</v>
      </c>
      <c r="E20" s="171">
        <f t="shared" si="2"/>
        <v>3169</v>
      </c>
      <c r="F20" s="677">
        <f>(1333)</f>
        <v>1333</v>
      </c>
      <c r="G20" s="171">
        <f t="shared" si="0"/>
        <v>4502</v>
      </c>
      <c r="H20" s="172">
        <f t="shared" si="1"/>
        <v>1.6311280979024677E-3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2997858</v>
      </c>
      <c r="D21" s="558">
        <f>SUM(D11:D20)</f>
        <v>-4095</v>
      </c>
      <c r="E21" s="171">
        <f>SUM(E11:E20)</f>
        <v>2993763</v>
      </c>
      <c r="F21" s="171">
        <f>SUM(F11:F20)</f>
        <v>-233710</v>
      </c>
      <c r="G21" s="171">
        <f>SUM(G11:G20)</f>
        <v>2760053</v>
      </c>
      <c r="H21" s="172">
        <f t="shared" si="1"/>
        <v>1</v>
      </c>
      <c r="I21" s="336"/>
      <c r="J21" s="168"/>
      <c r="K21" s="168"/>
      <c r="M21" s="359">
        <f>IFERROR(G21/G228,0)</f>
        <v>227.12746872942725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'[6]Sch C'!D10</f>
        <v>132047</v>
      </c>
      <c r="D25" s="558">
        <f>'[6]Sch C'!F10</f>
        <v>0</v>
      </c>
      <c r="E25" s="171">
        <f t="shared" ref="E25:E60" si="4">C25+D25</f>
        <v>132047</v>
      </c>
      <c r="F25" s="171"/>
      <c r="G25" s="182">
        <f>E25+F25</f>
        <v>132047</v>
      </c>
      <c r="H25" s="172">
        <f>IF($G$208=0,0,G25/$G$208)</f>
        <v>3.5649385658443319E-2</v>
      </c>
      <c r="I25" s="336"/>
      <c r="J25" s="183">
        <v>2000</v>
      </c>
      <c r="K25" s="183">
        <v>2080</v>
      </c>
      <c r="M25" s="359">
        <f>G25/G$228</f>
        <v>10.866277156023699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'[6]Sch C'!D11</f>
        <v>0</v>
      </c>
      <c r="D26" s="558">
        <f>'[6]Sch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388</v>
      </c>
      <c r="C27" s="558">
        <f>'[6]Sch C'!D12</f>
        <v>129000</v>
      </c>
      <c r="D27" s="558">
        <f>'[6]Sch C'!F12</f>
        <v>0</v>
      </c>
      <c r="E27" s="171">
        <f t="shared" si="4"/>
        <v>129000</v>
      </c>
      <c r="F27" s="171"/>
      <c r="G27" s="171">
        <f t="shared" si="5"/>
        <v>129000</v>
      </c>
      <c r="H27" s="172">
        <f t="shared" si="6"/>
        <v>3.4826771906511983E-2</v>
      </c>
      <c r="I27" s="336"/>
      <c r="J27" s="185">
        <v>4367</v>
      </c>
      <c r="K27" s="185">
        <v>4771</v>
      </c>
      <c r="M27" s="359">
        <f t="shared" si="7"/>
        <v>10.615536537195524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'[6]Sch C'!D13</f>
        <v>89274</v>
      </c>
      <c r="D28" s="558">
        <f>'[6]Sch C'!F13</f>
        <v>0</v>
      </c>
      <c r="E28" s="171">
        <f t="shared" si="4"/>
        <v>89274</v>
      </c>
      <c r="F28" s="171"/>
      <c r="G28" s="171">
        <f t="shared" si="5"/>
        <v>89274</v>
      </c>
      <c r="H28" s="172">
        <f t="shared" si="6"/>
        <v>2.4101746009162411E-2</v>
      </c>
      <c r="I28" s="336"/>
      <c r="J28" s="168"/>
      <c r="K28" s="168"/>
      <c r="M28" s="359">
        <f t="shared" si="7"/>
        <v>7.3464450296247534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'[6]Sch C'!D14</f>
        <v>0</v>
      </c>
      <c r="D29" s="558">
        <f>'[6]Sch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'[6]Sch C'!D15</f>
        <v>47442</v>
      </c>
      <c r="D30" s="558">
        <f>'[6]Sch C'!F15</f>
        <v>0</v>
      </c>
      <c r="E30" s="171">
        <f t="shared" si="4"/>
        <v>47442</v>
      </c>
      <c r="F30" s="677">
        <f>(-45515)</f>
        <v>-45515</v>
      </c>
      <c r="G30" s="171">
        <f t="shared" si="5"/>
        <v>1927</v>
      </c>
      <c r="H30" s="172">
        <f t="shared" si="6"/>
        <v>5.2024177878952403E-4</v>
      </c>
      <c r="I30" s="336"/>
      <c r="J30" s="168"/>
      <c r="K30" s="168"/>
      <c r="M30" s="359">
        <f t="shared" si="7"/>
        <v>0.1585747202106649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'[6]Sch C'!D16</f>
        <v>0</v>
      </c>
      <c r="D31" s="558">
        <f>'[6]Sch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'[6]Sch C'!D17</f>
        <v>13642</v>
      </c>
      <c r="D32" s="558">
        <f>'[6]Sch C'!F17</f>
        <v>0</v>
      </c>
      <c r="E32" s="171">
        <f t="shared" si="4"/>
        <v>13642</v>
      </c>
      <c r="F32" s="677">
        <f>(-500)</f>
        <v>-500</v>
      </c>
      <c r="G32" s="171">
        <f t="shared" si="5"/>
        <v>13142</v>
      </c>
      <c r="H32" s="172">
        <f t="shared" si="6"/>
        <v>3.5480111348479108E-3</v>
      </c>
      <c r="I32" s="336"/>
      <c r="J32" s="168"/>
      <c r="K32" s="168"/>
      <c r="M32" s="359">
        <f t="shared" si="7"/>
        <v>1.0814680710994076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'[6]Sch C'!D18</f>
        <v>5452</v>
      </c>
      <c r="D33" s="558">
        <f>'[6]Sch C'!F18</f>
        <v>0</v>
      </c>
      <c r="E33" s="171">
        <f t="shared" si="4"/>
        <v>5452</v>
      </c>
      <c r="F33" s="171"/>
      <c r="G33" s="171">
        <f t="shared" si="5"/>
        <v>5452</v>
      </c>
      <c r="H33" s="172">
        <f t="shared" si="6"/>
        <v>1.4719035692581654E-3</v>
      </c>
      <c r="I33" s="336"/>
      <c r="J33" s="168"/>
      <c r="K33" s="168"/>
      <c r="M33" s="359">
        <f t="shared" si="7"/>
        <v>0.44865042791310072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'[6]Sch C'!D19</f>
        <v>24461</v>
      </c>
      <c r="D34" s="558">
        <f>'[6]Sch C'!F19</f>
        <v>0</v>
      </c>
      <c r="E34" s="171">
        <f t="shared" si="4"/>
        <v>24461</v>
      </c>
      <c r="F34" s="677">
        <f>(-11121)</f>
        <v>-11121</v>
      </c>
      <c r="G34" s="171">
        <f t="shared" si="5"/>
        <v>13340</v>
      </c>
      <c r="H34" s="172">
        <f t="shared" si="6"/>
        <v>3.6014661800997665E-3</v>
      </c>
      <c r="I34" s="336"/>
      <c r="J34" s="168"/>
      <c r="K34" s="168"/>
      <c r="M34" s="359">
        <f t="shared" si="7"/>
        <v>1.0977616853192891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'[6]Sch C'!D20</f>
        <v>6171</v>
      </c>
      <c r="D35" s="558">
        <f>'[6]Sch C'!F20</f>
        <v>0</v>
      </c>
      <c r="E35" s="171">
        <f t="shared" si="4"/>
        <v>6171</v>
      </c>
      <c r="F35" s="171"/>
      <c r="G35" s="171">
        <f t="shared" si="5"/>
        <v>6171</v>
      </c>
      <c r="H35" s="172">
        <f t="shared" si="6"/>
        <v>1.6660155770161665E-3</v>
      </c>
      <c r="I35" s="336"/>
      <c r="J35" s="168"/>
      <c r="K35" s="168"/>
      <c r="M35" s="359">
        <f t="shared" si="7"/>
        <v>0.50781764318630673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'[6]Sch C'!D21</f>
        <v>-22602</v>
      </c>
      <c r="D36" s="558">
        <f>'[6]Sch C'!F21</f>
        <v>0</v>
      </c>
      <c r="E36" s="171">
        <f t="shared" si="4"/>
        <v>-22602</v>
      </c>
      <c r="F36" s="171"/>
      <c r="G36" s="171">
        <f t="shared" si="5"/>
        <v>-22602</v>
      </c>
      <c r="H36" s="172">
        <f t="shared" si="6"/>
        <v>-6.1019744079921232E-3</v>
      </c>
      <c r="I36" s="336"/>
      <c r="J36" s="168"/>
      <c r="K36" s="168"/>
      <c r="M36" s="359">
        <f t="shared" si="7"/>
        <v>-1.859940750493746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'[6]Sch C'!D22</f>
        <v>0</v>
      </c>
      <c r="D37" s="558">
        <f>'[6]Sch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'[6]Sch C'!D23</f>
        <v>3246</v>
      </c>
      <c r="D38" s="558">
        <f>'[6]Sch C'!F23</f>
        <v>0</v>
      </c>
      <c r="E38" s="171">
        <f t="shared" si="4"/>
        <v>3246</v>
      </c>
      <c r="F38" s="677">
        <f>(4610)</f>
        <v>4610</v>
      </c>
      <c r="G38" s="171">
        <f t="shared" si="5"/>
        <v>7856</v>
      </c>
      <c r="H38" s="172">
        <f t="shared" si="6"/>
        <v>2.1209234116089781E-3</v>
      </c>
      <c r="I38" s="336"/>
      <c r="J38" s="168"/>
      <c r="K38" s="168"/>
      <c r="M38" s="359">
        <f t="shared" si="7"/>
        <v>0.6464779460171165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'[6]Sch C'!D24</f>
        <v>2129</v>
      </c>
      <c r="D39" s="558">
        <f>'[6]Sch C'!F24</f>
        <v>0</v>
      </c>
      <c r="E39" s="171">
        <f t="shared" si="4"/>
        <v>2129</v>
      </c>
      <c r="F39" s="171"/>
      <c r="G39" s="171">
        <f t="shared" si="5"/>
        <v>2129</v>
      </c>
      <c r="H39" s="172">
        <f t="shared" si="6"/>
        <v>5.7477672394545744E-4</v>
      </c>
      <c r="I39" s="336"/>
      <c r="J39" s="168"/>
      <c r="K39" s="168"/>
      <c r="M39" s="359">
        <f t="shared" si="7"/>
        <v>0.17519749835418039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'[6]Sch C'!D25</f>
        <v>0</v>
      </c>
      <c r="D40" s="558">
        <f>'[6]Sch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'[6]Sch C'!D26</f>
        <v>219551</v>
      </c>
      <c r="D41" s="558">
        <f>'[6]Sch C'!F26</f>
        <v>0</v>
      </c>
      <c r="E41" s="171">
        <f t="shared" si="4"/>
        <v>219551</v>
      </c>
      <c r="F41" s="171"/>
      <c r="G41" s="171">
        <f t="shared" si="5"/>
        <v>219551</v>
      </c>
      <c r="H41" s="172">
        <f t="shared" si="6"/>
        <v>5.9273275960051261E-2</v>
      </c>
      <c r="I41" s="336"/>
      <c r="J41" s="168"/>
      <c r="K41" s="168"/>
      <c r="M41" s="359">
        <f t="shared" si="7"/>
        <v>18.067067149440422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'[6]Sch C'!D27</f>
        <v>0</v>
      </c>
      <c r="D42" s="558">
        <f>'[6]Sch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'[6]Sch C'!D28</f>
        <v>0</v>
      </c>
      <c r="D43" s="558">
        <f>'[6]Sch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'[6]Sch C'!D29</f>
        <v>0</v>
      </c>
      <c r="D44" s="558">
        <f>'[6]Sch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'[6]Sch C'!D30</f>
        <v>0</v>
      </c>
      <c r="D45" s="558">
        <f>'[6]Sch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'[6]Sch C'!D31</f>
        <v>0</v>
      </c>
      <c r="D46" s="558">
        <f>'[6]Sch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'[6]Sch C'!D32</f>
        <v>6667</v>
      </c>
      <c r="D47" s="558">
        <f>'[6]Sch C'!F32</f>
        <v>0</v>
      </c>
      <c r="E47" s="171">
        <f t="shared" si="4"/>
        <v>6667</v>
      </c>
      <c r="F47" s="171"/>
      <c r="G47" s="171">
        <f t="shared" si="5"/>
        <v>6667</v>
      </c>
      <c r="H47" s="172">
        <f t="shared" si="6"/>
        <v>1.7999231651218248E-3</v>
      </c>
      <c r="I47" s="336"/>
      <c r="J47" s="168"/>
      <c r="K47" s="168"/>
      <c r="M47" s="359">
        <f t="shared" si="7"/>
        <v>0.54863396971691902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'[6]Sch C'!D33</f>
        <v>0</v>
      </c>
      <c r="D48" s="558">
        <f>'[6]Sch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'[6]Sch C'!D34</f>
        <v>0</v>
      </c>
      <c r="D49" s="558">
        <f>'[6]Sch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'[6]Sch C'!D35</f>
        <v>0</v>
      </c>
      <c r="D50" s="558">
        <f>'[6]Sch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'[6]Sch C'!D36</f>
        <v>0</v>
      </c>
      <c r="D51" s="558">
        <f>'[6]Sch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'[6]Sch C'!D37</f>
        <v>0</v>
      </c>
      <c r="D52" s="558">
        <f>'[6]Sch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'[6]Sch C'!D38</f>
        <v>0</v>
      </c>
      <c r="D53" s="558">
        <f>'[6]Sch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'[6]Sch C'!D39</f>
        <v>86</v>
      </c>
      <c r="D54" s="558">
        <f>'[6]Sch C'!F39</f>
        <v>0</v>
      </c>
      <c r="E54" s="171">
        <f t="shared" si="4"/>
        <v>86</v>
      </c>
      <c r="F54" s="171"/>
      <c r="G54" s="171">
        <f t="shared" si="5"/>
        <v>86</v>
      </c>
      <c r="H54" s="172">
        <f t="shared" si="6"/>
        <v>2.3217847937674656E-5</v>
      </c>
      <c r="I54" s="336"/>
      <c r="J54" s="168"/>
      <c r="K54" s="168"/>
      <c r="M54" s="359">
        <f t="shared" si="7"/>
        <v>7.0770243581303486E-3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'[6]Sch C'!D40</f>
        <v>0</v>
      </c>
      <c r="D55" s="558">
        <f>'[6]Sch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'[6]Sch C'!D41</f>
        <v>0</v>
      </c>
      <c r="D56" s="558">
        <f>'[6]Sch C'!F41</f>
        <v>0</v>
      </c>
      <c r="E56" s="171">
        <f t="shared" si="4"/>
        <v>0</v>
      </c>
      <c r="F56" s="679">
        <f>(8842)</f>
        <v>8842</v>
      </c>
      <c r="G56" s="171">
        <f t="shared" si="5"/>
        <v>8842</v>
      </c>
      <c r="H56" s="172">
        <f t="shared" si="6"/>
        <v>2.3871187379641782E-3</v>
      </c>
      <c r="I56" s="336"/>
      <c r="J56" s="168"/>
      <c r="K56" s="168"/>
      <c r="M56" s="359">
        <f t="shared" si="7"/>
        <v>0.72761685319289005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'[6]Sch C'!D42</f>
        <v>0</v>
      </c>
      <c r="D57" s="558">
        <f>'[6]Sch C'!F42</f>
        <v>0</v>
      </c>
      <c r="E57" s="171">
        <f t="shared" si="4"/>
        <v>0</v>
      </c>
      <c r="F57" s="677">
        <f>(20573)</f>
        <v>20573</v>
      </c>
      <c r="G57" s="171">
        <f t="shared" si="5"/>
        <v>20573</v>
      </c>
      <c r="H57" s="172">
        <f t="shared" si="6"/>
        <v>5.5541951816486133E-3</v>
      </c>
      <c r="I57" s="336"/>
      <c r="J57" s="168"/>
      <c r="K57" s="168"/>
      <c r="M57" s="359">
        <f t="shared" si="7"/>
        <v>1.6929723502304148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'[6]Sch C'!D43</f>
        <v>5454</v>
      </c>
      <c r="D58" s="558">
        <f>'[6]Sch C'!F43</f>
        <v>0</v>
      </c>
      <c r="E58" s="171">
        <f t="shared" si="4"/>
        <v>5454</v>
      </c>
      <c r="F58" s="171"/>
      <c r="G58" s="171">
        <f t="shared" si="5"/>
        <v>5454</v>
      </c>
      <c r="H58" s="172">
        <f t="shared" si="6"/>
        <v>1.4724435192102045E-3</v>
      </c>
      <c r="I58" s="336"/>
      <c r="J58" s="168"/>
      <c r="K58" s="168"/>
      <c r="M58" s="359">
        <f t="shared" si="7"/>
        <v>0.44881500987491774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'[6]Sch C'!D44</f>
        <v>0</v>
      </c>
      <c r="D59" s="558">
        <f>'[6]Sch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'[6]Sch C'!D45</f>
        <v>1788</v>
      </c>
      <c r="D60" s="558">
        <f>'[6]Sch C'!F45</f>
        <v>0</v>
      </c>
      <c r="E60" s="171">
        <f t="shared" si="4"/>
        <v>1788</v>
      </c>
      <c r="F60" s="171"/>
      <c r="G60" s="171">
        <f t="shared" si="5"/>
        <v>1788</v>
      </c>
      <c r="H60" s="172">
        <f t="shared" si="6"/>
        <v>4.8271525712281728E-4</v>
      </c>
      <c r="I60" s="336"/>
      <c r="J60" s="168"/>
      <c r="K60" s="168"/>
      <c r="M60" s="359">
        <f t="shared" si="7"/>
        <v>0.14713627386438446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663808</v>
      </c>
      <c r="D61" s="558">
        <f>SUM(D25:D60)</f>
        <v>0</v>
      </c>
      <c r="E61" s="171">
        <f t="shared" ref="E61:F61" si="8">SUM(E25:E60)</f>
        <v>663808</v>
      </c>
      <c r="F61" s="171">
        <f t="shared" si="8"/>
        <v>-23111</v>
      </c>
      <c r="G61" s="171">
        <f>SUM(G25:G60)</f>
        <v>640697</v>
      </c>
      <c r="H61" s="186">
        <f t="shared" si="6"/>
        <v>0.17297215721074813</v>
      </c>
      <c r="I61" s="338"/>
      <c r="J61" s="168"/>
      <c r="K61" s="168"/>
      <c r="M61" s="364">
        <f>G61/G$228</f>
        <v>52.723584595128372</v>
      </c>
      <c r="N61" s="359">
        <f>SUMMARY!J64</f>
        <v>53.728790309602623</v>
      </c>
      <c r="O61" s="354">
        <f>M61/N61-1</f>
        <v>-1.8708884169584494E-2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'[6]Sch C'!D57</f>
        <v>0</v>
      </c>
      <c r="D64" s="558">
        <f>'[6]Sch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'[6]Sch C'!D58</f>
        <v>256689</v>
      </c>
      <c r="D65" s="558">
        <f>'[6]Sch C'!F58</f>
        <v>0</v>
      </c>
      <c r="E65" s="171">
        <f t="shared" si="9"/>
        <v>256689</v>
      </c>
      <c r="F65" s="171"/>
      <c r="G65" s="171">
        <f t="shared" si="10"/>
        <v>256689</v>
      </c>
      <c r="H65" s="172">
        <f t="shared" si="11"/>
        <v>6.9299606619462439E-2</v>
      </c>
      <c r="I65" s="336"/>
      <c r="J65" s="190"/>
      <c r="K65" s="168"/>
      <c r="M65" s="359">
        <f t="shared" si="12"/>
        <v>21.123189598420012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'[6]Sch C'!D59</f>
        <v>96606</v>
      </c>
      <c r="D66" s="558">
        <f>'[6]Sch C'!F59</f>
        <v>0</v>
      </c>
      <c r="E66" s="171">
        <f t="shared" si="9"/>
        <v>96606</v>
      </c>
      <c r="F66" s="171"/>
      <c r="G66" s="171">
        <f t="shared" si="10"/>
        <v>96606</v>
      </c>
      <c r="H66" s="172">
        <f t="shared" si="11"/>
        <v>2.6081202533337185E-2</v>
      </c>
      <c r="I66" s="336"/>
      <c r="J66" s="190"/>
      <c r="K66" s="168"/>
      <c r="M66" s="359">
        <f t="shared" si="12"/>
        <v>7.94980250164582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'[6]Sch C'!D60</f>
        <v>0</v>
      </c>
      <c r="D67" s="558">
        <f>'[6]Sch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'[6]Sch C'!D61</f>
        <v>-200</v>
      </c>
      <c r="D68" s="558">
        <f>'[6]Sch C'!F61</f>
        <v>0</v>
      </c>
      <c r="E68" s="171">
        <f t="shared" si="9"/>
        <v>-200</v>
      </c>
      <c r="F68" s="171"/>
      <c r="G68" s="171">
        <f t="shared" si="10"/>
        <v>-200</v>
      </c>
      <c r="H68" s="172">
        <f t="shared" si="11"/>
        <v>-5.3994995203894553E-5</v>
      </c>
      <c r="I68" s="336"/>
      <c r="J68" s="193"/>
      <c r="K68" s="168"/>
      <c r="M68" s="359">
        <f t="shared" si="12"/>
        <v>-1.6458196181698487E-2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'[6]Sch C'!D62</f>
        <v>0</v>
      </c>
      <c r="D69" s="558">
        <f>'[6]Sch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'[6]Sch C'!D63</f>
        <v>0</v>
      </c>
      <c r="D70" s="558">
        <f>'[6]Sch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'[6]Sch C'!D64</f>
        <v>0</v>
      </c>
      <c r="D71" s="558">
        <f>'[6]Sch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'[6]Sch C'!D65</f>
        <v>1658</v>
      </c>
      <c r="D72" s="558">
        <f>'[6]Sch C'!F65</f>
        <v>0</v>
      </c>
      <c r="E72" s="171">
        <f t="shared" si="9"/>
        <v>1658</v>
      </c>
      <c r="F72" s="171"/>
      <c r="G72" s="171">
        <f t="shared" si="10"/>
        <v>1658</v>
      </c>
      <c r="H72" s="172">
        <f t="shared" si="11"/>
        <v>4.4761851024028584E-4</v>
      </c>
      <c r="I72" s="336"/>
      <c r="J72" s="195"/>
      <c r="K72" s="168"/>
      <c r="M72" s="359">
        <f t="shared" si="12"/>
        <v>0.13643844634628044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'[6]Sch C'!D66</f>
        <v>0</v>
      </c>
      <c r="D73" s="558">
        <f>'[6]Sch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'[6]Sch C'!D67</f>
        <v>33593</v>
      </c>
      <c r="D74" s="558">
        <f>'[6]Sch C'!F67</f>
        <v>0</v>
      </c>
      <c r="E74" s="171">
        <f t="shared" si="9"/>
        <v>33593</v>
      </c>
      <c r="F74" s="171"/>
      <c r="G74" s="171">
        <f t="shared" si="10"/>
        <v>33593</v>
      </c>
      <c r="H74" s="172">
        <f t="shared" si="11"/>
        <v>9.0692693694221487E-3</v>
      </c>
      <c r="I74" s="336"/>
      <c r="J74" s="195"/>
      <c r="K74" s="168"/>
      <c r="M74" s="359">
        <f t="shared" si="12"/>
        <v>2.7644009216589862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'[6]Sch C'!D68</f>
        <v>0</v>
      </c>
      <c r="D75" s="558">
        <f>'[6]Sch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'[6]Sch C'!D69</f>
        <v>0</v>
      </c>
      <c r="D76" s="558">
        <f>'[6]Sch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'[6]Sch C'!D70</f>
        <v>0</v>
      </c>
      <c r="D77" s="558">
        <f>'[6]Sch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'[6]Sch C'!D71</f>
        <v>0</v>
      </c>
      <c r="D78" s="558">
        <f>'[6]Sch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388346</v>
      </c>
      <c r="D79" s="558">
        <f>SUM(D64:D78)</f>
        <v>0</v>
      </c>
      <c r="E79" s="171">
        <f t="shared" ref="E79:F79" si="13">SUM(E64:E78)</f>
        <v>388346</v>
      </c>
      <c r="F79" s="171">
        <f t="shared" si="13"/>
        <v>0</v>
      </c>
      <c r="G79" s="171">
        <f>SUM(G64:G78)</f>
        <v>388346</v>
      </c>
      <c r="H79" s="172">
        <f t="shared" si="11"/>
        <v>0.10484370203725817</v>
      </c>
      <c r="I79" s="336"/>
      <c r="J79" s="195"/>
      <c r="K79" s="168"/>
      <c r="M79" s="359">
        <f t="shared" si="12"/>
        <v>31.957373271889402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'[6]Sch C'!D75</f>
        <v>0</v>
      </c>
      <c r="D82" s="558">
        <f>'[6]Sch C'!F75</f>
        <v>0</v>
      </c>
      <c r="E82" s="171">
        <f t="shared" ref="E82:E92" si="14">C82+D82</f>
        <v>0</v>
      </c>
      <c r="F82" s="171"/>
      <c r="G82" s="171">
        <f t="shared" ref="G82:G92" si="15">E82+F82</f>
        <v>0</v>
      </c>
      <c r="H82" s="172">
        <f t="shared" ref="H82:H93" si="16">IF($G$208=0,0,G82/$G$208)</f>
        <v>0</v>
      </c>
      <c r="I82" s="336"/>
      <c r="J82" s="183">
        <v>0</v>
      </c>
      <c r="K82" s="183">
        <v>0</v>
      </c>
      <c r="M82" s="359">
        <f t="shared" ref="M82:M92" si="17">G82/G$228</f>
        <v>0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'[6]Sch C'!D76</f>
        <v>0</v>
      </c>
      <c r="D83" s="558">
        <f>'[6]Sch C'!F76</f>
        <v>0</v>
      </c>
      <c r="E83" s="171">
        <f t="shared" si="14"/>
        <v>0</v>
      </c>
      <c r="F83" s="171"/>
      <c r="G83" s="171">
        <f t="shared" si="15"/>
        <v>0</v>
      </c>
      <c r="H83" s="172">
        <f t="shared" si="16"/>
        <v>0</v>
      </c>
      <c r="I83" s="336"/>
      <c r="J83" s="168"/>
      <c r="K83" s="168"/>
      <c r="M83" s="359">
        <f t="shared" si="17"/>
        <v>0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'[6]Sch C'!D77</f>
        <v>52365</v>
      </c>
      <c r="D84" s="558">
        <f>'[6]Sch C'!F77</f>
        <v>0</v>
      </c>
      <c r="E84" s="171">
        <f t="shared" si="14"/>
        <v>52365</v>
      </c>
      <c r="F84" s="171"/>
      <c r="G84" s="171">
        <f t="shared" si="15"/>
        <v>52365</v>
      </c>
      <c r="H84" s="172">
        <f t="shared" si="16"/>
        <v>1.4137239619259691E-2</v>
      </c>
      <c r="I84" s="336"/>
      <c r="J84" s="168"/>
      <c r="K84" s="168"/>
      <c r="M84" s="359">
        <f t="shared" si="17"/>
        <v>4.3091672152732059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'[6]Sch C'!D78</f>
        <v>0</v>
      </c>
      <c r="D85" s="558">
        <f>'[6]Sch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'[6]Sch C'!D79</f>
        <v>18269</v>
      </c>
      <c r="D86" s="558">
        <f>'[6]Sch C'!F79</f>
        <v>0</v>
      </c>
      <c r="E86" s="171">
        <f t="shared" si="14"/>
        <v>18269</v>
      </c>
      <c r="F86" s="171"/>
      <c r="G86" s="171">
        <f>E86+F86</f>
        <v>18269</v>
      </c>
      <c r="H86" s="172">
        <f t="shared" si="16"/>
        <v>4.9321728368997477E-3</v>
      </c>
      <c r="I86" s="336"/>
      <c r="J86" s="168"/>
      <c r="K86" s="168"/>
      <c r="M86" s="359">
        <f t="shared" si="17"/>
        <v>1.5033739302172482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'[6]Sch C'!D80</f>
        <v>0</v>
      </c>
      <c r="D87" s="558">
        <f>'[6]Sch C'!F80</f>
        <v>0</v>
      </c>
      <c r="E87" s="171">
        <f t="shared" si="14"/>
        <v>0</v>
      </c>
      <c r="F87" s="171"/>
      <c r="G87" s="171">
        <f t="shared" si="15"/>
        <v>0</v>
      </c>
      <c r="H87" s="172">
        <f t="shared" si="16"/>
        <v>0</v>
      </c>
      <c r="I87" s="336"/>
      <c r="J87" s="168"/>
      <c r="K87" s="168"/>
      <c r="M87" s="359">
        <f t="shared" si="17"/>
        <v>0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'[6]Sch C'!D81</f>
        <v>32410</v>
      </c>
      <c r="D88" s="558">
        <f>'[6]Sch C'!F81</f>
        <v>0</v>
      </c>
      <c r="E88" s="171">
        <f t="shared" si="14"/>
        <v>32410</v>
      </c>
      <c r="F88" s="171"/>
      <c r="G88" s="171">
        <f t="shared" si="15"/>
        <v>32410</v>
      </c>
      <c r="H88" s="172">
        <f t="shared" si="16"/>
        <v>8.7498889727911124E-3</v>
      </c>
      <c r="I88" s="336"/>
      <c r="J88" s="168"/>
      <c r="K88" s="168"/>
      <c r="M88" s="359">
        <f t="shared" si="17"/>
        <v>2.6670506912442398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'[6]Sch C'!D82</f>
        <v>8103</v>
      </c>
      <c r="D89" s="558">
        <f>'[6]Sch C'!F82</f>
        <v>0</v>
      </c>
      <c r="E89" s="171">
        <f t="shared" si="14"/>
        <v>8103</v>
      </c>
      <c r="F89" s="171"/>
      <c r="G89" s="171">
        <f t="shared" si="15"/>
        <v>8103</v>
      </c>
      <c r="H89" s="172">
        <f t="shared" si="16"/>
        <v>2.1876072306857876E-3</v>
      </c>
      <c r="I89" s="336"/>
      <c r="J89" s="168"/>
      <c r="K89" s="168"/>
      <c r="M89" s="359">
        <f t="shared" si="17"/>
        <v>0.66680381830151414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'[6]Sch C'!D83</f>
        <v>0</v>
      </c>
      <c r="D90" s="558">
        <f>'[6]Sch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'[6]Sch C'!D84</f>
        <v>73567</v>
      </c>
      <c r="D91" s="558">
        <f>'[6]Sch C'!F84</f>
        <v>0</v>
      </c>
      <c r="E91" s="171">
        <f t="shared" si="14"/>
        <v>73567</v>
      </c>
      <c r="F91" s="171"/>
      <c r="G91" s="171">
        <f t="shared" si="15"/>
        <v>73567</v>
      </c>
      <c r="H91" s="172">
        <f t="shared" si="16"/>
        <v>1.9861249060824551E-2</v>
      </c>
      <c r="I91" s="336"/>
      <c r="J91" s="168"/>
      <c r="K91" s="168"/>
      <c r="M91" s="359">
        <f t="shared" si="17"/>
        <v>6.0539005924950624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'[6]Sch C'!D85</f>
        <v>0</v>
      </c>
      <c r="D92" s="558">
        <f>'[6]Sch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184714</v>
      </c>
      <c r="D93" s="558">
        <f>SUM(D82:D92)</f>
        <v>0</v>
      </c>
      <c r="E93" s="171">
        <f t="shared" ref="E93:F93" si="18">SUM(E82:E92)</f>
        <v>184714</v>
      </c>
      <c r="F93" s="171">
        <f t="shared" si="18"/>
        <v>0</v>
      </c>
      <c r="G93" s="171">
        <f>SUM(G82:G92)</f>
        <v>184714</v>
      </c>
      <c r="H93" s="172">
        <f t="shared" si="16"/>
        <v>4.9868157720460889E-2</v>
      </c>
      <c r="I93" s="336"/>
      <c r="J93" s="168"/>
      <c r="K93" s="168"/>
      <c r="M93" s="364">
        <f>G93/G$228</f>
        <v>15.20029624753127</v>
      </c>
      <c r="N93" s="359">
        <f>SUMMARY!J96</f>
        <v>11.458724454710746</v>
      </c>
      <c r="O93" s="354">
        <f>M93/N93-1</f>
        <v>0.32652602893181037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'[6]Sch C'!D89</f>
        <v>0</v>
      </c>
      <c r="D96" s="558">
        <f>'[6]Sch C'!F89</f>
        <v>0</v>
      </c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6"/>
      <c r="J96" s="183">
        <v>0</v>
      </c>
      <c r="K96" s="183">
        <v>0</v>
      </c>
      <c r="M96" s="364">
        <f t="shared" ref="M96:M101" si="22">G96/G$228</f>
        <v>0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'[6]Sch C'!D90</f>
        <v>0</v>
      </c>
      <c r="D97" s="558">
        <f>'[6]Sch C'!F90</f>
        <v>0</v>
      </c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6"/>
      <c r="J97" s="168"/>
      <c r="K97" s="168"/>
      <c r="M97" s="364">
        <f t="shared" si="22"/>
        <v>0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'[6]Sch C'!D91</f>
        <v>239428</v>
      </c>
      <c r="D98" s="558">
        <f>'[6]Sch C'!F91</f>
        <v>0</v>
      </c>
      <c r="E98" s="171">
        <f t="shared" si="19"/>
        <v>239428</v>
      </c>
      <c r="F98" s="171"/>
      <c r="G98" s="171">
        <f t="shared" si="20"/>
        <v>239428</v>
      </c>
      <c r="H98" s="172">
        <f t="shared" si="21"/>
        <v>6.4639568558390328E-2</v>
      </c>
      <c r="I98" s="336"/>
      <c r="J98" s="168"/>
      <c r="K98" s="168"/>
      <c r="M98" s="364">
        <f t="shared" si="22"/>
        <v>19.702764976958527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'[6]Sch C'!D92</f>
        <v>15656</v>
      </c>
      <c r="D99" s="558">
        <f>'[6]Sch C'!F92</f>
        <v>0</v>
      </c>
      <c r="E99" s="171">
        <f t="shared" si="19"/>
        <v>15656</v>
      </c>
      <c r="F99" s="171"/>
      <c r="G99" s="171">
        <f t="shared" si="20"/>
        <v>15656</v>
      </c>
      <c r="H99" s="172">
        <f t="shared" si="21"/>
        <v>4.2267282245608655E-3</v>
      </c>
      <c r="I99" s="336"/>
      <c r="J99" s="168"/>
      <c r="K99" s="168"/>
      <c r="M99" s="364">
        <f t="shared" si="22"/>
        <v>1.2883475971033576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'[6]Sch C'!D93</f>
        <v>0</v>
      </c>
      <c r="D100" s="558">
        <f>'[6]Sch C'!F93</f>
        <v>0</v>
      </c>
      <c r="E100" s="171">
        <f t="shared" si="19"/>
        <v>0</v>
      </c>
      <c r="F100" s="171"/>
      <c r="G100" s="171">
        <f t="shared" si="20"/>
        <v>0</v>
      </c>
      <c r="H100" s="172">
        <f t="shared" si="21"/>
        <v>0</v>
      </c>
      <c r="I100" s="336"/>
      <c r="J100" s="168"/>
      <c r="K100" s="168"/>
      <c r="M100" s="364">
        <f t="shared" si="22"/>
        <v>0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'[6]Sch C'!D94</f>
        <v>0</v>
      </c>
      <c r="D101" s="558">
        <f>'[6]Sch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255084</v>
      </c>
      <c r="D102" s="558">
        <f>SUM(D96:D101)</f>
        <v>0</v>
      </c>
      <c r="E102" s="171">
        <f t="shared" ref="E102:F102" si="23">SUM(E96:E101)</f>
        <v>255084</v>
      </c>
      <c r="F102" s="171">
        <f t="shared" si="23"/>
        <v>0</v>
      </c>
      <c r="G102" s="171">
        <f>SUM(G96:G101)</f>
        <v>255084</v>
      </c>
      <c r="H102" s="172">
        <f t="shared" si="21"/>
        <v>6.8866296782951184E-2</v>
      </c>
      <c r="I102" s="336"/>
      <c r="J102" s="168"/>
      <c r="K102" s="168"/>
      <c r="M102" s="364">
        <f>G102/G$228</f>
        <v>20.991112574061884</v>
      </c>
      <c r="N102" s="359">
        <f>SUMMARY!J105</f>
        <v>19.901077037785338</v>
      </c>
      <c r="O102" s="354">
        <f>M102/N102-1</f>
        <v>5.4772690654226519E-2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'[6]Sch C'!D98</f>
        <v>0</v>
      </c>
      <c r="D105" s="558">
        <f>'[6]Sch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'[6]Sch C'!D99</f>
        <v>0</v>
      </c>
      <c r="D106" s="558">
        <f>'[6]Sch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'[6]Sch C'!D100</f>
        <v>0</v>
      </c>
      <c r="D107" s="558">
        <f>'[6]Sch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'[6]Sch C'!D101</f>
        <v>43573</v>
      </c>
      <c r="D108" s="558">
        <f>'[6]Sch C'!F101</f>
        <v>0</v>
      </c>
      <c r="E108" s="171">
        <f t="shared" si="24"/>
        <v>43573</v>
      </c>
      <c r="F108" s="171"/>
      <c r="G108" s="171">
        <f t="shared" si="25"/>
        <v>43573</v>
      </c>
      <c r="H108" s="172">
        <f t="shared" si="26"/>
        <v>1.1763619630096487E-2</v>
      </c>
      <c r="I108" s="336"/>
      <c r="J108" s="168"/>
      <c r="K108" s="168"/>
      <c r="M108" s="364">
        <f t="shared" si="27"/>
        <v>3.5856649111257406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'[6]Sch C'!D102</f>
        <v>5053</v>
      </c>
      <c r="D109" s="558">
        <f>'[6]Sch C'!F102</f>
        <v>0</v>
      </c>
      <c r="E109" s="171">
        <f t="shared" si="24"/>
        <v>5053</v>
      </c>
      <c r="F109" s="171"/>
      <c r="G109" s="171">
        <f t="shared" si="25"/>
        <v>5053</v>
      </c>
      <c r="H109" s="172">
        <f t="shared" si="26"/>
        <v>1.3641835538263959E-3</v>
      </c>
      <c r="I109" s="336"/>
      <c r="J109" s="168"/>
      <c r="K109" s="168"/>
      <c r="M109" s="364">
        <f t="shared" si="27"/>
        <v>0.41581632653061223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'[6]Sch C'!D103</f>
        <v>0</v>
      </c>
      <c r="D110" s="558">
        <f>'[6]Sch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48626</v>
      </c>
      <c r="D111" s="558">
        <f>SUM(D105:D110)</f>
        <v>0</v>
      </c>
      <c r="E111" s="171">
        <f t="shared" ref="E111:F111" si="28">SUM(E105:E110)</f>
        <v>48626</v>
      </c>
      <c r="F111" s="171">
        <f t="shared" si="28"/>
        <v>0</v>
      </c>
      <c r="G111" s="171">
        <f>SUM(G105:G110)</f>
        <v>48626</v>
      </c>
      <c r="H111" s="172">
        <f t="shared" si="26"/>
        <v>1.3127803183922883E-2</v>
      </c>
      <c r="I111" s="336"/>
      <c r="J111" s="168"/>
      <c r="K111" s="168"/>
      <c r="M111" s="364">
        <f>G111/G$228</f>
        <v>4.0014812376563524</v>
      </c>
      <c r="N111" s="359">
        <f>SUMMARY!J114</f>
        <v>2.4242384372309496</v>
      </c>
      <c r="O111" s="354">
        <f>M111/N111-1</f>
        <v>0.65061372520228877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'[6]Sch C'!D115</f>
        <v>136268</v>
      </c>
      <c r="D114" s="558">
        <f>'[6]Sch C'!F115</f>
        <v>0</v>
      </c>
      <c r="E114" s="171">
        <f t="shared" ref="E114:E118" si="29">C114+D114</f>
        <v>136268</v>
      </c>
      <c r="F114" s="171"/>
      <c r="G114" s="171">
        <f>E114+F114</f>
        <v>136268</v>
      </c>
      <c r="H114" s="172">
        <f t="shared" ref="H114:H119" si="30">IF($G$208=0,0,G114/$G$208)</f>
        <v>3.6788950032221511E-2</v>
      </c>
      <c r="I114" s="336"/>
      <c r="J114" s="183">
        <v>9275</v>
      </c>
      <c r="K114" s="183">
        <v>10081</v>
      </c>
      <c r="M114" s="364">
        <f t="shared" ref="M114:M119" si="31">G114/G$228</f>
        <v>11.213627386438446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'[6]Sch C'!D116</f>
        <v>49455</v>
      </c>
      <c r="D115" s="558">
        <f>'[6]Sch C'!F116</f>
        <v>0</v>
      </c>
      <c r="E115" s="171">
        <f t="shared" si="29"/>
        <v>49455</v>
      </c>
      <c r="F115" s="171"/>
      <c r="G115" s="171">
        <f>E115+F115</f>
        <v>49455</v>
      </c>
      <c r="H115" s="172">
        <f t="shared" si="30"/>
        <v>1.3351612439043025E-2</v>
      </c>
      <c r="I115" s="336"/>
      <c r="J115" s="168"/>
      <c r="K115" s="168"/>
      <c r="M115" s="364">
        <f t="shared" si="31"/>
        <v>4.0697004608294929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'[6]Sch C'!D117</f>
        <v>20440</v>
      </c>
      <c r="D116" s="558">
        <f>'[6]Sch C'!F117</f>
        <v>0</v>
      </c>
      <c r="E116" s="171">
        <f t="shared" si="29"/>
        <v>20440</v>
      </c>
      <c r="F116" s="171"/>
      <c r="G116" s="171">
        <f>E116+F116</f>
        <v>20440</v>
      </c>
      <c r="H116" s="172">
        <f t="shared" si="30"/>
        <v>5.518288509838023E-3</v>
      </c>
      <c r="I116" s="336"/>
      <c r="J116" s="168"/>
      <c r="K116" s="168"/>
      <c r="M116" s="364">
        <f t="shared" si="31"/>
        <v>1.6820276497695852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'[6]Sch C'!D118</f>
        <v>0</v>
      </c>
      <c r="D117" s="558">
        <f>'[6]Sch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'[6]Sch C'!D119</f>
        <v>0</v>
      </c>
      <c r="D118" s="558">
        <f>'[6]Sch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387</v>
      </c>
      <c r="C119" s="558">
        <f>SUM(C114:C118)</f>
        <v>206163</v>
      </c>
      <c r="D119" s="558">
        <f>SUM(D114:D118)</f>
        <v>0</v>
      </c>
      <c r="E119" s="171">
        <f t="shared" ref="E119:F119" si="32">SUM(E114:E118)</f>
        <v>206163</v>
      </c>
      <c r="F119" s="171">
        <f t="shared" si="32"/>
        <v>0</v>
      </c>
      <c r="G119" s="171">
        <f>SUM(G114:G118)</f>
        <v>206163</v>
      </c>
      <c r="H119" s="172">
        <f t="shared" si="30"/>
        <v>5.5658850981102563E-2</v>
      </c>
      <c r="I119" s="336"/>
      <c r="J119" s="168"/>
      <c r="K119" s="168"/>
      <c r="M119" s="364">
        <f t="shared" si="31"/>
        <v>16.965355497037525</v>
      </c>
      <c r="N119" s="359">
        <f>SUMMARY!J122</f>
        <v>6.0247597205909562</v>
      </c>
      <c r="O119" s="354">
        <f>M119/N119-1</f>
        <v>1.8159389392832797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'[6]Sch C'!D124</f>
        <v>74919</v>
      </c>
      <c r="D123" s="558">
        <f>'[6]Sch C'!F124</f>
        <v>0</v>
      </c>
      <c r="E123" s="171">
        <f t="shared" ref="E123:E127" si="33">C123+D123</f>
        <v>74919</v>
      </c>
      <c r="F123" s="171"/>
      <c r="G123" s="171">
        <f>E123+F123</f>
        <v>74919</v>
      </c>
      <c r="H123" s="172">
        <f>IF($G$208=0,0,G123/$G$208)</f>
        <v>2.0226255228402878E-2</v>
      </c>
      <c r="I123" s="336"/>
      <c r="J123" s="183">
        <v>1840</v>
      </c>
      <c r="K123" s="183">
        <v>2032</v>
      </c>
      <c r="M123" s="364">
        <f t="shared" ref="M123:M160" si="34">G123/G$228</f>
        <v>6.1651579986833447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'[6]Sch C'!D125</f>
        <v>0</v>
      </c>
      <c r="D124" s="558">
        <f>'[6]Sch C'!F125</f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6"/>
      <c r="J124" s="183">
        <v>0</v>
      </c>
      <c r="K124" s="183">
        <v>0</v>
      </c>
      <c r="M124" s="364">
        <f t="shared" si="34"/>
        <v>0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'[6]Sch C'!D126</f>
        <v>0</v>
      </c>
      <c r="D125" s="558">
        <f>'[6]Sch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'[6]Sch C'!D127</f>
        <v>0</v>
      </c>
      <c r="D126" s="558">
        <f>'[6]Sch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'[6]Sch C'!D128</f>
        <v>0</v>
      </c>
      <c r="D127" s="558">
        <f>'[6]Sch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6"/>
      <c r="J127" s="183">
        <v>0</v>
      </c>
      <c r="K127" s="183">
        <v>0</v>
      </c>
      <c r="M127" s="364">
        <f t="shared" si="34"/>
        <v>0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'[6]Sch C'!D130</f>
        <v>22122</v>
      </c>
      <c r="D129" s="558">
        <f>'[6]Sch C'!F130</f>
        <v>0</v>
      </c>
      <c r="E129" s="171">
        <f t="shared" ref="E129:E133" si="35">C129+D129</f>
        <v>22122</v>
      </c>
      <c r="F129" s="171"/>
      <c r="G129" s="171">
        <f>E129+F129</f>
        <v>22122</v>
      </c>
      <c r="H129" s="172">
        <f>IF($G$208=0,0,G129/$G$208)</f>
        <v>5.9723864195027759E-3</v>
      </c>
      <c r="I129" s="336"/>
      <c r="J129" s="204"/>
      <c r="K129" s="204"/>
      <c r="M129" s="364">
        <f t="shared" si="34"/>
        <v>1.8204410796576695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'[6]Sch C'!D131</f>
        <v>0</v>
      </c>
      <c r="D130" s="558">
        <f>'[6]Sch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'[6]Sch C'!D132</f>
        <v>0</v>
      </c>
      <c r="D131" s="558">
        <f>'[6]Sch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'[6]Sch C'!D133</f>
        <v>0</v>
      </c>
      <c r="D132" s="558">
        <f>'[6]Sch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'[6]Sch C'!D134</f>
        <v>0</v>
      </c>
      <c r="D133" s="558">
        <f>'[6]Sch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'[6]Sch C'!D136</f>
        <v>590689</v>
      </c>
      <c r="D135" s="558">
        <f>'[6]Sch C'!F136</f>
        <v>0</v>
      </c>
      <c r="E135" s="171">
        <f t="shared" ref="E135:E138" si="36">C135+D135</f>
        <v>590689</v>
      </c>
      <c r="F135" s="171"/>
      <c r="G135" s="171">
        <f>E135+F135</f>
        <v>590689</v>
      </c>
      <c r="H135" s="172">
        <f>IF($G$208=0,0,G135/$G$208)</f>
        <v>0.15947124860996634</v>
      </c>
      <c r="I135" s="336"/>
      <c r="J135" s="183">
        <v>17617</v>
      </c>
      <c r="K135" s="183">
        <v>19257</v>
      </c>
      <c r="M135" s="364">
        <f t="shared" si="34"/>
        <v>48.608377221856486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'[6]Sch C'!D137</f>
        <v>10436</v>
      </c>
      <c r="D136" s="558">
        <f>'[6]Sch C'!F137</f>
        <v>0</v>
      </c>
      <c r="E136" s="171">
        <f t="shared" si="36"/>
        <v>10436</v>
      </c>
      <c r="F136" s="171"/>
      <c r="G136" s="171">
        <f>E136+F136</f>
        <v>10436</v>
      </c>
      <c r="H136" s="172">
        <f>IF($G$208=0,0,G136/$G$208)</f>
        <v>2.8174588497392175E-3</v>
      </c>
      <c r="I136" s="336"/>
      <c r="J136" s="183">
        <v>389</v>
      </c>
      <c r="K136" s="183">
        <v>474</v>
      </c>
      <c r="M136" s="364">
        <f t="shared" si="34"/>
        <v>0.85878867676102699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'[6]Sch C'!D138</f>
        <v>642707</v>
      </c>
      <c r="D137" s="558">
        <f>'[6]Sch C'!F138</f>
        <v>0</v>
      </c>
      <c r="E137" s="171">
        <f t="shared" si="36"/>
        <v>642707</v>
      </c>
      <c r="F137" s="171"/>
      <c r="G137" s="171">
        <f>E137+F137</f>
        <v>642707</v>
      </c>
      <c r="H137" s="172">
        <f>IF($G$208=0,0,G137/$G$208)</f>
        <v>0.17351480691254728</v>
      </c>
      <c r="I137" s="336"/>
      <c r="J137" s="183">
        <v>40918</v>
      </c>
      <c r="K137" s="183">
        <v>46454</v>
      </c>
      <c r="M137" s="364">
        <f t="shared" si="34"/>
        <v>52.888989466754445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443</v>
      </c>
      <c r="C138" s="558">
        <f>'[6]Sch C'!D139</f>
        <v>24012</v>
      </c>
      <c r="D138" s="558">
        <f>'[6]Sch C'!F139</f>
        <v>0</v>
      </c>
      <c r="E138" s="171">
        <f t="shared" si="36"/>
        <v>24012</v>
      </c>
      <c r="F138" s="679">
        <f>(-24012)</f>
        <v>-24012</v>
      </c>
      <c r="G138" s="171">
        <f>E138+F138</f>
        <v>0</v>
      </c>
      <c r="H138" s="172">
        <f>IF($G$208=0,0,G138/$G$208)</f>
        <v>0</v>
      </c>
      <c r="I138" s="336"/>
      <c r="J138" s="183">
        <v>947</v>
      </c>
      <c r="K138" s="183">
        <v>1051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'[6]Sch C'!D141</f>
        <v>138652</v>
      </c>
      <c r="D140" s="558">
        <f>'[6]Sch C'!F141</f>
        <v>0</v>
      </c>
      <c r="E140" s="171">
        <f t="shared" ref="E140:E143" si="37">C140+D140</f>
        <v>138652</v>
      </c>
      <c r="F140" s="171"/>
      <c r="G140" s="171">
        <f>E140+F140</f>
        <v>138652</v>
      </c>
      <c r="H140" s="172">
        <f>IF($G$208=0,0,G140/$G$208)</f>
        <v>3.7432570375051939E-2</v>
      </c>
      <c r="I140" s="336"/>
      <c r="J140" s="168"/>
      <c r="K140" s="168"/>
      <c r="M140" s="364">
        <f t="shared" si="34"/>
        <v>11.409809084924293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'[6]Sch C'!D142</f>
        <v>1116</v>
      </c>
      <c r="D141" s="558">
        <f>'[6]Sch C'!F142</f>
        <v>0</v>
      </c>
      <c r="E141" s="171">
        <f t="shared" si="37"/>
        <v>1116</v>
      </c>
      <c r="F141" s="171"/>
      <c r="G141" s="171">
        <f>E141+F141</f>
        <v>1116</v>
      </c>
      <c r="H141" s="172">
        <f>IF($G$208=0,0,G141/$G$208)</f>
        <v>3.0129207323773157E-4</v>
      </c>
      <c r="I141" s="336"/>
      <c r="J141" s="168"/>
      <c r="K141" s="168"/>
      <c r="M141" s="364">
        <f t="shared" si="34"/>
        <v>9.1836734693877556E-2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'[6]Sch C'!D143</f>
        <v>191160</v>
      </c>
      <c r="D142" s="558">
        <f>'[6]Sch C'!F143</f>
        <v>0</v>
      </c>
      <c r="E142" s="171">
        <f t="shared" si="37"/>
        <v>191160</v>
      </c>
      <c r="F142" s="171"/>
      <c r="G142" s="171">
        <f>E142+F142</f>
        <v>191160</v>
      </c>
      <c r="H142" s="172">
        <f>IF($G$208=0,0,G142/$G$208)</f>
        <v>5.1608416415882409E-2</v>
      </c>
      <c r="I142" s="336"/>
      <c r="J142" s="168"/>
      <c r="K142" s="168"/>
      <c r="M142" s="364">
        <f t="shared" si="34"/>
        <v>15.730743910467412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'[6]Sch C'!D144</f>
        <v>5464</v>
      </c>
      <c r="D143" s="558">
        <f>'[6]Sch C'!F144</f>
        <v>0</v>
      </c>
      <c r="E143" s="171">
        <f t="shared" si="37"/>
        <v>5464</v>
      </c>
      <c r="F143" s="679">
        <f>(-5464)</f>
        <v>-5464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'[6]Sch C'!D146</f>
        <v>0</v>
      </c>
      <c r="D145" s="558">
        <f>'[6]Sch C'!F146</f>
        <v>0</v>
      </c>
      <c r="E145" s="171">
        <f t="shared" ref="E145:E153" si="38">C145+D145</f>
        <v>0</v>
      </c>
      <c r="F145" s="679">
        <f>(14500)</f>
        <v>14500</v>
      </c>
      <c r="G145" s="171">
        <f t="shared" ref="G145:G153" si="39">E145+F145</f>
        <v>14500</v>
      </c>
      <c r="H145" s="172">
        <f t="shared" ref="H145:H153" si="40">IF($G$208=0,0,G145/$G$208)</f>
        <v>3.9146371522823546E-3</v>
      </c>
      <c r="I145" s="336"/>
      <c r="J145" s="183">
        <v>0</v>
      </c>
      <c r="K145" s="183">
        <v>0</v>
      </c>
      <c r="M145" s="364">
        <f t="shared" si="34"/>
        <v>1.1932192231731402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'[6]Sch C'!D147</f>
        <v>98784</v>
      </c>
      <c r="D146" s="558">
        <f>'[6]Sch C'!F147</f>
        <v>0</v>
      </c>
      <c r="E146" s="171">
        <f t="shared" si="38"/>
        <v>98784</v>
      </c>
      <c r="F146" s="171"/>
      <c r="G146" s="171">
        <f t="shared" si="39"/>
        <v>98784</v>
      </c>
      <c r="H146" s="172">
        <f t="shared" si="40"/>
        <v>2.6669208031107595E-2</v>
      </c>
      <c r="I146" s="336"/>
      <c r="J146" s="183">
        <v>1511</v>
      </c>
      <c r="K146" s="183">
        <v>1511</v>
      </c>
      <c r="M146" s="364">
        <f t="shared" si="34"/>
        <v>8.129032258064516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'[6]Sch C'!D148</f>
        <v>0</v>
      </c>
      <c r="D147" s="558">
        <f>'[6]Sch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'[6]Sch C'!D149</f>
        <v>0</v>
      </c>
      <c r="D148" s="558">
        <f>'[6]Sch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'[6]Sch C'!D150</f>
        <v>0</v>
      </c>
      <c r="D149" s="558">
        <f>'[6]Sch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6"/>
      <c r="J149" s="183">
        <v>0</v>
      </c>
      <c r="K149" s="183">
        <v>0</v>
      </c>
      <c r="M149" s="364">
        <f t="shared" si="34"/>
        <v>0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'[6]Sch C'!D151</f>
        <v>91455</v>
      </c>
      <c r="D150" s="558">
        <f>'[6]Sch C'!F151</f>
        <v>0</v>
      </c>
      <c r="E150" s="171">
        <f t="shared" si="38"/>
        <v>91455</v>
      </c>
      <c r="F150" s="171"/>
      <c r="G150" s="171">
        <f t="shared" si="39"/>
        <v>91455</v>
      </c>
      <c r="H150" s="172">
        <f t="shared" si="40"/>
        <v>2.469056143186088E-2</v>
      </c>
      <c r="I150" s="336"/>
      <c r="J150" s="168"/>
      <c r="K150" s="168"/>
      <c r="M150" s="364">
        <f t="shared" si="34"/>
        <v>7.5259216589861753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'[6]Sch C'!D152</f>
        <v>10863</v>
      </c>
      <c r="D151" s="558">
        <f>'[6]Sch C'!F152</f>
        <v>0</v>
      </c>
      <c r="E151" s="171">
        <f t="shared" si="38"/>
        <v>10863</v>
      </c>
      <c r="F151" s="679">
        <f>(-1123)</f>
        <v>-1123</v>
      </c>
      <c r="G151" s="171">
        <f t="shared" si="39"/>
        <v>9740</v>
      </c>
      <c r="H151" s="172">
        <f t="shared" si="40"/>
        <v>2.6295562664296647E-3</v>
      </c>
      <c r="I151" s="336"/>
      <c r="J151" s="168"/>
      <c r="K151" s="168"/>
      <c r="M151" s="364">
        <f t="shared" si="34"/>
        <v>0.80151415404871629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'[6]Sch C'!D153</f>
        <v>0</v>
      </c>
      <c r="D152" s="558">
        <f>'[6]Sch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'[6]Sch C'!D154</f>
        <v>0</v>
      </c>
      <c r="D153" s="558">
        <f>'[6]Sch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'[6]Sch C'!D156</f>
        <v>0</v>
      </c>
      <c r="D155" s="558">
        <f>'[6]Sch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'[6]Sch C'!D157</f>
        <v>0</v>
      </c>
      <c r="D156" s="558">
        <f>'[6]Sch C'!F157</f>
        <v>0</v>
      </c>
      <c r="E156" s="171">
        <f t="shared" si="41"/>
        <v>0</v>
      </c>
      <c r="F156" s="679">
        <f>(6511)</f>
        <v>6511</v>
      </c>
      <c r="G156" s="171">
        <f t="shared" si="42"/>
        <v>6511</v>
      </c>
      <c r="H156" s="172">
        <f t="shared" si="43"/>
        <v>1.7578070688627871E-3</v>
      </c>
      <c r="I156" s="336"/>
      <c r="J156" s="168"/>
      <c r="K156" s="168"/>
      <c r="M156" s="364">
        <f t="shared" si="34"/>
        <v>0.5357965766951942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'[6]Sch C'!D158</f>
        <v>0</v>
      </c>
      <c r="D157" s="558">
        <f>'[6]Sch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'[6]Sch C'!D159</f>
        <v>0</v>
      </c>
      <c r="D158" s="558">
        <f>'[6]Sch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'[6]Sch C'!D160</f>
        <v>0</v>
      </c>
      <c r="D159" s="558">
        <f>'[6]Sch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'[6]Sch C'!D161</f>
        <v>1960</v>
      </c>
      <c r="D160" s="558">
        <f>'[6]Sch C'!F161</f>
        <v>0</v>
      </c>
      <c r="E160" s="171">
        <f t="shared" si="41"/>
        <v>1960</v>
      </c>
      <c r="F160" s="171"/>
      <c r="G160" s="171">
        <f t="shared" si="42"/>
        <v>1960</v>
      </c>
      <c r="H160" s="172">
        <f t="shared" si="43"/>
        <v>5.2915095299816664E-4</v>
      </c>
      <c r="I160" s="336"/>
      <c r="J160" s="168"/>
      <c r="K160" s="168"/>
      <c r="M160" s="364">
        <f t="shared" si="34"/>
        <v>0.16129032258064516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1904339</v>
      </c>
      <c r="D161" s="558">
        <f>SUM(D123:D160)</f>
        <v>0</v>
      </c>
      <c r="E161" s="171">
        <f t="shared" ref="E161:F161" si="44">SUM(E123:E160)</f>
        <v>1904339</v>
      </c>
      <c r="F161" s="171">
        <f t="shared" si="44"/>
        <v>-9588</v>
      </c>
      <c r="G161" s="171">
        <f>SUM(G123:G160)</f>
        <v>1894751</v>
      </c>
      <c r="H161" s="172">
        <f t="shared" si="43"/>
        <v>0.51153535578787201</v>
      </c>
      <c r="I161" s="336"/>
      <c r="J161" s="168"/>
      <c r="K161" s="168"/>
      <c r="M161" s="364">
        <f>G161/G$228</f>
        <v>155.92091836734693</v>
      </c>
      <c r="N161" s="359">
        <f>SUMMARY!J164</f>
        <v>105.56901037202306</v>
      </c>
      <c r="O161" s="354">
        <f>M161/N161-1</f>
        <v>0.47695727958313494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'[6]Sch C'!D175</f>
        <v>0</v>
      </c>
      <c r="D164" s="558">
        <f>'[6]Sch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'[6]Sch C'!D176</f>
        <v>0</v>
      </c>
      <c r="D165" s="558">
        <f>'[6]Sch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'[6]Sch C'!D177</f>
        <v>0</v>
      </c>
      <c r="D166" s="558">
        <f>'[6]Sch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'[6]Sch C'!D178</f>
        <v>0</v>
      </c>
      <c r="D167" s="558">
        <f>'[6]Sch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'[6]Sch C'!D179</f>
        <v>0</v>
      </c>
      <c r="D168" s="558">
        <f>'[6]Sch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'[6]Sch C'!D180</f>
        <v>0</v>
      </c>
      <c r="D169" s="558">
        <f>'[6]Sch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'[6]Sch C'!D181</f>
        <v>0</v>
      </c>
      <c r="D170" s="558">
        <f>'[6]Sch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'[6]Sch C'!D182</f>
        <v>0</v>
      </c>
      <c r="D171" s="558">
        <f>'[6]Sch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'[6]Sch C'!D183</f>
        <v>0</v>
      </c>
      <c r="D172" s="558">
        <f>'[6]Sch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'[6]Sch C'!D184</f>
        <v>0</v>
      </c>
      <c r="D173" s="558">
        <f>'[6]Sch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'[6]Sch C'!D185</f>
        <v>0</v>
      </c>
      <c r="D174" s="558">
        <f>'[6]Sch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'[6]Sch C'!D186</f>
        <v>0</v>
      </c>
      <c r="D175" s="558">
        <f>'[6]Sch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'[6]Sch C'!D187</f>
        <v>0</v>
      </c>
      <c r="D176" s="558">
        <f>'[6]Sch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'[6]Sch C'!D188</f>
        <v>0</v>
      </c>
      <c r="D177" s="558">
        <f>'[6]Sch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'[6]Sch C'!D189</f>
        <v>0</v>
      </c>
      <c r="D178" s="558">
        <f>'[6]Sch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'[6]Sch C'!D190</f>
        <v>0</v>
      </c>
      <c r="D179" s="558">
        <f>'[6]Sch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'[6]Sch C'!D191</f>
        <v>0</v>
      </c>
      <c r="D180" s="558">
        <f>'[6]Sch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'[6]Sch C'!D192</f>
        <v>5733</v>
      </c>
      <c r="D181" s="558">
        <f>'[6]Sch C'!F192</f>
        <v>0</v>
      </c>
      <c r="E181" s="171">
        <f t="shared" si="45"/>
        <v>5733</v>
      </c>
      <c r="F181" s="216"/>
      <c r="G181" s="171">
        <f t="shared" si="46"/>
        <v>5733</v>
      </c>
      <c r="H181" s="172">
        <f t="shared" si="47"/>
        <v>1.5477665375196372E-3</v>
      </c>
      <c r="I181" s="336"/>
      <c r="J181" s="223"/>
      <c r="K181" s="218"/>
      <c r="L181" s="220"/>
      <c r="M181" s="364">
        <f t="shared" si="48"/>
        <v>0.47177419354838712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'[6]Sch C'!D193</f>
        <v>0</v>
      </c>
      <c r="D182" s="558">
        <f>'[6]Sch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'[6]Sch C'!D194</f>
        <v>0</v>
      </c>
      <c r="D183" s="558">
        <f>'[6]Sch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'[6]Sch C'!D195</f>
        <v>0</v>
      </c>
      <c r="D184" s="558">
        <f>'[6]Sch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'[6]Sch C'!D196</f>
        <v>0</v>
      </c>
      <c r="D185" s="558">
        <f>'[6]Sch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'[6]Sch C'!D197</f>
        <v>0</v>
      </c>
      <c r="D186" s="558">
        <f>'[6]Sch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'[6]Sch C'!D198</f>
        <v>0</v>
      </c>
      <c r="D187" s="558">
        <f>'[6]Sch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'[6]Sch C'!D199</f>
        <v>0</v>
      </c>
      <c r="D188" s="558">
        <f>'[6]Sch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'[6]Sch C'!D200</f>
        <v>0</v>
      </c>
      <c r="D189" s="558">
        <f>'[6]Sch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'[6]Sch C'!D201</f>
        <v>0</v>
      </c>
      <c r="D190" s="558">
        <f>'[6]Sch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'[6]Sch C'!D202</f>
        <v>225</v>
      </c>
      <c r="D191" s="558">
        <f>'[6]Sch C'!F202</f>
        <v>0</v>
      </c>
      <c r="E191" s="171">
        <f t="shared" si="45"/>
        <v>225</v>
      </c>
      <c r="F191" s="216"/>
      <c r="G191" s="171">
        <f t="shared" si="46"/>
        <v>225</v>
      </c>
      <c r="H191" s="172">
        <f t="shared" si="47"/>
        <v>6.0744369604381368E-5</v>
      </c>
      <c r="I191" s="336"/>
      <c r="J191" s="223"/>
      <c r="K191" s="218"/>
      <c r="M191" s="364">
        <f t="shared" si="48"/>
        <v>1.8515470704410796E-2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'[6]Sch C'!D203</f>
        <v>0</v>
      </c>
      <c r="D192" s="558">
        <f>'[6]Sch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'[6]Sch C'!D204</f>
        <v>0</v>
      </c>
      <c r="D193" s="558">
        <f>'[6]Sch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'[6]Sch C'!D205</f>
        <v>-9774</v>
      </c>
      <c r="D194" s="558">
        <f>'[6]Sch C'!F205</f>
        <v>0</v>
      </c>
      <c r="E194" s="171">
        <f t="shared" si="45"/>
        <v>-9774</v>
      </c>
      <c r="F194" s="216"/>
      <c r="G194" s="171">
        <f t="shared" si="46"/>
        <v>-9774</v>
      </c>
      <c r="H194" s="172">
        <f t="shared" si="47"/>
        <v>-2.6387354156143265E-3</v>
      </c>
      <c r="I194" s="336"/>
      <c r="J194" s="223"/>
      <c r="K194" s="218"/>
      <c r="M194" s="364">
        <f t="shared" si="48"/>
        <v>-0.80431204739960505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'[6]Sch C'!D206</f>
        <v>0</v>
      </c>
      <c r="D195" s="558">
        <f>'[6]Sch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'[6]Sch C'!D207</f>
        <v>0</v>
      </c>
      <c r="D196" s="558">
        <f>'[6]Sch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-3816</v>
      </c>
      <c r="D197" s="558">
        <f>SUM(D164:D196)</f>
        <v>0</v>
      </c>
      <c r="E197" s="171">
        <f t="shared" ref="E197:F197" si="49">SUM(E164:E196)</f>
        <v>-3816</v>
      </c>
      <c r="F197" s="171">
        <f t="shared" si="49"/>
        <v>0</v>
      </c>
      <c r="G197" s="171">
        <f>SUM(G164:G196)</f>
        <v>-3816</v>
      </c>
      <c r="H197" s="172">
        <f>IF($G$208=0,0,G197/$G$208)</f>
        <v>-1.030224508490308E-3</v>
      </c>
      <c r="I197" s="336"/>
      <c r="J197" s="168"/>
      <c r="K197" s="168"/>
      <c r="M197" s="364">
        <f>G197/G$228</f>
        <v>-0.31402238314680708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'[6]Sch C'!D211</f>
        <v>40477</v>
      </c>
      <c r="D200" s="558">
        <f>'[6]Sch C'!F211</f>
        <v>0</v>
      </c>
      <c r="E200" s="171">
        <f t="shared" ref="E200:E205" si="50">C200+D200</f>
        <v>40477</v>
      </c>
      <c r="F200" s="679">
        <f>(24012)</f>
        <v>24012</v>
      </c>
      <c r="G200" s="171">
        <f t="shared" ref="G200:G205" si="51">E200+F200</f>
        <v>64489</v>
      </c>
      <c r="H200" s="172">
        <f t="shared" ref="H200:H206" si="52">IF($G$208=0,0,G200/$G$208)</f>
        <v>1.7410416228519777E-2</v>
      </c>
      <c r="I200" s="336"/>
      <c r="J200" s="183">
        <v>1866</v>
      </c>
      <c r="K200" s="183">
        <v>2065</v>
      </c>
      <c r="M200" s="364">
        <f t="shared" ref="M200:M205" si="53">G200/G$228</f>
        <v>5.3068630678077682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'[6]Sch C'!D212</f>
        <v>14790</v>
      </c>
      <c r="D201" s="558">
        <f>'[6]Sch C'!F212</f>
        <v>0</v>
      </c>
      <c r="E201" s="171">
        <f t="shared" si="50"/>
        <v>14790</v>
      </c>
      <c r="F201" s="677">
        <f>(5464)</f>
        <v>5464</v>
      </c>
      <c r="G201" s="171">
        <f t="shared" si="51"/>
        <v>20254</v>
      </c>
      <c r="H201" s="172">
        <f t="shared" si="52"/>
        <v>5.4680731642984008E-3</v>
      </c>
      <c r="I201" s="336"/>
      <c r="J201" s="168"/>
      <c r="K201" s="168"/>
      <c r="M201" s="364">
        <f t="shared" si="53"/>
        <v>1.6667215273206057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'[6]Sch C'!D213</f>
        <v>0</v>
      </c>
      <c r="D202" s="558">
        <f>'[6]Sch C'!F213</f>
        <v>0</v>
      </c>
      <c r="E202" s="171">
        <f t="shared" si="50"/>
        <v>0</v>
      </c>
      <c r="F202" s="679">
        <f>(1600)</f>
        <v>1600</v>
      </c>
      <c r="G202" s="171">
        <f t="shared" si="51"/>
        <v>1600</v>
      </c>
      <c r="H202" s="172">
        <f t="shared" si="52"/>
        <v>4.3195996163115642E-4</v>
      </c>
      <c r="I202" s="336"/>
      <c r="J202" s="168"/>
      <c r="K202" s="168"/>
      <c r="M202" s="364">
        <f t="shared" si="53"/>
        <v>0.1316655694535879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'[6]Sch C'!D214</f>
        <v>2848</v>
      </c>
      <c r="D203" s="558">
        <f>'[6]Sch C'!F214</f>
        <v>0</v>
      </c>
      <c r="E203" s="171">
        <f t="shared" si="50"/>
        <v>2848</v>
      </c>
      <c r="F203" s="677">
        <f>(293)</f>
        <v>293</v>
      </c>
      <c r="G203" s="171">
        <f t="shared" si="51"/>
        <v>3141</v>
      </c>
      <c r="H203" s="172">
        <f t="shared" si="52"/>
        <v>8.4799139967716396E-4</v>
      </c>
      <c r="I203" s="336"/>
      <c r="J203" s="168"/>
      <c r="K203" s="168"/>
      <c r="M203" s="364">
        <f t="shared" si="53"/>
        <v>0.25847597103357473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'[6]Sch C'!D215</f>
        <v>0</v>
      </c>
      <c r="D204" s="558">
        <f>'[6]Sch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'[6]Sch C'!D216</f>
        <v>-2</v>
      </c>
      <c r="D205" s="558">
        <f>'[6]Sch C'!F216</f>
        <v>0</v>
      </c>
      <c r="E205" s="171">
        <f t="shared" si="50"/>
        <v>-2</v>
      </c>
      <c r="F205" s="171"/>
      <c r="G205" s="171">
        <f t="shared" si="51"/>
        <v>-2</v>
      </c>
      <c r="H205" s="172">
        <f t="shared" si="52"/>
        <v>-5.3994995203894546E-7</v>
      </c>
      <c r="I205" s="336"/>
      <c r="J205" s="168"/>
      <c r="K205" s="168"/>
      <c r="M205" s="364">
        <f t="shared" si="53"/>
        <v>-1.6458196181698485E-4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58113</v>
      </c>
      <c r="D206" s="558">
        <f>SUM(D200:D205)</f>
        <v>0</v>
      </c>
      <c r="E206" s="171">
        <f t="shared" ref="E206:F206" si="54">SUM(E200:E205)</f>
        <v>58113</v>
      </c>
      <c r="F206" s="171">
        <f t="shared" si="54"/>
        <v>31369</v>
      </c>
      <c r="G206" s="171">
        <f>SUM(G200:G205)</f>
        <v>89482</v>
      </c>
      <c r="H206" s="172">
        <f t="shared" si="52"/>
        <v>2.4157900804174463E-2</v>
      </c>
      <c r="I206" s="336"/>
      <c r="J206" s="168"/>
      <c r="K206" s="168"/>
      <c r="M206" s="364">
        <f>G206/G$228</f>
        <v>7.3635615536537191</v>
      </c>
      <c r="N206" s="359">
        <f>SUMMARY!J209</f>
        <v>7.1515095990067339</v>
      </c>
      <c r="O206" s="354">
        <f>M206/N206-1</f>
        <v>2.9651355662926981E-2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3705377</v>
      </c>
      <c r="D208" s="558">
        <f>SUM(D25:D206)/2</f>
        <v>0</v>
      </c>
      <c r="E208" s="171">
        <f t="shared" ref="E208:F208" si="55">SUM(E25:E206)/2</f>
        <v>3705377</v>
      </c>
      <c r="F208" s="171">
        <f t="shared" si="55"/>
        <v>-1330</v>
      </c>
      <c r="G208" s="171">
        <f>SUM(G25:G206)/2</f>
        <v>3704047</v>
      </c>
      <c r="H208" s="172">
        <f>IF($G$208=0,0,G208/$G$208)</f>
        <v>1</v>
      </c>
      <c r="I208" s="336"/>
      <c r="J208" s="183">
        <f>SUM(J25:J200)</f>
        <v>80730</v>
      </c>
      <c r="K208" s="183">
        <f>SUM(K25:K200)</f>
        <v>89776</v>
      </c>
      <c r="M208" s="364">
        <f>G208/G$228</f>
        <v>304.80966096115867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3.3357511351480826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'[6]Sch C'!D221</f>
        <v>3705377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-707519</v>
      </c>
      <c r="D215" s="558">
        <f>D21-D208</f>
        <v>-4095</v>
      </c>
      <c r="E215" s="171">
        <f t="shared" ref="E215:F215" si="56">E21-E208</f>
        <v>-711614</v>
      </c>
      <c r="F215" s="171">
        <f t="shared" si="56"/>
        <v>-232380</v>
      </c>
      <c r="G215" s="171">
        <f>G21-G208</f>
        <v>-943994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442</v>
      </c>
      <c r="C219" s="592">
        <f>'[6]Sch D'!C9</f>
        <v>8019</v>
      </c>
      <c r="D219" s="592"/>
      <c r="E219" s="235">
        <f t="shared" ref="E219:G227" si="57">C219+D219</f>
        <v>8019</v>
      </c>
      <c r="F219" s="456"/>
      <c r="G219" s="235">
        <f t="shared" si="57"/>
        <v>8019</v>
      </c>
      <c r="H219" s="172">
        <f t="shared" ref="H219:H228" si="58">IF($G$228=0,0,G219/$G$228)</f>
        <v>0.65989137590520075</v>
      </c>
      <c r="I219" s="336"/>
      <c r="J219" s="168"/>
      <c r="K219" s="168"/>
    </row>
    <row r="220" spans="1:17">
      <c r="A220" s="163"/>
      <c r="B220" s="170" t="s">
        <v>217</v>
      </c>
      <c r="C220" s="592">
        <f>'[6]Sch D'!D9</f>
        <v>0</v>
      </c>
      <c r="D220" s="592"/>
      <c r="E220" s="235">
        <f t="shared" ref="E220:E227" si="59">C220+D220</f>
        <v>0</v>
      </c>
      <c r="F220" s="456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'[6]Sch D'!E9</f>
        <v>0</v>
      </c>
      <c r="D221" s="592"/>
      <c r="E221" s="235">
        <f t="shared" si="59"/>
        <v>0</v>
      </c>
      <c r="F221" s="456"/>
      <c r="G221" s="235">
        <f t="shared" si="57"/>
        <v>0</v>
      </c>
      <c r="H221" s="172">
        <f t="shared" si="58"/>
        <v>0</v>
      </c>
      <c r="I221" s="336"/>
      <c r="J221" s="168"/>
      <c r="K221" s="168"/>
    </row>
    <row r="222" spans="1:17">
      <c r="A222" s="163"/>
      <c r="B222" s="202" t="s">
        <v>334</v>
      </c>
      <c r="C222" s="592">
        <f>'[6]Sch D'!F9</f>
        <v>0</v>
      </c>
      <c r="D222" s="592"/>
      <c r="E222" s="235">
        <f>C222+D222</f>
        <v>0</v>
      </c>
      <c r="F222" s="456"/>
      <c r="G222" s="235">
        <f>E222+F222</f>
        <v>0</v>
      </c>
      <c r="H222" s="172">
        <f t="shared" si="58"/>
        <v>0</v>
      </c>
      <c r="I222" s="336"/>
      <c r="J222" s="168"/>
      <c r="K222" s="168"/>
    </row>
    <row r="223" spans="1:17">
      <c r="A223" s="163"/>
      <c r="B223" s="170" t="s">
        <v>73</v>
      </c>
      <c r="C223" s="592">
        <f>'[6]Sch D'!G9</f>
        <v>0</v>
      </c>
      <c r="D223" s="592"/>
      <c r="E223" s="235">
        <f t="shared" si="59"/>
        <v>0</v>
      </c>
      <c r="F223" s="456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'[6]Sch D'!H9</f>
        <v>4072</v>
      </c>
      <c r="D224" s="592"/>
      <c r="E224" s="235">
        <f t="shared" si="59"/>
        <v>4072</v>
      </c>
      <c r="F224" s="456"/>
      <c r="G224" s="235">
        <f t="shared" si="57"/>
        <v>4072</v>
      </c>
      <c r="H224" s="172">
        <f t="shared" si="58"/>
        <v>0.33508887425938116</v>
      </c>
      <c r="I224" s="336"/>
      <c r="J224" s="168"/>
      <c r="K224" s="168"/>
    </row>
    <row r="225" spans="1:11">
      <c r="A225" s="163"/>
      <c r="B225" s="170" t="s">
        <v>236</v>
      </c>
      <c r="C225" s="592">
        <f>'[6]Sch D'!I9</f>
        <v>61</v>
      </c>
      <c r="D225" s="592"/>
      <c r="E225" s="235">
        <f t="shared" si="59"/>
        <v>61</v>
      </c>
      <c r="F225" s="456"/>
      <c r="G225" s="235">
        <f t="shared" si="57"/>
        <v>61</v>
      </c>
      <c r="H225" s="172">
        <f t="shared" si="58"/>
        <v>5.0197498354180381E-3</v>
      </c>
      <c r="I225" s="336"/>
      <c r="J225" s="168"/>
      <c r="K225" s="168"/>
    </row>
    <row r="226" spans="1:11">
      <c r="A226" s="163"/>
      <c r="B226" s="170" t="s">
        <v>441</v>
      </c>
      <c r="C226" s="592">
        <f>'[6]Sch D'!J9</f>
        <v>0</v>
      </c>
      <c r="D226" s="592"/>
      <c r="E226" s="235">
        <f>C226+D226</f>
        <v>0</v>
      </c>
      <c r="F226" s="456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'[6]Sch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12152</v>
      </c>
      <c r="D228" s="592">
        <f>SUM(D219:D227)</f>
        <v>0</v>
      </c>
      <c r="E228" s="237">
        <f>SUM(E219:E227)</f>
        <v>12152</v>
      </c>
      <c r="F228" s="237">
        <f>SUM(F219:F227)</f>
        <v>0</v>
      </c>
      <c r="G228" s="237">
        <f>SUM(G219:G227)</f>
        <v>12152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'[6]Sch D'!N22</f>
        <v>36</v>
      </c>
      <c r="D231" s="559"/>
      <c r="E231" s="235">
        <f>C231+D231</f>
        <v>36</v>
      </c>
      <c r="F231" s="235"/>
      <c r="G231" s="235">
        <f>E231+F231</f>
        <v>36</v>
      </c>
      <c r="H231" s="167"/>
      <c r="J231" s="168"/>
      <c r="K231" s="168"/>
    </row>
    <row r="232" spans="1:11">
      <c r="A232" s="163"/>
      <c r="B232" s="202" t="s">
        <v>290</v>
      </c>
      <c r="C232" s="593">
        <f>'[6]Sch D'!N24</f>
        <v>36</v>
      </c>
      <c r="D232" s="559"/>
      <c r="E232" s="235">
        <f>C232+D232</f>
        <v>36</v>
      </c>
      <c r="F232" s="235"/>
      <c r="G232" s="235">
        <f>E232+F232</f>
        <v>36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'[6]Sch D'!N28</f>
        <v>13176</v>
      </c>
      <c r="D235" s="483"/>
      <c r="E235" s="234">
        <f>E231*E233</f>
        <v>13176</v>
      </c>
      <c r="F235" s="239"/>
      <c r="G235" s="234">
        <f>G231*G233</f>
        <v>13176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'[6]Sch D'!N30</f>
        <v>0.92228293867638134</v>
      </c>
      <c r="D236" s="239"/>
      <c r="E236" s="244">
        <f>E228/E235</f>
        <v>0.92228293867638134</v>
      </c>
      <c r="F236" s="245"/>
      <c r="G236" s="244">
        <f>G228/G235</f>
        <v>0.92228293867638134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'[6]Sch D'!N32</f>
        <v>0.60860655737704916</v>
      </c>
      <c r="D237" s="239"/>
      <c r="E237" s="244">
        <f>(E219+E220)/E235</f>
        <v>0.60860655737704916</v>
      </c>
      <c r="F237" s="245"/>
      <c r="G237" s="244">
        <f>(G219+G220)/G235</f>
        <v>0.60860655737704916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'[6]Sch D'!N34</f>
        <v>0.65989137590520075</v>
      </c>
      <c r="D238" s="239"/>
      <c r="E238" s="244">
        <f>(E237/E236)</f>
        <v>0.65989137590520075</v>
      </c>
      <c r="F238" s="245"/>
      <c r="G238" s="244">
        <f>(G237/G236)</f>
        <v>0.65989137590520075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'[6]Sch B'!C85</f>
        <v>212.63923444976078</v>
      </c>
    </row>
    <row r="242" spans="2:7">
      <c r="F242" s="142" t="s">
        <v>341</v>
      </c>
      <c r="G242" s="558">
        <f>'[6]Sch B'!E85</f>
        <v>218.09206660137122</v>
      </c>
    </row>
    <row r="243" spans="2:7">
      <c r="F243" s="142" t="s">
        <v>342</v>
      </c>
      <c r="G243" s="558">
        <f>'[6]Sch B'!G85</f>
        <v>217.91578947368421</v>
      </c>
    </row>
    <row r="244" spans="2:7">
      <c r="F244" s="142" t="s">
        <v>343</v>
      </c>
      <c r="G244" s="558">
        <f>'[6]Sch B'!I85</f>
        <v>220</v>
      </c>
    </row>
    <row r="245" spans="2:7">
      <c r="F245" s="142"/>
    </row>
    <row r="246" spans="2:7">
      <c r="B246" s="454" t="s">
        <v>386</v>
      </c>
    </row>
    <row r="247" spans="2:7">
      <c r="B247"/>
    </row>
    <row r="248" spans="2:7">
      <c r="B248"/>
    </row>
    <row r="249" spans="2:7">
      <c r="B249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1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522</v>
      </c>
      <c r="D2" s="144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/>
    </row>
    <row r="4" spans="1:17">
      <c r="A4" s="145"/>
      <c r="B4" s="148" t="s">
        <v>80</v>
      </c>
      <c r="C4" s="489">
        <v>42551</v>
      </c>
      <c r="D4" s="144"/>
      <c r="E4" s="149"/>
      <c r="F4"/>
      <c r="G4" s="150"/>
    </row>
    <row r="5" spans="1:17">
      <c r="A5" s="145"/>
      <c r="B5" s="148"/>
      <c r="C5" s="151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51" t="s">
        <v>719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'[58]Sch B'!E10</f>
        <v>1746682.2399999998</v>
      </c>
      <c r="D11" s="558">
        <f>'[58]Sch B'!G10</f>
        <v>0</v>
      </c>
      <c r="E11" s="171">
        <f>C11+D11</f>
        <v>1746682.2399999998</v>
      </c>
      <c r="F11" s="752">
        <v>758292</v>
      </c>
      <c r="G11" s="171">
        <f t="shared" ref="G11:G20" si="0">E11+F11</f>
        <v>2504974.2399999998</v>
      </c>
      <c r="H11" s="172">
        <f t="shared" ref="H11:H21" si="1">IF($G$21=0,0,G11/$G$21)</f>
        <v>0.37028858893897348</v>
      </c>
      <c r="I11" s="555" t="s">
        <v>718</v>
      </c>
      <c r="J11" s="368" t="s">
        <v>344</v>
      </c>
      <c r="K11" s="369">
        <f>G21</f>
        <v>6764924.209999999</v>
      </c>
      <c r="M11" s="359">
        <f>IFERROR(G11/G219,0)</f>
        <v>232.89087393082929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'[58]Sch B'!E15</f>
        <v>0</v>
      </c>
      <c r="D12" s="558">
        <f>'[58]Sch B'!G15</f>
        <v>0</v>
      </c>
      <c r="E12" s="171">
        <f t="shared" ref="E12:E20" si="2">C12+D12</f>
        <v>0</v>
      </c>
      <c r="F12" s="484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6073944.2700000033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'[58]Sch B'!E21</f>
        <v>2066258.2999999998</v>
      </c>
      <c r="D13" s="558">
        <f>'[58]Sch B'!G21</f>
        <v>0</v>
      </c>
      <c r="E13" s="171">
        <f t="shared" si="2"/>
        <v>2066258.2999999998</v>
      </c>
      <c r="F13" s="484"/>
      <c r="G13" s="171">
        <f t="shared" si="0"/>
        <v>2066258.2999999998</v>
      </c>
      <c r="H13" s="172">
        <f t="shared" si="1"/>
        <v>0.30543702129665101</v>
      </c>
      <c r="I13" s="336"/>
      <c r="J13" s="370" t="s">
        <v>346</v>
      </c>
      <c r="K13" s="371">
        <f>G228</f>
        <v>24539</v>
      </c>
      <c r="M13" s="359">
        <f t="shared" si="3"/>
        <v>490.21549228944241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'[58]Sch B'!E27</f>
        <v>443041.81999999995</v>
      </c>
      <c r="D14" s="558">
        <f>'[58]Sch B'!G27</f>
        <v>0</v>
      </c>
      <c r="E14" s="171">
        <f t="shared" si="2"/>
        <v>443041.81999999995</v>
      </c>
      <c r="F14" s="484"/>
      <c r="G14" s="175">
        <f>E14+F14</f>
        <v>443041.81999999995</v>
      </c>
      <c r="H14" s="176">
        <f t="shared" si="1"/>
        <v>6.5491024917188251E-2</v>
      </c>
      <c r="I14" s="337"/>
      <c r="J14" s="370" t="s">
        <v>347</v>
      </c>
      <c r="K14" s="371">
        <f>G231</f>
        <v>122</v>
      </c>
      <c r="M14" s="359">
        <f t="shared" si="3"/>
        <v>319.88579061371837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'[58]Sch B'!E32</f>
        <v>0</v>
      </c>
      <c r="D15" s="558">
        <f>'[58]Sch B'!G32</f>
        <v>0</v>
      </c>
      <c r="E15" s="171">
        <f t="shared" si="2"/>
        <v>0</v>
      </c>
      <c r="F15" s="484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44652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'[58]Sch B'!E37</f>
        <v>906514.14</v>
      </c>
      <c r="D16" s="558">
        <f>'[58]Sch B'!G37</f>
        <v>0</v>
      </c>
      <c r="E16" s="171">
        <f t="shared" si="2"/>
        <v>906514.14</v>
      </c>
      <c r="F16" s="484"/>
      <c r="G16" s="171">
        <f t="shared" si="0"/>
        <v>906514.14</v>
      </c>
      <c r="H16" s="172">
        <f t="shared" si="1"/>
        <v>0.13400211323283992</v>
      </c>
      <c r="I16" s="336"/>
      <c r="J16" s="372"/>
      <c r="K16" s="371"/>
      <c r="M16" s="359">
        <f t="shared" si="3"/>
        <v>226.06337655860349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'[58]Sch B'!E42</f>
        <v>0</v>
      </c>
      <c r="D17" s="558">
        <f>'[58]Sch B'!G42</f>
        <v>295003</v>
      </c>
      <c r="E17" s="171">
        <f t="shared" si="2"/>
        <v>295003</v>
      </c>
      <c r="F17" s="484"/>
      <c r="G17" s="171">
        <f>E17+F17</f>
        <v>295003</v>
      </c>
      <c r="H17" s="172">
        <f t="shared" si="1"/>
        <v>4.3607731711749663E-2</v>
      </c>
      <c r="I17" s="336"/>
      <c r="J17" s="370" t="s">
        <v>156</v>
      </c>
      <c r="K17" s="371">
        <f>J208</f>
        <v>141834.81</v>
      </c>
      <c r="M17" s="359">
        <f t="shared" si="3"/>
        <v>187.9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'[58]Sch B'!E47</f>
        <v>776169.79</v>
      </c>
      <c r="D18" s="558">
        <f>'[58]Sch B'!G47</f>
        <v>-295003</v>
      </c>
      <c r="E18" s="171">
        <f t="shared" si="2"/>
        <v>481166.79000000004</v>
      </c>
      <c r="F18" s="484"/>
      <c r="G18" s="171">
        <f>E18+F18</f>
        <v>481166.79000000004</v>
      </c>
      <c r="H18" s="172">
        <f t="shared" si="1"/>
        <v>7.1126708158641749E-2</v>
      </c>
      <c r="I18" s="336"/>
      <c r="J18" s="373" t="s">
        <v>252</v>
      </c>
      <c r="K18" s="374">
        <f>K208</f>
        <v>152268.07</v>
      </c>
      <c r="M18" s="359">
        <f t="shared" si="3"/>
        <v>184.8508605455244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'[58]Sch B'!E52</f>
        <v>0</v>
      </c>
      <c r="D19" s="558">
        <f>'[58]Sch B'!G52</f>
        <v>0</v>
      </c>
      <c r="E19" s="171">
        <f t="shared" si="2"/>
        <v>0</v>
      </c>
      <c r="F19" s="484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'[58]Sch B'!E67</f>
        <v>42104.210000000006</v>
      </c>
      <c r="D20" s="558">
        <f>'[58]Sch B'!G67</f>
        <v>25861.71</v>
      </c>
      <c r="E20" s="171">
        <f t="shared" si="2"/>
        <v>67965.920000000013</v>
      </c>
      <c r="F20" s="484"/>
      <c r="G20" s="171">
        <f t="shared" si="0"/>
        <v>67965.920000000013</v>
      </c>
      <c r="H20" s="172">
        <f t="shared" si="1"/>
        <v>1.0046811743955964E-2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5980770.4999999991</v>
      </c>
      <c r="D21" s="558">
        <f>SUM(D11:D20)</f>
        <v>25861.71</v>
      </c>
      <c r="E21" s="171">
        <f>SUM(E11:E20)</f>
        <v>6006632.209999999</v>
      </c>
      <c r="F21" s="171">
        <f>SUM(F11:F20)</f>
        <v>758292</v>
      </c>
      <c r="G21" s="171">
        <f>SUM(G11:G20)</f>
        <v>6764924.209999999</v>
      </c>
      <c r="H21" s="172">
        <f t="shared" si="1"/>
        <v>1</v>
      </c>
      <c r="I21" s="336"/>
      <c r="J21" s="168"/>
      <c r="K21" s="168"/>
      <c r="M21" s="359">
        <f>IFERROR(G21/G228,0)</f>
        <v>275.6805171359876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'[58]Sch C'!D10</f>
        <v>0</v>
      </c>
      <c r="D25" s="558">
        <f>'[58]Sch C'!F10</f>
        <v>106601.39</v>
      </c>
      <c r="E25" s="171">
        <f t="shared" ref="E25:E60" si="4">C25+D25</f>
        <v>106601.39</v>
      </c>
      <c r="F25" s="484"/>
      <c r="G25" s="182">
        <f>E25+F25</f>
        <v>106601.39</v>
      </c>
      <c r="H25" s="172">
        <f>IF($G$208=0,0,G25/$G$208)</f>
        <v>1.7550603901079247E-2</v>
      </c>
      <c r="I25" s="336"/>
      <c r="J25" s="183">
        <v>0</v>
      </c>
      <c r="K25" s="183">
        <v>0</v>
      </c>
      <c r="M25" s="359">
        <f>G25/G$228</f>
        <v>4.3441619462895797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'[58]Sch C'!D11</f>
        <v>0</v>
      </c>
      <c r="D26" s="558">
        <f>'[58]Sch C'!F11</f>
        <v>0</v>
      </c>
      <c r="E26" s="171">
        <f t="shared" si="4"/>
        <v>0</v>
      </c>
      <c r="F26" s="484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'[58]Sch C'!D12</f>
        <v>157755.43</v>
      </c>
      <c r="D27" s="558">
        <f>'[58]Sch C'!F12</f>
        <v>0</v>
      </c>
      <c r="E27" s="171">
        <f t="shared" si="4"/>
        <v>157755.43</v>
      </c>
      <c r="F27" s="484"/>
      <c r="G27" s="171">
        <f t="shared" si="5"/>
        <v>157755.43</v>
      </c>
      <c r="H27" s="172">
        <f t="shared" si="6"/>
        <v>2.5972485585548499E-2</v>
      </c>
      <c r="I27" s="336"/>
      <c r="J27" s="185">
        <v>7919.67</v>
      </c>
      <c r="K27" s="185">
        <v>8718.33</v>
      </c>
      <c r="M27" s="359">
        <f t="shared" si="7"/>
        <v>6.4287636007987281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'[58]Sch C'!D13</f>
        <v>46685.13</v>
      </c>
      <c r="D28" s="558">
        <f>'[58]Sch C'!F13</f>
        <v>12252.14</v>
      </c>
      <c r="E28" s="171">
        <f t="shared" si="4"/>
        <v>58937.27</v>
      </c>
      <c r="F28" s="484"/>
      <c r="G28" s="171">
        <f t="shared" si="5"/>
        <v>58937.27</v>
      </c>
      <c r="H28" s="172">
        <f t="shared" si="6"/>
        <v>9.7032944953246939E-3</v>
      </c>
      <c r="I28" s="336"/>
      <c r="J28" s="168"/>
      <c r="K28" s="168"/>
      <c r="M28" s="359">
        <f t="shared" si="7"/>
        <v>2.4017796161212761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'[58]Sch C'!D14</f>
        <v>27.76</v>
      </c>
      <c r="D29" s="558">
        <f>'[58]Sch C'!F14</f>
        <v>0</v>
      </c>
      <c r="E29" s="171">
        <f t="shared" si="4"/>
        <v>27.76</v>
      </c>
      <c r="F29" s="484"/>
      <c r="G29" s="171">
        <f t="shared" si="5"/>
        <v>27.76</v>
      </c>
      <c r="H29" s="172">
        <f t="shared" si="6"/>
        <v>4.5703415714744429E-6</v>
      </c>
      <c r="I29" s="336"/>
      <c r="J29" s="168"/>
      <c r="K29" s="168"/>
      <c r="M29" s="359">
        <f t="shared" si="7"/>
        <v>1.1312604425608216E-3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'[58]Sch C'!D15</f>
        <v>0</v>
      </c>
      <c r="D30" s="558">
        <f>'[58]Sch C'!F15</f>
        <v>0</v>
      </c>
      <c r="E30" s="171">
        <f t="shared" si="4"/>
        <v>0</v>
      </c>
      <c r="F30" s="484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'[58]Sch C'!D16</f>
        <v>331473</v>
      </c>
      <c r="D31" s="558">
        <f>'[58]Sch C'!F16</f>
        <v>-119264</v>
      </c>
      <c r="E31" s="171">
        <f t="shared" si="4"/>
        <v>212209</v>
      </c>
      <c r="F31" s="484"/>
      <c r="G31" s="171">
        <f t="shared" si="5"/>
        <v>212209</v>
      </c>
      <c r="H31" s="172">
        <f t="shared" si="6"/>
        <v>3.493759418375432E-2</v>
      </c>
      <c r="I31" s="336"/>
      <c r="J31" s="168"/>
      <c r="K31" s="168"/>
      <c r="M31" s="359">
        <f t="shared" si="7"/>
        <v>8.6478259097762749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'[58]Sch C'!D17</f>
        <v>23476.42</v>
      </c>
      <c r="D32" s="558">
        <f>'[58]Sch C'!F17</f>
        <v>-23476.42</v>
      </c>
      <c r="E32" s="171">
        <f t="shared" si="4"/>
        <v>0</v>
      </c>
      <c r="F32" s="484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'[58]Sch C'!D18</f>
        <v>17282.55</v>
      </c>
      <c r="D33" s="558">
        <f>'[58]Sch C'!F18</f>
        <v>0</v>
      </c>
      <c r="E33" s="171">
        <f t="shared" si="4"/>
        <v>17282.55</v>
      </c>
      <c r="F33" s="484"/>
      <c r="G33" s="171">
        <f t="shared" si="5"/>
        <v>17282.55</v>
      </c>
      <c r="H33" s="172">
        <f t="shared" si="6"/>
        <v>2.8453586716889632E-3</v>
      </c>
      <c r="I33" s="336"/>
      <c r="J33" s="168"/>
      <c r="K33" s="168"/>
      <c r="M33" s="359">
        <f t="shared" si="7"/>
        <v>0.70428909083499736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'[58]Sch C'!D19</f>
        <v>33894.82</v>
      </c>
      <c r="D34" s="558">
        <f>'[58]Sch C'!F19</f>
        <v>0</v>
      </c>
      <c r="E34" s="171">
        <f t="shared" si="4"/>
        <v>33894.82</v>
      </c>
      <c r="F34" s="484"/>
      <c r="G34" s="171">
        <f t="shared" si="5"/>
        <v>33894.82</v>
      </c>
      <c r="H34" s="172">
        <f t="shared" si="6"/>
        <v>5.5803640094972389E-3</v>
      </c>
      <c r="I34" s="336"/>
      <c r="J34" s="168"/>
      <c r="K34" s="168"/>
      <c r="M34" s="359">
        <f t="shared" si="7"/>
        <v>1.3812632951628021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'[58]Sch C'!D20</f>
        <v>11186.12</v>
      </c>
      <c r="D35" s="558">
        <f>'[58]Sch C'!F20</f>
        <v>0</v>
      </c>
      <c r="E35" s="171">
        <f t="shared" si="4"/>
        <v>11186.12</v>
      </c>
      <c r="F35" s="484"/>
      <c r="G35" s="171">
        <f t="shared" si="5"/>
        <v>11186.12</v>
      </c>
      <c r="H35" s="172">
        <f t="shared" si="6"/>
        <v>1.8416566736131734E-3</v>
      </c>
      <c r="I35" s="336"/>
      <c r="J35" s="168"/>
      <c r="K35" s="168"/>
      <c r="M35" s="359">
        <f t="shared" si="7"/>
        <v>0.4558506866620482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'[58]Sch C'!D21</f>
        <v>40485</v>
      </c>
      <c r="D36" s="558">
        <f>'[58]Sch C'!F21</f>
        <v>0</v>
      </c>
      <c r="E36" s="171">
        <f t="shared" si="4"/>
        <v>40485</v>
      </c>
      <c r="F36" s="484"/>
      <c r="G36" s="171">
        <f t="shared" si="5"/>
        <v>40485</v>
      </c>
      <c r="H36" s="172">
        <f t="shared" si="6"/>
        <v>6.6653558545080264E-3</v>
      </c>
      <c r="I36" s="336"/>
      <c r="J36" s="168"/>
      <c r="K36" s="168"/>
      <c r="M36" s="359">
        <f t="shared" si="7"/>
        <v>1.649822731162639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'[58]Sch C'!D22</f>
        <v>0</v>
      </c>
      <c r="D37" s="558">
        <f>'[58]Sch C'!F22</f>
        <v>0</v>
      </c>
      <c r="E37" s="171">
        <f t="shared" si="4"/>
        <v>0</v>
      </c>
      <c r="F37" s="484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'[58]Sch C'!D23</f>
        <v>15052.13</v>
      </c>
      <c r="D38" s="558">
        <f>'[58]Sch C'!F23</f>
        <v>0</v>
      </c>
      <c r="E38" s="171">
        <f t="shared" si="4"/>
        <v>15052.13</v>
      </c>
      <c r="F38" s="484"/>
      <c r="G38" s="171">
        <f t="shared" si="5"/>
        <v>15052.13</v>
      </c>
      <c r="H38" s="172">
        <f t="shared" si="6"/>
        <v>2.478147531636801E-3</v>
      </c>
      <c r="I38" s="336"/>
      <c r="J38" s="168"/>
      <c r="K38" s="168"/>
      <c r="M38" s="359">
        <f t="shared" si="7"/>
        <v>0.61339622641509428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'[58]Sch C'!D24</f>
        <v>34313.800000000003</v>
      </c>
      <c r="D39" s="558">
        <f>'[58]Sch C'!F24</f>
        <v>26062.69</v>
      </c>
      <c r="E39" s="171">
        <f t="shared" si="4"/>
        <v>60376.490000000005</v>
      </c>
      <c r="F39" s="484"/>
      <c r="G39" s="171">
        <f t="shared" si="5"/>
        <v>60376.490000000005</v>
      </c>
      <c r="H39" s="172">
        <f t="shared" si="6"/>
        <v>9.9402443150832485E-3</v>
      </c>
      <c r="I39" s="336"/>
      <c r="J39" s="168"/>
      <c r="K39" s="168"/>
      <c r="M39" s="359">
        <f t="shared" si="7"/>
        <v>2.4604299278699218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'[58]Sch C'!D25</f>
        <v>0</v>
      </c>
      <c r="D40" s="558">
        <f>'[58]Sch C'!F25</f>
        <v>0</v>
      </c>
      <c r="E40" s="171">
        <f t="shared" si="4"/>
        <v>0</v>
      </c>
      <c r="F40" s="484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'[58]Sch C'!D26</f>
        <v>345808.32</v>
      </c>
      <c r="D41" s="558">
        <f>'[58]Sch C'!F26</f>
        <v>0</v>
      </c>
      <c r="E41" s="171">
        <f t="shared" si="4"/>
        <v>345808.32</v>
      </c>
      <c r="F41" s="484"/>
      <c r="G41" s="171">
        <f t="shared" si="5"/>
        <v>345808.32</v>
      </c>
      <c r="H41" s="172">
        <f t="shared" si="6"/>
        <v>5.6933074231186487E-2</v>
      </c>
      <c r="I41" s="336"/>
      <c r="J41" s="168"/>
      <c r="K41" s="168"/>
      <c r="M41" s="359">
        <f t="shared" si="7"/>
        <v>14.092192835893883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'[58]Sch C'!D27</f>
        <v>59491.26</v>
      </c>
      <c r="D42" s="558">
        <f>'[58]Sch C'!F27</f>
        <v>25861.71</v>
      </c>
      <c r="E42" s="171">
        <f t="shared" si="4"/>
        <v>85352.97</v>
      </c>
      <c r="F42" s="484"/>
      <c r="G42" s="171">
        <f t="shared" si="5"/>
        <v>85352.97</v>
      </c>
      <c r="H42" s="172">
        <f t="shared" si="6"/>
        <v>1.4052313654171865E-2</v>
      </c>
      <c r="I42" s="336"/>
      <c r="J42" s="168"/>
      <c r="K42" s="168"/>
      <c r="M42" s="359">
        <f t="shared" si="7"/>
        <v>3.4782578752190392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'[58]Sch C'!D28</f>
        <v>0</v>
      </c>
      <c r="D43" s="558">
        <f>'[58]Sch C'!F28</f>
        <v>0</v>
      </c>
      <c r="E43" s="171">
        <f t="shared" si="4"/>
        <v>0</v>
      </c>
      <c r="F43" s="484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'[58]Sch C'!D29</f>
        <v>109391.8</v>
      </c>
      <c r="D44" s="558">
        <f>'[58]Sch C'!F29</f>
        <v>-109391.8</v>
      </c>
      <c r="E44" s="171">
        <f t="shared" si="4"/>
        <v>0</v>
      </c>
      <c r="F44" s="484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'[58]Sch C'!D30</f>
        <v>0</v>
      </c>
      <c r="D45" s="558">
        <f>'[58]Sch C'!F30</f>
        <v>0</v>
      </c>
      <c r="E45" s="171">
        <f t="shared" si="4"/>
        <v>0</v>
      </c>
      <c r="F45" s="484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'[58]Sch C'!D31</f>
        <v>2431.4299999999998</v>
      </c>
      <c r="D46" s="558">
        <f>'[58]Sch C'!F31</f>
        <v>0</v>
      </c>
      <c r="E46" s="171">
        <f t="shared" si="4"/>
        <v>2431.4299999999998</v>
      </c>
      <c r="F46" s="484"/>
      <c r="G46" s="171">
        <f t="shared" si="5"/>
        <v>2431.4299999999998</v>
      </c>
      <c r="H46" s="172">
        <f t="shared" si="6"/>
        <v>4.0030495702918239E-4</v>
      </c>
      <c r="I46" s="336"/>
      <c r="J46" s="168"/>
      <c r="K46" s="168"/>
      <c r="M46" s="359">
        <f t="shared" si="7"/>
        <v>9.908431476425282E-2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'[58]Sch C'!D32</f>
        <v>0</v>
      </c>
      <c r="D47" s="558">
        <f>'[58]Sch C'!F32</f>
        <v>9519.18</v>
      </c>
      <c r="E47" s="171">
        <f t="shared" si="4"/>
        <v>9519.18</v>
      </c>
      <c r="F47" s="484"/>
      <c r="G47" s="171">
        <f t="shared" si="5"/>
        <v>9519.18</v>
      </c>
      <c r="H47" s="172">
        <f t="shared" si="6"/>
        <v>1.5672155648540375E-3</v>
      </c>
      <c r="I47" s="336"/>
      <c r="J47" s="168"/>
      <c r="K47" s="168"/>
      <c r="M47" s="359">
        <f t="shared" si="7"/>
        <v>0.38792045315620033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'[58]Sch C'!D33</f>
        <v>-0.04</v>
      </c>
      <c r="D48" s="558">
        <f>'[58]Sch C'!F33</f>
        <v>0.04</v>
      </c>
      <c r="E48" s="171">
        <f t="shared" si="4"/>
        <v>0</v>
      </c>
      <c r="F48" s="484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'[58]Sch C'!D34</f>
        <v>0</v>
      </c>
      <c r="D49" s="558">
        <f>'[58]Sch C'!F34</f>
        <v>0</v>
      </c>
      <c r="E49" s="171">
        <f t="shared" si="4"/>
        <v>0</v>
      </c>
      <c r="F49" s="484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'[58]Sch C'!D35</f>
        <v>5299.64</v>
      </c>
      <c r="D50" s="558">
        <f>'[58]Sch C'!F35</f>
        <v>-5299.64</v>
      </c>
      <c r="E50" s="171">
        <f t="shared" si="4"/>
        <v>0</v>
      </c>
      <c r="F50" s="484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'[58]Sch C'!D36</f>
        <v>0</v>
      </c>
      <c r="D51" s="558">
        <f>'[58]Sch C'!F36</f>
        <v>0</v>
      </c>
      <c r="E51" s="171">
        <f t="shared" si="4"/>
        <v>0</v>
      </c>
      <c r="F51" s="484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'[58]Sch C'!D37</f>
        <v>0</v>
      </c>
      <c r="D52" s="558">
        <f>'[58]Sch C'!F37</f>
        <v>0</v>
      </c>
      <c r="E52" s="171">
        <f t="shared" si="4"/>
        <v>0</v>
      </c>
      <c r="F52" s="484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'[58]Sch C'!D38</f>
        <v>6.39</v>
      </c>
      <c r="D53" s="558">
        <f>'[58]Sch C'!F38</f>
        <v>0</v>
      </c>
      <c r="E53" s="171">
        <f t="shared" si="4"/>
        <v>6.39</v>
      </c>
      <c r="F53" s="484"/>
      <c r="G53" s="171">
        <f t="shared" si="5"/>
        <v>6.39</v>
      </c>
      <c r="H53" s="172">
        <f t="shared" si="6"/>
        <v>1.0520346772954497E-6</v>
      </c>
      <c r="I53" s="336"/>
      <c r="J53" s="168"/>
      <c r="K53" s="168"/>
      <c r="M53" s="359">
        <f t="shared" si="7"/>
        <v>2.6040180936468476E-4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'[58]Sch C'!D39</f>
        <v>435.39</v>
      </c>
      <c r="D54" s="558">
        <f>'[58]Sch C'!F39</f>
        <v>0</v>
      </c>
      <c r="E54" s="171">
        <f t="shared" si="4"/>
        <v>435.39</v>
      </c>
      <c r="F54" s="484"/>
      <c r="G54" s="171">
        <f t="shared" si="5"/>
        <v>435.39</v>
      </c>
      <c r="H54" s="172">
        <f t="shared" si="6"/>
        <v>7.1681592824360857E-5</v>
      </c>
      <c r="I54" s="336"/>
      <c r="J54" s="168"/>
      <c r="K54" s="168"/>
      <c r="M54" s="359">
        <f t="shared" si="7"/>
        <v>1.7742776804270752E-2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'[58]Sch C'!D40</f>
        <v>41755.81</v>
      </c>
      <c r="D55" s="558">
        <f>'[58]Sch C'!F40</f>
        <v>0</v>
      </c>
      <c r="E55" s="171">
        <f t="shared" si="4"/>
        <v>41755.81</v>
      </c>
      <c r="F55" s="484"/>
      <c r="G55" s="171">
        <f t="shared" si="5"/>
        <v>41755.81</v>
      </c>
      <c r="H55" s="172">
        <f t="shared" si="6"/>
        <v>6.8745790451580774E-3</v>
      </c>
      <c r="I55" s="336"/>
      <c r="J55" s="168"/>
      <c r="K55" s="168"/>
      <c r="M55" s="359">
        <f t="shared" si="7"/>
        <v>1.7016100900607196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'[58]Sch C'!D41</f>
        <v>61289.06</v>
      </c>
      <c r="D56" s="558">
        <f>'[58]Sch C'!F41</f>
        <v>-5985.95</v>
      </c>
      <c r="E56" s="171">
        <f t="shared" si="4"/>
        <v>55303.11</v>
      </c>
      <c r="F56" s="484"/>
      <c r="G56" s="171">
        <f t="shared" si="5"/>
        <v>55303.11</v>
      </c>
      <c r="H56" s="172">
        <f t="shared" si="6"/>
        <v>9.1049748798567708E-3</v>
      </c>
      <c r="I56" s="336"/>
      <c r="J56" s="168"/>
      <c r="K56" s="168"/>
      <c r="M56" s="359">
        <f t="shared" si="7"/>
        <v>2.2536823016422836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'[58]Sch C'!D42</f>
        <v>1124.45</v>
      </c>
      <c r="D57" s="558">
        <f>'[58]Sch C'!F42</f>
        <v>0</v>
      </c>
      <c r="E57" s="171">
        <f t="shared" si="4"/>
        <v>1124.45</v>
      </c>
      <c r="F57" s="484"/>
      <c r="G57" s="171">
        <f t="shared" si="5"/>
        <v>1124.45</v>
      </c>
      <c r="H57" s="172">
        <f t="shared" si="6"/>
        <v>1.8512682204771026E-4</v>
      </c>
      <c r="I57" s="336"/>
      <c r="J57" s="168"/>
      <c r="K57" s="168"/>
      <c r="M57" s="359">
        <f t="shared" si="7"/>
        <v>4.5822975671380252E-2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'[58]Sch C'!D43</f>
        <v>0</v>
      </c>
      <c r="D58" s="558">
        <f>'[58]Sch C'!F43</f>
        <v>0</v>
      </c>
      <c r="E58" s="171">
        <f t="shared" si="4"/>
        <v>0</v>
      </c>
      <c r="F58" s="484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'[58]Sch C'!D44</f>
        <v>0</v>
      </c>
      <c r="D59" s="558">
        <f>'[58]Sch C'!F44</f>
        <v>0</v>
      </c>
      <c r="E59" s="171">
        <f t="shared" si="4"/>
        <v>0</v>
      </c>
      <c r="F59" s="484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'[58]Sch C'!D45</f>
        <v>110619.92</v>
      </c>
      <c r="D60" s="558">
        <f>'[58]Sch C'!F45</f>
        <v>-118853.53</v>
      </c>
      <c r="E60" s="171">
        <f t="shared" si="4"/>
        <v>-8233.61</v>
      </c>
      <c r="F60" s="484"/>
      <c r="G60" s="171">
        <f t="shared" si="5"/>
        <v>-8233.61</v>
      </c>
      <c r="H60" s="172">
        <f t="shared" si="6"/>
        <v>-1.3555623222733315E-3</v>
      </c>
      <c r="I60" s="336"/>
      <c r="J60" s="168"/>
      <c r="K60" s="168"/>
      <c r="M60" s="359">
        <f t="shared" si="7"/>
        <v>-0.33553160275479849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1449285.5899999999</v>
      </c>
      <c r="D61" s="558">
        <f>SUM(D25:D60)</f>
        <v>-201974.19</v>
      </c>
      <c r="E61" s="171">
        <f t="shared" ref="E61:F61" si="8">SUM(E25:E60)</f>
        <v>1247311.3999999997</v>
      </c>
      <c r="F61" s="171">
        <f t="shared" si="8"/>
        <v>0</v>
      </c>
      <c r="G61" s="171">
        <f>SUM(G25:G60)</f>
        <v>1247311.3999999997</v>
      </c>
      <c r="H61" s="186">
        <f t="shared" si="6"/>
        <v>0.20535443602283809</v>
      </c>
      <c r="I61" s="338"/>
      <c r="J61" s="168"/>
      <c r="K61" s="168"/>
      <c r="M61" s="364">
        <f>G61/G$228</f>
        <v>50.829756713802503</v>
      </c>
      <c r="N61" s="359">
        <f>SUMMARY!J64</f>
        <v>53.728790309602623</v>
      </c>
      <c r="O61" s="354">
        <f>M61/N61-1</f>
        <v>-5.3956800052540776E-2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'[58]Sch C'!D57</f>
        <v>599040</v>
      </c>
      <c r="D64" s="558">
        <f>'[58]Sch C'!F57</f>
        <v>0</v>
      </c>
      <c r="E64" s="171">
        <f t="shared" ref="E64:E78" si="9">C64+D64</f>
        <v>599040</v>
      </c>
      <c r="F64" s="484"/>
      <c r="G64" s="171">
        <f t="shared" ref="G64:G78" si="10">E64+F64</f>
        <v>599040</v>
      </c>
      <c r="H64" s="172">
        <f t="shared" ref="H64:H79" si="11">IF($G$208=0,0,G64/$G$208)</f>
        <v>9.8624546648993158E-2</v>
      </c>
      <c r="I64" s="336"/>
      <c r="J64" s="190"/>
      <c r="K64" s="168"/>
      <c r="M64" s="359">
        <f t="shared" ref="M64:M79" si="12">G64/G$228</f>
        <v>24.411752720159747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'[58]Sch C'!D58</f>
        <v>17231.07</v>
      </c>
      <c r="D65" s="558">
        <f>'[58]Sch C'!F58</f>
        <v>0</v>
      </c>
      <c r="E65" s="171">
        <f t="shared" si="9"/>
        <v>17231.07</v>
      </c>
      <c r="F65" s="484"/>
      <c r="G65" s="171">
        <f t="shared" si="10"/>
        <v>17231.07</v>
      </c>
      <c r="H65" s="172">
        <f t="shared" si="11"/>
        <v>2.8368831247113156E-3</v>
      </c>
      <c r="I65" s="336"/>
      <c r="J65" s="190"/>
      <c r="K65" s="168"/>
      <c r="M65" s="359">
        <f t="shared" si="12"/>
        <v>0.70219120583560857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'[58]Sch C'!D59</f>
        <v>0</v>
      </c>
      <c r="D66" s="558">
        <f>'[58]Sch C'!F59</f>
        <v>0</v>
      </c>
      <c r="E66" s="171">
        <f t="shared" si="9"/>
        <v>0</v>
      </c>
      <c r="F66" s="484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'[58]Sch C'!D60</f>
        <v>63785.9</v>
      </c>
      <c r="D67" s="558">
        <f>'[58]Sch C'!F60</f>
        <v>0</v>
      </c>
      <c r="E67" s="171">
        <f t="shared" si="9"/>
        <v>63785.9</v>
      </c>
      <c r="F67" s="484"/>
      <c r="G67" s="171">
        <f t="shared" si="10"/>
        <v>63785.9</v>
      </c>
      <c r="H67" s="172">
        <f t="shared" si="11"/>
        <v>1.0501561615414684E-2</v>
      </c>
      <c r="I67" s="336"/>
      <c r="J67" s="193"/>
      <c r="K67" s="168"/>
      <c r="M67" s="359">
        <f t="shared" si="12"/>
        <v>2.5993683524185989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'[58]Sch C'!D61</f>
        <v>9519.18</v>
      </c>
      <c r="D68" s="558">
        <f>'[58]Sch C'!F61</f>
        <v>-9519.18</v>
      </c>
      <c r="E68" s="171">
        <f t="shared" si="9"/>
        <v>0</v>
      </c>
      <c r="F68" s="484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'[58]Sch C'!D62</f>
        <v>8513.5499999999993</v>
      </c>
      <c r="D69" s="558">
        <f>'[58]Sch C'!F62</f>
        <v>0</v>
      </c>
      <c r="E69" s="171">
        <f t="shared" si="9"/>
        <v>8513.5499999999993</v>
      </c>
      <c r="F69" s="484"/>
      <c r="G69" s="171">
        <f t="shared" si="10"/>
        <v>8513.5499999999993</v>
      </c>
      <c r="H69" s="172">
        <f t="shared" si="11"/>
        <v>1.4016509901234235E-3</v>
      </c>
      <c r="I69" s="336"/>
      <c r="J69" s="195"/>
      <c r="K69" s="168"/>
      <c r="M69" s="359">
        <f t="shared" si="12"/>
        <v>0.34693956558946981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'[58]Sch C'!D63</f>
        <v>0</v>
      </c>
      <c r="D70" s="558">
        <f>'[58]Sch C'!F63</f>
        <v>0</v>
      </c>
      <c r="E70" s="171">
        <f t="shared" si="9"/>
        <v>0</v>
      </c>
      <c r="F70" s="484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'[58]Sch C'!D64</f>
        <v>0</v>
      </c>
      <c r="D71" s="558">
        <f>'[58]Sch C'!F64</f>
        <v>0</v>
      </c>
      <c r="E71" s="171">
        <f t="shared" si="9"/>
        <v>0</v>
      </c>
      <c r="F71" s="484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'[58]Sch C'!D65</f>
        <v>263.60000000000002</v>
      </c>
      <c r="D72" s="558">
        <f>'[58]Sch C'!F65</f>
        <v>0</v>
      </c>
      <c r="E72" s="171">
        <f t="shared" si="9"/>
        <v>263.60000000000002</v>
      </c>
      <c r="F72" s="484"/>
      <c r="G72" s="171">
        <f t="shared" si="10"/>
        <v>263.60000000000002</v>
      </c>
      <c r="H72" s="172">
        <f t="shared" si="11"/>
        <v>4.3398488409245793E-5</v>
      </c>
      <c r="I72" s="336"/>
      <c r="J72" s="195"/>
      <c r="K72" s="168"/>
      <c r="M72" s="359">
        <f t="shared" si="12"/>
        <v>1.0742084029504056E-2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'[58]Sch C'!D66</f>
        <v>59708.88</v>
      </c>
      <c r="D73" s="558">
        <f>'[58]Sch C'!F66</f>
        <v>-31720.560000000001</v>
      </c>
      <c r="E73" s="171">
        <f t="shared" si="9"/>
        <v>27988.319999999996</v>
      </c>
      <c r="F73" s="484"/>
      <c r="G73" s="171">
        <f t="shared" si="10"/>
        <v>27988.319999999996</v>
      </c>
      <c r="H73" s="172">
        <f t="shared" si="11"/>
        <v>4.6079316430738312E-3</v>
      </c>
      <c r="I73" s="336"/>
      <c r="J73" s="195"/>
      <c r="K73" s="168"/>
      <c r="M73" s="359">
        <f t="shared" si="12"/>
        <v>1.140564815192143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'[58]Sch C'!D67</f>
        <v>20414.52</v>
      </c>
      <c r="D74" s="558">
        <f>'[58]Sch C'!F67</f>
        <v>0</v>
      </c>
      <c r="E74" s="171">
        <f t="shared" si="9"/>
        <v>20414.52</v>
      </c>
      <c r="F74" s="484"/>
      <c r="G74" s="171">
        <f t="shared" si="10"/>
        <v>20414.52</v>
      </c>
      <c r="H74" s="172">
        <f t="shared" si="11"/>
        <v>3.3609988983320043E-3</v>
      </c>
      <c r="I74" s="336"/>
      <c r="J74" s="195"/>
      <c r="K74" s="168"/>
      <c r="M74" s="359">
        <f t="shared" si="12"/>
        <v>0.83192143119116513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'[58]Sch C'!D68</f>
        <v>0</v>
      </c>
      <c r="D75" s="558">
        <f>'[58]Sch C'!F68</f>
        <v>0</v>
      </c>
      <c r="E75" s="171">
        <f t="shared" si="9"/>
        <v>0</v>
      </c>
      <c r="F75" s="484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'[58]Sch C'!D69</f>
        <v>1295.28</v>
      </c>
      <c r="D76" s="558">
        <f>'[58]Sch C'!F69</f>
        <v>0</v>
      </c>
      <c r="E76" s="171">
        <f t="shared" si="9"/>
        <v>1295.28</v>
      </c>
      <c r="F76" s="484"/>
      <c r="G76" s="171">
        <f t="shared" si="10"/>
        <v>1295.28</v>
      </c>
      <c r="H76" s="172">
        <f t="shared" si="11"/>
        <v>2.1325187430473399E-4</v>
      </c>
      <c r="I76" s="336"/>
      <c r="J76" s="195"/>
      <c r="K76" s="168"/>
      <c r="M76" s="359">
        <f t="shared" si="12"/>
        <v>5.2784547047556946E-2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'[58]Sch C'!D70</f>
        <v>0</v>
      </c>
      <c r="D77" s="558">
        <f>'[58]Sch C'!F70</f>
        <v>0</v>
      </c>
      <c r="E77" s="171">
        <f t="shared" si="9"/>
        <v>0</v>
      </c>
      <c r="F77" s="484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'[58]Sch C'!D71</f>
        <v>0</v>
      </c>
      <c r="D78" s="558">
        <f>'[58]Sch C'!F71</f>
        <v>0</v>
      </c>
      <c r="E78" s="171">
        <f t="shared" si="9"/>
        <v>0</v>
      </c>
      <c r="F78" s="484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779771.9800000001</v>
      </c>
      <c r="D79" s="558">
        <f>SUM(D64:D78)</f>
        <v>-41239.740000000005</v>
      </c>
      <c r="E79" s="171">
        <f t="shared" ref="E79:F79" si="13">SUM(E64:E78)</f>
        <v>738532.24</v>
      </c>
      <c r="F79" s="171">
        <f t="shared" si="13"/>
        <v>0</v>
      </c>
      <c r="G79" s="171">
        <f>SUM(G64:G78)</f>
        <v>738532.24</v>
      </c>
      <c r="H79" s="172">
        <f t="shared" si="11"/>
        <v>0.12159022328336239</v>
      </c>
      <c r="I79" s="336"/>
      <c r="J79" s="195"/>
      <c r="K79" s="168"/>
      <c r="M79" s="359">
        <f t="shared" si="12"/>
        <v>30.096264721463793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'[58]Sch C'!D75</f>
        <v>40941.230000000003</v>
      </c>
      <c r="D82" s="558">
        <f>'[58]Sch C'!F75</f>
        <v>0</v>
      </c>
      <c r="E82" s="171">
        <f t="shared" ref="E82:E92" si="14">C82+D82</f>
        <v>40941.230000000003</v>
      </c>
      <c r="F82" s="484"/>
      <c r="G82" s="171">
        <f t="shared" ref="G82:G92" si="15">E82+F82</f>
        <v>40941.230000000003</v>
      </c>
      <c r="H82" s="172">
        <f t="shared" ref="H82:H93" si="16">IF($G$208=0,0,G82/$G$208)</f>
        <v>6.7404684962642869E-3</v>
      </c>
      <c r="I82" s="336"/>
      <c r="J82" s="183">
        <v>2418.4</v>
      </c>
      <c r="K82" s="183">
        <v>2574.9699999999998</v>
      </c>
      <c r="M82" s="359">
        <f t="shared" ref="M82:M92" si="17">G82/G$228</f>
        <v>1.6684147683279678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'[58]Sch C'!D76</f>
        <v>4152.01</v>
      </c>
      <c r="D83" s="558">
        <f>'[58]Sch C'!F76</f>
        <v>0</v>
      </c>
      <c r="E83" s="171">
        <f t="shared" si="14"/>
        <v>4152.01</v>
      </c>
      <c r="F83" s="484"/>
      <c r="G83" s="171">
        <f t="shared" si="15"/>
        <v>4152.01</v>
      </c>
      <c r="H83" s="172">
        <f t="shared" si="16"/>
        <v>6.8357723012167149E-4</v>
      </c>
      <c r="I83" s="336"/>
      <c r="J83" s="168"/>
      <c r="K83" s="168"/>
      <c r="M83" s="359">
        <f t="shared" si="17"/>
        <v>0.1692004564163169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'[58]Sch C'!D77</f>
        <v>4509.55</v>
      </c>
      <c r="D84" s="558">
        <f>'[58]Sch C'!F77</f>
        <v>0</v>
      </c>
      <c r="E84" s="171">
        <f t="shared" si="14"/>
        <v>4509.55</v>
      </c>
      <c r="F84" s="484"/>
      <c r="G84" s="171">
        <f t="shared" si="15"/>
        <v>4509.55</v>
      </c>
      <c r="H84" s="172">
        <f t="shared" si="16"/>
        <v>7.4244178075081311E-4</v>
      </c>
      <c r="I84" s="336"/>
      <c r="J84" s="168"/>
      <c r="K84" s="168"/>
      <c r="M84" s="359">
        <f t="shared" si="17"/>
        <v>0.18377073230367985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'[58]Sch C'!D78</f>
        <v>0</v>
      </c>
      <c r="D85" s="558">
        <f>'[58]Sch C'!F78</f>
        <v>0</v>
      </c>
      <c r="E85" s="171">
        <f t="shared" si="14"/>
        <v>0</v>
      </c>
      <c r="F85" s="484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'[58]Sch C'!D79</f>
        <v>16393.919999999998</v>
      </c>
      <c r="D86" s="558">
        <f>'[58]Sch C'!F79</f>
        <v>0</v>
      </c>
      <c r="E86" s="171">
        <f t="shared" si="14"/>
        <v>16393.919999999998</v>
      </c>
      <c r="F86" s="484"/>
      <c r="G86" s="171">
        <f>E86+F86</f>
        <v>16393.919999999998</v>
      </c>
      <c r="H86" s="172">
        <f t="shared" si="16"/>
        <v>2.6990567037257305E-3</v>
      </c>
      <c r="I86" s="336"/>
      <c r="J86" s="168"/>
      <c r="K86" s="168"/>
      <c r="M86" s="359">
        <f t="shared" si="17"/>
        <v>0.668076123721423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'[58]Sch C'!D80</f>
        <v>35820.14</v>
      </c>
      <c r="D87" s="558">
        <f>'[58]Sch C'!F80</f>
        <v>0</v>
      </c>
      <c r="E87" s="171">
        <f t="shared" si="14"/>
        <v>35820.14</v>
      </c>
      <c r="F87" s="484"/>
      <c r="G87" s="171">
        <f t="shared" si="15"/>
        <v>35820.14</v>
      </c>
      <c r="H87" s="172">
        <f t="shared" si="16"/>
        <v>5.8973441980559992E-3</v>
      </c>
      <c r="I87" s="336"/>
      <c r="J87" s="168"/>
      <c r="K87" s="168"/>
      <c r="M87" s="359">
        <f t="shared" si="17"/>
        <v>1.4597228900933208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'[58]Sch C'!D81</f>
        <v>14200.42</v>
      </c>
      <c r="D88" s="558">
        <f>'[58]Sch C'!F81</f>
        <v>0</v>
      </c>
      <c r="E88" s="171">
        <f t="shared" si="14"/>
        <v>14200.42</v>
      </c>
      <c r="F88" s="484"/>
      <c r="G88" s="171">
        <f t="shared" si="15"/>
        <v>14200.42</v>
      </c>
      <c r="H88" s="172">
        <f t="shared" si="16"/>
        <v>2.3379239862534977E-3</v>
      </c>
      <c r="I88" s="336"/>
      <c r="J88" s="168"/>
      <c r="K88" s="168"/>
      <c r="M88" s="359">
        <f t="shared" si="17"/>
        <v>0.5786878030889604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'[58]Sch C'!D82</f>
        <v>13317.78</v>
      </c>
      <c r="D89" s="558">
        <f>'[58]Sch C'!F82</f>
        <v>0</v>
      </c>
      <c r="E89" s="171">
        <f t="shared" si="14"/>
        <v>13317.78</v>
      </c>
      <c r="F89" s="484"/>
      <c r="G89" s="171">
        <f t="shared" si="15"/>
        <v>13317.78</v>
      </c>
      <c r="H89" s="172">
        <f t="shared" si="16"/>
        <v>2.1926081979016898E-3</v>
      </c>
      <c r="I89" s="336"/>
      <c r="J89" s="168"/>
      <c r="K89" s="168"/>
      <c r="M89" s="359">
        <f t="shared" si="17"/>
        <v>0.54271893720200504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'[58]Sch C'!D83</f>
        <v>0</v>
      </c>
      <c r="D90" s="558">
        <f>'[58]Sch C'!F83</f>
        <v>0</v>
      </c>
      <c r="E90" s="171">
        <f t="shared" si="14"/>
        <v>0</v>
      </c>
      <c r="F90" s="484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'[58]Sch C'!D84</f>
        <v>111718.75</v>
      </c>
      <c r="D91" s="558">
        <f>'[58]Sch C'!F84</f>
        <v>0</v>
      </c>
      <c r="E91" s="171">
        <f t="shared" si="14"/>
        <v>111718.75</v>
      </c>
      <c r="F91" s="484"/>
      <c r="G91" s="171">
        <f t="shared" si="15"/>
        <v>111718.75</v>
      </c>
      <c r="H91" s="172">
        <f t="shared" si="16"/>
        <v>1.8393114100798285E-2</v>
      </c>
      <c r="I91" s="336"/>
      <c r="J91" s="168"/>
      <c r="K91" s="168"/>
      <c r="M91" s="359">
        <f t="shared" si="17"/>
        <v>4.552701821590122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'[58]Sch C'!D85</f>
        <v>120.82</v>
      </c>
      <c r="D92" s="558">
        <f>'[58]Sch C'!F85</f>
        <v>0</v>
      </c>
      <c r="E92" s="171">
        <f t="shared" si="14"/>
        <v>120.82</v>
      </c>
      <c r="F92" s="484"/>
      <c r="G92" s="171">
        <f t="shared" si="15"/>
        <v>120.82</v>
      </c>
      <c r="H92" s="172">
        <f t="shared" si="16"/>
        <v>1.9891522646453246E-5</v>
      </c>
      <c r="I92" s="336"/>
      <c r="J92" s="168"/>
      <c r="K92" s="168"/>
      <c r="M92" s="359">
        <f t="shared" si="17"/>
        <v>4.9235910183789066E-3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241174.62</v>
      </c>
      <c r="D93" s="558">
        <f>SUM(D82:D92)</f>
        <v>0</v>
      </c>
      <c r="E93" s="171">
        <f t="shared" ref="E93:F93" si="18">SUM(E82:E92)</f>
        <v>241174.62</v>
      </c>
      <c r="F93" s="171">
        <f t="shared" si="18"/>
        <v>0</v>
      </c>
      <c r="G93" s="171">
        <f>SUM(G82:G92)</f>
        <v>241174.62</v>
      </c>
      <c r="H93" s="172">
        <f t="shared" si="16"/>
        <v>3.9706426216518424E-2</v>
      </c>
      <c r="I93" s="336"/>
      <c r="J93" s="168"/>
      <c r="K93" s="168"/>
      <c r="M93" s="364">
        <f>G93/G$228</f>
        <v>9.8282171237621743</v>
      </c>
      <c r="N93" s="359">
        <f>SUMMARY!J96</f>
        <v>11.458724454710746</v>
      </c>
      <c r="O93" s="354">
        <f>M93/N93-1</f>
        <v>-0.14229396451524412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'[58]Sch C'!D89</f>
        <v>205132.45</v>
      </c>
      <c r="D96" s="558">
        <f>'[58]Sch C'!F89</f>
        <v>0</v>
      </c>
      <c r="E96" s="171">
        <f t="shared" ref="E96:E101" si="19">C96+D96</f>
        <v>205132.45</v>
      </c>
      <c r="F96" s="484"/>
      <c r="G96" s="171">
        <f t="shared" ref="G96:G101" si="20">E96+F96</f>
        <v>205132.45</v>
      </c>
      <c r="H96" s="172">
        <f t="shared" ref="H96:H102" si="21">IF($G$208=0,0,G96/$G$208)</f>
        <v>3.3772527517773869E-2</v>
      </c>
      <c r="I96" s="336"/>
      <c r="J96" s="183">
        <v>17859.080000000002</v>
      </c>
      <c r="K96" s="183">
        <v>18867.38</v>
      </c>
      <c r="M96" s="364">
        <f t="shared" ref="M96:M101" si="22">G96/G$228</f>
        <v>8.3594461877012112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'[58]Sch C'!D90</f>
        <v>36019.82</v>
      </c>
      <c r="D97" s="558">
        <f>'[58]Sch C'!F90</f>
        <v>0</v>
      </c>
      <c r="E97" s="171">
        <f t="shared" si="19"/>
        <v>36019.82</v>
      </c>
      <c r="F97" s="484"/>
      <c r="G97" s="171">
        <f t="shared" si="20"/>
        <v>36019.82</v>
      </c>
      <c r="H97" s="172">
        <f t="shared" si="21"/>
        <v>5.9302190469389966E-3</v>
      </c>
      <c r="I97" s="336"/>
      <c r="J97" s="168"/>
      <c r="K97" s="168"/>
      <c r="M97" s="364">
        <f t="shared" si="22"/>
        <v>1.4678601410000407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'[58]Sch C'!D91</f>
        <v>14674.01</v>
      </c>
      <c r="D98" s="558">
        <f>'[58]Sch C'!F91</f>
        <v>0</v>
      </c>
      <c r="E98" s="171">
        <f t="shared" si="19"/>
        <v>14674.01</v>
      </c>
      <c r="F98" s="484"/>
      <c r="G98" s="171">
        <f t="shared" si="20"/>
        <v>14674.01</v>
      </c>
      <c r="H98" s="172">
        <f t="shared" si="21"/>
        <v>2.4158947378685766E-3</v>
      </c>
      <c r="I98" s="336"/>
      <c r="J98" s="168"/>
      <c r="K98" s="168"/>
      <c r="M98" s="364">
        <f t="shared" si="22"/>
        <v>0.59798728554545821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'[58]Sch C'!D92</f>
        <v>198991.25</v>
      </c>
      <c r="D99" s="558">
        <f>'[58]Sch C'!F92</f>
        <v>0</v>
      </c>
      <c r="E99" s="171">
        <f t="shared" si="19"/>
        <v>198991.25</v>
      </c>
      <c r="F99" s="484"/>
      <c r="G99" s="171">
        <f t="shared" si="20"/>
        <v>198991.25</v>
      </c>
      <c r="H99" s="172">
        <f t="shared" si="21"/>
        <v>3.276145469145042E-2</v>
      </c>
      <c r="I99" s="336"/>
      <c r="J99" s="168"/>
      <c r="K99" s="168"/>
      <c r="M99" s="364">
        <f t="shared" si="22"/>
        <v>8.1091833408044334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'[58]Sch C'!D93</f>
        <v>28846.16</v>
      </c>
      <c r="D100" s="558">
        <f>'[58]Sch C'!F93</f>
        <v>0</v>
      </c>
      <c r="E100" s="171">
        <f t="shared" si="19"/>
        <v>28846.16</v>
      </c>
      <c r="F100" s="484"/>
      <c r="G100" s="171">
        <f t="shared" si="20"/>
        <v>28846.16</v>
      </c>
      <c r="H100" s="172">
        <f t="shared" si="21"/>
        <v>4.7491644173416137E-3</v>
      </c>
      <c r="I100" s="336"/>
      <c r="J100" s="168"/>
      <c r="K100" s="168"/>
      <c r="M100" s="364">
        <f t="shared" si="22"/>
        <v>1.175523044948857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'[58]Sch C'!D94</f>
        <v>111.95</v>
      </c>
      <c r="D101" s="558">
        <f>'[58]Sch C'!F94</f>
        <v>0</v>
      </c>
      <c r="E101" s="171">
        <f t="shared" si="19"/>
        <v>111.95</v>
      </c>
      <c r="F101" s="484"/>
      <c r="G101" s="171">
        <f t="shared" si="20"/>
        <v>111.95</v>
      </c>
      <c r="H101" s="172">
        <f t="shared" si="21"/>
        <v>1.843118656075518E-5</v>
      </c>
      <c r="I101" s="336"/>
      <c r="J101" s="168"/>
      <c r="K101" s="168"/>
      <c r="M101" s="364">
        <f t="shared" si="22"/>
        <v>4.562125595990057E-3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483775.64</v>
      </c>
      <c r="D102" s="558">
        <f>SUM(D96:D101)</f>
        <v>0</v>
      </c>
      <c r="E102" s="171">
        <f t="shared" ref="E102:F102" si="23">SUM(E96:E101)</f>
        <v>483775.64</v>
      </c>
      <c r="F102" s="171">
        <f t="shared" si="23"/>
        <v>0</v>
      </c>
      <c r="G102" s="171">
        <f>SUM(G96:G101)</f>
        <v>483775.64</v>
      </c>
      <c r="H102" s="172">
        <f t="shared" si="21"/>
        <v>7.9647691597934223E-2</v>
      </c>
      <c r="I102" s="336"/>
      <c r="J102" s="168"/>
      <c r="K102" s="168"/>
      <c r="M102" s="364">
        <f>G102/G$228</f>
        <v>19.71456212559599</v>
      </c>
      <c r="N102" s="359">
        <f>SUMMARY!J105</f>
        <v>19.901077037785338</v>
      </c>
      <c r="O102" s="354">
        <f>M102/N102-1</f>
        <v>-9.3721014111558532E-3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'[58]Sch C'!D98</f>
        <v>29348.71</v>
      </c>
      <c r="D105" s="558">
        <f>'[58]Sch C'!F98</f>
        <v>0</v>
      </c>
      <c r="E105" s="171">
        <f t="shared" ref="E105:E110" si="24">C105+D105</f>
        <v>29348.71</v>
      </c>
      <c r="F105" s="484"/>
      <c r="G105" s="171">
        <f t="shared" ref="G105:G110" si="25">E105+F105</f>
        <v>29348.71</v>
      </c>
      <c r="H105" s="172">
        <f t="shared" ref="H105:H111" si="26">IF($G$208=0,0,G105/$G$208)</f>
        <v>4.8319030757257809E-3</v>
      </c>
      <c r="I105" s="336"/>
      <c r="J105" s="183">
        <v>3591.25</v>
      </c>
      <c r="K105" s="183">
        <v>3667.71</v>
      </c>
      <c r="M105" s="364">
        <f t="shared" ref="M105:M110" si="27">G105/G$228</f>
        <v>1.1960026895961531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'[58]Sch C'!D99</f>
        <v>4343.8</v>
      </c>
      <c r="D106" s="558">
        <f>'[58]Sch C'!F99</f>
        <v>0</v>
      </c>
      <c r="E106" s="171">
        <f t="shared" si="24"/>
        <v>4343.8</v>
      </c>
      <c r="F106" s="484"/>
      <c r="G106" s="171">
        <f t="shared" si="25"/>
        <v>4343.8</v>
      </c>
      <c r="H106" s="172">
        <f t="shared" si="26"/>
        <v>7.15153087830356E-4</v>
      </c>
      <c r="I106" s="336"/>
      <c r="J106" s="168"/>
      <c r="K106" s="168"/>
      <c r="M106" s="364">
        <f t="shared" si="27"/>
        <v>0.17701617832837524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'[58]Sch C'!D100</f>
        <v>7773.78</v>
      </c>
      <c r="D107" s="558">
        <f>'[58]Sch C'!F100</f>
        <v>0</v>
      </c>
      <c r="E107" s="171">
        <f t="shared" si="24"/>
        <v>7773.78</v>
      </c>
      <c r="F107" s="484"/>
      <c r="G107" s="171">
        <f t="shared" si="25"/>
        <v>7773.78</v>
      </c>
      <c r="H107" s="172">
        <f t="shared" si="26"/>
        <v>1.2798569849242288E-3</v>
      </c>
      <c r="I107" s="336"/>
      <c r="J107" s="168"/>
      <c r="K107" s="168"/>
      <c r="M107" s="364">
        <f t="shared" si="27"/>
        <v>0.31679286034475729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'[58]Sch C'!D101</f>
        <v>0</v>
      </c>
      <c r="D108" s="558">
        <f>'[58]Sch C'!F101</f>
        <v>0</v>
      </c>
      <c r="E108" s="171">
        <f t="shared" si="24"/>
        <v>0</v>
      </c>
      <c r="F108" s="484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'[58]Sch C'!D102</f>
        <v>6019.46</v>
      </c>
      <c r="D109" s="558">
        <f>'[58]Sch C'!F102</f>
        <v>0</v>
      </c>
      <c r="E109" s="171">
        <f t="shared" si="24"/>
        <v>6019.46</v>
      </c>
      <c r="F109" s="484"/>
      <c r="G109" s="171">
        <f t="shared" si="25"/>
        <v>6019.46</v>
      </c>
      <c r="H109" s="172">
        <f t="shared" si="26"/>
        <v>9.9102983702548803E-4</v>
      </c>
      <c r="I109" s="336"/>
      <c r="J109" s="168"/>
      <c r="K109" s="168"/>
      <c r="M109" s="364">
        <f t="shared" si="27"/>
        <v>0.24530176453808225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'[58]Sch C'!D103</f>
        <v>0</v>
      </c>
      <c r="D110" s="558">
        <f>'[58]Sch C'!F103</f>
        <v>0</v>
      </c>
      <c r="E110" s="171">
        <f t="shared" si="24"/>
        <v>0</v>
      </c>
      <c r="F110" s="484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47485.75</v>
      </c>
      <c r="D111" s="558">
        <f>SUM(D105:D110)</f>
        <v>0</v>
      </c>
      <c r="E111" s="171">
        <f t="shared" ref="E111:F111" si="28">SUM(E105:E110)</f>
        <v>47485.75</v>
      </c>
      <c r="F111" s="171">
        <f t="shared" si="28"/>
        <v>0</v>
      </c>
      <c r="G111" s="171">
        <f>SUM(G105:G110)</f>
        <v>47485.75</v>
      </c>
      <c r="H111" s="172">
        <f t="shared" si="26"/>
        <v>7.8179429855058536E-3</v>
      </c>
      <c r="I111" s="336"/>
      <c r="J111" s="168"/>
      <c r="K111" s="168"/>
      <c r="M111" s="364">
        <f>G111/G$228</f>
        <v>1.9351134928073679</v>
      </c>
      <c r="N111" s="359">
        <f>SUMMARY!J114</f>
        <v>2.4242384372309496</v>
      </c>
      <c r="O111" s="354">
        <f>M111/N111-1</f>
        <v>-0.20176437140493386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'[58]Sch C'!D115</f>
        <v>127580.94</v>
      </c>
      <c r="D114" s="558">
        <f>'[58]Sch C'!F115</f>
        <v>0</v>
      </c>
      <c r="E114" s="171">
        <f t="shared" ref="E114:E118" si="29">C114+D114</f>
        <v>127580.94</v>
      </c>
      <c r="F114" s="484"/>
      <c r="G114" s="171">
        <f>E114+F114</f>
        <v>127580.94</v>
      </c>
      <c r="H114" s="172">
        <f t="shared" ref="H114:H119" si="30">IF($G$208=0,0,G114/$G$208)</f>
        <v>2.100462801908453E-2</v>
      </c>
      <c r="I114" s="336"/>
      <c r="J114" s="183">
        <v>11857.41</v>
      </c>
      <c r="K114" s="183">
        <v>12996.06</v>
      </c>
      <c r="M114" s="364">
        <f t="shared" ref="M114:M119" si="31">G114/G$228</f>
        <v>5.19910917315294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'[58]Sch C'!D116</f>
        <v>14281.51</v>
      </c>
      <c r="D115" s="558">
        <f>'[58]Sch C'!F116</f>
        <v>0</v>
      </c>
      <c r="E115" s="171">
        <f t="shared" si="29"/>
        <v>14281.51</v>
      </c>
      <c r="F115" s="484"/>
      <c r="G115" s="171">
        <f>E115+F115</f>
        <v>14281.51</v>
      </c>
      <c r="H115" s="172">
        <f t="shared" si="30"/>
        <v>2.3512744544822756E-3</v>
      </c>
      <c r="I115" s="336"/>
      <c r="J115" s="168"/>
      <c r="K115" s="168"/>
      <c r="M115" s="364">
        <f t="shared" si="31"/>
        <v>0.58199233872610945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'[58]Sch C'!D117</f>
        <v>12854.98</v>
      </c>
      <c r="D116" s="558">
        <f>'[58]Sch C'!F117</f>
        <v>0</v>
      </c>
      <c r="E116" s="171">
        <f t="shared" si="29"/>
        <v>12854.98</v>
      </c>
      <c r="F116" s="484"/>
      <c r="G116" s="171">
        <f>E116+F116</f>
        <v>12854.98</v>
      </c>
      <c r="H116" s="172">
        <f t="shared" si="30"/>
        <v>2.1164138866884914E-3</v>
      </c>
      <c r="I116" s="336"/>
      <c r="J116" s="168"/>
      <c r="K116" s="168"/>
      <c r="M116" s="364">
        <f t="shared" si="31"/>
        <v>0.52385916296507595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'[58]Sch C'!D118</f>
        <v>149.9</v>
      </c>
      <c r="D117" s="558">
        <f>'[58]Sch C'!F118</f>
        <v>0</v>
      </c>
      <c r="E117" s="171">
        <f t="shared" si="29"/>
        <v>149.9</v>
      </c>
      <c r="F117" s="484"/>
      <c r="G117" s="171">
        <f>E117+F117</f>
        <v>149.9</v>
      </c>
      <c r="H117" s="172">
        <f t="shared" si="30"/>
        <v>2.4679185935303275E-5</v>
      </c>
      <c r="I117" s="336"/>
      <c r="J117" s="168"/>
      <c r="K117" s="168"/>
      <c r="M117" s="364">
        <f t="shared" si="31"/>
        <v>6.1086433840009781E-3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'[58]Sch C'!D119</f>
        <v>338.37</v>
      </c>
      <c r="D118" s="558">
        <f>'[58]Sch C'!F119</f>
        <v>0</v>
      </c>
      <c r="E118" s="171">
        <f t="shared" si="29"/>
        <v>338.37</v>
      </c>
      <c r="F118" s="484"/>
      <c r="G118" s="171">
        <f>E118+F118</f>
        <v>338.37</v>
      </c>
      <c r="H118" s="172">
        <f t="shared" si="30"/>
        <v>5.57084465972553E-5</v>
      </c>
      <c r="I118" s="336"/>
      <c r="J118" s="168"/>
      <c r="K118" s="168"/>
      <c r="M118" s="364">
        <f t="shared" si="31"/>
        <v>1.3789070459268919E-2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155205.70000000001</v>
      </c>
      <c r="D119" s="558">
        <f>SUM(D114:D118)</f>
        <v>0</v>
      </c>
      <c r="E119" s="171">
        <f t="shared" ref="E119:F119" si="32">SUM(E114:E118)</f>
        <v>155205.70000000001</v>
      </c>
      <c r="F119" s="171">
        <f t="shared" si="32"/>
        <v>0</v>
      </c>
      <c r="G119" s="171">
        <f>SUM(G114:G118)</f>
        <v>155205.70000000001</v>
      </c>
      <c r="H119" s="172">
        <f t="shared" si="30"/>
        <v>2.5552703992787858E-2</v>
      </c>
      <c r="I119" s="336"/>
      <c r="J119" s="168"/>
      <c r="K119" s="168"/>
      <c r="M119" s="364">
        <f t="shared" si="31"/>
        <v>6.3248583886873959</v>
      </c>
      <c r="N119" s="359">
        <f>SUMMARY!J122</f>
        <v>6.0247597205909562</v>
      </c>
      <c r="O119" s="354">
        <f>M119/N119-1</f>
        <v>4.9810894046244725E-2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'[58]Sch C'!D124</f>
        <v>0</v>
      </c>
      <c r="D123" s="558">
        <f>'[58]Sch C'!F124</f>
        <v>0</v>
      </c>
      <c r="E123" s="171">
        <f t="shared" ref="E123:E127" si="33">C123+D123</f>
        <v>0</v>
      </c>
      <c r="F123" s="484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'[58]Sch C'!D125</f>
        <v>0</v>
      </c>
      <c r="D124" s="558">
        <f>'[58]Sch C'!F125</f>
        <v>0</v>
      </c>
      <c r="E124" s="171">
        <f t="shared" si="33"/>
        <v>0</v>
      </c>
      <c r="F124" s="484"/>
      <c r="G124" s="171">
        <f>E124+F124</f>
        <v>0</v>
      </c>
      <c r="H124" s="172">
        <f>IF($G$208=0,0,G124/$G$208)</f>
        <v>0</v>
      </c>
      <c r="I124" s="336"/>
      <c r="J124" s="183">
        <v>0</v>
      </c>
      <c r="K124" s="183">
        <v>0</v>
      </c>
      <c r="M124" s="364">
        <f t="shared" si="34"/>
        <v>0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'[58]Sch C'!D126</f>
        <v>0</v>
      </c>
      <c r="D125" s="558">
        <f>'[58]Sch C'!F126</f>
        <v>0</v>
      </c>
      <c r="E125" s="171">
        <f t="shared" si="33"/>
        <v>0</v>
      </c>
      <c r="F125" s="484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'[58]Sch C'!D127</f>
        <v>0</v>
      </c>
      <c r="D126" s="558">
        <f>'[58]Sch C'!F127</f>
        <v>0</v>
      </c>
      <c r="E126" s="171">
        <f t="shared" si="33"/>
        <v>0</v>
      </c>
      <c r="F126" s="484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'[58]Sch C'!D128</f>
        <v>266792.12</v>
      </c>
      <c r="D127" s="558">
        <f>'[58]Sch C'!F128</f>
        <v>0</v>
      </c>
      <c r="E127" s="171">
        <f t="shared" si="33"/>
        <v>266792.12</v>
      </c>
      <c r="F127" s="484"/>
      <c r="G127" s="171">
        <f>E127+F127</f>
        <v>266792.12</v>
      </c>
      <c r="H127" s="172">
        <f>IF($G$208=0,0,G127/$G$208)</f>
        <v>4.3924031591419235E-2</v>
      </c>
      <c r="I127" s="336"/>
      <c r="J127" s="183">
        <v>9342.77</v>
      </c>
      <c r="K127" s="183">
        <v>10448.73</v>
      </c>
      <c r="M127" s="364">
        <f t="shared" si="34"/>
        <v>10.872167569990626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562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'[58]Sch C'!D130</f>
        <v>0</v>
      </c>
      <c r="D129" s="558">
        <f>'[58]Sch C'!F130</f>
        <v>0</v>
      </c>
      <c r="E129" s="171">
        <f t="shared" ref="E129:E133" si="35">C129+D129</f>
        <v>0</v>
      </c>
      <c r="F129" s="484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'[58]Sch C'!D131</f>
        <v>0</v>
      </c>
      <c r="D130" s="558">
        <f>'[58]Sch C'!F131</f>
        <v>0</v>
      </c>
      <c r="E130" s="171">
        <f t="shared" si="35"/>
        <v>0</v>
      </c>
      <c r="F130" s="484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'[58]Sch C'!D132</f>
        <v>0</v>
      </c>
      <c r="D131" s="558">
        <f>'[58]Sch C'!F132</f>
        <v>0</v>
      </c>
      <c r="E131" s="171">
        <f t="shared" si="35"/>
        <v>0</v>
      </c>
      <c r="F131" s="484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'[58]Sch C'!D133</f>
        <v>0</v>
      </c>
      <c r="D132" s="558">
        <f>'[58]Sch C'!F133</f>
        <v>0</v>
      </c>
      <c r="E132" s="171">
        <f t="shared" si="35"/>
        <v>0</v>
      </c>
      <c r="F132" s="484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'[58]Sch C'!D134</f>
        <v>70186.48</v>
      </c>
      <c r="D133" s="558">
        <f>'[58]Sch C'!F134</f>
        <v>0</v>
      </c>
      <c r="E133" s="171">
        <f t="shared" si="35"/>
        <v>70186.48</v>
      </c>
      <c r="F133" s="484"/>
      <c r="G133" s="171">
        <f>E133+F133</f>
        <v>70186.48</v>
      </c>
      <c r="H133" s="172">
        <f>IF($G$208=0,0,G133/$G$208)</f>
        <v>1.1555338159202433E-2</v>
      </c>
      <c r="I133" s="336"/>
      <c r="J133" s="168"/>
      <c r="K133" s="168"/>
      <c r="M133" s="364">
        <f t="shared" si="34"/>
        <v>2.860201312196911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'[58]Sch C'!D136</f>
        <v>359095.7</v>
      </c>
      <c r="D135" s="558">
        <f>'[58]Sch C'!F136</f>
        <v>0</v>
      </c>
      <c r="E135" s="171">
        <f t="shared" ref="E135:E138" si="36">C135+D135</f>
        <v>359095.7</v>
      </c>
      <c r="F135" s="484"/>
      <c r="G135" s="171">
        <f>E135+F135</f>
        <v>359095.7</v>
      </c>
      <c r="H135" s="172">
        <f>IF($G$208=0,0,G135/$G$208)</f>
        <v>5.9120677444081955E-2</v>
      </c>
      <c r="I135" s="336"/>
      <c r="J135" s="183">
        <v>15486.12</v>
      </c>
      <c r="K135" s="183">
        <v>16501.16</v>
      </c>
      <c r="M135" s="364">
        <f t="shared" si="34"/>
        <v>14.633672928807206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'[58]Sch C'!D137</f>
        <v>282000.15999999997</v>
      </c>
      <c r="D136" s="558">
        <f>'[58]Sch C'!F137</f>
        <v>0</v>
      </c>
      <c r="E136" s="171">
        <f t="shared" si="36"/>
        <v>282000.15999999997</v>
      </c>
      <c r="F136" s="484"/>
      <c r="G136" s="171">
        <f>E136+F136</f>
        <v>282000.15999999997</v>
      </c>
      <c r="H136" s="172">
        <f>IF($G$208=0,0,G136/$G$208)</f>
        <v>4.6427847781356057E-2</v>
      </c>
      <c r="I136" s="336"/>
      <c r="J136" s="183">
        <v>13905.75</v>
      </c>
      <c r="K136" s="183">
        <v>15073.26</v>
      </c>
      <c r="M136" s="364">
        <f t="shared" si="34"/>
        <v>11.491917356045478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'[58]Sch C'!D138</f>
        <v>578550.15</v>
      </c>
      <c r="D137" s="558">
        <f>'[58]Sch C'!F138</f>
        <v>0</v>
      </c>
      <c r="E137" s="171">
        <f t="shared" si="36"/>
        <v>578550.15</v>
      </c>
      <c r="F137" s="484"/>
      <c r="G137" s="171">
        <f>E137+F137</f>
        <v>578550.15</v>
      </c>
      <c r="H137" s="172">
        <f>IF($G$208=0,0,G137/$G$208)</f>
        <v>9.5251145595380921E-2</v>
      </c>
      <c r="I137" s="336"/>
      <c r="J137" s="183">
        <v>50191.72</v>
      </c>
      <c r="K137" s="183">
        <v>53376.38</v>
      </c>
      <c r="M137" s="364">
        <f t="shared" si="34"/>
        <v>23.576761481722972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'[58]Sch C'!D139</f>
        <v>37040.17</v>
      </c>
      <c r="D138" s="558">
        <f>'[58]Sch C'!F139</f>
        <v>0</v>
      </c>
      <c r="E138" s="171">
        <f t="shared" si="36"/>
        <v>37040.17</v>
      </c>
      <c r="F138" s="484"/>
      <c r="G138" s="171">
        <f>E138+F138</f>
        <v>37040.17</v>
      </c>
      <c r="H138" s="172">
        <f>IF($G$208=0,0,G138/$G$208)</f>
        <v>6.0982070880936778E-3</v>
      </c>
      <c r="I138" s="336"/>
      <c r="J138" s="183">
        <v>3189</v>
      </c>
      <c r="K138" s="183">
        <v>3388.14</v>
      </c>
      <c r="M138" s="364">
        <f t="shared" si="34"/>
        <v>1.5094408900118179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'[58]Sch C'!D141</f>
        <v>78262.3</v>
      </c>
      <c r="D140" s="558">
        <f>'[58]Sch C'!F141</f>
        <v>0</v>
      </c>
      <c r="E140" s="171">
        <f t="shared" ref="E140:E143" si="37">C140+D140</f>
        <v>78262.3</v>
      </c>
      <c r="F140" s="484"/>
      <c r="G140" s="171">
        <f>E140+F140</f>
        <v>78262.3</v>
      </c>
      <c r="H140" s="172">
        <f>IF($G$208=0,0,G140/$G$208)</f>
        <v>1.2884922304366149E-2</v>
      </c>
      <c r="I140" s="336"/>
      <c r="J140" s="168"/>
      <c r="K140" s="168"/>
      <c r="M140" s="364">
        <f t="shared" si="34"/>
        <v>3.1893027425730471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'[58]Sch C'!D142</f>
        <v>60001.1</v>
      </c>
      <c r="D141" s="558">
        <f>'[58]Sch C'!F142</f>
        <v>0</v>
      </c>
      <c r="E141" s="171">
        <f t="shared" si="37"/>
        <v>60001.1</v>
      </c>
      <c r="F141" s="484"/>
      <c r="G141" s="171">
        <f>E141+F141</f>
        <v>60001.1</v>
      </c>
      <c r="H141" s="172">
        <f>IF($G$208=0,0,G141/$G$208)</f>
        <v>9.8784409821395958E-3</v>
      </c>
      <c r="I141" s="336"/>
      <c r="J141" s="168"/>
      <c r="K141" s="168"/>
      <c r="M141" s="364">
        <f t="shared" si="34"/>
        <v>2.4451322384775254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'[58]Sch C'!D143</f>
        <v>122610.94</v>
      </c>
      <c r="D142" s="558">
        <f>'[58]Sch C'!F143</f>
        <v>0</v>
      </c>
      <c r="E142" s="171">
        <f t="shared" si="37"/>
        <v>122610.94</v>
      </c>
      <c r="F142" s="484"/>
      <c r="G142" s="171">
        <f>E142+F142</f>
        <v>122610.94</v>
      </c>
      <c r="H142" s="172">
        <f>IF($G$208=0,0,G142/$G$208)</f>
        <v>2.0186378825632515E-2</v>
      </c>
      <c r="I142" s="336"/>
      <c r="J142" s="168"/>
      <c r="K142" s="168"/>
      <c r="M142" s="364">
        <f t="shared" si="34"/>
        <v>4.9965744325359633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'[58]Sch C'!D144</f>
        <v>7266.98</v>
      </c>
      <c r="D143" s="558">
        <f>'[58]Sch C'!F144</f>
        <v>0</v>
      </c>
      <c r="E143" s="171">
        <f t="shared" si="37"/>
        <v>7266.98</v>
      </c>
      <c r="F143" s="484"/>
      <c r="G143" s="171">
        <f>E143+F143</f>
        <v>7266.98</v>
      </c>
      <c r="H143" s="172">
        <f>IF($G$208=0,0,G143/$G$208)</f>
        <v>1.196418616465178E-3</v>
      </c>
      <c r="I143" s="336"/>
      <c r="J143" s="168"/>
      <c r="K143" s="168"/>
      <c r="M143" s="364">
        <f t="shared" si="34"/>
        <v>0.29614002200578671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'[58]Sch C'!D146</f>
        <v>41100</v>
      </c>
      <c r="D145" s="558">
        <f>'[58]Sch C'!F146</f>
        <v>0</v>
      </c>
      <c r="E145" s="171">
        <f t="shared" ref="E145:E153" si="38">C145+D145</f>
        <v>41100</v>
      </c>
      <c r="F145" s="484"/>
      <c r="G145" s="171">
        <f t="shared" ref="G145:G153" si="39">E145+F145</f>
        <v>41100</v>
      </c>
      <c r="H145" s="172">
        <f t="shared" ref="H145:H153" si="40">IF($G$208=0,0,G145/$G$208)</f>
        <v>6.7666080182852877E-3</v>
      </c>
      <c r="I145" s="336"/>
      <c r="J145" s="183">
        <v>0</v>
      </c>
      <c r="K145" s="183">
        <v>0</v>
      </c>
      <c r="M145" s="364">
        <f t="shared" si="34"/>
        <v>1.6748848771343576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'[58]Sch C'!D147</f>
        <v>0</v>
      </c>
      <c r="D146" s="558">
        <f>'[58]Sch C'!F147</f>
        <v>0</v>
      </c>
      <c r="E146" s="171">
        <f t="shared" si="38"/>
        <v>0</v>
      </c>
      <c r="F146" s="484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'[58]Sch C'!D148</f>
        <v>0</v>
      </c>
      <c r="D147" s="558">
        <f>'[58]Sch C'!F148</f>
        <v>0</v>
      </c>
      <c r="E147" s="171">
        <f t="shared" si="38"/>
        <v>0</v>
      </c>
      <c r="F147" s="484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'[58]Sch C'!D149</f>
        <v>0</v>
      </c>
      <c r="D148" s="558">
        <f>'[58]Sch C'!F149</f>
        <v>0</v>
      </c>
      <c r="E148" s="171">
        <f t="shared" si="38"/>
        <v>0</v>
      </c>
      <c r="F148" s="484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'[58]Sch C'!D150</f>
        <v>1105</v>
      </c>
      <c r="D149" s="558">
        <f>'[58]Sch C'!F150</f>
        <v>0</v>
      </c>
      <c r="E149" s="171">
        <f t="shared" si="38"/>
        <v>1105</v>
      </c>
      <c r="F149" s="484"/>
      <c r="G149" s="171">
        <f t="shared" si="39"/>
        <v>1105</v>
      </c>
      <c r="H149" s="172">
        <f t="shared" si="40"/>
        <v>1.8192461946971394E-4</v>
      </c>
      <c r="I149" s="336"/>
      <c r="J149" s="183">
        <v>0</v>
      </c>
      <c r="K149" s="183">
        <v>0</v>
      </c>
      <c r="M149" s="364">
        <f t="shared" si="34"/>
        <v>4.5030359835364117E-2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'[58]Sch C'!D151</f>
        <v>158149.46</v>
      </c>
      <c r="D150" s="558">
        <f>'[58]Sch C'!F151</f>
        <v>0</v>
      </c>
      <c r="E150" s="171">
        <f t="shared" si="38"/>
        <v>158149.46</v>
      </c>
      <c r="F150" s="484"/>
      <c r="G150" s="171">
        <f t="shared" si="39"/>
        <v>158149.46</v>
      </c>
      <c r="H150" s="172">
        <f t="shared" si="40"/>
        <v>2.6037357764561758E-2</v>
      </c>
      <c r="I150" s="336"/>
      <c r="J150" s="168"/>
      <c r="K150" s="168"/>
      <c r="M150" s="364">
        <f t="shared" si="34"/>
        <v>6.4448208973470802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'[58]Sch C'!D152</f>
        <v>863.04</v>
      </c>
      <c r="D151" s="558">
        <f>'[58]Sch C'!F152</f>
        <v>0</v>
      </c>
      <c r="E151" s="171">
        <f t="shared" si="38"/>
        <v>863.04</v>
      </c>
      <c r="F151" s="484"/>
      <c r="G151" s="171">
        <f t="shared" si="39"/>
        <v>863.04</v>
      </c>
      <c r="H151" s="172">
        <f t="shared" si="40"/>
        <v>1.4208889012411034E-4</v>
      </c>
      <c r="I151" s="336"/>
      <c r="J151" s="168"/>
      <c r="K151" s="168"/>
      <c r="M151" s="364">
        <f t="shared" si="34"/>
        <v>3.5170137332409632E-2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'[58]Sch C'!D153</f>
        <v>0</v>
      </c>
      <c r="D152" s="558">
        <f>'[58]Sch C'!F153</f>
        <v>0</v>
      </c>
      <c r="E152" s="171">
        <f t="shared" si="38"/>
        <v>0</v>
      </c>
      <c r="F152" s="484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'[58]Sch C'!D154</f>
        <v>0</v>
      </c>
      <c r="D153" s="558">
        <f>'[58]Sch C'!F154</f>
        <v>0</v>
      </c>
      <c r="E153" s="171">
        <f t="shared" si="38"/>
        <v>0</v>
      </c>
      <c r="F153" s="484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557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'[58]Sch C'!D156</f>
        <v>0</v>
      </c>
      <c r="D155" s="558">
        <f>'[58]Sch C'!F156</f>
        <v>0</v>
      </c>
      <c r="E155" s="171">
        <f t="shared" ref="E155:E160" si="41">C155+D155</f>
        <v>0</v>
      </c>
      <c r="F155" s="484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'[58]Sch C'!D157</f>
        <v>0</v>
      </c>
      <c r="D156" s="558">
        <f>'[58]Sch C'!F157</f>
        <v>0</v>
      </c>
      <c r="E156" s="171">
        <f t="shared" si="41"/>
        <v>0</v>
      </c>
      <c r="F156" s="484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'[58]Sch C'!D158</f>
        <v>0</v>
      </c>
      <c r="D157" s="558">
        <f>'[58]Sch C'!F158</f>
        <v>0</v>
      </c>
      <c r="E157" s="171">
        <f t="shared" si="41"/>
        <v>0</v>
      </c>
      <c r="F157" s="484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'[58]Sch C'!D159</f>
        <v>0</v>
      </c>
      <c r="D158" s="558">
        <f>'[58]Sch C'!F159</f>
        <v>0</v>
      </c>
      <c r="E158" s="171">
        <f t="shared" si="41"/>
        <v>0</v>
      </c>
      <c r="F158" s="484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'[58]Sch C'!D160</f>
        <v>2942.61</v>
      </c>
      <c r="D159" s="558">
        <f>'[58]Sch C'!F160</f>
        <v>0</v>
      </c>
      <c r="E159" s="171">
        <f t="shared" si="41"/>
        <v>2942.61</v>
      </c>
      <c r="F159" s="484"/>
      <c r="G159" s="171">
        <f t="shared" si="42"/>
        <v>2942.61</v>
      </c>
      <c r="H159" s="172">
        <f>IF($G$208=0,0,G159/$G$208)</f>
        <v>4.8446443845952486E-4</v>
      </c>
      <c r="I159" s="336"/>
      <c r="J159" s="168"/>
      <c r="K159" s="168"/>
      <c r="M159" s="364">
        <f t="shared" si="34"/>
        <v>0.11991564448429032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'[58]Sch C'!D161</f>
        <v>23232.1</v>
      </c>
      <c r="D160" s="558">
        <f>'[58]Sch C'!F161</f>
        <v>0</v>
      </c>
      <c r="E160" s="171">
        <f t="shared" si="41"/>
        <v>23232.1</v>
      </c>
      <c r="F160" s="484"/>
      <c r="G160" s="171">
        <f t="shared" si="42"/>
        <v>23232.1</v>
      </c>
      <c r="H160" s="172">
        <f t="shared" si="43"/>
        <v>3.8248786895767792E-3</v>
      </c>
      <c r="I160" s="336"/>
      <c r="J160" s="168"/>
      <c r="K160" s="168"/>
      <c r="M160" s="364">
        <f t="shared" si="34"/>
        <v>0.94674192102367649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2089198.31</v>
      </c>
      <c r="D161" s="558">
        <f>SUM(D123:D160)</f>
        <v>0</v>
      </c>
      <c r="E161" s="171">
        <f t="shared" ref="E161:F161" si="44">SUM(E123:E160)</f>
        <v>2089198.31</v>
      </c>
      <c r="F161" s="171">
        <f t="shared" si="44"/>
        <v>0</v>
      </c>
      <c r="G161" s="171">
        <f>SUM(G123:G160)</f>
        <v>2089198.31</v>
      </c>
      <c r="H161" s="172">
        <f t="shared" si="43"/>
        <v>0.34396073080861489</v>
      </c>
      <c r="I161" s="336"/>
      <c r="J161" s="168"/>
      <c r="K161" s="168"/>
      <c r="M161" s="364">
        <f>G161/G$228</f>
        <v>85.137874811524512</v>
      </c>
      <c r="N161" s="359">
        <f>SUMMARY!J164</f>
        <v>105.56901037202306</v>
      </c>
      <c r="O161" s="354">
        <f>M161/N161-1</f>
        <v>-0.19353345729489779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'[58]Sch C'!D175</f>
        <v>0</v>
      </c>
      <c r="D164" s="558">
        <f>'[58]Sch C'!F175</f>
        <v>0</v>
      </c>
      <c r="E164" s="171">
        <f t="shared" ref="E164:E196" si="45">C164+D164</f>
        <v>0</v>
      </c>
      <c r="F164" s="484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'[58]Sch C'!D176</f>
        <v>0</v>
      </c>
      <c r="D165" s="558">
        <f>'[58]Sch C'!F176</f>
        <v>0</v>
      </c>
      <c r="E165" s="171">
        <f t="shared" si="45"/>
        <v>0</v>
      </c>
      <c r="F165" s="484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'[58]Sch C'!D177</f>
        <v>0</v>
      </c>
      <c r="D166" s="558">
        <f>'[58]Sch C'!F177</f>
        <v>0</v>
      </c>
      <c r="E166" s="171">
        <f t="shared" si="45"/>
        <v>0</v>
      </c>
      <c r="F166" s="484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'[58]Sch C'!D178</f>
        <v>0</v>
      </c>
      <c r="D167" s="558">
        <f>'[58]Sch C'!F178</f>
        <v>0</v>
      </c>
      <c r="E167" s="171">
        <f t="shared" si="45"/>
        <v>0</v>
      </c>
      <c r="F167" s="484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'[58]Sch C'!D179</f>
        <v>0</v>
      </c>
      <c r="D168" s="558">
        <f>'[58]Sch C'!F179</f>
        <v>0</v>
      </c>
      <c r="E168" s="171">
        <f t="shared" si="45"/>
        <v>0</v>
      </c>
      <c r="F168" s="484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'[58]Sch C'!D180</f>
        <v>0</v>
      </c>
      <c r="D169" s="558">
        <f>'[58]Sch C'!F180</f>
        <v>0</v>
      </c>
      <c r="E169" s="171">
        <f t="shared" si="45"/>
        <v>0</v>
      </c>
      <c r="F169" s="484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'[58]Sch C'!D181</f>
        <v>0</v>
      </c>
      <c r="D170" s="558">
        <f>'[58]Sch C'!F181</f>
        <v>0</v>
      </c>
      <c r="E170" s="171">
        <f t="shared" si="45"/>
        <v>0</v>
      </c>
      <c r="F170" s="484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'[58]Sch C'!D182</f>
        <v>0</v>
      </c>
      <c r="D171" s="558">
        <f>'[58]Sch C'!F182</f>
        <v>0</v>
      </c>
      <c r="E171" s="171">
        <f t="shared" si="45"/>
        <v>0</v>
      </c>
      <c r="F171" s="484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'[58]Sch C'!D183</f>
        <v>0</v>
      </c>
      <c r="D172" s="558">
        <f>'[58]Sch C'!F183</f>
        <v>0</v>
      </c>
      <c r="E172" s="171">
        <f t="shared" si="45"/>
        <v>0</v>
      </c>
      <c r="F172" s="484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'[58]Sch C'!D184</f>
        <v>0</v>
      </c>
      <c r="D173" s="558">
        <f>'[58]Sch C'!F184</f>
        <v>0</v>
      </c>
      <c r="E173" s="171">
        <f t="shared" si="45"/>
        <v>0</v>
      </c>
      <c r="F173" s="484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'[58]Sch C'!D185</f>
        <v>0</v>
      </c>
      <c r="D174" s="558">
        <f>'[58]Sch C'!F185</f>
        <v>0</v>
      </c>
      <c r="E174" s="171">
        <f t="shared" si="45"/>
        <v>0</v>
      </c>
      <c r="F174" s="484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'[58]Sch C'!D186</f>
        <v>0</v>
      </c>
      <c r="D175" s="558">
        <f>'[58]Sch C'!F186</f>
        <v>0</v>
      </c>
      <c r="E175" s="171">
        <f t="shared" si="45"/>
        <v>0</v>
      </c>
      <c r="F175" s="484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'[58]Sch C'!D187</f>
        <v>0</v>
      </c>
      <c r="D176" s="558">
        <f>'[58]Sch C'!F187</f>
        <v>0</v>
      </c>
      <c r="E176" s="171">
        <f t="shared" si="45"/>
        <v>0</v>
      </c>
      <c r="F176" s="484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'[58]Sch C'!D188</f>
        <v>0</v>
      </c>
      <c r="D177" s="558">
        <f>'[58]Sch C'!F188</f>
        <v>0</v>
      </c>
      <c r="E177" s="171">
        <f t="shared" si="45"/>
        <v>0</v>
      </c>
      <c r="F177" s="484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'[58]Sch C'!D189</f>
        <v>0</v>
      </c>
      <c r="D178" s="558">
        <f>'[58]Sch C'!F189</f>
        <v>0</v>
      </c>
      <c r="E178" s="171">
        <f t="shared" si="45"/>
        <v>0</v>
      </c>
      <c r="F178" s="484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'[58]Sch C'!D190</f>
        <v>0</v>
      </c>
      <c r="D179" s="558">
        <f>'[58]Sch C'!F190</f>
        <v>0</v>
      </c>
      <c r="E179" s="171">
        <f t="shared" si="45"/>
        <v>0</v>
      </c>
      <c r="F179" s="484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'[58]Sch C'!D191</f>
        <v>0</v>
      </c>
      <c r="D180" s="558">
        <f>'[58]Sch C'!F191</f>
        <v>0</v>
      </c>
      <c r="E180" s="171">
        <f t="shared" si="45"/>
        <v>0</v>
      </c>
      <c r="F180" s="484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'[58]Sch C'!D192</f>
        <v>0</v>
      </c>
      <c r="D181" s="558">
        <f>'[58]Sch C'!F192</f>
        <v>0</v>
      </c>
      <c r="E181" s="171">
        <f t="shared" si="45"/>
        <v>0</v>
      </c>
      <c r="F181" s="484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'[58]Sch C'!D193</f>
        <v>0</v>
      </c>
      <c r="D182" s="558">
        <f>'[58]Sch C'!F193</f>
        <v>0</v>
      </c>
      <c r="E182" s="171">
        <f t="shared" si="45"/>
        <v>0</v>
      </c>
      <c r="F182" s="484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'[58]Sch C'!D194</f>
        <v>322306.65000000002</v>
      </c>
      <c r="D183" s="558">
        <f>'[58]Sch C'!F194</f>
        <v>-5828.51</v>
      </c>
      <c r="E183" s="171">
        <f t="shared" si="45"/>
        <v>316478.14</v>
      </c>
      <c r="F183" s="484"/>
      <c r="G183" s="171">
        <f t="shared" si="46"/>
        <v>316478.14</v>
      </c>
      <c r="H183" s="172">
        <f t="shared" si="47"/>
        <v>5.2104221891387199E-2</v>
      </c>
      <c r="I183" s="336"/>
      <c r="J183" s="223"/>
      <c r="K183" s="218"/>
      <c r="M183" s="364">
        <f t="shared" si="48"/>
        <v>12.896945270793431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'[58]Sch C'!D195</f>
        <v>8269.84</v>
      </c>
      <c r="D184" s="558">
        <f>'[58]Sch C'!F195</f>
        <v>-114.28</v>
      </c>
      <c r="E184" s="171">
        <f t="shared" si="45"/>
        <v>8155.56</v>
      </c>
      <c r="F184" s="484"/>
      <c r="G184" s="171">
        <f t="shared" si="46"/>
        <v>8155.56</v>
      </c>
      <c r="H184" s="172">
        <f t="shared" si="47"/>
        <v>1.3427123525451767E-3</v>
      </c>
      <c r="I184" s="336"/>
      <c r="J184" s="223"/>
      <c r="K184" s="218"/>
      <c r="M184" s="364">
        <f t="shared" si="48"/>
        <v>0.33235095154651778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'[58]Sch C'!D196</f>
        <v>0</v>
      </c>
      <c r="D185" s="558">
        <f>'[58]Sch C'!F196</f>
        <v>0</v>
      </c>
      <c r="E185" s="171">
        <f t="shared" si="45"/>
        <v>0</v>
      </c>
      <c r="F185" s="484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'[58]Sch C'!D197</f>
        <v>305244.34000000003</v>
      </c>
      <c r="D186" s="558">
        <f>'[58]Sch C'!F197</f>
        <v>-5599.95</v>
      </c>
      <c r="E186" s="171">
        <f t="shared" si="45"/>
        <v>299644.39</v>
      </c>
      <c r="F186" s="484"/>
      <c r="G186" s="171">
        <f t="shared" si="46"/>
        <v>299644.39</v>
      </c>
      <c r="H186" s="172">
        <f t="shared" si="47"/>
        <v>4.9332752603605937E-2</v>
      </c>
      <c r="I186" s="336"/>
      <c r="J186" s="223"/>
      <c r="K186" s="218"/>
      <c r="M186" s="364">
        <f t="shared" si="48"/>
        <v>12.210945433799258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'[58]Sch C'!D198</f>
        <v>31501.19</v>
      </c>
      <c r="D187" s="558">
        <f>'[58]Sch C'!F198</f>
        <v>0</v>
      </c>
      <c r="E187" s="171">
        <f t="shared" si="45"/>
        <v>31501.19</v>
      </c>
      <c r="F187" s="484"/>
      <c r="G187" s="171">
        <f t="shared" si="46"/>
        <v>31501.19</v>
      </c>
      <c r="H187" s="172">
        <f t="shared" si="47"/>
        <v>5.1862823561929028E-3</v>
      </c>
      <c r="I187" s="336"/>
      <c r="J187" s="223"/>
      <c r="K187" s="218"/>
      <c r="M187" s="364">
        <f t="shared" si="48"/>
        <v>1.2837193854680304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'[58]Sch C'!D199</f>
        <v>0</v>
      </c>
      <c r="D188" s="558">
        <f>'[58]Sch C'!F199</f>
        <v>0</v>
      </c>
      <c r="E188" s="171">
        <f t="shared" si="45"/>
        <v>0</v>
      </c>
      <c r="F188" s="484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'[58]Sch C'!D200</f>
        <v>0</v>
      </c>
      <c r="D189" s="558">
        <f>'[58]Sch C'!F200</f>
        <v>0</v>
      </c>
      <c r="E189" s="171">
        <f t="shared" si="45"/>
        <v>0</v>
      </c>
      <c r="F189" s="484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'[58]Sch C'!D201</f>
        <v>0</v>
      </c>
      <c r="D190" s="558">
        <f>'[58]Sch C'!F201</f>
        <v>0</v>
      </c>
      <c r="E190" s="171">
        <f t="shared" si="45"/>
        <v>0</v>
      </c>
      <c r="F190" s="484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'[58]Sch C'!D202</f>
        <v>0</v>
      </c>
      <c r="D191" s="558">
        <f>'[58]Sch C'!F202</f>
        <v>0</v>
      </c>
      <c r="E191" s="171">
        <f t="shared" si="45"/>
        <v>0</v>
      </c>
      <c r="F191" s="484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'[58]Sch C'!D203</f>
        <v>0</v>
      </c>
      <c r="D192" s="558">
        <f>'[58]Sch C'!F203</f>
        <v>0</v>
      </c>
      <c r="E192" s="171">
        <f t="shared" si="45"/>
        <v>0</v>
      </c>
      <c r="F192" s="484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'[58]Sch C'!D204</f>
        <v>0</v>
      </c>
      <c r="D193" s="558">
        <f>'[58]Sch C'!F204</f>
        <v>0</v>
      </c>
      <c r="E193" s="171">
        <f t="shared" si="45"/>
        <v>0</v>
      </c>
      <c r="F193" s="484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'[58]Sch C'!D205</f>
        <v>311010.13</v>
      </c>
      <c r="D194" s="558">
        <f>'[58]Sch C'!F205</f>
        <v>0</v>
      </c>
      <c r="E194" s="171">
        <f t="shared" si="45"/>
        <v>311010.13</v>
      </c>
      <c r="F194" s="484"/>
      <c r="G194" s="171">
        <f t="shared" si="46"/>
        <v>311010.13</v>
      </c>
      <c r="H194" s="172">
        <f t="shared" si="47"/>
        <v>5.1203981494548655E-2</v>
      </c>
      <c r="I194" s="336"/>
      <c r="J194" s="223"/>
      <c r="K194" s="218"/>
      <c r="M194" s="364">
        <f t="shared" si="48"/>
        <v>12.674115897143324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'[58]Sch C'!D206</f>
        <v>7922.06</v>
      </c>
      <c r="D195" s="558">
        <f>'[58]Sch C'!F206</f>
        <v>0</v>
      </c>
      <c r="E195" s="171">
        <f t="shared" si="45"/>
        <v>7922.06</v>
      </c>
      <c r="F195" s="484"/>
      <c r="G195" s="171">
        <f t="shared" si="46"/>
        <v>7922.06</v>
      </c>
      <c r="H195" s="172">
        <f t="shared" si="47"/>
        <v>1.3042694578427529E-3</v>
      </c>
      <c r="I195" s="336"/>
      <c r="J195" s="223"/>
      <c r="K195" s="218"/>
      <c r="M195" s="364">
        <f t="shared" si="48"/>
        <v>0.32283548636863768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'[58]Sch C'!D207</f>
        <v>-15427.17</v>
      </c>
      <c r="D196" s="558">
        <f>'[58]Sch C'!F207</f>
        <v>0</v>
      </c>
      <c r="E196" s="171">
        <f t="shared" si="45"/>
        <v>-15427.17</v>
      </c>
      <c r="F196" s="484"/>
      <c r="G196" s="171">
        <f t="shared" si="46"/>
        <v>-15427.17</v>
      </c>
      <c r="H196" s="172">
        <f t="shared" si="47"/>
        <v>-2.5398932413978159E-3</v>
      </c>
      <c r="I196" s="336"/>
      <c r="J196" s="223"/>
      <c r="K196" s="218"/>
      <c r="M196" s="364">
        <f t="shared" si="48"/>
        <v>-0.62867965279758753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970827.04</v>
      </c>
      <c r="D197" s="558">
        <f>SUM(D164:D196)</f>
        <v>-11542.74</v>
      </c>
      <c r="E197" s="171">
        <f t="shared" ref="E197:F197" si="49">SUM(E164:E196)</f>
        <v>959284.3</v>
      </c>
      <c r="F197" s="171">
        <f t="shared" si="49"/>
        <v>0</v>
      </c>
      <c r="G197" s="171">
        <f>SUM(G164:G196)</f>
        <v>959284.3</v>
      </c>
      <c r="H197" s="172">
        <f>IF($G$208=0,0,G197/$G$208)</f>
        <v>0.15793432691472481</v>
      </c>
      <c r="I197" s="336"/>
      <c r="J197" s="168"/>
      <c r="K197" s="168"/>
      <c r="M197" s="364">
        <f>G197/G$228</f>
        <v>39.092232772321616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'[58]Sch C'!D211</f>
        <v>78883.570000000007</v>
      </c>
      <c r="D200" s="558">
        <f>'[58]Sch C'!F211</f>
        <v>0</v>
      </c>
      <c r="E200" s="171">
        <f t="shared" ref="E200:E205" si="50">C200+D200</f>
        <v>78883.570000000007</v>
      </c>
      <c r="F200" s="484"/>
      <c r="G200" s="171">
        <f t="shared" ref="G200:G205" si="51">E200+F200</f>
        <v>78883.570000000007</v>
      </c>
      <c r="H200" s="172">
        <f t="shared" ref="H200:H206" si="52">IF($G$208=0,0,G200/$G$208)</f>
        <v>1.2987206746300944E-2</v>
      </c>
      <c r="I200" s="336"/>
      <c r="J200" s="183">
        <v>6073.64</v>
      </c>
      <c r="K200" s="183">
        <v>6655.95</v>
      </c>
      <c r="M200" s="364">
        <f t="shared" ref="M200:M205" si="53">G200/G$228</f>
        <v>3.2146204001793066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'[58]Sch C'!D212</f>
        <v>23993.07</v>
      </c>
      <c r="D201" s="558">
        <f>'[58]Sch C'!F212</f>
        <v>0</v>
      </c>
      <c r="E201" s="171">
        <f t="shared" si="50"/>
        <v>23993.07</v>
      </c>
      <c r="F201" s="484"/>
      <c r="G201" s="171">
        <f t="shared" si="51"/>
        <v>23993.07</v>
      </c>
      <c r="H201" s="172">
        <f t="shared" si="52"/>
        <v>3.9501630132671578E-3</v>
      </c>
      <c r="I201" s="336"/>
      <c r="J201" s="168"/>
      <c r="K201" s="168"/>
      <c r="M201" s="364">
        <f t="shared" si="53"/>
        <v>0.97775255715391829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'[58]Sch C'!D213</f>
        <v>4138</v>
      </c>
      <c r="D202" s="558">
        <f>'[58]Sch C'!F213</f>
        <v>0</v>
      </c>
      <c r="E202" s="171">
        <f t="shared" si="50"/>
        <v>4138</v>
      </c>
      <c r="F202" s="484"/>
      <c r="G202" s="171">
        <f t="shared" si="51"/>
        <v>4138</v>
      </c>
      <c r="H202" s="172">
        <f t="shared" si="52"/>
        <v>6.8127065643952599E-4</v>
      </c>
      <c r="I202" s="336"/>
      <c r="J202" s="168"/>
      <c r="K202" s="168"/>
      <c r="M202" s="364">
        <f t="shared" si="53"/>
        <v>0.16862952850564408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'[58]Sch C'!D214</f>
        <v>0</v>
      </c>
      <c r="D203" s="558">
        <f>'[58]Sch C'!F214</f>
        <v>0</v>
      </c>
      <c r="E203" s="171">
        <f t="shared" si="50"/>
        <v>0</v>
      </c>
      <c r="F203" s="484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'[58]Sch C'!D215</f>
        <v>0</v>
      </c>
      <c r="D204" s="558">
        <f>'[58]Sch C'!F215</f>
        <v>0</v>
      </c>
      <c r="E204" s="171">
        <f t="shared" si="50"/>
        <v>0</v>
      </c>
      <c r="F204" s="484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'[58]Sch C'!D216</f>
        <v>4961.67</v>
      </c>
      <c r="D205" s="558">
        <f>'[58]Sch C'!F216</f>
        <v>0</v>
      </c>
      <c r="E205" s="171">
        <f t="shared" si="50"/>
        <v>4961.67</v>
      </c>
      <c r="F205" s="484"/>
      <c r="G205" s="171">
        <f t="shared" si="51"/>
        <v>4961.67</v>
      </c>
      <c r="H205" s="172">
        <f t="shared" si="52"/>
        <v>8.1687776170524481E-4</v>
      </c>
      <c r="I205" s="336"/>
      <c r="J205" s="168"/>
      <c r="K205" s="168"/>
      <c r="M205" s="364">
        <f t="shared" si="53"/>
        <v>0.20219528098129508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111976.31000000001</v>
      </c>
      <c r="D206" s="558">
        <f>SUM(D200:D205)</f>
        <v>0</v>
      </c>
      <c r="E206" s="171">
        <f t="shared" ref="E206:F206" si="54">SUM(E200:E205)</f>
        <v>111976.31000000001</v>
      </c>
      <c r="F206" s="171">
        <f t="shared" si="54"/>
        <v>0</v>
      </c>
      <c r="G206" s="171">
        <f>SUM(G200:G205)</f>
        <v>111976.31000000001</v>
      </c>
      <c r="H206" s="172">
        <f t="shared" si="52"/>
        <v>1.8435518177712874E-2</v>
      </c>
      <c r="I206" s="336"/>
      <c r="J206" s="168"/>
      <c r="K206" s="168"/>
      <c r="M206" s="364">
        <f>G206/G$228</f>
        <v>4.5631977668201644</v>
      </c>
      <c r="N206" s="359">
        <f>SUMMARY!J209</f>
        <v>7.1515095990067339</v>
      </c>
      <c r="O206" s="354">
        <f>M206/N206-1</f>
        <v>-0.3619252405878135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6328700.9400000032</v>
      </c>
      <c r="D208" s="558">
        <f>SUM(D25:D206)/2</f>
        <v>-254756.67</v>
      </c>
      <c r="E208" s="171">
        <f t="shared" ref="E208:F208" si="55">SUM(E25:E206)/2</f>
        <v>6073944.2700000033</v>
      </c>
      <c r="F208" s="171">
        <f t="shared" si="55"/>
        <v>0</v>
      </c>
      <c r="G208" s="171">
        <f>SUM(G25:G206)/2</f>
        <v>6073944.2700000033</v>
      </c>
      <c r="H208" s="172">
        <f>IF($G$208=0,0,G208/$G$208)</f>
        <v>1</v>
      </c>
      <c r="I208" s="336"/>
      <c r="J208" s="183">
        <f>SUM(J25:J200)</f>
        <v>141834.81</v>
      </c>
      <c r="K208" s="183">
        <f>SUM(K25:K200)</f>
        <v>152268.07</v>
      </c>
      <c r="M208" s="364">
        <f>G208/G$228</f>
        <v>247.52207791678566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-0.91303504122034118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H210"/>
      <c r="I210"/>
      <c r="J210"/>
      <c r="K210"/>
      <c r="P210"/>
      <c r="Q210"/>
    </row>
    <row r="211" spans="1:17" s="167" customFormat="1">
      <c r="A211" s="163"/>
      <c r="B211" s="228" t="s">
        <v>181</v>
      </c>
      <c r="C211" s="558">
        <f>'[58]Sch C'!D221</f>
        <v>6328700.9400000004</v>
      </c>
      <c r="D211" s="196"/>
      <c r="E211" s="165"/>
      <c r="F211"/>
      <c r="G211"/>
      <c r="H211"/>
      <c r="I211"/>
      <c r="J211"/>
      <c r="K211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H212"/>
      <c r="I212"/>
      <c r="J212"/>
      <c r="K212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/>
      <c r="I213"/>
      <c r="J213"/>
      <c r="K213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-347930.44000000414</v>
      </c>
      <c r="D215" s="558">
        <f>D21-D208</f>
        <v>280618.38</v>
      </c>
      <c r="E215" s="171">
        <f t="shared" ref="E215:F215" si="56">E21-E208</f>
        <v>-67312.060000004247</v>
      </c>
      <c r="F215" s="171">
        <f t="shared" si="56"/>
        <v>758292</v>
      </c>
      <c r="G215" s="171">
        <f>G21-G208</f>
        <v>690979.93999999575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'[58]Sch D'!C9</f>
        <v>10756</v>
      </c>
      <c r="D219" s="592"/>
      <c r="E219" s="235">
        <f t="shared" ref="E219:G227" si="57">C219+D219</f>
        <v>10756</v>
      </c>
      <c r="F219" s="485"/>
      <c r="G219" s="235">
        <f t="shared" si="57"/>
        <v>10756</v>
      </c>
      <c r="H219" s="172">
        <f t="shared" ref="H219:H228" si="58">IF($G$228=0,0,G219/$G$228)</f>
        <v>0.43832267003545378</v>
      </c>
      <c r="I219" s="336"/>
      <c r="J219" s="168"/>
      <c r="K219" s="168"/>
    </row>
    <row r="220" spans="1:17">
      <c r="A220" s="163"/>
      <c r="B220" s="170" t="s">
        <v>217</v>
      </c>
      <c r="C220" s="592">
        <f>'[58]Sch D'!D9</f>
        <v>0</v>
      </c>
      <c r="D220" s="592"/>
      <c r="E220" s="235">
        <f t="shared" ref="E220:E227" si="59">C220+D220</f>
        <v>0</v>
      </c>
      <c r="F220" s="485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'[58]Sch D'!E9</f>
        <v>4215</v>
      </c>
      <c r="D221" s="592"/>
      <c r="E221" s="235">
        <f t="shared" si="59"/>
        <v>4215</v>
      </c>
      <c r="F221" s="485"/>
      <c r="G221" s="235">
        <f t="shared" si="57"/>
        <v>4215</v>
      </c>
      <c r="H221" s="172">
        <f t="shared" si="58"/>
        <v>0.17176739068421695</v>
      </c>
      <c r="I221" s="336"/>
      <c r="J221" s="168"/>
      <c r="K221" s="168"/>
    </row>
    <row r="222" spans="1:17">
      <c r="A222" s="163"/>
      <c r="B222" s="202" t="s">
        <v>334</v>
      </c>
      <c r="C222" s="592">
        <f>'[58]Sch D'!F9</f>
        <v>1385</v>
      </c>
      <c r="D222" s="592"/>
      <c r="E222" s="235">
        <f>C222+D222</f>
        <v>1385</v>
      </c>
      <c r="F222" s="485"/>
      <c r="G222" s="235">
        <f>E222+F222</f>
        <v>1385</v>
      </c>
      <c r="H222" s="172">
        <f t="shared" si="58"/>
        <v>5.644076775744733E-2</v>
      </c>
      <c r="I222" s="336"/>
      <c r="J222" s="168"/>
      <c r="K222" s="168"/>
    </row>
    <row r="223" spans="1:17">
      <c r="A223" s="163"/>
      <c r="B223" s="170" t="s">
        <v>73</v>
      </c>
      <c r="C223" s="592">
        <f>'[58]Sch D'!G9</f>
        <v>0</v>
      </c>
      <c r="D223" s="592"/>
      <c r="E223" s="235">
        <f t="shared" si="59"/>
        <v>0</v>
      </c>
      <c r="F223" s="485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'[58]Sch D'!H9</f>
        <v>4010</v>
      </c>
      <c r="D224" s="592"/>
      <c r="E224" s="235">
        <f t="shared" si="59"/>
        <v>4010</v>
      </c>
      <c r="F224" s="485"/>
      <c r="G224" s="235">
        <f t="shared" si="57"/>
        <v>4010</v>
      </c>
      <c r="H224" s="172">
        <f t="shared" si="58"/>
        <v>0.16341334202697747</v>
      </c>
      <c r="I224" s="336"/>
      <c r="J224" s="168"/>
      <c r="K224" s="168"/>
    </row>
    <row r="225" spans="1:11">
      <c r="A225" s="163"/>
      <c r="B225" s="170" t="s">
        <v>236</v>
      </c>
      <c r="C225" s="592">
        <f>'[58]Sch D'!I9</f>
        <v>1570</v>
      </c>
      <c r="D225" s="592"/>
      <c r="E225" s="235">
        <f t="shared" si="59"/>
        <v>1570</v>
      </c>
      <c r="F225" s="485"/>
      <c r="G225" s="235">
        <f t="shared" si="57"/>
        <v>1570</v>
      </c>
      <c r="H225" s="172">
        <f t="shared" si="58"/>
        <v>6.3979787277395173E-2</v>
      </c>
      <c r="I225" s="336"/>
      <c r="J225" s="168"/>
      <c r="K225" s="168"/>
    </row>
    <row r="226" spans="1:11">
      <c r="A226" s="163"/>
      <c r="B226" s="170" t="s">
        <v>235</v>
      </c>
      <c r="C226" s="592">
        <f>'[58]Sch D'!J9</f>
        <v>2603</v>
      </c>
      <c r="D226" s="592"/>
      <c r="E226" s="235">
        <f>C226+D226</f>
        <v>2603</v>
      </c>
      <c r="F226" s="485"/>
      <c r="G226" s="235">
        <f>E226+F226</f>
        <v>2603</v>
      </c>
      <c r="H226" s="172">
        <f t="shared" si="58"/>
        <v>0.10607604221850932</v>
      </c>
      <c r="I226" s="336"/>
      <c r="J226" s="168"/>
      <c r="K226" s="168"/>
    </row>
    <row r="227" spans="1:11">
      <c r="A227" s="163"/>
      <c r="B227" s="170" t="s">
        <v>179</v>
      </c>
      <c r="C227" s="592">
        <f>'[58]Sch D'!K9</f>
        <v>0</v>
      </c>
      <c r="D227" s="592"/>
      <c r="E227" s="235">
        <f t="shared" si="59"/>
        <v>0</v>
      </c>
      <c r="F227" s="485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24539</v>
      </c>
      <c r="D228" s="592">
        <f>SUM(D219:D227)</f>
        <v>0</v>
      </c>
      <c r="E228" s="237">
        <f>SUM(E219:E227)</f>
        <v>24539</v>
      </c>
      <c r="F228" s="237">
        <f>SUM(F219:F227)</f>
        <v>0</v>
      </c>
      <c r="G228" s="237">
        <f>SUM(G219:G227)</f>
        <v>24539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506" t="s">
        <v>462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'[58]Sch D'!N22</f>
        <v>120</v>
      </c>
      <c r="D231" s="559"/>
      <c r="E231" s="235">
        <f>C231+D231</f>
        <v>120</v>
      </c>
      <c r="F231" s="486">
        <v>2</v>
      </c>
      <c r="G231" s="235">
        <f>E231+F231</f>
        <v>122</v>
      </c>
      <c r="H231" s="167"/>
      <c r="J231" s="168"/>
      <c r="K231" s="168"/>
    </row>
    <row r="232" spans="1:11">
      <c r="A232" s="163"/>
      <c r="B232" s="202" t="s">
        <v>290</v>
      </c>
      <c r="C232" s="593">
        <f>'[58]Sch D'!N24</f>
        <v>120</v>
      </c>
      <c r="D232" s="559"/>
      <c r="E232" s="235">
        <f>C232+D232</f>
        <v>120</v>
      </c>
      <c r="F232" s="486">
        <v>2</v>
      </c>
      <c r="G232" s="235">
        <f>E232+F232</f>
        <v>122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'[58]Sch D'!N28</f>
        <v>43920</v>
      </c>
      <c r="D235" s="483"/>
      <c r="E235" s="234">
        <f>E231*E233</f>
        <v>43920</v>
      </c>
      <c r="F235" s="483"/>
      <c r="G235" s="234">
        <f>G231*G233</f>
        <v>44652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'[58]Sch D'!N30</f>
        <v>0.55872040072859741</v>
      </c>
      <c r="D236" s="239"/>
      <c r="E236" s="244">
        <f>E228/E235</f>
        <v>0.55872040072859741</v>
      </c>
      <c r="F236" s="245"/>
      <c r="G236" s="244">
        <f>G228/G235</f>
        <v>0.54956104989698107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'[58]Sch D'!N32</f>
        <v>0.24489981785063752</v>
      </c>
      <c r="D237" s="239"/>
      <c r="E237" s="244">
        <f>(E219+E220)/E235</f>
        <v>0.24489981785063752</v>
      </c>
      <c r="F237" s="245"/>
      <c r="G237" s="244">
        <f>(G219+G220)/G235</f>
        <v>0.24088506673833199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'[58]Sch D'!N34</f>
        <v>0.43832267003545378</v>
      </c>
      <c r="D238" s="239"/>
      <c r="E238" s="244">
        <f>(E237/E236)</f>
        <v>0.43832267003545378</v>
      </c>
      <c r="F238" s="245"/>
      <c r="G238" s="244">
        <f>(G237/G236)</f>
        <v>0.43832267003545378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'[58]Sch B'!C85</f>
        <v>197.45588102409636</v>
      </c>
    </row>
    <row r="242" spans="2:7">
      <c r="F242" s="142" t="s">
        <v>341</v>
      </c>
      <c r="G242" s="558">
        <f>'[58]Sch B'!E85</f>
        <v>264.25118306351186</v>
      </c>
    </row>
    <row r="243" spans="2:7">
      <c r="F243" s="142" t="s">
        <v>342</v>
      </c>
      <c r="G243" s="558">
        <f>'[58]Sch B'!G85</f>
        <v>226.5943775100402</v>
      </c>
    </row>
    <row r="244" spans="2:7">
      <c r="F244" s="142" t="s">
        <v>343</v>
      </c>
      <c r="G244" s="558">
        <f>'[58]Sch B'!I85</f>
        <v>233.76107587768973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E28CAB"/>
  </sheetPr>
  <dimension ref="A1:AC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474</v>
      </c>
      <c r="D2" s="246"/>
      <c r="E2" s="144"/>
      <c r="F2" s="460"/>
    </row>
    <row r="3" spans="1:17">
      <c r="A3" s="145"/>
      <c r="B3" s="140" t="s">
        <v>79</v>
      </c>
      <c r="C3" s="489">
        <v>42186</v>
      </c>
      <c r="D3" s="144"/>
      <c r="E3" s="147"/>
      <c r="F3" s="510"/>
    </row>
    <row r="4" spans="1:17">
      <c r="A4" s="145"/>
      <c r="B4" s="148" t="s">
        <v>80</v>
      </c>
      <c r="C4" s="489">
        <v>42551</v>
      </c>
      <c r="D4" s="144"/>
      <c r="E4" s="149"/>
      <c r="F4" s="510"/>
      <c r="G4" s="150"/>
    </row>
    <row r="5" spans="1:17">
      <c r="A5" s="145"/>
      <c r="B5" s="148"/>
      <c r="C5" s="151"/>
      <c r="D5" s="144"/>
      <c r="F5" s="510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51" t="s">
        <v>719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'[59]Sch B'!E10</f>
        <v>1064670.9899999998</v>
      </c>
      <c r="D11" s="558">
        <f>'[59]Sch B'!G10</f>
        <v>0</v>
      </c>
      <c r="E11" s="171">
        <f>C11+D11</f>
        <v>1064670.9899999998</v>
      </c>
      <c r="F11" s="752">
        <v>472455</v>
      </c>
      <c r="G11" s="171">
        <f t="shared" ref="G11:G20" si="0">E11+F11</f>
        <v>1537125.9899999998</v>
      </c>
      <c r="H11" s="172">
        <f t="shared" ref="H11:H21" si="1">IF($G$21=0,0,G11/$G$21)</f>
        <v>0.4923173370537558</v>
      </c>
      <c r="I11" s="555" t="s">
        <v>718</v>
      </c>
      <c r="J11" s="368" t="s">
        <v>344</v>
      </c>
      <c r="K11" s="369">
        <f>G21</f>
        <v>3122226</v>
      </c>
      <c r="M11" s="359">
        <f>IFERROR(G11/G219,0)</f>
        <v>240.10090440487343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'[59]Sch B'!E15</f>
        <v>0</v>
      </c>
      <c r="D12" s="558">
        <f>'[59]Sch B'!G15</f>
        <v>0</v>
      </c>
      <c r="E12" s="171">
        <f t="shared" ref="E12:E20" si="2">C12+D12</f>
        <v>0</v>
      </c>
      <c r="F12" s="484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2374625.8400000003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'[59]Sch B'!E21</f>
        <v>532845.71</v>
      </c>
      <c r="D13" s="558">
        <f>'[59]Sch B'!G21</f>
        <v>0</v>
      </c>
      <c r="E13" s="171">
        <f t="shared" si="2"/>
        <v>532845.71</v>
      </c>
      <c r="F13" s="484"/>
      <c r="G13" s="171">
        <f t="shared" si="0"/>
        <v>532845.71</v>
      </c>
      <c r="H13" s="172">
        <f t="shared" si="1"/>
        <v>0.17066212055117086</v>
      </c>
      <c r="I13" s="336"/>
      <c r="J13" s="370" t="s">
        <v>346</v>
      </c>
      <c r="K13" s="371">
        <f>G228</f>
        <v>10385</v>
      </c>
      <c r="M13" s="359">
        <f t="shared" si="3"/>
        <v>518.33240272373541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'[59]Sch B'!E27</f>
        <v>189380.91</v>
      </c>
      <c r="D14" s="558">
        <f>'[59]Sch B'!G27</f>
        <v>0</v>
      </c>
      <c r="E14" s="171">
        <f t="shared" si="2"/>
        <v>189380.91</v>
      </c>
      <c r="F14" s="542"/>
      <c r="G14" s="175">
        <f>E14+F14</f>
        <v>189380.91</v>
      </c>
      <c r="H14" s="176">
        <f t="shared" si="1"/>
        <v>6.0655734082029934E-2</v>
      </c>
      <c r="I14" s="337"/>
      <c r="J14" s="370" t="s">
        <v>347</v>
      </c>
      <c r="K14" s="371">
        <f>G231</f>
        <v>46</v>
      </c>
      <c r="M14" s="359">
        <f t="shared" si="3"/>
        <v>343.70401088929219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'[59]Sch B'!E32</f>
        <v>0</v>
      </c>
      <c r="D15" s="558">
        <f>'[59]Sch B'!G32</f>
        <v>0</v>
      </c>
      <c r="E15" s="171">
        <f t="shared" si="2"/>
        <v>0</v>
      </c>
      <c r="F15" s="484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16836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'[59]Sch B'!E37</f>
        <v>403399.20999999996</v>
      </c>
      <c r="D16" s="558">
        <f>'[59]Sch B'!G37</f>
        <v>0</v>
      </c>
      <c r="E16" s="171">
        <f t="shared" si="2"/>
        <v>403399.20999999996</v>
      </c>
      <c r="F16" s="484"/>
      <c r="G16" s="171">
        <f t="shared" si="0"/>
        <v>403399.20999999996</v>
      </c>
      <c r="H16" s="172">
        <f t="shared" si="1"/>
        <v>0.12920243761982636</v>
      </c>
      <c r="I16" s="336"/>
      <c r="J16" s="372"/>
      <c r="K16" s="371"/>
      <c r="M16" s="359">
        <f t="shared" si="3"/>
        <v>225.11116629464283</v>
      </c>
      <c r="N16" s="359">
        <f>SUMMARY!J19</f>
        <v>209.32685676266178</v>
      </c>
      <c r="P16"/>
      <c r="Q16"/>
    </row>
    <row r="17" spans="1:29" s="167" customFormat="1">
      <c r="A17" s="169" t="s">
        <v>215</v>
      </c>
      <c r="B17" s="170" t="s">
        <v>228</v>
      </c>
      <c r="C17" s="558">
        <f>'[59]Sch B'!E42</f>
        <v>0</v>
      </c>
      <c r="D17" s="558">
        <f>'[59]Sch B'!G42</f>
        <v>42408.160000000003</v>
      </c>
      <c r="E17" s="171">
        <f t="shared" si="2"/>
        <v>42408.160000000003</v>
      </c>
      <c r="F17" s="484"/>
      <c r="G17" s="171">
        <f>E17+F17</f>
        <v>42408.160000000003</v>
      </c>
      <c r="H17" s="172">
        <f t="shared" si="1"/>
        <v>1.3582668262963669E-2</v>
      </c>
      <c r="I17" s="336"/>
      <c r="J17" s="370" t="s">
        <v>156</v>
      </c>
      <c r="K17" s="371">
        <f>J208</f>
        <v>56978.14</v>
      </c>
      <c r="M17" s="359">
        <f t="shared" si="3"/>
        <v>177.44000000000003</v>
      </c>
      <c r="N17" s="359">
        <f>SUMMARY!J20</f>
        <v>177.55325692366318</v>
      </c>
      <c r="P17"/>
      <c r="Q17"/>
    </row>
    <row r="18" spans="1:29" s="167" customFormat="1" ht="16" thickBot="1">
      <c r="A18" s="169" t="s">
        <v>216</v>
      </c>
      <c r="B18" s="170" t="s">
        <v>229</v>
      </c>
      <c r="C18" s="558">
        <f>'[59]Sch B'!E47</f>
        <v>82100.260000000009</v>
      </c>
      <c r="D18" s="558">
        <f>'[59]Sch B'!G47</f>
        <v>-42408.160000000003</v>
      </c>
      <c r="E18" s="171">
        <f t="shared" si="2"/>
        <v>39692.100000000006</v>
      </c>
      <c r="F18" s="484"/>
      <c r="G18" s="171">
        <f>E18+F18</f>
        <v>39692.100000000006</v>
      </c>
      <c r="H18" s="172">
        <f t="shared" si="1"/>
        <v>1.2712756860009495E-2</v>
      </c>
      <c r="I18" s="336"/>
      <c r="J18" s="373" t="s">
        <v>252</v>
      </c>
      <c r="K18" s="374">
        <f>K208</f>
        <v>60774.71</v>
      </c>
      <c r="M18" s="359">
        <f t="shared" si="3"/>
        <v>109.04423076923078</v>
      </c>
      <c r="N18" s="359">
        <f>SUMMARY!J21</f>
        <v>189.23177326776752</v>
      </c>
      <c r="P18"/>
      <c r="Q18"/>
    </row>
    <row r="19" spans="1:29" s="167" customFormat="1">
      <c r="A19" s="169" t="s">
        <v>227</v>
      </c>
      <c r="B19" s="177" t="s">
        <v>173</v>
      </c>
      <c r="C19" s="558">
        <f>'[59]Sch B'!E52</f>
        <v>0</v>
      </c>
      <c r="D19" s="558">
        <f>'[59]Sch B'!G52</f>
        <v>0</v>
      </c>
      <c r="E19" s="171">
        <f t="shared" si="2"/>
        <v>0</v>
      </c>
      <c r="F19" s="484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29" s="167" customFormat="1">
      <c r="A20" s="169" t="s">
        <v>183</v>
      </c>
      <c r="B20" s="23" t="s">
        <v>180</v>
      </c>
      <c r="C20" s="558">
        <f>'[59]Sch B'!E67</f>
        <v>377373.92</v>
      </c>
      <c r="D20" s="558">
        <f>'[59]Sch B'!G67</f>
        <v>0</v>
      </c>
      <c r="E20" s="171">
        <f t="shared" si="2"/>
        <v>377373.92</v>
      </c>
      <c r="F20" s="484"/>
      <c r="G20" s="171">
        <f t="shared" si="0"/>
        <v>377373.92</v>
      </c>
      <c r="H20" s="172">
        <f t="shared" si="1"/>
        <v>0.12086694557024379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29" s="167" customFormat="1">
      <c r="A21" s="169"/>
      <c r="B21" s="178" t="s">
        <v>77</v>
      </c>
      <c r="C21" s="558">
        <f>SUM(C11:C20)</f>
        <v>2649770.9999999991</v>
      </c>
      <c r="D21" s="558">
        <f>SUM(D11:D20)</f>
        <v>0</v>
      </c>
      <c r="E21" s="171">
        <f>SUM(E11:E20)</f>
        <v>2649770.9999999995</v>
      </c>
      <c r="F21" s="171">
        <f>SUM(F11:F20)</f>
        <v>472455</v>
      </c>
      <c r="G21" s="171">
        <f>SUM(G11:G20)</f>
        <v>3122226</v>
      </c>
      <c r="H21" s="172">
        <f t="shared" si="1"/>
        <v>1</v>
      </c>
      <c r="I21" s="336"/>
      <c r="J21" s="168"/>
      <c r="K21" s="168"/>
      <c r="M21" s="359">
        <f>IFERROR(G21/G228,0)</f>
        <v>300.64766490129995</v>
      </c>
      <c r="N21" s="359">
        <f>SUMMARY!J24</f>
        <v>278.37842406091033</v>
      </c>
      <c r="P21"/>
      <c r="Q21"/>
    </row>
    <row r="22" spans="1:29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29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  <c r="Z23" s="460" t="s">
        <v>434</v>
      </c>
      <c r="AB23" s="460" t="s">
        <v>435</v>
      </c>
    </row>
    <row r="24" spans="1:29">
      <c r="A24" s="181" t="s">
        <v>161</v>
      </c>
      <c r="B24" s="148" t="s">
        <v>12</v>
      </c>
      <c r="F24"/>
      <c r="M24" s="363"/>
      <c r="N24" s="363"/>
      <c r="Z24" s="140" t="s">
        <v>432</v>
      </c>
      <c r="AA24" s="140" t="s">
        <v>433</v>
      </c>
      <c r="AB24" s="140" t="s">
        <v>432</v>
      </c>
      <c r="AC24" s="140" t="s">
        <v>433</v>
      </c>
    </row>
    <row r="25" spans="1:29" s="167" customFormat="1">
      <c r="A25" s="169" t="s">
        <v>83</v>
      </c>
      <c r="B25" s="170" t="s">
        <v>14</v>
      </c>
      <c r="C25" s="558">
        <f>'[59]Sch C'!D10</f>
        <v>0</v>
      </c>
      <c r="D25" s="558">
        <f>'[59]Sch C'!F10</f>
        <v>72563</v>
      </c>
      <c r="E25" s="171">
        <f t="shared" ref="E25:E60" si="4">C25+D25</f>
        <v>72563</v>
      </c>
      <c r="F25" s="484"/>
      <c r="G25" s="182">
        <f>E25+F25</f>
        <v>72563</v>
      </c>
      <c r="H25" s="172">
        <f>IF($G$208=0,0,G25/$G$208)</f>
        <v>3.0557656190585373E-2</v>
      </c>
      <c r="I25" s="336"/>
      <c r="J25" s="183">
        <v>1978.08</v>
      </c>
      <c r="K25" s="183">
        <v>2080.08</v>
      </c>
      <c r="M25" s="359">
        <f>G25/G$228</f>
        <v>6.9872893596533459</v>
      </c>
      <c r="N25" s="359">
        <f>SUMMARY!J28</f>
        <v>5.2871017912533844</v>
      </c>
      <c r="P25"/>
      <c r="Q25"/>
      <c r="Z25" s="183">
        <v>0</v>
      </c>
      <c r="AA25" s="183">
        <v>0</v>
      </c>
      <c r="AB25" s="486">
        <v>0</v>
      </c>
      <c r="AC25" s="486">
        <v>0</v>
      </c>
    </row>
    <row r="26" spans="1:29" s="167" customFormat="1">
      <c r="A26" s="169" t="s">
        <v>84</v>
      </c>
      <c r="B26" s="170" t="s">
        <v>176</v>
      </c>
      <c r="C26" s="558">
        <f>'[59]Sch C'!D11</f>
        <v>0</v>
      </c>
      <c r="D26" s="558">
        <f>'[59]Sch C'!F11</f>
        <v>0</v>
      </c>
      <c r="E26" s="171">
        <f t="shared" si="4"/>
        <v>0</v>
      </c>
      <c r="F26" s="484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  <c r="Z26" s="183">
        <v>0</v>
      </c>
      <c r="AA26" s="183">
        <v>0</v>
      </c>
      <c r="AB26" s="486">
        <v>0</v>
      </c>
      <c r="AC26" s="486">
        <v>0</v>
      </c>
    </row>
    <row r="27" spans="1:29" s="167" customFormat="1">
      <c r="A27" s="169" t="s">
        <v>85</v>
      </c>
      <c r="B27" s="170" t="s">
        <v>17</v>
      </c>
      <c r="C27" s="558">
        <f>'[59]Sch C'!D12</f>
        <v>34960.93</v>
      </c>
      <c r="D27" s="558">
        <f>'[59]Sch C'!F12</f>
        <v>0</v>
      </c>
      <c r="E27" s="171">
        <f t="shared" si="4"/>
        <v>34960.93</v>
      </c>
      <c r="F27" s="484"/>
      <c r="G27" s="171">
        <f t="shared" si="5"/>
        <v>34960.93</v>
      </c>
      <c r="H27" s="172">
        <f t="shared" si="6"/>
        <v>1.4722711010337525E-2</v>
      </c>
      <c r="I27" s="336"/>
      <c r="J27" s="183">
        <v>1907.01</v>
      </c>
      <c r="K27" s="183">
        <v>2257.64</v>
      </c>
      <c r="M27" s="359">
        <f t="shared" si="7"/>
        <v>3.3664833895040926</v>
      </c>
      <c r="N27" s="359">
        <f>SUMMARY!J30</f>
        <v>6.7296464607712929</v>
      </c>
      <c r="P27"/>
      <c r="Q27"/>
      <c r="Z27" s="185">
        <v>971</v>
      </c>
      <c r="AA27" s="185">
        <v>1166</v>
      </c>
      <c r="AB27" s="486">
        <v>332</v>
      </c>
      <c r="AC27" s="486">
        <v>758</v>
      </c>
    </row>
    <row r="28" spans="1:29" s="167" customFormat="1">
      <c r="A28" s="169" t="s">
        <v>86</v>
      </c>
      <c r="B28" s="170" t="s">
        <v>45</v>
      </c>
      <c r="C28" s="558">
        <f>'[59]Sch C'!D13</f>
        <v>7260.71</v>
      </c>
      <c r="D28" s="558">
        <f>'[59]Sch C'!F13</f>
        <v>17760</v>
      </c>
      <c r="E28" s="171">
        <f t="shared" si="4"/>
        <v>25020.71</v>
      </c>
      <c r="F28" s="484"/>
      <c r="G28" s="171">
        <f t="shared" si="5"/>
        <v>25020.71</v>
      </c>
      <c r="H28" s="172">
        <f t="shared" si="6"/>
        <v>1.053669575161365E-2</v>
      </c>
      <c r="I28" s="336"/>
      <c r="J28" s="168"/>
      <c r="K28" s="168"/>
      <c r="M28" s="359">
        <f t="shared" si="7"/>
        <v>2.4093124699085218</v>
      </c>
      <c r="N28" s="359">
        <f>SUMMARY!J31</f>
        <v>2.2098304126852</v>
      </c>
      <c r="P28"/>
      <c r="Q28"/>
      <c r="Z28" s="168"/>
      <c r="AA28" s="168"/>
      <c r="AB28" s="513"/>
      <c r="AC28" s="513"/>
    </row>
    <row r="29" spans="1:29" s="167" customFormat="1">
      <c r="A29" s="169" t="s">
        <v>175</v>
      </c>
      <c r="B29" s="170" t="s">
        <v>20</v>
      </c>
      <c r="C29" s="558">
        <f>'[59]Sch C'!D14</f>
        <v>0</v>
      </c>
      <c r="D29" s="558">
        <f>'[59]Sch C'!F14</f>
        <v>0</v>
      </c>
      <c r="E29" s="171">
        <f t="shared" si="4"/>
        <v>0</v>
      </c>
      <c r="F29" s="484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  <c r="Z29" s="168"/>
      <c r="AA29" s="168"/>
      <c r="AB29" s="513"/>
      <c r="AC29" s="513"/>
    </row>
    <row r="30" spans="1:29" s="167" customFormat="1">
      <c r="A30" s="169" t="s">
        <v>88</v>
      </c>
      <c r="B30" s="170" t="s">
        <v>22</v>
      </c>
      <c r="C30" s="558">
        <f>'[59]Sch C'!D15</f>
        <v>0</v>
      </c>
      <c r="D30" s="558">
        <f>'[59]Sch C'!F15</f>
        <v>0</v>
      </c>
      <c r="E30" s="171">
        <f t="shared" si="4"/>
        <v>0</v>
      </c>
      <c r="F30" s="484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  <c r="Z30" s="168"/>
      <c r="AA30" s="168"/>
      <c r="AB30" s="513"/>
      <c r="AC30" s="513"/>
    </row>
    <row r="31" spans="1:29" s="167" customFormat="1">
      <c r="A31" s="169" t="s">
        <v>89</v>
      </c>
      <c r="B31" s="170" t="s">
        <v>148</v>
      </c>
      <c r="C31" s="558">
        <f>'[59]Sch C'!D16</f>
        <v>128836</v>
      </c>
      <c r="D31" s="558">
        <f>'[59]Sch C'!F16</f>
        <v>-15860</v>
      </c>
      <c r="E31" s="171">
        <f t="shared" si="4"/>
        <v>112976</v>
      </c>
      <c r="F31" s="484"/>
      <c r="G31" s="171">
        <f t="shared" si="5"/>
        <v>112976</v>
      </c>
      <c r="H31" s="172">
        <f t="shared" si="6"/>
        <v>4.7576337331526712E-2</v>
      </c>
      <c r="I31" s="336"/>
      <c r="J31" s="168"/>
      <c r="K31" s="168"/>
      <c r="M31" s="359">
        <f t="shared" si="7"/>
        <v>10.878767453057295</v>
      </c>
      <c r="N31" s="359">
        <f>SUMMARY!J34</f>
        <v>9.228688439287323</v>
      </c>
      <c r="P31"/>
      <c r="Q31"/>
      <c r="Z31" s="168"/>
      <c r="AA31" s="168"/>
      <c r="AB31" s="513"/>
      <c r="AC31" s="513"/>
    </row>
    <row r="32" spans="1:29" s="167" customFormat="1">
      <c r="A32" s="169" t="s">
        <v>90</v>
      </c>
      <c r="B32" s="170" t="s">
        <v>23</v>
      </c>
      <c r="C32" s="558">
        <f>'[59]Sch C'!D17</f>
        <v>13028.05</v>
      </c>
      <c r="D32" s="558">
        <f>'[59]Sch C'!F17</f>
        <v>-13028.05</v>
      </c>
      <c r="E32" s="171">
        <f t="shared" si="4"/>
        <v>0</v>
      </c>
      <c r="F32" s="484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  <c r="Z32" s="168"/>
      <c r="AA32" s="168"/>
      <c r="AB32" s="513"/>
      <c r="AC32" s="513"/>
    </row>
    <row r="33" spans="1:29" s="167" customFormat="1">
      <c r="A33" s="169" t="s">
        <v>91</v>
      </c>
      <c r="B33" s="170" t="s">
        <v>24</v>
      </c>
      <c r="C33" s="558">
        <f>'[59]Sch C'!D18</f>
        <v>12651.2</v>
      </c>
      <c r="D33" s="558">
        <f>'[59]Sch C'!F18</f>
        <v>0</v>
      </c>
      <c r="E33" s="171">
        <f t="shared" si="4"/>
        <v>12651.2</v>
      </c>
      <c r="F33" s="484"/>
      <c r="G33" s="171">
        <f t="shared" si="5"/>
        <v>12651.2</v>
      </c>
      <c r="H33" s="172">
        <f t="shared" si="6"/>
        <v>5.3276603778555694E-3</v>
      </c>
      <c r="I33" s="336"/>
      <c r="J33" s="168"/>
      <c r="K33" s="168"/>
      <c r="M33" s="359">
        <f t="shared" si="7"/>
        <v>1.2182185844968705</v>
      </c>
      <c r="N33" s="359">
        <f>SUMMARY!J36</f>
        <v>0.84523554145971291</v>
      </c>
      <c r="P33"/>
      <c r="Q33"/>
      <c r="Z33" s="168"/>
      <c r="AA33" s="168"/>
      <c r="AB33" s="513"/>
      <c r="AC33" s="513"/>
    </row>
    <row r="34" spans="1:29" s="167" customFormat="1">
      <c r="A34" s="169" t="s">
        <v>92</v>
      </c>
      <c r="B34" s="170" t="s">
        <v>25</v>
      </c>
      <c r="C34" s="558">
        <f>'[59]Sch C'!D19</f>
        <v>16303.98</v>
      </c>
      <c r="D34" s="558">
        <f>'[59]Sch C'!F19</f>
        <v>0</v>
      </c>
      <c r="E34" s="171">
        <f t="shared" si="4"/>
        <v>16303.98</v>
      </c>
      <c r="F34" s="484"/>
      <c r="G34" s="171">
        <f t="shared" si="5"/>
        <v>16303.98</v>
      </c>
      <c r="H34" s="172">
        <f t="shared" si="6"/>
        <v>6.8659153477416881E-3</v>
      </c>
      <c r="I34" s="336"/>
      <c r="J34" s="168"/>
      <c r="K34" s="168"/>
      <c r="M34" s="359">
        <f t="shared" si="7"/>
        <v>1.5699547424169475</v>
      </c>
      <c r="N34" s="359">
        <f>SUMMARY!J37</f>
        <v>0.66565591578793926</v>
      </c>
      <c r="P34"/>
      <c r="Q34"/>
      <c r="Z34" s="168"/>
      <c r="AA34" s="168"/>
      <c r="AB34" s="513"/>
      <c r="AC34" s="513"/>
    </row>
    <row r="35" spans="1:29" s="167" customFormat="1">
      <c r="A35" s="169" t="s">
        <v>93</v>
      </c>
      <c r="B35" s="170" t="s">
        <v>26</v>
      </c>
      <c r="C35" s="558">
        <f>'[59]Sch C'!D20</f>
        <v>8532.67</v>
      </c>
      <c r="D35" s="558">
        <f>'[59]Sch C'!F20</f>
        <v>0</v>
      </c>
      <c r="E35" s="171">
        <f t="shared" si="4"/>
        <v>8532.67</v>
      </c>
      <c r="F35" s="484"/>
      <c r="G35" s="171">
        <f t="shared" si="5"/>
        <v>8532.67</v>
      </c>
      <c r="H35" s="172">
        <f t="shared" si="6"/>
        <v>3.5932692453140317E-3</v>
      </c>
      <c r="I35" s="336"/>
      <c r="J35" s="168"/>
      <c r="K35" s="168"/>
      <c r="M35" s="359">
        <f t="shared" si="7"/>
        <v>0.82163408762638424</v>
      </c>
      <c r="N35" s="359">
        <f>SUMMARY!J38</f>
        <v>0.8424592434119561</v>
      </c>
      <c r="P35"/>
      <c r="Q35"/>
      <c r="Z35" s="168"/>
      <c r="AA35" s="168"/>
      <c r="AB35" s="513"/>
      <c r="AC35" s="513"/>
    </row>
    <row r="36" spans="1:29" s="167" customFormat="1">
      <c r="A36" s="169" t="s">
        <v>94</v>
      </c>
      <c r="B36" s="170" t="s">
        <v>27</v>
      </c>
      <c r="C36" s="558">
        <f>'[59]Sch C'!D21</f>
        <v>34947.629999999997</v>
      </c>
      <c r="D36" s="558">
        <f>'[59]Sch C'!F21</f>
        <v>0</v>
      </c>
      <c r="E36" s="171">
        <f t="shared" si="4"/>
        <v>34947.629999999997</v>
      </c>
      <c r="F36" s="484"/>
      <c r="G36" s="171">
        <f t="shared" si="5"/>
        <v>34947.629999999997</v>
      </c>
      <c r="H36" s="172">
        <f t="shared" si="6"/>
        <v>1.471711012796862E-2</v>
      </c>
      <c r="I36" s="336"/>
      <c r="J36" s="168"/>
      <c r="K36" s="168"/>
      <c r="M36" s="359">
        <f t="shared" si="7"/>
        <v>3.365202696196437</v>
      </c>
      <c r="N36" s="359">
        <f>SUMMARY!J39</f>
        <v>1.3169235823352747</v>
      </c>
      <c r="P36"/>
      <c r="Q36"/>
      <c r="Z36" s="168"/>
      <c r="AA36" s="168"/>
      <c r="AB36" s="513"/>
      <c r="AC36" s="513"/>
    </row>
    <row r="37" spans="1:29" s="167" customFormat="1">
      <c r="A37" s="163">
        <v>130</v>
      </c>
      <c r="B37" s="170" t="s">
        <v>28</v>
      </c>
      <c r="C37" s="558">
        <f>'[59]Sch C'!D22</f>
        <v>0</v>
      </c>
      <c r="D37" s="558">
        <f>'[59]Sch C'!F22</f>
        <v>0</v>
      </c>
      <c r="E37" s="171">
        <f t="shared" si="4"/>
        <v>0</v>
      </c>
      <c r="F37" s="484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  <c r="Z37" s="168"/>
      <c r="AA37" s="168"/>
      <c r="AB37" s="513"/>
      <c r="AC37" s="513"/>
    </row>
    <row r="38" spans="1:29" s="167" customFormat="1">
      <c r="A38" s="163">
        <v>140</v>
      </c>
      <c r="B38" s="170" t="s">
        <v>149</v>
      </c>
      <c r="C38" s="558">
        <f>'[59]Sch C'!D23</f>
        <v>10269.18</v>
      </c>
      <c r="D38" s="558">
        <f>'[59]Sch C'!F23</f>
        <v>0</v>
      </c>
      <c r="E38" s="171">
        <f t="shared" si="4"/>
        <v>10269.18</v>
      </c>
      <c r="F38" s="484"/>
      <c r="G38" s="171">
        <f t="shared" si="5"/>
        <v>10269.18</v>
      </c>
      <c r="H38" s="172">
        <f t="shared" si="6"/>
        <v>4.3245465567746024E-3</v>
      </c>
      <c r="I38" s="336"/>
      <c r="J38" s="168"/>
      <c r="K38" s="168"/>
      <c r="M38" s="359">
        <f t="shared" si="7"/>
        <v>0.98884737602311024</v>
      </c>
      <c r="N38" s="359">
        <f>SUMMARY!J41</f>
        <v>0.78350447706162407</v>
      </c>
      <c r="P38"/>
      <c r="Q38"/>
      <c r="Z38" s="168"/>
      <c r="AA38" s="168"/>
      <c r="AB38" s="513"/>
      <c r="AC38" s="513"/>
    </row>
    <row r="39" spans="1:29" s="167" customFormat="1">
      <c r="A39" s="163">
        <v>150</v>
      </c>
      <c r="B39" s="170" t="s">
        <v>29</v>
      </c>
      <c r="C39" s="558">
        <f>'[59]Sch C'!D24</f>
        <v>38235.54</v>
      </c>
      <c r="D39" s="558">
        <f>'[59]Sch C'!F24</f>
        <v>21627.11</v>
      </c>
      <c r="E39" s="171">
        <f t="shared" si="4"/>
        <v>59862.65</v>
      </c>
      <c r="F39" s="484"/>
      <c r="G39" s="171">
        <f t="shared" si="5"/>
        <v>59862.65</v>
      </c>
      <c r="H39" s="172">
        <f t="shared" si="6"/>
        <v>2.5209297815103365E-2</v>
      </c>
      <c r="I39" s="336"/>
      <c r="J39" s="168"/>
      <c r="K39" s="168"/>
      <c r="M39" s="359">
        <f t="shared" si="7"/>
        <v>5.7643379874819454</v>
      </c>
      <c r="N39" s="359">
        <f>SUMMARY!J42</f>
        <v>1.2663707557948845</v>
      </c>
      <c r="P39"/>
      <c r="Q39"/>
      <c r="Z39" s="168"/>
      <c r="AA39" s="168"/>
      <c r="AB39" s="513"/>
      <c r="AC39" s="513"/>
    </row>
    <row r="40" spans="1:29" s="167" customFormat="1">
      <c r="A40" s="163">
        <v>160</v>
      </c>
      <c r="B40" s="170" t="s">
        <v>30</v>
      </c>
      <c r="C40" s="558">
        <f>'[59]Sch C'!D25</f>
        <v>0</v>
      </c>
      <c r="D40" s="558">
        <f>'[59]Sch C'!F25</f>
        <v>0</v>
      </c>
      <c r="E40" s="171">
        <f t="shared" si="4"/>
        <v>0</v>
      </c>
      <c r="F40" s="484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  <c r="Z40" s="168"/>
      <c r="AA40" s="168"/>
      <c r="AB40" s="513"/>
      <c r="AC40" s="513"/>
    </row>
    <row r="41" spans="1:29" s="167" customFormat="1">
      <c r="A41" s="163">
        <v>170</v>
      </c>
      <c r="B41" s="170" t="s">
        <v>31</v>
      </c>
      <c r="C41" s="558">
        <f>'[59]Sch C'!D26</f>
        <v>161435.84</v>
      </c>
      <c r="D41" s="558">
        <f>'[59]Sch C'!F26</f>
        <v>0</v>
      </c>
      <c r="E41" s="171">
        <f t="shared" si="4"/>
        <v>161435.84</v>
      </c>
      <c r="F41" s="484"/>
      <c r="G41" s="171">
        <f t="shared" si="5"/>
        <v>161435.84</v>
      </c>
      <c r="H41" s="172">
        <f t="shared" si="6"/>
        <v>6.7983695486106555E-2</v>
      </c>
      <c r="I41" s="336"/>
      <c r="J41" s="168"/>
      <c r="K41" s="168"/>
      <c r="M41" s="359">
        <f t="shared" si="7"/>
        <v>15.545097737120846</v>
      </c>
      <c r="N41" s="359">
        <f>SUMMARY!J44</f>
        <v>13.276275078297671</v>
      </c>
      <c r="P41"/>
      <c r="Q41"/>
      <c r="Z41" s="168"/>
      <c r="AA41" s="168"/>
      <c r="AB41" s="513"/>
      <c r="AC41" s="513"/>
    </row>
    <row r="42" spans="1:29" s="167" customFormat="1">
      <c r="A42" s="163">
        <v>180</v>
      </c>
      <c r="B42" s="170" t="s">
        <v>32</v>
      </c>
      <c r="C42" s="558">
        <f>'[59]Sch C'!D27</f>
        <v>1479.67</v>
      </c>
      <c r="D42" s="558">
        <f>'[59]Sch C'!F27</f>
        <v>0</v>
      </c>
      <c r="E42" s="171">
        <f t="shared" si="4"/>
        <v>1479.67</v>
      </c>
      <c r="F42" s="484"/>
      <c r="G42" s="171">
        <f t="shared" si="5"/>
        <v>1479.67</v>
      </c>
      <c r="H42" s="172">
        <f t="shared" si="6"/>
        <v>6.2311711389445665E-4</v>
      </c>
      <c r="I42" s="336"/>
      <c r="J42" s="168"/>
      <c r="K42" s="168"/>
      <c r="M42" s="359">
        <f t="shared" si="7"/>
        <v>0.14248146364949446</v>
      </c>
      <c r="N42" s="359">
        <f>SUMMARY!J45</f>
        <v>0.53704966247864372</v>
      </c>
      <c r="P42"/>
      <c r="Q42"/>
      <c r="Z42" s="168"/>
      <c r="AA42" s="168"/>
      <c r="AB42" s="513"/>
      <c r="AC42" s="513"/>
    </row>
    <row r="43" spans="1:29" s="167" customFormat="1">
      <c r="A43" s="163">
        <v>190</v>
      </c>
      <c r="B43" s="170" t="s">
        <v>33</v>
      </c>
      <c r="C43" s="558">
        <f>'[59]Sch C'!D28</f>
        <v>0</v>
      </c>
      <c r="D43" s="558">
        <f>'[59]Sch C'!F28</f>
        <v>0</v>
      </c>
      <c r="E43" s="171">
        <f t="shared" si="4"/>
        <v>0</v>
      </c>
      <c r="F43" s="484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  <c r="Z43" s="168"/>
      <c r="AA43" s="168"/>
      <c r="AB43" s="513"/>
      <c r="AC43" s="513"/>
    </row>
    <row r="44" spans="1:29" s="167" customFormat="1">
      <c r="A44" s="163">
        <v>200</v>
      </c>
      <c r="B44" s="170" t="s">
        <v>34</v>
      </c>
      <c r="C44" s="558">
        <f>'[59]Sch C'!D29</f>
        <v>149032.20000000001</v>
      </c>
      <c r="D44" s="558">
        <f>'[59]Sch C'!F29</f>
        <v>-149032.20000000001</v>
      </c>
      <c r="E44" s="171">
        <f t="shared" si="4"/>
        <v>0</v>
      </c>
      <c r="F44" s="484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  <c r="Z44" s="168"/>
      <c r="AA44" s="168"/>
      <c r="AB44" s="513"/>
      <c r="AC44" s="513"/>
    </row>
    <row r="45" spans="1:29" s="167" customFormat="1">
      <c r="A45" s="163">
        <v>210</v>
      </c>
      <c r="B45" s="170" t="s">
        <v>35</v>
      </c>
      <c r="C45" s="558">
        <f>'[59]Sch C'!D30</f>
        <v>0</v>
      </c>
      <c r="D45" s="558">
        <f>'[59]Sch C'!F30</f>
        <v>0</v>
      </c>
      <c r="E45" s="171">
        <f t="shared" si="4"/>
        <v>0</v>
      </c>
      <c r="F45" s="484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  <c r="Z45" s="168"/>
      <c r="AA45" s="168"/>
      <c r="AB45" s="513"/>
      <c r="AC45" s="513"/>
    </row>
    <row r="46" spans="1:29" s="167" customFormat="1">
      <c r="A46" s="163">
        <v>220</v>
      </c>
      <c r="B46" s="170" t="s">
        <v>190</v>
      </c>
      <c r="C46" s="558">
        <f>'[59]Sch C'!D31</f>
        <v>712.36</v>
      </c>
      <c r="D46" s="558">
        <f>'[59]Sch C'!F31</f>
        <v>0</v>
      </c>
      <c r="E46" s="171">
        <f t="shared" si="4"/>
        <v>712.36</v>
      </c>
      <c r="F46" s="484"/>
      <c r="G46" s="171">
        <f t="shared" si="5"/>
        <v>712.36</v>
      </c>
      <c r="H46" s="172">
        <f t="shared" si="6"/>
        <v>2.9998831310620286E-4</v>
      </c>
      <c r="I46" s="336"/>
      <c r="J46" s="168"/>
      <c r="K46" s="168"/>
      <c r="M46" s="359">
        <f t="shared" si="7"/>
        <v>6.8595089070775161E-2</v>
      </c>
      <c r="N46" s="359">
        <f>SUMMARY!J49</f>
        <v>1.2423066513894216</v>
      </c>
      <c r="P46"/>
      <c r="Q46"/>
      <c r="Z46" s="168"/>
      <c r="AA46" s="168"/>
      <c r="AB46" s="513"/>
      <c r="AC46" s="513"/>
    </row>
    <row r="47" spans="1:29" s="167" customFormat="1">
      <c r="A47" s="163">
        <v>230</v>
      </c>
      <c r="B47" s="170" t="s">
        <v>191</v>
      </c>
      <c r="C47" s="558">
        <f>'[59]Sch C'!D32</f>
        <v>-425.23</v>
      </c>
      <c r="D47" s="558">
        <f>'[59]Sch C'!F32</f>
        <v>10827.26</v>
      </c>
      <c r="E47" s="171">
        <f t="shared" si="4"/>
        <v>10402.030000000001</v>
      </c>
      <c r="F47" s="484"/>
      <c r="G47" s="171">
        <f t="shared" si="5"/>
        <v>10402.030000000001</v>
      </c>
      <c r="H47" s="172">
        <f t="shared" si="6"/>
        <v>4.3804922126173774E-3</v>
      </c>
      <c r="I47" s="336"/>
      <c r="J47" s="168"/>
      <c r="K47" s="168"/>
      <c r="M47" s="359">
        <f t="shared" si="7"/>
        <v>1.0016398651901781</v>
      </c>
      <c r="N47" s="359">
        <f>SUMMARY!J50</f>
        <v>2.4834328319281553</v>
      </c>
      <c r="P47"/>
      <c r="Q47"/>
      <c r="Z47" s="168"/>
      <c r="AA47" s="168"/>
      <c r="AB47" s="513"/>
      <c r="AC47" s="513"/>
    </row>
    <row r="48" spans="1:29" s="167" customFormat="1">
      <c r="A48" s="163">
        <v>240</v>
      </c>
      <c r="B48" s="170" t="s">
        <v>201</v>
      </c>
      <c r="C48" s="558">
        <f>'[59]Sch C'!D33</f>
        <v>0</v>
      </c>
      <c r="D48" s="558">
        <f>'[59]Sch C'!F33</f>
        <v>0</v>
      </c>
      <c r="E48" s="171">
        <f t="shared" si="4"/>
        <v>0</v>
      </c>
      <c r="F48" s="484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  <c r="Z48" s="168"/>
      <c r="AA48" s="168"/>
      <c r="AB48" s="513"/>
      <c r="AC48" s="513"/>
    </row>
    <row r="49" spans="1:29" s="167" customFormat="1">
      <c r="A49" s="163">
        <v>250</v>
      </c>
      <c r="B49" s="170" t="s">
        <v>202</v>
      </c>
      <c r="C49" s="558">
        <f>'[59]Sch C'!D34</f>
        <v>0</v>
      </c>
      <c r="D49" s="558">
        <f>'[59]Sch C'!F34</f>
        <v>0</v>
      </c>
      <c r="E49" s="171">
        <f t="shared" si="4"/>
        <v>0</v>
      </c>
      <c r="F49" s="484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  <c r="Z49" s="168"/>
      <c r="AA49" s="168"/>
      <c r="AB49" s="513"/>
      <c r="AC49" s="513"/>
    </row>
    <row r="50" spans="1:29" s="167" customFormat="1">
      <c r="A50" s="163">
        <v>270</v>
      </c>
      <c r="B50" s="170" t="s">
        <v>203</v>
      </c>
      <c r="C50" s="558">
        <f>'[59]Sch C'!D35</f>
        <v>433.98</v>
      </c>
      <c r="D50" s="558">
        <f>'[59]Sch C'!F35</f>
        <v>-433.98</v>
      </c>
      <c r="E50" s="171">
        <f t="shared" si="4"/>
        <v>0</v>
      </c>
      <c r="F50" s="484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  <c r="Z50" s="168"/>
      <c r="AA50" s="168"/>
      <c r="AB50" s="513"/>
      <c r="AC50" s="513"/>
    </row>
    <row r="51" spans="1:29" s="167" customFormat="1">
      <c r="A51" s="163">
        <v>280</v>
      </c>
      <c r="B51" s="170" t="s">
        <v>204</v>
      </c>
      <c r="C51" s="558">
        <f>'[59]Sch C'!D36</f>
        <v>0</v>
      </c>
      <c r="D51" s="558">
        <f>'[59]Sch C'!F36</f>
        <v>0</v>
      </c>
      <c r="E51" s="171">
        <f t="shared" si="4"/>
        <v>0</v>
      </c>
      <c r="F51" s="484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  <c r="Z51" s="183">
        <v>0</v>
      </c>
      <c r="AA51" s="183">
        <v>0</v>
      </c>
      <c r="AB51" s="486">
        <v>0</v>
      </c>
      <c r="AC51" s="486">
        <v>0</v>
      </c>
    </row>
    <row r="52" spans="1:29" s="167" customFormat="1">
      <c r="A52" s="163">
        <v>290</v>
      </c>
      <c r="B52" s="170" t="s">
        <v>205</v>
      </c>
      <c r="C52" s="558">
        <f>'[59]Sch C'!D37</f>
        <v>0</v>
      </c>
      <c r="D52" s="558">
        <f>'[59]Sch C'!F37</f>
        <v>0</v>
      </c>
      <c r="E52" s="171">
        <f t="shared" si="4"/>
        <v>0</v>
      </c>
      <c r="F52" s="484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  <c r="Z52" s="168"/>
      <c r="AA52" s="168"/>
      <c r="AB52" s="513"/>
      <c r="AC52" s="513"/>
    </row>
    <row r="53" spans="1:29" s="167" customFormat="1">
      <c r="A53" s="163">
        <v>300</v>
      </c>
      <c r="B53" s="170" t="s">
        <v>206</v>
      </c>
      <c r="C53" s="558">
        <f>'[59]Sch C'!D38</f>
        <v>397.81</v>
      </c>
      <c r="D53" s="558">
        <f>'[59]Sch C'!F38</f>
        <v>0</v>
      </c>
      <c r="E53" s="171">
        <f t="shared" si="4"/>
        <v>397.81</v>
      </c>
      <c r="F53" s="484"/>
      <c r="G53" s="171">
        <f t="shared" si="5"/>
        <v>397.81</v>
      </c>
      <c r="H53" s="172">
        <f t="shared" si="6"/>
        <v>1.6752533948674624E-4</v>
      </c>
      <c r="I53" s="336"/>
      <c r="J53" s="168"/>
      <c r="K53" s="168"/>
      <c r="M53" s="359">
        <f t="shared" si="7"/>
        <v>3.8306210881078481E-2</v>
      </c>
      <c r="N53" s="359">
        <f>SUMMARY!J56</f>
        <v>2.2357065225546585E-3</v>
      </c>
      <c r="P53"/>
      <c r="Q53"/>
      <c r="Z53" s="168"/>
      <c r="AA53" s="168"/>
      <c r="AB53" s="513"/>
      <c r="AC53" s="513"/>
    </row>
    <row r="54" spans="1:29" s="167" customFormat="1">
      <c r="A54" s="163">
        <v>310</v>
      </c>
      <c r="B54" s="170" t="s">
        <v>207</v>
      </c>
      <c r="C54" s="558">
        <f>'[59]Sch C'!D39</f>
        <v>1985.55</v>
      </c>
      <c r="D54" s="558">
        <f>'[59]Sch C'!F39</f>
        <v>0</v>
      </c>
      <c r="E54" s="171">
        <f t="shared" si="4"/>
        <v>1985.55</v>
      </c>
      <c r="F54" s="484"/>
      <c r="G54" s="171">
        <f t="shared" si="5"/>
        <v>1985.55</v>
      </c>
      <c r="H54" s="172">
        <f t="shared" si="6"/>
        <v>8.3615278102086165E-4</v>
      </c>
      <c r="I54" s="336"/>
      <c r="J54" s="168"/>
      <c r="K54" s="168"/>
      <c r="M54" s="359">
        <f t="shared" si="7"/>
        <v>0.19119402985074627</v>
      </c>
      <c r="N54" s="359">
        <f>SUMMARY!J57</f>
        <v>0.27779592873572578</v>
      </c>
      <c r="P54"/>
      <c r="Q54"/>
      <c r="Z54" s="168"/>
      <c r="AA54" s="168"/>
      <c r="AB54" s="513"/>
      <c r="AC54" s="513"/>
    </row>
    <row r="55" spans="1:29" s="167" customFormat="1">
      <c r="A55" s="163">
        <v>320</v>
      </c>
      <c r="B55" s="170" t="s">
        <v>208</v>
      </c>
      <c r="C55" s="558">
        <f>'[59]Sch C'!D40</f>
        <v>11589.23</v>
      </c>
      <c r="D55" s="558">
        <f>'[59]Sch C'!F40</f>
        <v>0</v>
      </c>
      <c r="E55" s="171">
        <f t="shared" si="4"/>
        <v>11589.23</v>
      </c>
      <c r="F55" s="484"/>
      <c r="G55" s="171">
        <f t="shared" si="5"/>
        <v>11589.23</v>
      </c>
      <c r="H55" s="172">
        <f t="shared" si="6"/>
        <v>4.8804446598627082E-3</v>
      </c>
      <c r="I55" s="336"/>
      <c r="J55" s="168"/>
      <c r="K55" s="168"/>
      <c r="M55" s="359">
        <f t="shared" si="7"/>
        <v>1.1159585941261434</v>
      </c>
      <c r="N55" s="359">
        <f>SUMMARY!J58</f>
        <v>0.16653887337107628</v>
      </c>
      <c r="P55"/>
      <c r="Q55"/>
      <c r="Z55" s="168"/>
      <c r="AA55" s="168"/>
      <c r="AB55" s="513"/>
      <c r="AC55" s="513"/>
    </row>
    <row r="56" spans="1:29" s="167" customFormat="1">
      <c r="A56" s="163">
        <v>330</v>
      </c>
      <c r="B56" s="170" t="s">
        <v>48</v>
      </c>
      <c r="C56" s="558">
        <f>'[59]Sch C'!D41</f>
        <v>33038.300000000003</v>
      </c>
      <c r="D56" s="558">
        <f>'[59]Sch C'!F41</f>
        <v>-2954.91</v>
      </c>
      <c r="E56" s="171">
        <f t="shared" si="4"/>
        <v>30083.390000000003</v>
      </c>
      <c r="F56" s="484"/>
      <c r="G56" s="171">
        <f t="shared" si="5"/>
        <v>30083.390000000003</v>
      </c>
      <c r="H56" s="172">
        <f t="shared" si="6"/>
        <v>1.2668686364501112E-2</v>
      </c>
      <c r="I56" s="336"/>
      <c r="J56" s="168"/>
      <c r="K56" s="168"/>
      <c r="M56" s="359">
        <f t="shared" si="7"/>
        <v>2.8968117477130479</v>
      </c>
      <c r="N56" s="359">
        <f>SUMMARY!J59</f>
        <v>2.14994424305825</v>
      </c>
      <c r="P56"/>
      <c r="Q56"/>
      <c r="Z56" s="168"/>
      <c r="AA56" s="168"/>
      <c r="AB56" s="513"/>
      <c r="AC56" s="513"/>
    </row>
    <row r="57" spans="1:29" s="167" customFormat="1">
      <c r="A57" s="163">
        <v>340</v>
      </c>
      <c r="B57" s="170" t="s">
        <v>209</v>
      </c>
      <c r="C57" s="558">
        <f>'[59]Sch C'!D42</f>
        <v>1397.91</v>
      </c>
      <c r="D57" s="558">
        <f>'[59]Sch C'!F42</f>
        <v>0</v>
      </c>
      <c r="E57" s="171">
        <f t="shared" si="4"/>
        <v>1397.91</v>
      </c>
      <c r="F57" s="484"/>
      <c r="G57" s="171">
        <f t="shared" si="5"/>
        <v>1397.91</v>
      </c>
      <c r="H57" s="172">
        <f t="shared" si="6"/>
        <v>5.8868642648982538E-4</v>
      </c>
      <c r="I57" s="336"/>
      <c r="J57" s="168"/>
      <c r="K57" s="168"/>
      <c r="M57" s="359">
        <f t="shared" si="7"/>
        <v>0.13460857005296101</v>
      </c>
      <c r="N57" s="359">
        <f>SUMMARY!J60</f>
        <v>0.23079784303595582</v>
      </c>
      <c r="P57"/>
      <c r="Q57"/>
      <c r="Z57" s="168"/>
      <c r="AA57" s="168"/>
      <c r="AB57" s="513"/>
      <c r="AC57" s="513"/>
    </row>
    <row r="58" spans="1:29" s="167" customFormat="1">
      <c r="A58" s="163">
        <v>350</v>
      </c>
      <c r="B58" s="170" t="s">
        <v>210</v>
      </c>
      <c r="C58" s="558">
        <f>'[59]Sch C'!D43</f>
        <v>0</v>
      </c>
      <c r="D58" s="558">
        <f>'[59]Sch C'!F43</f>
        <v>0</v>
      </c>
      <c r="E58" s="171">
        <f t="shared" si="4"/>
        <v>0</v>
      </c>
      <c r="F58" s="484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  <c r="Z58" s="168"/>
      <c r="AA58" s="168"/>
      <c r="AB58" s="513"/>
      <c r="AC58" s="513"/>
    </row>
    <row r="59" spans="1:29" s="167" customFormat="1">
      <c r="A59" s="163">
        <v>360</v>
      </c>
      <c r="B59" s="170" t="s">
        <v>211</v>
      </c>
      <c r="C59" s="558">
        <f>'[59]Sch C'!D44</f>
        <v>0</v>
      </c>
      <c r="D59" s="558">
        <f>'[59]Sch C'!F44</f>
        <v>0</v>
      </c>
      <c r="E59" s="171">
        <f t="shared" si="4"/>
        <v>0</v>
      </c>
      <c r="F59" s="484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  <c r="Z59" s="168"/>
      <c r="AA59" s="168"/>
      <c r="AB59" s="513"/>
      <c r="AC59" s="513"/>
    </row>
    <row r="60" spans="1:29" s="167" customFormat="1">
      <c r="A60" s="163">
        <v>490</v>
      </c>
      <c r="B60" s="170" t="s">
        <v>36</v>
      </c>
      <c r="C60" s="558">
        <f>'[59]Sch C'!D45</f>
        <v>99664.639999999999</v>
      </c>
      <c r="D60" s="558">
        <f>'[59]Sch C'!F45</f>
        <v>-90323.48</v>
      </c>
      <c r="E60" s="171">
        <f t="shared" si="4"/>
        <v>9341.1600000000035</v>
      </c>
      <c r="F60" s="484"/>
      <c r="G60" s="171">
        <f t="shared" si="5"/>
        <v>9341.1600000000035</v>
      </c>
      <c r="H60" s="172">
        <f t="shared" si="6"/>
        <v>3.9337397254971341E-3</v>
      </c>
      <c r="I60" s="336"/>
      <c r="J60" s="168"/>
      <c r="K60" s="168"/>
      <c r="M60" s="359">
        <f t="shared" si="7"/>
        <v>0.8994857968223402</v>
      </c>
      <c r="N60" s="359">
        <f>SUMMARY!J63</f>
        <v>0.69532317482298633</v>
      </c>
      <c r="P60"/>
      <c r="Q60"/>
      <c r="Z60" s="168"/>
      <c r="AA60" s="168"/>
      <c r="AB60" s="513"/>
      <c r="AC60" s="513"/>
    </row>
    <row r="61" spans="1:29" s="167" customFormat="1">
      <c r="A61" s="163"/>
      <c r="B61" s="170" t="s">
        <v>177</v>
      </c>
      <c r="C61" s="558">
        <f>SUM(C25:C60)</f>
        <v>765768.15000000014</v>
      </c>
      <c r="D61" s="558">
        <f>SUM(D25:D60)</f>
        <v>-148855.25</v>
      </c>
      <c r="E61" s="171">
        <f t="shared" ref="E61:F61" si="8">SUM(E25:E60)</f>
        <v>616912.90000000026</v>
      </c>
      <c r="F61" s="171">
        <f t="shared" si="8"/>
        <v>0</v>
      </c>
      <c r="G61" s="171">
        <f>SUM(G25:G60)</f>
        <v>616912.90000000026</v>
      </c>
      <c r="H61" s="186">
        <f t="shared" si="6"/>
        <v>0.2597937281774042</v>
      </c>
      <c r="I61" s="338"/>
      <c r="J61" s="168"/>
      <c r="K61" s="168"/>
      <c r="M61" s="364">
        <f>G61/G$228</f>
        <v>59.404227250842588</v>
      </c>
      <c r="N61" s="359">
        <f>SUMMARY!J64</f>
        <v>53.728790309602623</v>
      </c>
      <c r="O61" s="354">
        <f>M61/N61-1</f>
        <v>0.1056312064451157</v>
      </c>
      <c r="P61"/>
      <c r="Q61"/>
      <c r="Z61" s="168"/>
      <c r="AA61" s="168"/>
      <c r="AB61" s="513"/>
      <c r="AC61" s="513"/>
    </row>
    <row r="62" spans="1:29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  <c r="Z62" s="168"/>
      <c r="AA62" s="168"/>
      <c r="AB62" s="513"/>
      <c r="AC62" s="513"/>
    </row>
    <row r="63" spans="1:29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  <c r="Z63" s="168"/>
      <c r="AA63" s="168"/>
      <c r="AB63" s="513"/>
      <c r="AC63" s="513"/>
    </row>
    <row r="64" spans="1:29" s="167" customFormat="1">
      <c r="A64" s="188">
        <v>230</v>
      </c>
      <c r="B64" s="189" t="s">
        <v>253</v>
      </c>
      <c r="C64" s="558">
        <f>'[59]Sch C'!D57</f>
        <v>69600</v>
      </c>
      <c r="D64" s="558">
        <f>'[59]Sch C'!F57</f>
        <v>-69600</v>
      </c>
      <c r="E64" s="171">
        <f t="shared" ref="E64:E78" si="9">C64+D64</f>
        <v>0</v>
      </c>
      <c r="F64" s="484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  <c r="Z64" s="190"/>
      <c r="AA64" s="168"/>
      <c r="AB64" s="514"/>
      <c r="AC64" s="513"/>
    </row>
    <row r="65" spans="1:29" s="167" customFormat="1">
      <c r="A65" s="191">
        <v>240</v>
      </c>
      <c r="B65" s="189" t="s">
        <v>254</v>
      </c>
      <c r="C65" s="558">
        <f>'[59]Sch C'!D58</f>
        <v>13104.66</v>
      </c>
      <c r="D65" s="558">
        <f>'[59]Sch C'!F58</f>
        <v>25832.04</v>
      </c>
      <c r="E65" s="171">
        <f t="shared" si="9"/>
        <v>38936.699999999997</v>
      </c>
      <c r="F65" s="484"/>
      <c r="G65" s="171">
        <f t="shared" si="10"/>
        <v>38936.699999999997</v>
      </c>
      <c r="H65" s="172">
        <f t="shared" si="11"/>
        <v>1.639698319799299E-2</v>
      </c>
      <c r="I65" s="336"/>
      <c r="J65" s="190"/>
      <c r="K65" s="168"/>
      <c r="M65" s="359">
        <f t="shared" si="12"/>
        <v>3.7493211362542125</v>
      </c>
      <c r="N65" s="359">
        <f>SUMMARY!J68</f>
        <v>5.746156082994454</v>
      </c>
      <c r="P65"/>
      <c r="Q65"/>
      <c r="Z65" s="190"/>
      <c r="AA65" s="168"/>
      <c r="AB65" s="514"/>
      <c r="AC65" s="513"/>
    </row>
    <row r="66" spans="1:29" s="167" customFormat="1">
      <c r="A66" s="142">
        <v>250</v>
      </c>
      <c r="B66" s="189" t="s">
        <v>307</v>
      </c>
      <c r="C66" s="558">
        <f>'[59]Sch C'!D59</f>
        <v>0</v>
      </c>
      <c r="D66" s="558">
        <f>'[59]Sch C'!F59</f>
        <v>55365.22</v>
      </c>
      <c r="E66" s="171">
        <f t="shared" si="9"/>
        <v>55365.22</v>
      </c>
      <c r="F66" s="484"/>
      <c r="G66" s="171">
        <f t="shared" si="10"/>
        <v>55365.22</v>
      </c>
      <c r="H66" s="172">
        <f t="shared" si="11"/>
        <v>2.3315344702894328E-2</v>
      </c>
      <c r="I66" s="336"/>
      <c r="J66" s="190"/>
      <c r="K66" s="168"/>
      <c r="M66" s="359">
        <f t="shared" si="12"/>
        <v>5.3312681752527684</v>
      </c>
      <c r="N66" s="359">
        <f>SUMMARY!J69</f>
        <v>4.7427204071264262</v>
      </c>
      <c r="P66"/>
      <c r="Q66"/>
      <c r="Z66" s="190"/>
      <c r="AA66" s="168"/>
      <c r="AB66" s="514"/>
      <c r="AC66" s="513"/>
    </row>
    <row r="67" spans="1:29" s="167" customFormat="1">
      <c r="A67" s="142">
        <v>260</v>
      </c>
      <c r="B67" s="192" t="s">
        <v>308</v>
      </c>
      <c r="C67" s="558">
        <f>'[59]Sch C'!D60</f>
        <v>0</v>
      </c>
      <c r="D67" s="558">
        <f>'[59]Sch C'!F60</f>
        <v>0</v>
      </c>
      <c r="E67" s="171">
        <f t="shared" si="9"/>
        <v>0</v>
      </c>
      <c r="F67" s="484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  <c r="Z67" s="193"/>
      <c r="AA67" s="168"/>
      <c r="AB67" s="515"/>
      <c r="AC67" s="513"/>
    </row>
    <row r="68" spans="1:29" s="167" customFormat="1">
      <c r="A68" s="142">
        <v>270</v>
      </c>
      <c r="B68" s="192" t="s">
        <v>309</v>
      </c>
      <c r="C68" s="558">
        <f>'[59]Sch C'!D61</f>
        <v>10827.26</v>
      </c>
      <c r="D68" s="558">
        <f>'[59]Sch C'!F61</f>
        <v>-10827.26</v>
      </c>
      <c r="E68" s="171">
        <f t="shared" si="9"/>
        <v>0</v>
      </c>
      <c r="F68" s="484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  <c r="Z68" s="193"/>
      <c r="AA68" s="168"/>
      <c r="AB68" s="515"/>
      <c r="AC68" s="513"/>
    </row>
    <row r="69" spans="1:29" s="167" customFormat="1">
      <c r="A69" s="142">
        <v>280</v>
      </c>
      <c r="B69" s="194" t="s">
        <v>258</v>
      </c>
      <c r="C69" s="558">
        <f>'[59]Sch C'!D62</f>
        <v>7851.1</v>
      </c>
      <c r="D69" s="558">
        <f>'[59]Sch C'!F62</f>
        <v>0</v>
      </c>
      <c r="E69" s="171">
        <f t="shared" si="9"/>
        <v>7851.1</v>
      </c>
      <c r="F69" s="484"/>
      <c r="G69" s="171">
        <f t="shared" si="10"/>
        <v>7851.1</v>
      </c>
      <c r="H69" s="172">
        <f t="shared" si="11"/>
        <v>3.3062471854513296E-3</v>
      </c>
      <c r="I69" s="336"/>
      <c r="J69" s="195"/>
      <c r="K69" s="168"/>
      <c r="M69" s="359">
        <f t="shared" si="12"/>
        <v>0.75600385170919604</v>
      </c>
      <c r="N69" s="359">
        <f>SUMMARY!J72</f>
        <v>0.16713696357256011</v>
      </c>
      <c r="P69"/>
      <c r="Q69"/>
      <c r="Z69" s="195"/>
      <c r="AA69" s="168"/>
      <c r="AB69" s="516"/>
      <c r="AC69" s="513"/>
    </row>
    <row r="70" spans="1:29" s="167" customFormat="1">
      <c r="A70" s="142">
        <v>290</v>
      </c>
      <c r="B70" s="194" t="s">
        <v>259</v>
      </c>
      <c r="C70" s="558">
        <f>'[59]Sch C'!D63</f>
        <v>0</v>
      </c>
      <c r="D70" s="558">
        <f>'[59]Sch C'!F63</f>
        <v>0</v>
      </c>
      <c r="E70" s="171">
        <f t="shared" si="9"/>
        <v>0</v>
      </c>
      <c r="F70" s="484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  <c r="Z70" s="195"/>
      <c r="AA70" s="168"/>
      <c r="AB70" s="516"/>
      <c r="AC70" s="513"/>
    </row>
    <row r="71" spans="1:29" s="167" customFormat="1">
      <c r="A71" s="142">
        <v>300</v>
      </c>
      <c r="B71" s="194" t="s">
        <v>260</v>
      </c>
      <c r="C71" s="558">
        <f>'[59]Sch C'!D64</f>
        <v>0</v>
      </c>
      <c r="D71" s="558">
        <f>'[59]Sch C'!F64</f>
        <v>0</v>
      </c>
      <c r="E71" s="171">
        <f t="shared" si="9"/>
        <v>0</v>
      </c>
      <c r="F71" s="484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  <c r="Z71" s="195"/>
      <c r="AA71" s="168"/>
      <c r="AB71" s="516"/>
      <c r="AC71" s="513"/>
    </row>
    <row r="72" spans="1:29" s="167" customFormat="1">
      <c r="A72" s="142">
        <v>310</v>
      </c>
      <c r="B72" s="194" t="s">
        <v>310</v>
      </c>
      <c r="C72" s="558">
        <f>'[59]Sch C'!D65</f>
        <v>563.69000000000005</v>
      </c>
      <c r="D72" s="558">
        <f>'[59]Sch C'!F65</f>
        <v>0</v>
      </c>
      <c r="E72" s="171">
        <f t="shared" si="9"/>
        <v>563.69000000000005</v>
      </c>
      <c r="F72" s="484"/>
      <c r="G72" s="171">
        <f t="shared" si="10"/>
        <v>563.69000000000005</v>
      </c>
      <c r="H72" s="172">
        <f t="shared" si="11"/>
        <v>2.3738055507725798E-4</v>
      </c>
      <c r="I72" s="336"/>
      <c r="J72" s="195"/>
      <c r="K72" s="168"/>
      <c r="M72" s="359">
        <f t="shared" si="12"/>
        <v>5.4279248916706796E-2</v>
      </c>
      <c r="N72" s="359">
        <f>SUMMARY!J75</f>
        <v>0.16263825084835873</v>
      </c>
      <c r="P72"/>
      <c r="Q72"/>
      <c r="Z72" s="195"/>
      <c r="AA72" s="168"/>
      <c r="AB72" s="516"/>
      <c r="AC72" s="513"/>
    </row>
    <row r="73" spans="1:29" s="167" customFormat="1">
      <c r="A73" s="142">
        <v>320</v>
      </c>
      <c r="B73" s="194" t="s">
        <v>262</v>
      </c>
      <c r="C73" s="558">
        <f>'[59]Sch C'!D66</f>
        <v>26211.05</v>
      </c>
      <c r="D73" s="558">
        <f>'[59]Sch C'!F66</f>
        <v>-26211.05</v>
      </c>
      <c r="E73" s="171">
        <f t="shared" si="9"/>
        <v>0</v>
      </c>
      <c r="F73" s="484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  <c r="Z73" s="195"/>
      <c r="AA73" s="168"/>
      <c r="AB73" s="516"/>
      <c r="AC73" s="513"/>
    </row>
    <row r="74" spans="1:29" s="167" customFormat="1">
      <c r="A74" s="142">
        <v>330</v>
      </c>
      <c r="B74" s="194" t="s">
        <v>263</v>
      </c>
      <c r="C74" s="558">
        <f>'[59]Sch C'!D67</f>
        <v>42486.05</v>
      </c>
      <c r="D74" s="558">
        <f>'[59]Sch C'!F67</f>
        <v>0</v>
      </c>
      <c r="E74" s="171">
        <f t="shared" si="9"/>
        <v>42486.05</v>
      </c>
      <c r="F74" s="484"/>
      <c r="G74" s="171">
        <f t="shared" si="10"/>
        <v>42486.05</v>
      </c>
      <c r="H74" s="172">
        <f t="shared" si="11"/>
        <v>1.7891681832283943E-2</v>
      </c>
      <c r="I74" s="336"/>
      <c r="J74" s="195"/>
      <c r="K74" s="168"/>
      <c r="M74" s="359">
        <f t="shared" si="12"/>
        <v>4.0910977371208475</v>
      </c>
      <c r="N74" s="359">
        <f>SUMMARY!J77</f>
        <v>3.2132948973832529</v>
      </c>
      <c r="P74"/>
      <c r="Q74"/>
      <c r="Z74" s="195"/>
      <c r="AA74" s="168"/>
      <c r="AB74" s="516"/>
      <c r="AC74" s="513"/>
    </row>
    <row r="75" spans="1:29" s="167" customFormat="1">
      <c r="A75" s="142">
        <v>340</v>
      </c>
      <c r="B75" s="194" t="s">
        <v>264</v>
      </c>
      <c r="C75" s="558">
        <f>'[59]Sch C'!D68</f>
        <v>0</v>
      </c>
      <c r="D75" s="558">
        <f>'[59]Sch C'!F68</f>
        <v>0</v>
      </c>
      <c r="E75" s="171">
        <f t="shared" si="9"/>
        <v>0</v>
      </c>
      <c r="F75" s="484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  <c r="Z75" s="195"/>
      <c r="AA75" s="168"/>
      <c r="AB75" s="516"/>
      <c r="AC75" s="513"/>
    </row>
    <row r="76" spans="1:29" s="167" customFormat="1">
      <c r="A76" s="167">
        <v>350</v>
      </c>
      <c r="B76" s="194" t="s">
        <v>311</v>
      </c>
      <c r="C76" s="558">
        <f>'[59]Sch C'!D69</f>
        <v>1750.08</v>
      </c>
      <c r="D76" s="558">
        <f>'[59]Sch C'!F69</f>
        <v>0</v>
      </c>
      <c r="E76" s="171">
        <f t="shared" si="9"/>
        <v>1750.08</v>
      </c>
      <c r="F76" s="484"/>
      <c r="G76" s="171">
        <f t="shared" si="10"/>
        <v>1750.08</v>
      </c>
      <c r="H76" s="172">
        <f t="shared" si="11"/>
        <v>7.3699189595275339E-4</v>
      </c>
      <c r="I76" s="336"/>
      <c r="J76" s="195"/>
      <c r="K76" s="168"/>
      <c r="M76" s="359">
        <f t="shared" si="12"/>
        <v>0.16851998074145402</v>
      </c>
      <c r="N76" s="359">
        <f>SUMMARY!J79</f>
        <v>0.13243591488759648</v>
      </c>
      <c r="P76"/>
      <c r="Q76"/>
      <c r="Z76" s="195"/>
      <c r="AA76" s="168"/>
      <c r="AB76" s="516"/>
      <c r="AC76" s="513"/>
    </row>
    <row r="77" spans="1:29" s="167" customFormat="1">
      <c r="A77" s="142">
        <v>360</v>
      </c>
      <c r="B77" s="194" t="s">
        <v>192</v>
      </c>
      <c r="C77" s="558">
        <f>'[59]Sch C'!D70</f>
        <v>0</v>
      </c>
      <c r="D77" s="558">
        <f>'[59]Sch C'!F70</f>
        <v>0</v>
      </c>
      <c r="E77" s="171">
        <f t="shared" si="9"/>
        <v>0</v>
      </c>
      <c r="F77" s="484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  <c r="Z77" s="195"/>
      <c r="AA77" s="168"/>
      <c r="AB77" s="516"/>
      <c r="AC77" s="513"/>
    </row>
    <row r="78" spans="1:29" s="167" customFormat="1">
      <c r="A78" s="142">
        <v>490</v>
      </c>
      <c r="B78" s="194" t="s">
        <v>312</v>
      </c>
      <c r="C78" s="558">
        <f>'[59]Sch C'!D71</f>
        <v>0</v>
      </c>
      <c r="D78" s="558">
        <f>'[59]Sch C'!F71</f>
        <v>0</v>
      </c>
      <c r="E78" s="171">
        <f t="shared" si="9"/>
        <v>0</v>
      </c>
      <c r="F78" s="484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  <c r="Z78" s="195"/>
      <c r="AA78" s="168"/>
      <c r="AB78" s="516"/>
      <c r="AC78" s="513"/>
    </row>
    <row r="79" spans="1:29" s="167" customFormat="1">
      <c r="A79" s="163"/>
      <c r="B79" s="170" t="s">
        <v>150</v>
      </c>
      <c r="C79" s="558">
        <f>SUM(C64:C78)</f>
        <v>172393.88999999998</v>
      </c>
      <c r="D79" s="558">
        <f>SUM(D64:D78)</f>
        <v>-25441.049999999996</v>
      </c>
      <c r="E79" s="171">
        <f t="shared" ref="E79:F79" si="13">SUM(E64:E78)</f>
        <v>146952.84</v>
      </c>
      <c r="F79" s="171">
        <f t="shared" si="13"/>
        <v>0</v>
      </c>
      <c r="G79" s="171">
        <f>SUM(G64:G78)</f>
        <v>146952.84</v>
      </c>
      <c r="H79" s="172">
        <f t="shared" si="11"/>
        <v>6.1884629369652604E-2</v>
      </c>
      <c r="I79" s="336"/>
      <c r="J79" s="195"/>
      <c r="K79" s="168"/>
      <c r="M79" s="359">
        <f t="shared" si="12"/>
        <v>14.150490129995186</v>
      </c>
      <c r="N79" s="359">
        <f>SUMMARY!J82</f>
        <v>22.656344165426013</v>
      </c>
      <c r="P79"/>
      <c r="Q79"/>
      <c r="Z79" s="195"/>
      <c r="AA79" s="168"/>
      <c r="AB79" s="516"/>
      <c r="AC79" s="513"/>
    </row>
    <row r="80" spans="1:29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  <c r="Z80" s="168"/>
      <c r="AA80" s="168"/>
      <c r="AB80" s="513"/>
      <c r="AC80" s="513"/>
    </row>
    <row r="81" spans="1:29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  <c r="Z81" s="168"/>
      <c r="AA81" s="168"/>
      <c r="AB81" s="513"/>
      <c r="AC81" s="513"/>
    </row>
    <row r="82" spans="1:29" s="167" customFormat="1">
      <c r="A82" s="169" t="s">
        <v>85</v>
      </c>
      <c r="B82" s="148" t="s">
        <v>44</v>
      </c>
      <c r="C82" s="558">
        <f>'[59]Sch C'!D75</f>
        <v>27823.34</v>
      </c>
      <c r="D82" s="558">
        <f>'[59]Sch C'!F75</f>
        <v>0</v>
      </c>
      <c r="E82" s="171">
        <f t="shared" ref="E82:E92" si="14">C82+D82</f>
        <v>27823.34</v>
      </c>
      <c r="F82" s="484"/>
      <c r="G82" s="171">
        <f t="shared" ref="G82:G92" si="15">E82+F82</f>
        <v>27823.34</v>
      </c>
      <c r="H82" s="172">
        <f t="shared" ref="H82:H93" si="16">IF($G$208=0,0,G82/$G$208)</f>
        <v>1.171693642481377E-2</v>
      </c>
      <c r="I82" s="336"/>
      <c r="J82" s="183">
        <v>1605.66</v>
      </c>
      <c r="K82" s="183">
        <v>1758.17</v>
      </c>
      <c r="M82" s="359">
        <f t="shared" ref="M82:M92" si="17">G82/G$228</f>
        <v>2.6791853635050553</v>
      </c>
      <c r="N82" s="359">
        <f>SUMMARY!J85</f>
        <v>2.536968118505103</v>
      </c>
      <c r="P82"/>
      <c r="Q82"/>
      <c r="Z82" s="183">
        <v>955</v>
      </c>
      <c r="AA82" s="183">
        <v>1050</v>
      </c>
      <c r="AB82" s="486">
        <v>597</v>
      </c>
      <c r="AC82" s="486">
        <v>652</v>
      </c>
    </row>
    <row r="83" spans="1:29" s="167" customFormat="1">
      <c r="A83" s="169" t="s">
        <v>86</v>
      </c>
      <c r="B83" s="199" t="s">
        <v>45</v>
      </c>
      <c r="C83" s="558">
        <f>'[59]Sch C'!D76</f>
        <v>2300.56</v>
      </c>
      <c r="D83" s="558">
        <f>'[59]Sch C'!F76</f>
        <v>0</v>
      </c>
      <c r="E83" s="171">
        <f t="shared" si="14"/>
        <v>2300.56</v>
      </c>
      <c r="F83" s="484"/>
      <c r="G83" s="171">
        <f t="shared" si="15"/>
        <v>2300.56</v>
      </c>
      <c r="H83" s="172">
        <f t="shared" si="16"/>
        <v>9.6880946936886685E-4</v>
      </c>
      <c r="I83" s="336"/>
      <c r="J83" s="168"/>
      <c r="K83" s="168"/>
      <c r="M83" s="359">
        <f t="shared" si="17"/>
        <v>0.22152720269619644</v>
      </c>
      <c r="N83" s="359">
        <f>SUMMARY!J86</f>
        <v>0.51085058065727817</v>
      </c>
      <c r="P83"/>
      <c r="Q83"/>
      <c r="Z83" s="168"/>
      <c r="AA83" s="168"/>
      <c r="AB83" s="513"/>
      <c r="AC83" s="513"/>
    </row>
    <row r="84" spans="1:29" s="167" customFormat="1">
      <c r="A84" s="169" t="s">
        <v>93</v>
      </c>
      <c r="B84" s="199" t="s">
        <v>47</v>
      </c>
      <c r="C84" s="558">
        <f>'[59]Sch C'!D77</f>
        <v>3357.81</v>
      </c>
      <c r="D84" s="558">
        <f>'[59]Sch C'!F77</f>
        <v>0</v>
      </c>
      <c r="E84" s="171">
        <f t="shared" si="14"/>
        <v>3357.81</v>
      </c>
      <c r="F84" s="484"/>
      <c r="G84" s="171">
        <f t="shared" si="15"/>
        <v>3357.81</v>
      </c>
      <c r="H84" s="172">
        <f t="shared" si="16"/>
        <v>1.4140375057992293E-3</v>
      </c>
      <c r="I84" s="336"/>
      <c r="J84" s="168"/>
      <c r="K84" s="168"/>
      <c r="M84" s="359">
        <f t="shared" si="17"/>
        <v>0.32333269138180065</v>
      </c>
      <c r="N84" s="359">
        <f>SUMMARY!J87</f>
        <v>0.62330034041531523</v>
      </c>
      <c r="P84"/>
      <c r="Q84"/>
      <c r="Z84" s="168"/>
      <c r="AA84" s="168"/>
      <c r="AB84" s="513"/>
      <c r="AC84" s="513"/>
    </row>
    <row r="85" spans="1:29" s="167" customFormat="1">
      <c r="A85" s="169">
        <v>230</v>
      </c>
      <c r="B85" s="199" t="s">
        <v>46</v>
      </c>
      <c r="C85" s="558">
        <f>'[59]Sch C'!D78</f>
        <v>0</v>
      </c>
      <c r="D85" s="558">
        <f>'[59]Sch C'!F78</f>
        <v>0</v>
      </c>
      <c r="E85" s="171">
        <f t="shared" si="14"/>
        <v>0</v>
      </c>
      <c r="F85" s="484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  <c r="Z85" s="168"/>
      <c r="AA85" s="168"/>
      <c r="AB85" s="513"/>
      <c r="AC85" s="513"/>
    </row>
    <row r="86" spans="1:29" s="167" customFormat="1">
      <c r="A86" s="169">
        <v>240</v>
      </c>
      <c r="B86" s="200" t="s">
        <v>267</v>
      </c>
      <c r="C86" s="558">
        <f>'[59]Sch C'!D79</f>
        <v>11529.64</v>
      </c>
      <c r="D86" s="558">
        <f>'[59]Sch C'!F79</f>
        <v>0</v>
      </c>
      <c r="E86" s="171">
        <f t="shared" si="14"/>
        <v>11529.64</v>
      </c>
      <c r="F86" s="484"/>
      <c r="G86" s="171">
        <f>E86+F86</f>
        <v>11529.64</v>
      </c>
      <c r="H86" s="172">
        <f t="shared" si="16"/>
        <v>4.8553501801361677E-3</v>
      </c>
      <c r="I86" s="336"/>
      <c r="J86" s="168"/>
      <c r="K86" s="168"/>
      <c r="M86" s="359">
        <f t="shared" si="17"/>
        <v>1.1102205103514684</v>
      </c>
      <c r="N86" s="359">
        <f>SUMMARY!J89</f>
        <v>0.42480855389944888</v>
      </c>
      <c r="P86"/>
      <c r="Q86"/>
      <c r="Z86" s="168"/>
      <c r="AA86" s="168"/>
      <c r="AB86" s="513"/>
      <c r="AC86" s="513"/>
    </row>
    <row r="87" spans="1:29" s="167" customFormat="1">
      <c r="A87" s="169">
        <v>310</v>
      </c>
      <c r="B87" s="199" t="s">
        <v>54</v>
      </c>
      <c r="C87" s="558">
        <f>'[59]Sch C'!D80</f>
        <v>4716.2299999999996</v>
      </c>
      <c r="D87" s="558">
        <f>'[59]Sch C'!F80</f>
        <v>0</v>
      </c>
      <c r="E87" s="171">
        <f t="shared" si="14"/>
        <v>4716.2299999999996</v>
      </c>
      <c r="F87" s="484"/>
      <c r="G87" s="171">
        <f t="shared" si="15"/>
        <v>4716.2299999999996</v>
      </c>
      <c r="H87" s="172">
        <f t="shared" si="16"/>
        <v>1.9860939439621354E-3</v>
      </c>
      <c r="I87" s="336"/>
      <c r="J87" s="168"/>
      <c r="K87" s="168"/>
      <c r="M87" s="359">
        <f t="shared" si="17"/>
        <v>0.45413866153105437</v>
      </c>
      <c r="N87" s="359">
        <f>SUMMARY!J90</f>
        <v>1.0101009938069276</v>
      </c>
      <c r="P87"/>
      <c r="Q87"/>
      <c r="Z87" s="168"/>
      <c r="AA87" s="168"/>
      <c r="AB87" s="513"/>
      <c r="AC87" s="513"/>
    </row>
    <row r="88" spans="1:29" s="167" customFormat="1">
      <c r="A88" s="169">
        <v>320</v>
      </c>
      <c r="B88" s="201" t="s">
        <v>313</v>
      </c>
      <c r="C88" s="558">
        <f>'[59]Sch C'!D81</f>
        <v>2495.35</v>
      </c>
      <c r="D88" s="558">
        <f>'[59]Sch C'!F81</f>
        <v>0</v>
      </c>
      <c r="E88" s="171">
        <f t="shared" si="14"/>
        <v>2495.35</v>
      </c>
      <c r="F88" s="484"/>
      <c r="G88" s="171">
        <f t="shared" si="15"/>
        <v>2495.35</v>
      </c>
      <c r="H88" s="172">
        <f t="shared" si="16"/>
        <v>1.0508392345296804E-3</v>
      </c>
      <c r="I88" s="336"/>
      <c r="J88" s="168"/>
      <c r="K88" s="168"/>
      <c r="M88" s="359">
        <f t="shared" si="17"/>
        <v>0.24028406355320173</v>
      </c>
      <c r="N88" s="359">
        <f>SUMMARY!J91</f>
        <v>0.64997885266319244</v>
      </c>
      <c r="P88"/>
      <c r="Q88"/>
      <c r="Z88" s="168"/>
      <c r="AA88" s="168"/>
      <c r="AB88" s="513"/>
      <c r="AC88" s="513"/>
    </row>
    <row r="89" spans="1:29" s="167" customFormat="1">
      <c r="A89" s="169">
        <v>330</v>
      </c>
      <c r="B89" s="201" t="s">
        <v>314</v>
      </c>
      <c r="C89" s="558">
        <f>'[59]Sch C'!D82</f>
        <v>4924.2299999999996</v>
      </c>
      <c r="D89" s="558">
        <f>'[59]Sch C'!F82</f>
        <v>0</v>
      </c>
      <c r="E89" s="171">
        <f t="shared" si="14"/>
        <v>4924.2299999999996</v>
      </c>
      <c r="F89" s="484"/>
      <c r="G89" s="171">
        <f t="shared" si="15"/>
        <v>4924.2299999999996</v>
      </c>
      <c r="H89" s="172">
        <f t="shared" si="16"/>
        <v>2.0736866907840939E-3</v>
      </c>
      <c r="I89" s="336"/>
      <c r="J89" s="168"/>
      <c r="K89" s="168"/>
      <c r="M89" s="359">
        <f t="shared" si="17"/>
        <v>0.47416754935002403</v>
      </c>
      <c r="N89" s="359">
        <f>SUMMARY!J92</f>
        <v>0.42366280341015539</v>
      </c>
      <c r="P89"/>
      <c r="Q89"/>
      <c r="Z89" s="168"/>
      <c r="AA89" s="168"/>
      <c r="AB89" s="513"/>
      <c r="AC89" s="513"/>
    </row>
    <row r="90" spans="1:29" s="167" customFormat="1">
      <c r="A90" s="163">
        <v>340</v>
      </c>
      <c r="B90" s="201" t="s">
        <v>300</v>
      </c>
      <c r="C90" s="558">
        <f>'[59]Sch C'!D83</f>
        <v>0</v>
      </c>
      <c r="D90" s="558">
        <f>'[59]Sch C'!F83</f>
        <v>0</v>
      </c>
      <c r="E90" s="171">
        <f t="shared" si="14"/>
        <v>0</v>
      </c>
      <c r="F90" s="484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  <c r="Z90" s="168"/>
      <c r="AA90" s="168"/>
      <c r="AB90" s="513"/>
      <c r="AC90" s="513"/>
    </row>
    <row r="91" spans="1:29" s="167" customFormat="1">
      <c r="A91" s="163">
        <v>350</v>
      </c>
      <c r="B91" s="199" t="s">
        <v>49</v>
      </c>
      <c r="C91" s="558">
        <f>'[59]Sch C'!D84</f>
        <v>35631.74</v>
      </c>
      <c r="D91" s="558">
        <f>'[59]Sch C'!F84</f>
        <v>0</v>
      </c>
      <c r="E91" s="171">
        <f t="shared" si="14"/>
        <v>35631.74</v>
      </c>
      <c r="F91" s="484"/>
      <c r="G91" s="171">
        <f t="shared" si="15"/>
        <v>35631.74</v>
      </c>
      <c r="H91" s="172">
        <f t="shared" si="16"/>
        <v>1.5005201830028091E-2</v>
      </c>
      <c r="I91" s="336"/>
      <c r="J91" s="168"/>
      <c r="K91" s="168"/>
      <c r="M91" s="359">
        <f t="shared" si="17"/>
        <v>3.4310775156475684</v>
      </c>
      <c r="N91" s="359">
        <f>SUMMARY!J94</f>
        <v>4.7538617738038829</v>
      </c>
      <c r="P91"/>
      <c r="Q91"/>
      <c r="Z91" s="168"/>
      <c r="AA91" s="168"/>
      <c r="AB91" s="513"/>
      <c r="AC91" s="513"/>
    </row>
    <row r="92" spans="1:29" s="167" customFormat="1">
      <c r="A92" s="163">
        <v>490</v>
      </c>
      <c r="B92" s="148" t="s">
        <v>312</v>
      </c>
      <c r="C92" s="558">
        <f>'[59]Sch C'!D85</f>
        <v>129</v>
      </c>
      <c r="D92" s="558">
        <f>'[59]Sch C'!F85</f>
        <v>0</v>
      </c>
      <c r="E92" s="171">
        <f t="shared" si="14"/>
        <v>129</v>
      </c>
      <c r="F92" s="484"/>
      <c r="G92" s="171">
        <f t="shared" si="15"/>
        <v>129</v>
      </c>
      <c r="H92" s="172">
        <f t="shared" si="16"/>
        <v>5.432434778861835E-5</v>
      </c>
      <c r="I92" s="336"/>
      <c r="J92" s="168"/>
      <c r="K92" s="168"/>
      <c r="M92" s="359">
        <f t="shared" si="17"/>
        <v>1.242176215695715E-2</v>
      </c>
      <c r="N92" s="359">
        <f>SUMMARY!J95</f>
        <v>0.10488413981894537</v>
      </c>
      <c r="P92"/>
      <c r="Q92"/>
      <c r="Z92" s="168"/>
      <c r="AA92" s="168"/>
      <c r="AB92" s="513"/>
      <c r="AC92" s="513"/>
    </row>
    <row r="93" spans="1:29" s="167" customFormat="1">
      <c r="A93" s="163"/>
      <c r="B93" s="170" t="s">
        <v>50</v>
      </c>
      <c r="C93" s="558">
        <f>SUM(C82:C92)</f>
        <v>92907.9</v>
      </c>
      <c r="D93" s="558">
        <f>SUM(D82:D92)</f>
        <v>0</v>
      </c>
      <c r="E93" s="171">
        <f t="shared" ref="E93:F93" si="18">SUM(E82:E92)</f>
        <v>92907.9</v>
      </c>
      <c r="F93" s="171">
        <f t="shared" si="18"/>
        <v>0</v>
      </c>
      <c r="G93" s="171">
        <f>SUM(G82:G92)</f>
        <v>92907.9</v>
      </c>
      <c r="H93" s="172">
        <f t="shared" si="16"/>
        <v>3.912527962721065E-2</v>
      </c>
      <c r="I93" s="336"/>
      <c r="J93" s="168"/>
      <c r="K93" s="168"/>
      <c r="M93" s="364">
        <f>G93/G$228</f>
        <v>8.9463553201733266</v>
      </c>
      <c r="N93" s="359">
        <f>SUMMARY!J96</f>
        <v>11.458724454710746</v>
      </c>
      <c r="O93" s="354">
        <f>M93/N93-1</f>
        <v>-0.2192538222266589</v>
      </c>
      <c r="P93"/>
      <c r="Q93"/>
      <c r="Z93" s="168"/>
      <c r="AA93" s="168"/>
      <c r="AB93" s="513"/>
      <c r="AC93" s="513"/>
    </row>
    <row r="94" spans="1:29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  <c r="Z94" s="168"/>
      <c r="AA94" s="168"/>
      <c r="AB94" s="513"/>
      <c r="AC94" s="513"/>
    </row>
    <row r="95" spans="1:29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  <c r="Z95" s="168"/>
      <c r="AA95" s="168"/>
      <c r="AB95" s="513"/>
      <c r="AC95" s="513"/>
    </row>
    <row r="96" spans="1:29" s="167" customFormat="1">
      <c r="A96" s="169" t="s">
        <v>85</v>
      </c>
      <c r="B96" s="170" t="s">
        <v>44</v>
      </c>
      <c r="C96" s="558">
        <f>'[59]Sch C'!D89</f>
        <v>125526.27</v>
      </c>
      <c r="D96" s="558">
        <f>'[59]Sch C'!F89</f>
        <v>0</v>
      </c>
      <c r="E96" s="171">
        <f t="shared" ref="E96:E101" si="19">C96+D96</f>
        <v>125526.27</v>
      </c>
      <c r="F96" s="484"/>
      <c r="G96" s="171">
        <f t="shared" ref="G96:G101" si="20">E96+F96</f>
        <v>125526.27</v>
      </c>
      <c r="H96" s="172">
        <f t="shared" ref="H96:H102" si="21">IF($G$208=0,0,G96/$G$208)</f>
        <v>5.2861494171224883E-2</v>
      </c>
      <c r="I96" s="336"/>
      <c r="J96" s="183">
        <v>9315.9500000000007</v>
      </c>
      <c r="K96" s="183">
        <v>10033.299999999999</v>
      </c>
      <c r="M96" s="364">
        <f t="shared" ref="M96:M101" si="22">G96/G$228</f>
        <v>12.08726721232547</v>
      </c>
      <c r="N96" s="359">
        <f>SUMMARY!J99</f>
        <v>8.3100610477681069</v>
      </c>
      <c r="P96"/>
      <c r="Q96"/>
      <c r="Z96" s="183">
        <v>5504</v>
      </c>
      <c r="AA96" s="183">
        <v>6176</v>
      </c>
      <c r="AB96" s="486">
        <v>2854</v>
      </c>
      <c r="AC96" s="486">
        <v>3225</v>
      </c>
    </row>
    <row r="97" spans="1:29" s="167" customFormat="1">
      <c r="A97" s="169" t="s">
        <v>86</v>
      </c>
      <c r="B97" s="170" t="s">
        <v>45</v>
      </c>
      <c r="C97" s="558">
        <f>'[59]Sch C'!D90</f>
        <v>20882.310000000001</v>
      </c>
      <c r="D97" s="558">
        <f>'[59]Sch C'!F90</f>
        <v>0</v>
      </c>
      <c r="E97" s="171">
        <f t="shared" si="19"/>
        <v>20882.310000000001</v>
      </c>
      <c r="F97" s="484"/>
      <c r="G97" s="171">
        <f t="shared" si="20"/>
        <v>20882.310000000001</v>
      </c>
      <c r="H97" s="172">
        <f t="shared" si="21"/>
        <v>8.7939369850367662E-3</v>
      </c>
      <c r="I97" s="336"/>
      <c r="J97" s="168"/>
      <c r="K97" s="168"/>
      <c r="M97" s="364">
        <f t="shared" si="22"/>
        <v>2.0108146364949446</v>
      </c>
      <c r="N97" s="359">
        <f>SUMMARY!J100</f>
        <v>1.5162882954735211</v>
      </c>
      <c r="P97"/>
      <c r="Q97"/>
      <c r="Z97" s="168"/>
      <c r="AA97" s="168"/>
      <c r="AB97" s="513"/>
      <c r="AC97" s="513"/>
    </row>
    <row r="98" spans="1:29" s="167" customFormat="1">
      <c r="A98" s="169">
        <v>310</v>
      </c>
      <c r="B98" s="170" t="s">
        <v>54</v>
      </c>
      <c r="C98" s="558">
        <f>'[59]Sch C'!D91</f>
        <v>9536.4500000000007</v>
      </c>
      <c r="D98" s="558">
        <f>'[59]Sch C'!F91</f>
        <v>0</v>
      </c>
      <c r="E98" s="171">
        <f t="shared" si="19"/>
        <v>9536.4500000000007</v>
      </c>
      <c r="F98" s="484"/>
      <c r="G98" s="171">
        <f t="shared" si="20"/>
        <v>9536.4500000000007</v>
      </c>
      <c r="H98" s="172">
        <f t="shared" si="21"/>
        <v>4.0159800501454995E-3</v>
      </c>
      <c r="I98" s="336"/>
      <c r="J98" s="168"/>
      <c r="K98" s="168"/>
      <c r="M98" s="364">
        <f t="shared" si="22"/>
        <v>0.91829080404429475</v>
      </c>
      <c r="N98" s="359">
        <f>SUMMARY!J101</f>
        <v>2.5247120350104719</v>
      </c>
      <c r="P98"/>
      <c r="Q98"/>
      <c r="Z98" s="168"/>
      <c r="AA98" s="168"/>
      <c r="AB98" s="513"/>
      <c r="AC98" s="513"/>
    </row>
    <row r="99" spans="1:29" s="167" customFormat="1">
      <c r="A99" s="169">
        <v>380</v>
      </c>
      <c r="B99" s="170" t="s">
        <v>52</v>
      </c>
      <c r="C99" s="558">
        <f>'[59]Sch C'!D92</f>
        <v>75829.990000000005</v>
      </c>
      <c r="D99" s="558">
        <f>'[59]Sch C'!F92</f>
        <v>0</v>
      </c>
      <c r="E99" s="171">
        <f t="shared" si="19"/>
        <v>75829.990000000005</v>
      </c>
      <c r="F99" s="484"/>
      <c r="G99" s="171">
        <f t="shared" si="20"/>
        <v>75829.990000000005</v>
      </c>
      <c r="H99" s="172">
        <f t="shared" si="21"/>
        <v>3.1933447671065519E-2</v>
      </c>
      <c r="I99" s="336"/>
      <c r="J99" s="168"/>
      <c r="K99" s="168"/>
      <c r="M99" s="364">
        <f t="shared" si="22"/>
        <v>7.3018767453057301</v>
      </c>
      <c r="N99" s="359">
        <f>SUMMARY!J102</f>
        <v>6.7604047844643738</v>
      </c>
      <c r="P99"/>
      <c r="Q99"/>
      <c r="Z99" s="168"/>
      <c r="AA99" s="168"/>
      <c r="AB99" s="513"/>
      <c r="AC99" s="513"/>
    </row>
    <row r="100" spans="1:29" s="167" customFormat="1">
      <c r="A100" s="169">
        <v>390</v>
      </c>
      <c r="B100" s="170" t="s">
        <v>53</v>
      </c>
      <c r="C100" s="558">
        <f>'[59]Sch C'!D93</f>
        <v>5740.59</v>
      </c>
      <c r="D100" s="558">
        <f>'[59]Sch C'!F93</f>
        <v>0</v>
      </c>
      <c r="E100" s="171">
        <f t="shared" si="19"/>
        <v>5740.59</v>
      </c>
      <c r="F100" s="484"/>
      <c r="G100" s="171">
        <f t="shared" si="20"/>
        <v>5740.59</v>
      </c>
      <c r="H100" s="172">
        <f t="shared" si="21"/>
        <v>2.4174713773012758E-3</v>
      </c>
      <c r="I100" s="336"/>
      <c r="J100" s="168"/>
      <c r="K100" s="168"/>
      <c r="M100" s="364">
        <f t="shared" si="22"/>
        <v>0.55277708233028411</v>
      </c>
      <c r="N100" s="359">
        <f>SUMMARY!J103</f>
        <v>0.72385493548615287</v>
      </c>
      <c r="P100"/>
      <c r="Q100"/>
      <c r="Z100" s="168"/>
      <c r="AA100" s="168"/>
      <c r="AB100" s="513"/>
      <c r="AC100" s="513"/>
    </row>
    <row r="101" spans="1:29" s="167" customFormat="1">
      <c r="A101" s="169">
        <v>490</v>
      </c>
      <c r="B101" s="202" t="s">
        <v>312</v>
      </c>
      <c r="C101" s="558">
        <f>'[59]Sch C'!D94</f>
        <v>486</v>
      </c>
      <c r="D101" s="558">
        <f>'[59]Sch C'!F94</f>
        <v>0</v>
      </c>
      <c r="E101" s="171">
        <f t="shared" si="19"/>
        <v>486</v>
      </c>
      <c r="F101" s="484"/>
      <c r="G101" s="171">
        <f t="shared" si="20"/>
        <v>486</v>
      </c>
      <c r="H101" s="172">
        <f t="shared" si="21"/>
        <v>2.0466382190130632E-4</v>
      </c>
      <c r="I101" s="336"/>
      <c r="J101" s="168"/>
      <c r="K101" s="168"/>
      <c r="M101" s="364">
        <f t="shared" si="22"/>
        <v>4.6798266730861821E-2</v>
      </c>
      <c r="N101" s="359">
        <f>SUMMARY!J104</f>
        <v>6.5755939582712558E-2</v>
      </c>
      <c r="P101"/>
      <c r="Q101"/>
      <c r="Z101" s="168"/>
      <c r="AA101" s="168"/>
      <c r="AB101" s="513"/>
      <c r="AC101" s="513"/>
    </row>
    <row r="102" spans="1:29" s="167" customFormat="1">
      <c r="A102" s="169"/>
      <c r="B102" s="170" t="s">
        <v>55</v>
      </c>
      <c r="C102" s="558">
        <f>SUM(C96:C101)</f>
        <v>238001.61000000002</v>
      </c>
      <c r="D102" s="558">
        <f>SUM(D96:D101)</f>
        <v>0</v>
      </c>
      <c r="E102" s="171">
        <f t="shared" ref="E102:F102" si="23">SUM(E96:E101)</f>
        <v>238001.61000000002</v>
      </c>
      <c r="F102" s="171">
        <f t="shared" si="23"/>
        <v>0</v>
      </c>
      <c r="G102" s="171">
        <f>SUM(G96:G101)</f>
        <v>238001.61000000002</v>
      </c>
      <c r="H102" s="172">
        <f t="shared" si="21"/>
        <v>0.10022699407667525</v>
      </c>
      <c r="I102" s="336"/>
      <c r="J102" s="168"/>
      <c r="K102" s="168"/>
      <c r="M102" s="364">
        <f>G102/G$228</f>
        <v>22.917824747231585</v>
      </c>
      <c r="N102" s="359">
        <f>SUMMARY!J105</f>
        <v>19.901077037785338</v>
      </c>
      <c r="O102" s="354">
        <f>M102/N102-1</f>
        <v>0.15158715800750255</v>
      </c>
      <c r="P102"/>
      <c r="Q102"/>
      <c r="Z102" s="168"/>
      <c r="AA102" s="168"/>
      <c r="AB102" s="513"/>
      <c r="AC102" s="513"/>
    </row>
    <row r="103" spans="1:29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  <c r="Z103" s="168"/>
      <c r="AA103" s="168"/>
      <c r="AB103" s="513"/>
      <c r="AC103" s="513"/>
    </row>
    <row r="104" spans="1:29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  <c r="Z104" s="168"/>
      <c r="AA104" s="168"/>
      <c r="AB104" s="513"/>
      <c r="AC104" s="513"/>
    </row>
    <row r="105" spans="1:29" s="167" customFormat="1">
      <c r="A105" s="169" t="s">
        <v>85</v>
      </c>
      <c r="B105" s="170" t="s">
        <v>44</v>
      </c>
      <c r="C105" s="558">
        <f>'[59]Sch C'!D98</f>
        <v>10729.05</v>
      </c>
      <c r="D105" s="558">
        <f>'[59]Sch C'!F98</f>
        <v>0</v>
      </c>
      <c r="E105" s="171">
        <f t="shared" ref="E105:E110" si="24">C105+D105</f>
        <v>10729.05</v>
      </c>
      <c r="F105" s="484"/>
      <c r="G105" s="171">
        <f t="shared" ref="G105:G110" si="25">E105+F105</f>
        <v>10729.05</v>
      </c>
      <c r="H105" s="172">
        <f t="shared" ref="H105:H111" si="26">IF($G$208=0,0,G105/$G$208)</f>
        <v>4.5182065398564003E-3</v>
      </c>
      <c r="I105" s="336"/>
      <c r="J105" s="183">
        <v>922.37</v>
      </c>
      <c r="K105" s="183">
        <v>976.3</v>
      </c>
      <c r="M105" s="364">
        <f t="shared" ref="M105:M110" si="27">G105/G$228</f>
        <v>1.033129513721714</v>
      </c>
      <c r="N105" s="359">
        <f>SUMMARY!J108</f>
        <v>1.037156498380404</v>
      </c>
      <c r="P105"/>
      <c r="Q105"/>
      <c r="Z105" s="183">
        <v>1618</v>
      </c>
      <c r="AA105" s="183">
        <v>1618</v>
      </c>
      <c r="AB105" s="486">
        <v>753</v>
      </c>
      <c r="AC105" s="486">
        <v>753</v>
      </c>
    </row>
    <row r="106" spans="1:29" s="167" customFormat="1">
      <c r="A106" s="169" t="s">
        <v>86</v>
      </c>
      <c r="B106" s="170" t="s">
        <v>45</v>
      </c>
      <c r="C106" s="558">
        <f>'[59]Sch C'!D99</f>
        <v>1205.1199999999999</v>
      </c>
      <c r="D106" s="558">
        <f>'[59]Sch C'!F99</f>
        <v>0</v>
      </c>
      <c r="E106" s="171">
        <f t="shared" si="24"/>
        <v>1205.1199999999999</v>
      </c>
      <c r="F106" s="484"/>
      <c r="G106" s="171">
        <f t="shared" si="25"/>
        <v>1205.1199999999999</v>
      </c>
      <c r="H106" s="172">
        <f t="shared" si="26"/>
        <v>5.074988992792227E-4</v>
      </c>
      <c r="I106" s="336"/>
      <c r="J106" s="168"/>
      <c r="K106" s="168"/>
      <c r="M106" s="364">
        <f t="shared" si="27"/>
        <v>0.11604429465575349</v>
      </c>
      <c r="N106" s="359">
        <f>SUMMARY!J109</f>
        <v>0.20576729906268329</v>
      </c>
      <c r="P106"/>
      <c r="Q106"/>
      <c r="Z106" s="168"/>
      <c r="AA106" s="168"/>
      <c r="AB106" s="513"/>
      <c r="AC106" s="513"/>
    </row>
    <row r="107" spans="1:29" s="167" customFormat="1">
      <c r="A107" s="169">
        <v>110</v>
      </c>
      <c r="B107" s="170" t="s">
        <v>47</v>
      </c>
      <c r="C107" s="558">
        <f>'[59]Sch C'!D100</f>
        <v>103.59</v>
      </c>
      <c r="D107" s="558">
        <f>'[59]Sch C'!F100</f>
        <v>0</v>
      </c>
      <c r="E107" s="171">
        <f t="shared" si="24"/>
        <v>103.59</v>
      </c>
      <c r="F107" s="484"/>
      <c r="G107" s="171">
        <f t="shared" si="25"/>
        <v>103.59</v>
      </c>
      <c r="H107" s="172">
        <f t="shared" si="26"/>
        <v>4.3623714631185851E-5</v>
      </c>
      <c r="I107" s="336"/>
      <c r="J107" s="168"/>
      <c r="K107" s="168"/>
      <c r="M107" s="364">
        <f t="shared" si="27"/>
        <v>9.9749638902262884E-3</v>
      </c>
      <c r="N107" s="359">
        <f>SUMMARY!J110</f>
        <v>0.1677349841046627</v>
      </c>
      <c r="P107"/>
      <c r="Q107"/>
      <c r="Z107" s="168"/>
      <c r="AA107" s="168"/>
      <c r="AB107" s="513"/>
      <c r="AC107" s="513"/>
    </row>
    <row r="108" spans="1:29" s="167" customFormat="1">
      <c r="A108" s="169">
        <v>310</v>
      </c>
      <c r="B108" s="170" t="s">
        <v>54</v>
      </c>
      <c r="C108" s="558">
        <f>'[59]Sch C'!D101</f>
        <v>380.89</v>
      </c>
      <c r="D108" s="558">
        <f>'[59]Sch C'!F101</f>
        <v>0</v>
      </c>
      <c r="E108" s="171">
        <f t="shared" si="24"/>
        <v>380.89</v>
      </c>
      <c r="F108" s="484"/>
      <c r="G108" s="171">
        <f t="shared" si="25"/>
        <v>380.89</v>
      </c>
      <c r="H108" s="172">
        <f t="shared" si="26"/>
        <v>1.6040000642796002E-4</v>
      </c>
      <c r="I108" s="336"/>
      <c r="J108" s="168"/>
      <c r="K108" s="168"/>
      <c r="M108" s="364">
        <f t="shared" si="27"/>
        <v>3.6676937891189212E-2</v>
      </c>
      <c r="N108" s="359">
        <f>SUMMARY!J111</f>
        <v>0.75134712715626728</v>
      </c>
      <c r="P108"/>
      <c r="Q108"/>
      <c r="Z108" s="168"/>
      <c r="AA108" s="168"/>
      <c r="AB108" s="513"/>
      <c r="AC108" s="513"/>
    </row>
    <row r="109" spans="1:29" s="167" customFormat="1">
      <c r="A109" s="169">
        <v>410</v>
      </c>
      <c r="B109" s="170" t="s">
        <v>57</v>
      </c>
      <c r="C109" s="558">
        <f>'[59]Sch C'!D102</f>
        <v>5163.12</v>
      </c>
      <c r="D109" s="558">
        <f>'[59]Sch C'!F102</f>
        <v>0</v>
      </c>
      <c r="E109" s="171">
        <f t="shared" si="24"/>
        <v>5163.12</v>
      </c>
      <c r="F109" s="484"/>
      <c r="G109" s="171">
        <f t="shared" si="25"/>
        <v>5163.12</v>
      </c>
      <c r="H109" s="172">
        <f t="shared" si="26"/>
        <v>2.1742878027470633E-3</v>
      </c>
      <c r="I109" s="336"/>
      <c r="J109" s="168"/>
      <c r="K109" s="168"/>
      <c r="M109" s="364">
        <f t="shared" si="27"/>
        <v>0.49717091959557053</v>
      </c>
      <c r="N109" s="359">
        <f>SUMMARY!J112</f>
        <v>0.24781104699146178</v>
      </c>
      <c r="P109"/>
      <c r="Q109"/>
      <c r="Z109" s="168"/>
      <c r="AA109" s="168"/>
      <c r="AB109" s="513"/>
      <c r="AC109" s="513"/>
    </row>
    <row r="110" spans="1:29" s="167" customFormat="1">
      <c r="A110" s="169">
        <v>490</v>
      </c>
      <c r="B110" s="202" t="s">
        <v>312</v>
      </c>
      <c r="C110" s="558">
        <f>'[59]Sch C'!D103</f>
        <v>-230.13</v>
      </c>
      <c r="D110" s="558">
        <f>'[59]Sch C'!F103</f>
        <v>0</v>
      </c>
      <c r="E110" s="171">
        <f t="shared" si="24"/>
        <v>-230.13</v>
      </c>
      <c r="F110" s="484"/>
      <c r="G110" s="171">
        <f t="shared" si="25"/>
        <v>-230.13</v>
      </c>
      <c r="H110" s="172">
        <f t="shared" si="26"/>
        <v>-9.6912109741044495E-5</v>
      </c>
      <c r="I110" s="336"/>
      <c r="J110" s="168"/>
      <c r="K110" s="168"/>
      <c r="M110" s="364">
        <f t="shared" si="27"/>
        <v>-2.2159845931632161E-2</v>
      </c>
      <c r="N110" s="359">
        <f>SUMMARY!J113</f>
        <v>1.442148153547029E-2</v>
      </c>
      <c r="P110"/>
      <c r="Q110"/>
      <c r="Z110" s="168"/>
      <c r="AA110" s="168"/>
      <c r="AB110" s="513"/>
      <c r="AC110" s="513"/>
    </row>
    <row r="111" spans="1:29" s="167" customFormat="1">
      <c r="A111" s="163"/>
      <c r="B111" s="170" t="s">
        <v>58</v>
      </c>
      <c r="C111" s="558">
        <f>SUM(C105:C110)</f>
        <v>17351.639999999996</v>
      </c>
      <c r="D111" s="558">
        <f>SUM(D105:D110)</f>
        <v>0</v>
      </c>
      <c r="E111" s="171">
        <f t="shared" ref="E111:F111" si="28">SUM(E105:E110)</f>
        <v>17351.639999999996</v>
      </c>
      <c r="F111" s="171">
        <f t="shared" si="28"/>
        <v>0</v>
      </c>
      <c r="G111" s="171">
        <f>SUM(G105:G110)</f>
        <v>17351.639999999996</v>
      </c>
      <c r="H111" s="172">
        <f t="shared" si="26"/>
        <v>7.3071048532007861E-3</v>
      </c>
      <c r="I111" s="336"/>
      <c r="J111" s="168"/>
      <c r="K111" s="168"/>
      <c r="M111" s="364">
        <f>G111/G$228</f>
        <v>1.6708367838228211</v>
      </c>
      <c r="N111" s="359">
        <f>SUMMARY!J114</f>
        <v>2.4242384372309496</v>
      </c>
      <c r="O111" s="354">
        <f>M111/N111-1</f>
        <v>-0.31077869315061701</v>
      </c>
      <c r="P111"/>
      <c r="Q111"/>
      <c r="Z111" s="168"/>
      <c r="AA111" s="168"/>
      <c r="AB111" s="513"/>
      <c r="AC111" s="513"/>
    </row>
    <row r="112" spans="1:29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  <c r="Z112" s="168"/>
      <c r="AA112" s="168"/>
      <c r="AB112" s="513"/>
      <c r="AC112" s="513"/>
    </row>
    <row r="113" spans="1:29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  <c r="Z113" s="168"/>
      <c r="AA113" s="168"/>
      <c r="AB113" s="513"/>
      <c r="AC113" s="513"/>
    </row>
    <row r="114" spans="1:29" s="167" customFormat="1">
      <c r="A114" s="169" t="s">
        <v>85</v>
      </c>
      <c r="B114" s="170" t="s">
        <v>44</v>
      </c>
      <c r="C114" s="558">
        <f>'[59]Sch C'!D115</f>
        <v>47686.5</v>
      </c>
      <c r="D114" s="558">
        <f>'[59]Sch C'!F115</f>
        <v>0</v>
      </c>
      <c r="E114" s="171">
        <f t="shared" ref="E114:E118" si="29">C114+D114</f>
        <v>47686.5</v>
      </c>
      <c r="F114" s="484"/>
      <c r="G114" s="171">
        <f>E114+F114</f>
        <v>47686.5</v>
      </c>
      <c r="H114" s="172">
        <f t="shared" ref="H114:H119" si="30">IF($G$208=0,0,G114/$G$208)</f>
        <v>2.0081690006371698E-2</v>
      </c>
      <c r="I114" s="336"/>
      <c r="J114" s="183">
        <v>3474.77</v>
      </c>
      <c r="K114" s="183">
        <v>3542.57</v>
      </c>
      <c r="M114" s="364">
        <f t="shared" ref="M114:M119" si="31">G114/G$228</f>
        <v>4.5918632643235435</v>
      </c>
      <c r="N114" s="359">
        <f>SUMMARY!J117</f>
        <v>3.2429359621060407</v>
      </c>
      <c r="P114"/>
      <c r="Q114"/>
      <c r="Z114" s="183">
        <v>1141</v>
      </c>
      <c r="AA114" s="183">
        <v>1420</v>
      </c>
      <c r="AB114" s="486">
        <v>774</v>
      </c>
      <c r="AC114" s="486">
        <v>987</v>
      </c>
    </row>
    <row r="115" spans="1:29" s="167" customFormat="1">
      <c r="A115" s="169" t="s">
        <v>86</v>
      </c>
      <c r="B115" s="170" t="s">
        <v>151</v>
      </c>
      <c r="C115" s="558">
        <f>'[59]Sch C'!D116</f>
        <v>5123.82</v>
      </c>
      <c r="D115" s="558">
        <f>'[59]Sch C'!F116</f>
        <v>0</v>
      </c>
      <c r="E115" s="171">
        <f t="shared" si="29"/>
        <v>5123.82</v>
      </c>
      <c r="F115" s="484"/>
      <c r="G115" s="171">
        <f>E115+F115</f>
        <v>5123.82</v>
      </c>
      <c r="H115" s="172">
        <f t="shared" si="30"/>
        <v>2.1577378270254141E-3</v>
      </c>
      <c r="I115" s="336"/>
      <c r="J115" s="168"/>
      <c r="K115" s="168"/>
      <c r="M115" s="364">
        <f t="shared" si="31"/>
        <v>0.49338661531054401</v>
      </c>
      <c r="N115" s="359">
        <f>SUMMARY!J118</f>
        <v>0.64416765619740102</v>
      </c>
      <c r="P115"/>
      <c r="Q115"/>
      <c r="Z115" s="168"/>
      <c r="AA115" s="168"/>
      <c r="AB115" s="513"/>
      <c r="AC115" s="513"/>
    </row>
    <row r="116" spans="1:29" s="167" customFormat="1">
      <c r="A116" s="169" t="s">
        <v>93</v>
      </c>
      <c r="B116" s="170" t="s">
        <v>47</v>
      </c>
      <c r="C116" s="558">
        <f>'[59]Sch C'!D117</f>
        <v>3094.57</v>
      </c>
      <c r="D116" s="558">
        <f>'[59]Sch C'!F117</f>
        <v>0</v>
      </c>
      <c r="E116" s="171">
        <f t="shared" si="29"/>
        <v>3094.57</v>
      </c>
      <c r="F116" s="484"/>
      <c r="G116" s="171">
        <f>E116+F116</f>
        <v>3094.57</v>
      </c>
      <c r="H116" s="172">
        <f t="shared" si="30"/>
        <v>1.3031821467924395E-3</v>
      </c>
      <c r="I116" s="336"/>
      <c r="J116" s="168"/>
      <c r="K116" s="168"/>
      <c r="M116" s="364">
        <f t="shared" si="31"/>
        <v>0.29798459316321618</v>
      </c>
      <c r="N116" s="359">
        <f>SUMMARY!J119</f>
        <v>0.86820957192988468</v>
      </c>
      <c r="P116"/>
      <c r="Q116"/>
      <c r="Z116" s="168"/>
      <c r="AA116" s="168"/>
      <c r="AB116" s="513"/>
      <c r="AC116" s="513"/>
    </row>
    <row r="117" spans="1:29" s="167" customFormat="1">
      <c r="A117" s="169">
        <v>310</v>
      </c>
      <c r="B117" s="170" t="s">
        <v>60</v>
      </c>
      <c r="C117" s="558">
        <f>'[59]Sch C'!D118</f>
        <v>652.5</v>
      </c>
      <c r="D117" s="558">
        <f>'[59]Sch C'!F118</f>
        <v>0</v>
      </c>
      <c r="E117" s="171">
        <f t="shared" si="29"/>
        <v>652.5</v>
      </c>
      <c r="F117" s="484"/>
      <c r="G117" s="171">
        <f>E117+F117</f>
        <v>652.5</v>
      </c>
      <c r="H117" s="172">
        <f t="shared" si="30"/>
        <v>2.747801312563835E-4</v>
      </c>
      <c r="I117" s="336"/>
      <c r="J117" s="168"/>
      <c r="K117" s="168"/>
      <c r="M117" s="364">
        <f t="shared" si="31"/>
        <v>6.2831006259027447E-2</v>
      </c>
      <c r="N117" s="359">
        <f>SUMMARY!J120</f>
        <v>1.260502321598151</v>
      </c>
      <c r="P117"/>
      <c r="Q117"/>
      <c r="Z117" s="168"/>
      <c r="AA117" s="168"/>
      <c r="AB117" s="513"/>
      <c r="AC117" s="513"/>
    </row>
    <row r="118" spans="1:29" s="167" customFormat="1">
      <c r="A118" s="169">
        <v>490</v>
      </c>
      <c r="B118" s="202" t="s">
        <v>312</v>
      </c>
      <c r="C118" s="558">
        <f>'[59]Sch C'!D119</f>
        <v>0</v>
      </c>
      <c r="D118" s="558">
        <f>'[59]Sch C'!F119</f>
        <v>0</v>
      </c>
      <c r="E118" s="171">
        <f t="shared" si="29"/>
        <v>0</v>
      </c>
      <c r="F118" s="484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  <c r="Z118" s="168"/>
      <c r="AA118" s="168"/>
      <c r="AB118" s="513"/>
      <c r="AC118" s="513"/>
    </row>
    <row r="119" spans="1:29" s="167" customFormat="1">
      <c r="A119" s="163"/>
      <c r="B119" s="170" t="s">
        <v>61</v>
      </c>
      <c r="C119" s="558">
        <f>SUM(C114:C118)</f>
        <v>56557.39</v>
      </c>
      <c r="D119" s="558">
        <f>SUM(D114:D118)</f>
        <v>0</v>
      </c>
      <c r="E119" s="171">
        <f t="shared" ref="E119:F119" si="32">SUM(E114:E118)</f>
        <v>56557.39</v>
      </c>
      <c r="F119" s="171">
        <f t="shared" si="32"/>
        <v>0</v>
      </c>
      <c r="G119" s="171">
        <f>SUM(G114:G118)</f>
        <v>56557.39</v>
      </c>
      <c r="H119" s="172">
        <f t="shared" si="30"/>
        <v>2.3817390111445933E-2</v>
      </c>
      <c r="I119" s="336"/>
      <c r="J119" s="168"/>
      <c r="K119" s="168"/>
      <c r="M119" s="364">
        <f t="shared" si="31"/>
        <v>5.4460654790563314</v>
      </c>
      <c r="N119" s="359">
        <f>SUMMARY!J122</f>
        <v>6.0247597205909562</v>
      </c>
      <c r="O119" s="354">
        <f>M119/N119-1</f>
        <v>-9.6052667388013546E-2</v>
      </c>
      <c r="P119"/>
      <c r="Q119"/>
      <c r="Z119" s="168"/>
      <c r="AA119" s="168"/>
      <c r="AB119" s="513"/>
      <c r="AC119" s="513"/>
    </row>
    <row r="120" spans="1:29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  <c r="Z120" s="203"/>
      <c r="AA120" s="203"/>
      <c r="AB120" s="203"/>
      <c r="AC120" s="203"/>
    </row>
    <row r="121" spans="1:29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  <c r="Z121" s="204"/>
      <c r="AA121" s="204"/>
      <c r="AB121" s="483"/>
      <c r="AC121" s="483"/>
    </row>
    <row r="122" spans="1:29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  <c r="Z122" s="204"/>
      <c r="AA122" s="204"/>
      <c r="AB122" s="483"/>
      <c r="AC122" s="483"/>
    </row>
    <row r="123" spans="1:29" s="167" customFormat="1">
      <c r="B123" s="163" t="s">
        <v>232</v>
      </c>
      <c r="C123" s="558">
        <f>'[59]Sch C'!D124</f>
        <v>0</v>
      </c>
      <c r="D123" s="558">
        <f>'[59]Sch C'!F124</f>
        <v>0</v>
      </c>
      <c r="E123" s="171">
        <f t="shared" ref="E123:E127" si="33">C123+D123</f>
        <v>0</v>
      </c>
      <c r="F123" s="484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  <c r="Z123" s="183">
        <v>0</v>
      </c>
      <c r="AA123" s="183">
        <v>0</v>
      </c>
      <c r="AB123" s="486">
        <v>0</v>
      </c>
      <c r="AC123" s="486">
        <v>0</v>
      </c>
    </row>
    <row r="124" spans="1:29" s="167" customFormat="1">
      <c r="B124" s="163" t="s">
        <v>194</v>
      </c>
      <c r="C124" s="558">
        <f>'[59]Sch C'!D125</f>
        <v>0</v>
      </c>
      <c r="D124" s="558">
        <f>'[59]Sch C'!F125</f>
        <v>0</v>
      </c>
      <c r="E124" s="171">
        <f t="shared" si="33"/>
        <v>0</v>
      </c>
      <c r="F124" s="484"/>
      <c r="G124" s="171">
        <f>E124+F124</f>
        <v>0</v>
      </c>
      <c r="H124" s="172">
        <f>IF($G$208=0,0,G124/$G$208)</f>
        <v>0</v>
      </c>
      <c r="I124" s="336"/>
      <c r="J124" s="183">
        <v>0</v>
      </c>
      <c r="K124" s="183">
        <v>0</v>
      </c>
      <c r="M124" s="364">
        <f t="shared" si="34"/>
        <v>0</v>
      </c>
      <c r="N124" s="359">
        <f>SUMMARY!J127</f>
        <v>7.6528583695016472</v>
      </c>
      <c r="P124"/>
      <c r="Q124"/>
      <c r="Z124" s="183">
        <v>1518</v>
      </c>
      <c r="AA124" s="183">
        <v>1555</v>
      </c>
      <c r="AB124" s="486">
        <v>967</v>
      </c>
      <c r="AC124" s="486">
        <v>1041</v>
      </c>
    </row>
    <row r="125" spans="1:29" s="167" customFormat="1">
      <c r="A125" s="163" t="s">
        <v>198</v>
      </c>
      <c r="B125" s="163" t="s">
        <v>195</v>
      </c>
      <c r="C125" s="558">
        <f>'[59]Sch C'!D126</f>
        <v>0</v>
      </c>
      <c r="D125" s="558">
        <f>'[59]Sch C'!F126</f>
        <v>0</v>
      </c>
      <c r="E125" s="171">
        <f t="shared" si="33"/>
        <v>0</v>
      </c>
      <c r="F125" s="484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  <c r="Z125" s="183">
        <v>0</v>
      </c>
      <c r="AA125" s="183">
        <v>0</v>
      </c>
      <c r="AB125" s="486">
        <v>0</v>
      </c>
      <c r="AC125" s="486">
        <v>0</v>
      </c>
    </row>
    <row r="126" spans="1:29" s="167" customFormat="1">
      <c r="A126" s="169"/>
      <c r="B126" s="163" t="s">
        <v>196</v>
      </c>
      <c r="C126" s="558">
        <f>'[59]Sch C'!D127</f>
        <v>0</v>
      </c>
      <c r="D126" s="558">
        <f>'[59]Sch C'!F127</f>
        <v>0</v>
      </c>
      <c r="E126" s="171">
        <f t="shared" si="33"/>
        <v>0</v>
      </c>
      <c r="F126" s="484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  <c r="Z126" s="183">
        <v>0</v>
      </c>
      <c r="AA126" s="183">
        <v>0</v>
      </c>
      <c r="AB126" s="486">
        <v>0</v>
      </c>
      <c r="AC126" s="486">
        <v>0</v>
      </c>
    </row>
    <row r="127" spans="1:29" s="167" customFormat="1">
      <c r="A127" s="169"/>
      <c r="B127" s="163" t="s">
        <v>197</v>
      </c>
      <c r="C127" s="558">
        <f>'[59]Sch C'!D128</f>
        <v>113521.84</v>
      </c>
      <c r="D127" s="558">
        <f>'[59]Sch C'!F128</f>
        <v>0</v>
      </c>
      <c r="E127" s="171">
        <f t="shared" si="33"/>
        <v>113521.84</v>
      </c>
      <c r="F127" s="484"/>
      <c r="G127" s="171">
        <f>E127+F127</f>
        <v>113521.84</v>
      </c>
      <c r="H127" s="172">
        <f>IF($G$208=0,0,G127/$G$208)</f>
        <v>4.780620091289834E-2</v>
      </c>
      <c r="I127" s="336"/>
      <c r="J127" s="183">
        <v>4165.29</v>
      </c>
      <c r="K127" s="183">
        <v>4570.45</v>
      </c>
      <c r="M127" s="364">
        <f t="shared" si="34"/>
        <v>10.931327876745305</v>
      </c>
      <c r="N127" s="359">
        <f>SUMMARY!J130</f>
        <v>3.5158276990454227</v>
      </c>
      <c r="P127"/>
      <c r="Q127"/>
      <c r="Z127" s="183">
        <v>0</v>
      </c>
      <c r="AA127" s="183">
        <v>0</v>
      </c>
      <c r="AB127" s="486">
        <v>141</v>
      </c>
      <c r="AC127" s="486">
        <v>141</v>
      </c>
    </row>
    <row r="128" spans="1:29" s="167" customFormat="1">
      <c r="A128" s="169" t="s">
        <v>95</v>
      </c>
      <c r="B128" s="170" t="s">
        <v>152</v>
      </c>
      <c r="C128" s="562"/>
      <c r="D128" s="562"/>
      <c r="E128" s="205" t="s">
        <v>299</v>
      </c>
      <c r="F128" s="205"/>
      <c r="G128" s="205"/>
      <c r="H128" s="206"/>
      <c r="I128" s="341"/>
      <c r="J128" s="207"/>
      <c r="K128" s="207"/>
      <c r="M128" s="364"/>
      <c r="N128" s="359"/>
      <c r="P128"/>
      <c r="Q128"/>
      <c r="Z128" s="207"/>
      <c r="AA128" s="207"/>
      <c r="AB128" s="517"/>
      <c r="AC128" s="517"/>
    </row>
    <row r="129" spans="1:29" s="167" customFormat="1">
      <c r="A129" s="169"/>
      <c r="B129" s="163" t="s">
        <v>232</v>
      </c>
      <c r="C129" s="558">
        <f>'[59]Sch C'!D130</f>
        <v>0</v>
      </c>
      <c r="D129" s="558">
        <f>'[59]Sch C'!F130</f>
        <v>0</v>
      </c>
      <c r="E129" s="171">
        <f t="shared" ref="E129:E133" si="35">C129+D129</f>
        <v>0</v>
      </c>
      <c r="F129" s="484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  <c r="Z129" s="204"/>
      <c r="AA129" s="204"/>
      <c r="AB129" s="483"/>
      <c r="AC129" s="483"/>
    </row>
    <row r="130" spans="1:29" s="167" customFormat="1">
      <c r="A130" s="169"/>
      <c r="B130" s="163" t="s">
        <v>194</v>
      </c>
      <c r="C130" s="558">
        <f>'[59]Sch C'!D131</f>
        <v>0</v>
      </c>
      <c r="D130" s="558">
        <f>'[59]Sch C'!F131</f>
        <v>0</v>
      </c>
      <c r="E130" s="171">
        <f t="shared" si="35"/>
        <v>0</v>
      </c>
      <c r="F130" s="484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  <c r="Z130" s="204"/>
      <c r="AA130" s="204"/>
      <c r="AB130" s="483"/>
      <c r="AC130" s="483"/>
    </row>
    <row r="131" spans="1:29" s="167" customFormat="1">
      <c r="B131" s="163" t="s">
        <v>195</v>
      </c>
      <c r="C131" s="558">
        <f>'[59]Sch C'!D132</f>
        <v>0</v>
      </c>
      <c r="D131" s="558">
        <f>'[59]Sch C'!F132</f>
        <v>0</v>
      </c>
      <c r="E131" s="171">
        <f t="shared" si="35"/>
        <v>0</v>
      </c>
      <c r="F131" s="484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  <c r="Z131" s="168"/>
      <c r="AA131" s="168"/>
      <c r="AB131" s="513"/>
      <c r="AC131" s="513"/>
    </row>
    <row r="132" spans="1:29" s="167" customFormat="1">
      <c r="B132" s="163" t="s">
        <v>196</v>
      </c>
      <c r="C132" s="558">
        <f>'[59]Sch C'!D133</f>
        <v>0</v>
      </c>
      <c r="D132" s="558">
        <f>'[59]Sch C'!F133</f>
        <v>0</v>
      </c>
      <c r="E132" s="171">
        <f t="shared" si="35"/>
        <v>0</v>
      </c>
      <c r="F132" s="484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  <c r="Z132" s="168"/>
      <c r="AA132" s="168"/>
      <c r="AB132" s="513"/>
      <c r="AC132" s="513"/>
    </row>
    <row r="133" spans="1:29" s="167" customFormat="1">
      <c r="B133" s="163" t="s">
        <v>197</v>
      </c>
      <c r="C133" s="558">
        <f>'[59]Sch C'!D134</f>
        <v>16464.48</v>
      </c>
      <c r="D133" s="558">
        <f>'[59]Sch C'!F134</f>
        <v>0</v>
      </c>
      <c r="E133" s="171">
        <f t="shared" si="35"/>
        <v>16464.48</v>
      </c>
      <c r="F133" s="484"/>
      <c r="G133" s="171">
        <f>E133+F133</f>
        <v>16464.48</v>
      </c>
      <c r="H133" s="172">
        <f>IF($G$208=0,0,G133/$G$208)</f>
        <v>6.9335049432461314E-3</v>
      </c>
      <c r="I133" s="336"/>
      <c r="J133" s="168"/>
      <c r="K133" s="168"/>
      <c r="M133" s="364">
        <f t="shared" si="34"/>
        <v>1.5854097255657198</v>
      </c>
      <c r="N133" s="359">
        <f>SUMMARY!J136</f>
        <v>0.68147708722106659</v>
      </c>
      <c r="P133"/>
      <c r="Q133"/>
      <c r="Z133" s="168"/>
      <c r="AA133" s="168"/>
      <c r="AB133" s="513"/>
      <c r="AC133" s="513"/>
    </row>
    <row r="134" spans="1:29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  <c r="Z134" s="204"/>
      <c r="AA134" s="204"/>
      <c r="AB134" s="483"/>
      <c r="AC134" s="483"/>
    </row>
    <row r="135" spans="1:29" s="167" customFormat="1">
      <c r="A135" s="169"/>
      <c r="B135" s="163" t="s">
        <v>194</v>
      </c>
      <c r="C135" s="558">
        <f>'[59]Sch C'!D136</f>
        <v>157167.26999999999</v>
      </c>
      <c r="D135" s="558">
        <f>'[59]Sch C'!F136</f>
        <v>0</v>
      </c>
      <c r="E135" s="171">
        <f t="shared" ref="E135:E138" si="36">C135+D135</f>
        <v>157167.26999999999</v>
      </c>
      <c r="F135" s="484"/>
      <c r="G135" s="171">
        <f>E135+F135</f>
        <v>157167.26999999999</v>
      </c>
      <c r="H135" s="172">
        <f>IF($G$208=0,0,G135/$G$208)</f>
        <v>6.6186119662540177E-2</v>
      </c>
      <c r="I135" s="336"/>
      <c r="J135" s="183">
        <v>5261.68</v>
      </c>
      <c r="K135" s="183">
        <v>5383.68</v>
      </c>
      <c r="M135" s="364">
        <f t="shared" si="34"/>
        <v>15.13406547905633</v>
      </c>
      <c r="N135" s="359">
        <f>SUMMARY!J138</f>
        <v>22.831883555057285</v>
      </c>
      <c r="P135"/>
      <c r="Q135"/>
      <c r="Z135" s="183">
        <v>2324</v>
      </c>
      <c r="AA135" s="183">
        <v>2462</v>
      </c>
      <c r="AB135" s="486">
        <v>970</v>
      </c>
      <c r="AC135" s="486">
        <v>1235</v>
      </c>
    </row>
    <row r="136" spans="1:29" s="167" customFormat="1">
      <c r="A136" s="169"/>
      <c r="B136" s="163" t="s">
        <v>195</v>
      </c>
      <c r="C136" s="558">
        <f>'[59]Sch C'!D137</f>
        <v>115028.71</v>
      </c>
      <c r="D136" s="558">
        <f>'[59]Sch C'!F137</f>
        <v>0</v>
      </c>
      <c r="E136" s="171">
        <f t="shared" si="36"/>
        <v>115028.71</v>
      </c>
      <c r="F136" s="484"/>
      <c r="G136" s="171">
        <f>E136+F136</f>
        <v>115028.71</v>
      </c>
      <c r="H136" s="172">
        <f>IF($G$208=0,0,G136/$G$208)</f>
        <v>4.8440772462915671E-2</v>
      </c>
      <c r="I136" s="336"/>
      <c r="J136" s="183">
        <v>4582.08</v>
      </c>
      <c r="K136" s="183">
        <v>4889.2700000000004</v>
      </c>
      <c r="M136" s="364">
        <f t="shared" si="34"/>
        <v>11.076428502648051</v>
      </c>
      <c r="N136" s="359">
        <f>SUMMARY!J139</f>
        <v>12.148107264801752</v>
      </c>
      <c r="P136"/>
      <c r="Q136"/>
      <c r="Z136" s="183">
        <v>3168</v>
      </c>
      <c r="AA136" s="183">
        <v>3573</v>
      </c>
      <c r="AB136" s="486">
        <v>1714</v>
      </c>
      <c r="AC136" s="486">
        <v>1917</v>
      </c>
    </row>
    <row r="137" spans="1:29" s="167" customFormat="1">
      <c r="A137" s="169"/>
      <c r="B137" s="163" t="s">
        <v>196</v>
      </c>
      <c r="C137" s="558">
        <f>'[59]Sch C'!D138</f>
        <v>251833.2</v>
      </c>
      <c r="D137" s="558">
        <f>'[59]Sch C'!F138</f>
        <v>0</v>
      </c>
      <c r="E137" s="171">
        <f t="shared" si="36"/>
        <v>251833.2</v>
      </c>
      <c r="F137" s="484"/>
      <c r="G137" s="171">
        <f>E137+F137</f>
        <v>251833.2</v>
      </c>
      <c r="H137" s="172">
        <f>IF($G$208=0,0,G137/$G$208)</f>
        <v>0.10605173908155567</v>
      </c>
      <c r="I137" s="336"/>
      <c r="J137" s="183">
        <v>20139.37</v>
      </c>
      <c r="K137" s="183">
        <v>21204.07</v>
      </c>
      <c r="M137" s="364">
        <f t="shared" si="34"/>
        <v>24.24970630717381</v>
      </c>
      <c r="N137" s="359">
        <f>SUMMARY!J140</f>
        <v>29.755103028612584</v>
      </c>
      <c r="P137"/>
      <c r="Q137"/>
      <c r="Z137" s="183">
        <v>13569</v>
      </c>
      <c r="AA137" s="183">
        <v>14170</v>
      </c>
      <c r="AB137" s="486">
        <v>8518</v>
      </c>
      <c r="AC137" s="486">
        <v>8879</v>
      </c>
    </row>
    <row r="138" spans="1:29" s="167" customFormat="1">
      <c r="A138" s="169"/>
      <c r="B138" s="163" t="s">
        <v>197</v>
      </c>
      <c r="C138" s="558">
        <f>'[59]Sch C'!D139</f>
        <v>22014.39</v>
      </c>
      <c r="D138" s="558">
        <f>'[59]Sch C'!F139</f>
        <v>0</v>
      </c>
      <c r="E138" s="171">
        <f t="shared" si="36"/>
        <v>22014.39</v>
      </c>
      <c r="F138" s="484"/>
      <c r="G138" s="171">
        <f>E138+F138</f>
        <v>22014.39</v>
      </c>
      <c r="H138" s="172">
        <f>IF($G$208=0,0,G138/$G$208)</f>
        <v>9.2706773543742779E-3</v>
      </c>
      <c r="I138" s="336"/>
      <c r="J138" s="183">
        <v>1555.79</v>
      </c>
      <c r="K138" s="183">
        <v>1841.74</v>
      </c>
      <c r="M138" s="364">
        <f t="shared" si="34"/>
        <v>2.1198257101588829</v>
      </c>
      <c r="N138" s="359">
        <f>SUMMARY!J141</f>
        <v>2.6137536270315449</v>
      </c>
      <c r="P138"/>
      <c r="Q138"/>
      <c r="Z138" s="183">
        <v>0</v>
      </c>
      <c r="AA138" s="183">
        <v>0</v>
      </c>
      <c r="AB138" s="486">
        <v>751</v>
      </c>
      <c r="AC138" s="486">
        <v>751</v>
      </c>
    </row>
    <row r="139" spans="1:29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  <c r="Z139" s="404"/>
      <c r="AA139" s="404"/>
      <c r="AB139" s="518"/>
      <c r="AC139" s="518"/>
    </row>
    <row r="140" spans="1:29" s="167" customFormat="1">
      <c r="A140" s="169"/>
      <c r="B140" s="163" t="s">
        <v>194</v>
      </c>
      <c r="C140" s="558">
        <f>'[59]Sch C'!D141</f>
        <v>23807.39</v>
      </c>
      <c r="D140" s="558">
        <f>'[59]Sch C'!F141</f>
        <v>0</v>
      </c>
      <c r="E140" s="171">
        <f t="shared" ref="E140:E143" si="37">C140+D140</f>
        <v>23807.39</v>
      </c>
      <c r="F140" s="484"/>
      <c r="G140" s="171">
        <f>E140+F140</f>
        <v>23807.39</v>
      </c>
      <c r="H140" s="172">
        <f>IF($G$208=0,0,G140/$G$208)</f>
        <v>1.0025743676738561E-2</v>
      </c>
      <c r="I140" s="336"/>
      <c r="J140" s="168"/>
      <c r="K140" s="168"/>
      <c r="M140" s="364">
        <f t="shared" si="34"/>
        <v>2.2924785748675975</v>
      </c>
      <c r="N140" s="359">
        <f>SUMMARY!J143</f>
        <v>4.2102596407658526</v>
      </c>
      <c r="P140"/>
      <c r="Q140"/>
      <c r="Z140" s="168"/>
      <c r="AA140" s="168"/>
      <c r="AB140" s="513"/>
      <c r="AC140" s="513"/>
    </row>
    <row r="141" spans="1:29" s="167" customFormat="1">
      <c r="A141" s="169"/>
      <c r="B141" s="163" t="s">
        <v>195</v>
      </c>
      <c r="C141" s="558">
        <f>'[59]Sch C'!D142</f>
        <v>17458.75</v>
      </c>
      <c r="D141" s="558">
        <f>'[59]Sch C'!F142</f>
        <v>0</v>
      </c>
      <c r="E141" s="171">
        <f t="shared" si="37"/>
        <v>17458.75</v>
      </c>
      <c r="F141" s="484"/>
      <c r="G141" s="171">
        <f>E141+F141</f>
        <v>17458.75</v>
      </c>
      <c r="H141" s="172">
        <f>IF($G$208=0,0,G141/$G$208)</f>
        <v>7.3522109066243456E-3</v>
      </c>
      <c r="I141" s="336"/>
      <c r="J141" s="168"/>
      <c r="K141" s="168"/>
      <c r="M141" s="364">
        <f t="shared" si="34"/>
        <v>1.6811506981222917</v>
      </c>
      <c r="N141" s="359">
        <f>SUMMARY!J144</f>
        <v>2.2256603513522144</v>
      </c>
      <c r="P141"/>
      <c r="Q141"/>
      <c r="Z141" s="168"/>
      <c r="AA141" s="168"/>
      <c r="AB141" s="513"/>
      <c r="AC141" s="513"/>
    </row>
    <row r="142" spans="1:29" s="167" customFormat="1">
      <c r="A142" s="169"/>
      <c r="B142" s="163" t="s">
        <v>196</v>
      </c>
      <c r="C142" s="558">
        <f>'[59]Sch C'!D143</f>
        <v>38091.82</v>
      </c>
      <c r="D142" s="558">
        <f>'[59]Sch C'!F143</f>
        <v>0</v>
      </c>
      <c r="E142" s="171">
        <f t="shared" si="37"/>
        <v>38091.82</v>
      </c>
      <c r="F142" s="484"/>
      <c r="G142" s="171">
        <f>E142+F142</f>
        <v>38091.82</v>
      </c>
      <c r="H142" s="172">
        <f>IF($G$208=0,0,G142/$G$208)</f>
        <v>1.60411881983058E-2</v>
      </c>
      <c r="I142" s="336"/>
      <c r="J142" s="168"/>
      <c r="K142" s="168"/>
      <c r="M142" s="364">
        <f t="shared" si="34"/>
        <v>3.6679653346172363</v>
      </c>
      <c r="N142" s="359">
        <f>SUMMARY!J145</f>
        <v>5.5063490246705751</v>
      </c>
      <c r="P142"/>
      <c r="Q142"/>
      <c r="Z142" s="168"/>
      <c r="AA142" s="168"/>
      <c r="AB142" s="513"/>
      <c r="AC142" s="513"/>
    </row>
    <row r="143" spans="1:29" s="167" customFormat="1">
      <c r="A143" s="169"/>
      <c r="B143" s="163" t="s">
        <v>197</v>
      </c>
      <c r="C143" s="558">
        <f>'[59]Sch C'!D144</f>
        <v>4001.67</v>
      </c>
      <c r="D143" s="558">
        <f>'[59]Sch C'!F144</f>
        <v>0</v>
      </c>
      <c r="E143" s="171">
        <f t="shared" si="37"/>
        <v>4001.67</v>
      </c>
      <c r="F143" s="484"/>
      <c r="G143" s="171">
        <f>E143+F143</f>
        <v>4001.67</v>
      </c>
      <c r="H143" s="172">
        <f>IF($G$208=0,0,G143/$G$208)</f>
        <v>1.6851791691107007E-3</v>
      </c>
      <c r="I143" s="336"/>
      <c r="J143" s="168"/>
      <c r="K143" s="168"/>
      <c r="M143" s="364">
        <f t="shared" si="34"/>
        <v>0.3853317284545017</v>
      </c>
      <c r="N143" s="359">
        <f>SUMMARY!J146</f>
        <v>0.55064368222190041</v>
      </c>
      <c r="P143"/>
      <c r="Q143"/>
      <c r="Z143" s="168"/>
      <c r="AA143" s="168"/>
      <c r="AB143" s="513"/>
      <c r="AC143" s="513"/>
    </row>
    <row r="144" spans="1:29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  <c r="Z144" s="204"/>
      <c r="AA144" s="204"/>
      <c r="AB144" s="483"/>
      <c r="AC144" s="483"/>
    </row>
    <row r="145" spans="1:29" s="167" customFormat="1">
      <c r="A145" s="169"/>
      <c r="B145" s="163" t="s">
        <v>232</v>
      </c>
      <c r="C145" s="558">
        <f>'[59]Sch C'!D146</f>
        <v>9600</v>
      </c>
      <c r="D145" s="558">
        <f>'[59]Sch C'!F146</f>
        <v>0</v>
      </c>
      <c r="E145" s="171">
        <f t="shared" ref="E145:E153" si="38">C145+D145</f>
        <v>9600</v>
      </c>
      <c r="F145" s="484"/>
      <c r="G145" s="171">
        <f t="shared" ref="G145:G153" si="39">E145+F145</f>
        <v>9600</v>
      </c>
      <c r="H145" s="172">
        <f t="shared" ref="H145:H153" si="40">IF($G$208=0,0,G145/$G$208)</f>
        <v>4.042742161013458E-3</v>
      </c>
      <c r="I145" s="336"/>
      <c r="J145" s="183">
        <v>0</v>
      </c>
      <c r="K145" s="183">
        <v>0</v>
      </c>
      <c r="M145" s="364">
        <f t="shared" si="34"/>
        <v>0.92441020702936927</v>
      </c>
      <c r="N145" s="359">
        <f>SUMMARY!J148</f>
        <v>1.6451259729597054</v>
      </c>
      <c r="P145"/>
      <c r="Q145"/>
      <c r="Z145" s="183">
        <v>0</v>
      </c>
      <c r="AA145" s="183">
        <v>0</v>
      </c>
      <c r="AB145" s="486">
        <v>0</v>
      </c>
      <c r="AC145" s="486">
        <v>0</v>
      </c>
    </row>
    <row r="146" spans="1:29" s="167" customFormat="1">
      <c r="A146" s="169"/>
      <c r="B146" s="163" t="s">
        <v>194</v>
      </c>
      <c r="C146" s="558">
        <f>'[59]Sch C'!D147</f>
        <v>2650.16</v>
      </c>
      <c r="D146" s="558">
        <f>'[59]Sch C'!F147</f>
        <v>0</v>
      </c>
      <c r="E146" s="171">
        <f t="shared" si="38"/>
        <v>2650.16</v>
      </c>
      <c r="F146" s="484"/>
      <c r="G146" s="171">
        <f t="shared" si="39"/>
        <v>2650.16</v>
      </c>
      <c r="H146" s="172">
        <f t="shared" si="40"/>
        <v>1.1160326630657736E-3</v>
      </c>
      <c r="I146" s="336"/>
      <c r="J146" s="183">
        <v>0</v>
      </c>
      <c r="K146" s="183">
        <v>0</v>
      </c>
      <c r="M146" s="364">
        <f t="shared" si="34"/>
        <v>0.25519114106884927</v>
      </c>
      <c r="N146" s="359">
        <f>SUMMARY!J149</f>
        <v>0.46540336428082985</v>
      </c>
      <c r="P146"/>
      <c r="Q146"/>
      <c r="Z146" s="183">
        <v>0</v>
      </c>
      <c r="AA146" s="183">
        <v>0</v>
      </c>
      <c r="AB146" s="486">
        <v>0</v>
      </c>
      <c r="AC146" s="486">
        <v>0</v>
      </c>
    </row>
    <row r="147" spans="1:29" s="167" customFormat="1">
      <c r="A147" s="169"/>
      <c r="B147" s="163" t="s">
        <v>195</v>
      </c>
      <c r="C147" s="558">
        <f>'[59]Sch C'!D148</f>
        <v>528.5</v>
      </c>
      <c r="D147" s="558">
        <f>'[59]Sch C'!F148</f>
        <v>0</v>
      </c>
      <c r="E147" s="171">
        <f t="shared" si="38"/>
        <v>528.5</v>
      </c>
      <c r="F147" s="484"/>
      <c r="G147" s="171">
        <f t="shared" si="39"/>
        <v>528.5</v>
      </c>
      <c r="H147" s="172">
        <f t="shared" si="40"/>
        <v>2.22561378343293E-4</v>
      </c>
      <c r="I147" s="336"/>
      <c r="J147" s="183">
        <v>0</v>
      </c>
      <c r="K147" s="183">
        <v>0</v>
      </c>
      <c r="M147" s="364">
        <f t="shared" si="34"/>
        <v>5.0890707751564755E-2</v>
      </c>
      <c r="N147" s="359">
        <f>SUMMARY!J150</f>
        <v>0.21006426087323665</v>
      </c>
      <c r="P147"/>
      <c r="Q147"/>
      <c r="Z147" s="183">
        <v>0</v>
      </c>
      <c r="AA147" s="183">
        <v>0</v>
      </c>
      <c r="AB147" s="486">
        <v>0</v>
      </c>
      <c r="AC147" s="486">
        <v>0</v>
      </c>
    </row>
    <row r="148" spans="1:29" s="167" customFormat="1">
      <c r="A148" s="169"/>
      <c r="B148" s="163" t="s">
        <v>196</v>
      </c>
      <c r="C148" s="558">
        <f>'[59]Sch C'!D149</f>
        <v>118.3</v>
      </c>
      <c r="D148" s="558">
        <f>'[59]Sch C'!F149</f>
        <v>0</v>
      </c>
      <c r="E148" s="171">
        <f t="shared" si="38"/>
        <v>118.3</v>
      </c>
      <c r="F148" s="484"/>
      <c r="G148" s="171">
        <f t="shared" si="39"/>
        <v>118.3</v>
      </c>
      <c r="H148" s="172">
        <f t="shared" si="40"/>
        <v>4.9818374754988763E-5</v>
      </c>
      <c r="I148" s="336"/>
      <c r="J148" s="183">
        <v>0</v>
      </c>
      <c r="K148" s="183">
        <v>0</v>
      </c>
      <c r="M148" s="364">
        <f t="shared" si="34"/>
        <v>1.1391429947038999E-2</v>
      </c>
      <c r="N148" s="359">
        <f>SUMMARY!J151</f>
        <v>0.30946371189888716</v>
      </c>
      <c r="P148"/>
      <c r="Q148"/>
      <c r="Z148" s="183">
        <v>0</v>
      </c>
      <c r="AA148" s="183">
        <v>0</v>
      </c>
      <c r="AB148" s="486">
        <v>0</v>
      </c>
      <c r="AC148" s="486">
        <v>0</v>
      </c>
    </row>
    <row r="149" spans="1:29" s="167" customFormat="1">
      <c r="A149" s="169"/>
      <c r="B149" s="163" t="s">
        <v>197</v>
      </c>
      <c r="C149" s="558">
        <f>'[59]Sch C'!D150</f>
        <v>2250</v>
      </c>
      <c r="D149" s="558">
        <f>'[59]Sch C'!F150</f>
        <v>0</v>
      </c>
      <c r="E149" s="171">
        <f t="shared" si="38"/>
        <v>2250</v>
      </c>
      <c r="F149" s="484"/>
      <c r="G149" s="171">
        <f t="shared" si="39"/>
        <v>2250</v>
      </c>
      <c r="H149" s="172">
        <f t="shared" si="40"/>
        <v>9.4751769398752927E-4</v>
      </c>
      <c r="I149" s="336"/>
      <c r="J149" s="183">
        <v>0</v>
      </c>
      <c r="K149" s="183">
        <v>0</v>
      </c>
      <c r="M149" s="364">
        <f t="shared" si="34"/>
        <v>0.21665864227250842</v>
      </c>
      <c r="N149" s="359">
        <f>SUMMARY!J152</f>
        <v>0.63962211863516594</v>
      </c>
      <c r="P149"/>
      <c r="Q149"/>
      <c r="Z149" s="183">
        <v>0</v>
      </c>
      <c r="AA149" s="183">
        <v>0</v>
      </c>
      <c r="AB149" s="486">
        <v>0</v>
      </c>
      <c r="AC149" s="486">
        <v>0</v>
      </c>
    </row>
    <row r="150" spans="1:29" s="167" customFormat="1">
      <c r="A150" s="169">
        <v>110</v>
      </c>
      <c r="B150" s="167" t="s">
        <v>65</v>
      </c>
      <c r="C150" s="558">
        <f>'[59]Sch C'!D151</f>
        <v>42356.07</v>
      </c>
      <c r="D150" s="558">
        <f>'[59]Sch C'!F151</f>
        <v>0</v>
      </c>
      <c r="E150" s="171">
        <f t="shared" si="38"/>
        <v>42356.07</v>
      </c>
      <c r="F150" s="484"/>
      <c r="G150" s="171">
        <f t="shared" si="39"/>
        <v>42356.07</v>
      </c>
      <c r="H150" s="172">
        <f t="shared" si="40"/>
        <v>1.7836944787899722E-2</v>
      </c>
      <c r="I150" s="336"/>
      <c r="J150" s="168"/>
      <c r="K150" s="168"/>
      <c r="M150" s="364">
        <f t="shared" si="34"/>
        <v>4.078581608088589</v>
      </c>
      <c r="N150" s="359">
        <f>SUMMARY!J153</f>
        <v>5.6321022575023187</v>
      </c>
      <c r="P150"/>
      <c r="Q150"/>
      <c r="Z150" s="168"/>
      <c r="AA150" s="168"/>
      <c r="AB150" s="513"/>
      <c r="AC150" s="513"/>
    </row>
    <row r="151" spans="1:29" s="167" customFormat="1">
      <c r="A151" s="169">
        <v>111</v>
      </c>
      <c r="B151" s="170" t="s">
        <v>97</v>
      </c>
      <c r="C151" s="558">
        <f>'[59]Sch C'!D152</f>
        <v>206.02</v>
      </c>
      <c r="D151" s="558">
        <f>'[59]Sch C'!F152</f>
        <v>0</v>
      </c>
      <c r="E151" s="171">
        <f t="shared" si="38"/>
        <v>206.02</v>
      </c>
      <c r="F151" s="484"/>
      <c r="G151" s="171">
        <f t="shared" si="39"/>
        <v>206.02</v>
      </c>
      <c r="H151" s="172">
        <f t="shared" si="40"/>
        <v>8.6758931251249236E-5</v>
      </c>
      <c r="I151" s="336"/>
      <c r="J151" s="168"/>
      <c r="K151" s="168"/>
      <c r="M151" s="364">
        <f t="shared" si="34"/>
        <v>1.9838228213769862E-2</v>
      </c>
      <c r="N151" s="359">
        <f>SUMMARY!J154</f>
        <v>0.34937544615199928</v>
      </c>
      <c r="P151"/>
      <c r="Q151"/>
      <c r="Z151" s="168"/>
      <c r="AA151" s="168"/>
      <c r="AB151" s="513"/>
      <c r="AC151" s="513"/>
    </row>
    <row r="152" spans="1:29" s="167" customFormat="1">
      <c r="A152" s="169">
        <v>230</v>
      </c>
      <c r="B152" s="170" t="s">
        <v>66</v>
      </c>
      <c r="C152" s="558">
        <f>'[59]Sch C'!D153</f>
        <v>15475.74</v>
      </c>
      <c r="D152" s="558">
        <f>'[59]Sch C'!F153</f>
        <v>0</v>
      </c>
      <c r="E152" s="171">
        <f t="shared" si="38"/>
        <v>15475.74</v>
      </c>
      <c r="F152" s="484"/>
      <c r="G152" s="171">
        <f t="shared" si="39"/>
        <v>15475.74</v>
      </c>
      <c r="H152" s="172">
        <f t="shared" si="40"/>
        <v>6.5171277678002515E-3</v>
      </c>
      <c r="I152" s="336"/>
      <c r="J152" s="168"/>
      <c r="K152" s="168"/>
      <c r="M152" s="364">
        <f t="shared" si="34"/>
        <v>1.4902012518054886</v>
      </c>
      <c r="N152" s="359">
        <f>SUMMARY!J155</f>
        <v>0.16440170079037233</v>
      </c>
      <c r="P152"/>
      <c r="Q152"/>
      <c r="Z152" s="168"/>
      <c r="AA152" s="168"/>
      <c r="AB152" s="513"/>
      <c r="AC152" s="513"/>
    </row>
    <row r="153" spans="1:29" s="167" customFormat="1">
      <c r="A153" s="169">
        <v>430</v>
      </c>
      <c r="B153" s="170" t="s">
        <v>99</v>
      </c>
      <c r="C153" s="558">
        <f>'[59]Sch C'!D154</f>
        <v>0</v>
      </c>
      <c r="D153" s="558">
        <f>'[59]Sch C'!F154</f>
        <v>0</v>
      </c>
      <c r="E153" s="171">
        <f t="shared" si="38"/>
        <v>0</v>
      </c>
      <c r="F153" s="484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  <c r="Z153" s="168"/>
      <c r="AA153" s="168"/>
      <c r="AB153" s="513"/>
      <c r="AC153" s="513"/>
    </row>
    <row r="154" spans="1:29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  <c r="Z154" s="168"/>
      <c r="AA154" s="168"/>
      <c r="AB154" s="513"/>
      <c r="AC154" s="513"/>
    </row>
    <row r="155" spans="1:29" s="167" customFormat="1">
      <c r="A155" s="169">
        <v>440.1</v>
      </c>
      <c r="B155" s="163" t="s">
        <v>223</v>
      </c>
      <c r="C155" s="558">
        <f>'[59]Sch C'!D156</f>
        <v>0</v>
      </c>
      <c r="D155" s="558">
        <f>'[59]Sch C'!F156</f>
        <v>0</v>
      </c>
      <c r="E155" s="171">
        <f t="shared" ref="E155:E160" si="41">C155+D155</f>
        <v>0</v>
      </c>
      <c r="F155" s="484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  <c r="Z155" s="168"/>
      <c r="AA155" s="168"/>
      <c r="AB155" s="513"/>
      <c r="AC155" s="513"/>
    </row>
    <row r="156" spans="1:29" s="167" customFormat="1">
      <c r="A156" s="169">
        <v>440.2</v>
      </c>
      <c r="B156" s="163" t="s">
        <v>224</v>
      </c>
      <c r="C156" s="558">
        <f>'[59]Sch C'!D157</f>
        <v>0</v>
      </c>
      <c r="D156" s="558">
        <f>'[59]Sch C'!F157</f>
        <v>0</v>
      </c>
      <c r="E156" s="171">
        <f t="shared" si="41"/>
        <v>0</v>
      </c>
      <c r="F156" s="484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  <c r="Z156" s="168"/>
      <c r="AA156" s="168"/>
      <c r="AB156" s="513"/>
      <c r="AC156" s="513"/>
    </row>
    <row r="157" spans="1:29" s="167" customFormat="1">
      <c r="A157" s="169">
        <v>440.3</v>
      </c>
      <c r="B157" s="163" t="s">
        <v>225</v>
      </c>
      <c r="C157" s="558">
        <f>'[59]Sch C'!D158</f>
        <v>0</v>
      </c>
      <c r="D157" s="558">
        <f>'[59]Sch C'!F158</f>
        <v>0</v>
      </c>
      <c r="E157" s="171">
        <f t="shared" si="41"/>
        <v>0</v>
      </c>
      <c r="F157" s="484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  <c r="Z157" s="168"/>
      <c r="AA157" s="168"/>
      <c r="AB157" s="513"/>
      <c r="AC157" s="513"/>
    </row>
    <row r="158" spans="1:29" s="167" customFormat="1">
      <c r="A158" s="169">
        <v>440.4</v>
      </c>
      <c r="B158" s="163" t="s">
        <v>226</v>
      </c>
      <c r="C158" s="558">
        <f>'[59]Sch C'!D159</f>
        <v>0</v>
      </c>
      <c r="D158" s="558">
        <f>'[59]Sch C'!F159</f>
        <v>0</v>
      </c>
      <c r="E158" s="171">
        <f t="shared" si="41"/>
        <v>0</v>
      </c>
      <c r="F158" s="484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  <c r="Z158" s="168"/>
      <c r="AA158" s="168"/>
      <c r="AB158" s="513"/>
      <c r="AC158" s="513"/>
    </row>
    <row r="159" spans="1:29" s="167" customFormat="1">
      <c r="A159" s="169">
        <v>440.5</v>
      </c>
      <c r="B159" s="163" t="s">
        <v>301</v>
      </c>
      <c r="C159" s="558">
        <f>'[59]Sch C'!D160</f>
        <v>4495.37</v>
      </c>
      <c r="D159" s="558">
        <f>'[59]Sch C'!F160</f>
        <v>0</v>
      </c>
      <c r="E159" s="171">
        <f t="shared" si="41"/>
        <v>4495.37</v>
      </c>
      <c r="F159" s="484"/>
      <c r="G159" s="171">
        <f t="shared" si="42"/>
        <v>4495.37</v>
      </c>
      <c r="H159" s="172">
        <f>IF($G$208=0,0,G159/$G$208)</f>
        <v>1.8930856071203198E-3</v>
      </c>
      <c r="I159" s="336"/>
      <c r="J159" s="168"/>
      <c r="K159" s="168"/>
      <c r="M159" s="364">
        <f t="shared" si="34"/>
        <v>0.43287144920558496</v>
      </c>
      <c r="N159" s="359">
        <f>SUMMARY!J162</f>
        <v>1.6643468549097623E-2</v>
      </c>
      <c r="P159"/>
      <c r="Q159"/>
      <c r="Z159" s="168"/>
      <c r="AA159" s="168"/>
      <c r="AB159" s="513"/>
      <c r="AC159" s="513"/>
    </row>
    <row r="160" spans="1:29" s="167" customFormat="1">
      <c r="A160" s="169">
        <v>490</v>
      </c>
      <c r="B160" s="202" t="s">
        <v>315</v>
      </c>
      <c r="C160" s="558">
        <f>'[59]Sch C'!D161</f>
        <v>24220.46</v>
      </c>
      <c r="D160" s="558">
        <f>'[59]Sch C'!F161</f>
        <v>0</v>
      </c>
      <c r="E160" s="171">
        <f t="shared" si="41"/>
        <v>24220.46</v>
      </c>
      <c r="F160" s="484"/>
      <c r="G160" s="171">
        <f t="shared" si="42"/>
        <v>24220.46</v>
      </c>
      <c r="H160" s="172">
        <f t="shared" si="43"/>
        <v>1.0199695291785419E-2</v>
      </c>
      <c r="I160" s="336"/>
      <c r="J160" s="168"/>
      <c r="K160" s="168"/>
      <c r="M160" s="364">
        <f t="shared" si="34"/>
        <v>2.3322542128069328</v>
      </c>
      <c r="N160" s="359">
        <f>SUMMARY!J163</f>
        <v>0.85264911391265397</v>
      </c>
      <c r="P160"/>
      <c r="Q160"/>
      <c r="Z160" s="168"/>
      <c r="AA160" s="168"/>
      <c r="AB160" s="513"/>
      <c r="AC160" s="513"/>
    </row>
    <row r="161" spans="1:29" s="167" customFormat="1">
      <c r="A161" s="169"/>
      <c r="B161" s="170" t="s">
        <v>233</v>
      </c>
      <c r="C161" s="558">
        <f>SUM(C123:C160)</f>
        <v>861290.14</v>
      </c>
      <c r="D161" s="558">
        <f>SUM(D123:D160)</f>
        <v>0</v>
      </c>
      <c r="E161" s="171">
        <f t="shared" ref="E161:F161" si="44">SUM(E123:E160)</f>
        <v>861290.14</v>
      </c>
      <c r="F161" s="171">
        <f t="shared" si="44"/>
        <v>0</v>
      </c>
      <c r="G161" s="171">
        <f>SUM(G123:G160)</f>
        <v>861290.14</v>
      </c>
      <c r="H161" s="172">
        <f t="shared" si="43"/>
        <v>0.36270562102533166</v>
      </c>
      <c r="I161" s="336"/>
      <c r="J161" s="168"/>
      <c r="K161" s="168"/>
      <c r="M161" s="364">
        <f>G161/G$228</f>
        <v>82.935978815599427</v>
      </c>
      <c r="N161" s="359">
        <f>SUMMARY!J164</f>
        <v>105.56901037202306</v>
      </c>
      <c r="O161" s="354">
        <f>M161/N161-1</f>
        <v>-0.21439086600002488</v>
      </c>
      <c r="P161"/>
      <c r="Q161"/>
      <c r="Z161" s="168"/>
      <c r="AA161" s="168"/>
      <c r="AB161" s="513"/>
      <c r="AC161" s="513"/>
    </row>
    <row r="162" spans="1:29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  <c r="Z162" s="168"/>
      <c r="AA162" s="168"/>
      <c r="AB162" s="513"/>
      <c r="AC162" s="513"/>
    </row>
    <row r="163" spans="1:29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  <c r="Z163" s="168"/>
      <c r="AA163" s="168"/>
      <c r="AB163" s="513"/>
      <c r="AC163" s="513"/>
    </row>
    <row r="164" spans="1:29" s="221" customFormat="1">
      <c r="A164" s="215" t="s">
        <v>95</v>
      </c>
      <c r="B164" s="148" t="s">
        <v>102</v>
      </c>
      <c r="C164" s="558">
        <f>'[59]Sch C'!D175</f>
        <v>0</v>
      </c>
      <c r="D164" s="558">
        <f>'[59]Sch C'!F175</f>
        <v>0</v>
      </c>
      <c r="E164" s="171">
        <f t="shared" ref="E164:E196" si="45">C164+D164</f>
        <v>0</v>
      </c>
      <c r="F164" s="484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  <c r="Z164" s="217">
        <v>0</v>
      </c>
      <c r="AA164" s="217">
        <v>0</v>
      </c>
      <c r="AB164" s="486">
        <v>0</v>
      </c>
      <c r="AC164" s="486">
        <v>0</v>
      </c>
    </row>
    <row r="165" spans="1:29" s="221" customFormat="1">
      <c r="A165" s="215" t="s">
        <v>123</v>
      </c>
      <c r="B165" s="148" t="s">
        <v>103</v>
      </c>
      <c r="C165" s="558">
        <f>'[59]Sch C'!D176</f>
        <v>0</v>
      </c>
      <c r="D165" s="558">
        <f>'[59]Sch C'!F176</f>
        <v>0</v>
      </c>
      <c r="E165" s="171">
        <f t="shared" si="45"/>
        <v>0</v>
      </c>
      <c r="F165" s="484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  <c r="Z165" s="222"/>
      <c r="AA165" s="222"/>
      <c r="AB165" s="519"/>
      <c r="AC165" s="519"/>
    </row>
    <row r="166" spans="1:29" s="221" customFormat="1">
      <c r="A166" s="215" t="s">
        <v>124</v>
      </c>
      <c r="B166" s="148" t="s">
        <v>104</v>
      </c>
      <c r="C166" s="558">
        <f>'[59]Sch C'!D177</f>
        <v>0</v>
      </c>
      <c r="D166" s="558">
        <f>'[59]Sch C'!F177</f>
        <v>0</v>
      </c>
      <c r="E166" s="171">
        <f t="shared" si="45"/>
        <v>0</v>
      </c>
      <c r="F166" s="484"/>
      <c r="G166" s="171">
        <f t="shared" si="46"/>
        <v>0</v>
      </c>
      <c r="H166" s="172">
        <f t="shared" si="47"/>
        <v>0</v>
      </c>
      <c r="I166" s="342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  <c r="Z166" s="217">
        <v>0</v>
      </c>
      <c r="AA166" s="217">
        <v>0</v>
      </c>
      <c r="AB166" s="486">
        <v>0</v>
      </c>
      <c r="AC166" s="486">
        <v>0</v>
      </c>
    </row>
    <row r="167" spans="1:29" s="221" customFormat="1">
      <c r="A167" s="215" t="s">
        <v>157</v>
      </c>
      <c r="B167" s="148" t="s">
        <v>105</v>
      </c>
      <c r="C167" s="558">
        <f>'[59]Sch C'!D178</f>
        <v>0</v>
      </c>
      <c r="D167" s="558">
        <f>'[59]Sch C'!F178</f>
        <v>0</v>
      </c>
      <c r="E167" s="171">
        <f t="shared" si="45"/>
        <v>0</v>
      </c>
      <c r="F167" s="484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  <c r="Z167" s="222"/>
      <c r="AA167" s="222"/>
      <c r="AB167" s="519"/>
      <c r="AC167" s="519"/>
    </row>
    <row r="168" spans="1:29" s="221" customFormat="1">
      <c r="A168" s="215" t="s">
        <v>158</v>
      </c>
      <c r="B168" s="148" t="s">
        <v>316</v>
      </c>
      <c r="C168" s="558">
        <f>'[59]Sch C'!D179</f>
        <v>0</v>
      </c>
      <c r="D168" s="558">
        <f>'[59]Sch C'!F179</f>
        <v>0</v>
      </c>
      <c r="E168" s="171">
        <f t="shared" si="45"/>
        <v>0</v>
      </c>
      <c r="F168" s="484"/>
      <c r="G168" s="171">
        <f t="shared" si="46"/>
        <v>0</v>
      </c>
      <c r="H168" s="172">
        <f t="shared" si="47"/>
        <v>0</v>
      </c>
      <c r="I168" s="342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  <c r="Z168" s="217">
        <v>0</v>
      </c>
      <c r="AA168" s="217">
        <v>0</v>
      </c>
      <c r="AB168" s="486">
        <v>0</v>
      </c>
      <c r="AC168" s="486">
        <v>0</v>
      </c>
    </row>
    <row r="169" spans="1:29" s="221" customFormat="1">
      <c r="A169" s="215" t="s">
        <v>86</v>
      </c>
      <c r="B169" s="148" t="s">
        <v>317</v>
      </c>
      <c r="C169" s="558">
        <f>'[59]Sch C'!D180</f>
        <v>0</v>
      </c>
      <c r="D169" s="558">
        <f>'[59]Sch C'!F180</f>
        <v>0</v>
      </c>
      <c r="E169" s="171">
        <f t="shared" si="45"/>
        <v>0</v>
      </c>
      <c r="F169" s="484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  <c r="Z169" s="222"/>
      <c r="AA169" s="222"/>
      <c r="AB169" s="519"/>
      <c r="AC169" s="519"/>
    </row>
    <row r="170" spans="1:29" s="221" customFormat="1">
      <c r="A170" s="215" t="s">
        <v>96</v>
      </c>
      <c r="B170" s="148" t="s">
        <v>318</v>
      </c>
      <c r="C170" s="558">
        <f>'[59]Sch C'!D181</f>
        <v>0</v>
      </c>
      <c r="D170" s="558">
        <f>'[59]Sch C'!F181</f>
        <v>0</v>
      </c>
      <c r="E170" s="171">
        <f t="shared" si="45"/>
        <v>0</v>
      </c>
      <c r="F170" s="484"/>
      <c r="G170" s="171">
        <f t="shared" si="46"/>
        <v>0</v>
      </c>
      <c r="H170" s="172">
        <f t="shared" si="47"/>
        <v>0</v>
      </c>
      <c r="I170" s="342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  <c r="Z170" s="217">
        <v>0</v>
      </c>
      <c r="AA170" s="217">
        <v>0</v>
      </c>
      <c r="AB170" s="486">
        <v>0</v>
      </c>
      <c r="AC170" s="486">
        <v>0</v>
      </c>
    </row>
    <row r="171" spans="1:29" s="221" customFormat="1">
      <c r="A171" s="215" t="s">
        <v>125</v>
      </c>
      <c r="B171" s="148" t="s">
        <v>109</v>
      </c>
      <c r="C171" s="558">
        <f>'[59]Sch C'!D182</f>
        <v>0</v>
      </c>
      <c r="D171" s="558">
        <f>'[59]Sch C'!F182</f>
        <v>0</v>
      </c>
      <c r="E171" s="171">
        <f t="shared" si="45"/>
        <v>0</v>
      </c>
      <c r="F171" s="484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  <c r="Z171" s="222"/>
      <c r="AA171" s="222"/>
      <c r="AB171" s="519"/>
      <c r="AC171" s="519"/>
    </row>
    <row r="172" spans="1:29" s="221" customFormat="1">
      <c r="A172" s="215" t="s">
        <v>126</v>
      </c>
      <c r="B172" s="148" t="s">
        <v>319</v>
      </c>
      <c r="C172" s="558">
        <f>'[59]Sch C'!D183</f>
        <v>0</v>
      </c>
      <c r="D172" s="558">
        <f>'[59]Sch C'!F183</f>
        <v>0</v>
      </c>
      <c r="E172" s="171">
        <f t="shared" si="45"/>
        <v>0</v>
      </c>
      <c r="F172" s="484"/>
      <c r="G172" s="171">
        <f t="shared" si="46"/>
        <v>0</v>
      </c>
      <c r="H172" s="172">
        <f t="shared" si="47"/>
        <v>0</v>
      </c>
      <c r="I172" s="342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  <c r="Z172" s="217">
        <v>0</v>
      </c>
      <c r="AA172" s="217">
        <v>0</v>
      </c>
      <c r="AB172" s="486">
        <v>0</v>
      </c>
      <c r="AC172" s="486">
        <v>0</v>
      </c>
    </row>
    <row r="173" spans="1:29" s="221" customFormat="1">
      <c r="A173" s="215" t="s">
        <v>127</v>
      </c>
      <c r="B173" s="148" t="s">
        <v>111</v>
      </c>
      <c r="C173" s="558">
        <f>'[59]Sch C'!D184</f>
        <v>0</v>
      </c>
      <c r="D173" s="558">
        <f>'[59]Sch C'!F184</f>
        <v>0</v>
      </c>
      <c r="E173" s="171">
        <f t="shared" si="45"/>
        <v>0</v>
      </c>
      <c r="F173" s="484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  <c r="Z173" s="222"/>
      <c r="AA173" s="222"/>
      <c r="AB173" s="519"/>
      <c r="AC173" s="519"/>
    </row>
    <row r="174" spans="1:29" s="221" customFormat="1">
      <c r="A174" s="215" t="s">
        <v>128</v>
      </c>
      <c r="B174" s="148" t="s">
        <v>320</v>
      </c>
      <c r="C174" s="558">
        <f>'[59]Sch C'!D185</f>
        <v>0</v>
      </c>
      <c r="D174" s="558">
        <f>'[59]Sch C'!F185</f>
        <v>0</v>
      </c>
      <c r="E174" s="171">
        <f t="shared" si="45"/>
        <v>0</v>
      </c>
      <c r="F174" s="484"/>
      <c r="G174" s="171">
        <f t="shared" si="46"/>
        <v>0</v>
      </c>
      <c r="H174" s="172">
        <f t="shared" si="47"/>
        <v>0</v>
      </c>
      <c r="I174" s="342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  <c r="Z174" s="217">
        <v>0</v>
      </c>
      <c r="AA174" s="217">
        <v>0</v>
      </c>
      <c r="AB174" s="486">
        <v>0</v>
      </c>
      <c r="AC174" s="486">
        <v>0</v>
      </c>
    </row>
    <row r="175" spans="1:29" s="221" customFormat="1">
      <c r="A175" s="215" t="s">
        <v>129</v>
      </c>
      <c r="B175" s="148" t="s">
        <v>321</v>
      </c>
      <c r="C175" s="558">
        <f>'[59]Sch C'!D186</f>
        <v>0</v>
      </c>
      <c r="D175" s="558">
        <f>'[59]Sch C'!F186</f>
        <v>0</v>
      </c>
      <c r="E175" s="171">
        <f t="shared" si="45"/>
        <v>0</v>
      </c>
      <c r="F175" s="484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  <c r="Z175" s="223"/>
      <c r="AA175" s="218"/>
      <c r="AB175" s="520"/>
      <c r="AC175" s="521"/>
    </row>
    <row r="176" spans="1:29" s="221" customFormat="1">
      <c r="A176" s="224" t="s">
        <v>293</v>
      </c>
      <c r="B176" s="148" t="s">
        <v>154</v>
      </c>
      <c r="C176" s="558">
        <f>'[59]Sch C'!D187</f>
        <v>0</v>
      </c>
      <c r="D176" s="558">
        <f>'[59]Sch C'!F187</f>
        <v>0</v>
      </c>
      <c r="E176" s="171">
        <f t="shared" si="45"/>
        <v>0</v>
      </c>
      <c r="F176" s="484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  <c r="Z176" s="223"/>
      <c r="AA176" s="218"/>
      <c r="AB176" s="520"/>
      <c r="AC176" s="521"/>
    </row>
    <row r="177" spans="1:29" s="221" customFormat="1">
      <c r="A177" s="224" t="s">
        <v>294</v>
      </c>
      <c r="B177" s="148" t="s">
        <v>322</v>
      </c>
      <c r="C177" s="558">
        <f>'[59]Sch C'!D188</f>
        <v>0</v>
      </c>
      <c r="D177" s="558">
        <f>'[59]Sch C'!F188</f>
        <v>0</v>
      </c>
      <c r="E177" s="171">
        <f t="shared" si="45"/>
        <v>0</v>
      </c>
      <c r="F177" s="484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  <c r="Z177" s="223"/>
      <c r="AA177" s="218"/>
      <c r="AB177" s="520"/>
      <c r="AC177" s="521"/>
    </row>
    <row r="178" spans="1:29" s="221" customFormat="1">
      <c r="A178" s="224" t="s">
        <v>295</v>
      </c>
      <c r="B178" s="148" t="s">
        <v>323</v>
      </c>
      <c r="C178" s="558">
        <f>'[59]Sch C'!D189</f>
        <v>0</v>
      </c>
      <c r="D178" s="558">
        <f>'[59]Sch C'!F189</f>
        <v>0</v>
      </c>
      <c r="E178" s="171">
        <f t="shared" si="45"/>
        <v>0</v>
      </c>
      <c r="F178" s="484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  <c r="Z178" s="223"/>
      <c r="AA178" s="218"/>
      <c r="AB178" s="520"/>
      <c r="AC178" s="521"/>
    </row>
    <row r="179" spans="1:29" s="221" customFormat="1">
      <c r="A179" s="224" t="s">
        <v>296</v>
      </c>
      <c r="B179" s="148" t="s">
        <v>324</v>
      </c>
      <c r="C179" s="558">
        <f>'[59]Sch C'!D190</f>
        <v>0</v>
      </c>
      <c r="D179" s="558">
        <f>'[59]Sch C'!F190</f>
        <v>0</v>
      </c>
      <c r="E179" s="171">
        <f t="shared" si="45"/>
        <v>0</v>
      </c>
      <c r="F179" s="484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  <c r="Z179" s="223"/>
      <c r="AA179" s="218"/>
      <c r="AB179" s="520"/>
      <c r="AC179" s="521"/>
    </row>
    <row r="180" spans="1:29" s="221" customFormat="1">
      <c r="A180" s="224" t="s">
        <v>297</v>
      </c>
      <c r="B180" s="148" t="s">
        <v>325</v>
      </c>
      <c r="C180" s="558">
        <f>'[59]Sch C'!D191</f>
        <v>0</v>
      </c>
      <c r="D180" s="558">
        <f>'[59]Sch C'!F191</f>
        <v>0</v>
      </c>
      <c r="E180" s="171">
        <f t="shared" si="45"/>
        <v>0</v>
      </c>
      <c r="F180" s="484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  <c r="Z180" s="223"/>
      <c r="AA180" s="218"/>
      <c r="AB180" s="520"/>
      <c r="AC180" s="521"/>
    </row>
    <row r="181" spans="1:29" s="221" customFormat="1">
      <c r="A181" s="224" t="s">
        <v>298</v>
      </c>
      <c r="B181" s="148" t="s">
        <v>117</v>
      </c>
      <c r="C181" s="558">
        <f>'[59]Sch C'!D192</f>
        <v>0</v>
      </c>
      <c r="D181" s="558">
        <f>'[59]Sch C'!F192</f>
        <v>0</v>
      </c>
      <c r="E181" s="171">
        <f t="shared" si="45"/>
        <v>0</v>
      </c>
      <c r="F181" s="484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  <c r="Z181" s="223"/>
      <c r="AA181" s="218"/>
      <c r="AB181" s="520"/>
      <c r="AC181" s="521"/>
    </row>
    <row r="182" spans="1:29" s="221" customFormat="1">
      <c r="A182" s="224" t="s">
        <v>132</v>
      </c>
      <c r="B182" s="148" t="s">
        <v>118</v>
      </c>
      <c r="C182" s="558">
        <f>'[59]Sch C'!D193</f>
        <v>0</v>
      </c>
      <c r="D182" s="558">
        <f>'[59]Sch C'!F193</f>
        <v>0</v>
      </c>
      <c r="E182" s="171">
        <f t="shared" si="45"/>
        <v>0</v>
      </c>
      <c r="F182" s="484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  <c r="Z182" s="223"/>
      <c r="AA182" s="218"/>
      <c r="AB182" s="520"/>
      <c r="AC182" s="521"/>
    </row>
    <row r="183" spans="1:29" s="221" customFormat="1">
      <c r="A183" s="224" t="s">
        <v>133</v>
      </c>
      <c r="B183" s="148" t="s">
        <v>119</v>
      </c>
      <c r="C183" s="558">
        <f>'[59]Sch C'!D194</f>
        <v>101387.31</v>
      </c>
      <c r="D183" s="558">
        <f>'[59]Sch C'!F194</f>
        <v>0</v>
      </c>
      <c r="E183" s="171">
        <f t="shared" si="45"/>
        <v>101387.31</v>
      </c>
      <c r="F183" s="484"/>
      <c r="G183" s="171">
        <f t="shared" si="46"/>
        <v>101387.31</v>
      </c>
      <c r="H183" s="172">
        <f t="shared" si="47"/>
        <v>4.269612007591056E-2</v>
      </c>
      <c r="I183" s="336"/>
      <c r="J183" s="223"/>
      <c r="K183" s="218"/>
      <c r="M183" s="364">
        <f t="shared" si="48"/>
        <v>9.762860857005295</v>
      </c>
      <c r="N183" s="359">
        <f>SUMMARY!J186</f>
        <v>7.2780776577335544</v>
      </c>
      <c r="O183" s="220"/>
      <c r="P183"/>
      <c r="Q183"/>
      <c r="R183" s="220"/>
      <c r="S183" s="220"/>
      <c r="Z183" s="223"/>
      <c r="AA183" s="218"/>
      <c r="AB183" s="520"/>
      <c r="AC183" s="521"/>
    </row>
    <row r="184" spans="1:29" s="221" customFormat="1">
      <c r="A184" s="224" t="s">
        <v>134</v>
      </c>
      <c r="B184" s="148" t="s">
        <v>326</v>
      </c>
      <c r="C184" s="558">
        <f>'[59]Sch C'!D195</f>
        <v>4924.1000000000004</v>
      </c>
      <c r="D184" s="558">
        <f>'[59]Sch C'!F195</f>
        <v>0</v>
      </c>
      <c r="E184" s="171">
        <f t="shared" si="45"/>
        <v>4924.1000000000004</v>
      </c>
      <c r="F184" s="484"/>
      <c r="G184" s="171">
        <f t="shared" si="46"/>
        <v>4924.1000000000004</v>
      </c>
      <c r="H184" s="172">
        <f t="shared" si="47"/>
        <v>2.0736319453173303E-3</v>
      </c>
      <c r="I184" s="336"/>
      <c r="J184" s="223"/>
      <c r="K184" s="218"/>
      <c r="M184" s="364">
        <f t="shared" si="48"/>
        <v>0.47415503129513725</v>
      </c>
      <c r="N184" s="359">
        <f>SUMMARY!J187</f>
        <v>1.7471448792019588</v>
      </c>
      <c r="O184" s="220"/>
      <c r="P184"/>
      <c r="Q184"/>
      <c r="R184" s="220"/>
      <c r="S184" s="220"/>
      <c r="Z184" s="223"/>
      <c r="AA184" s="218"/>
      <c r="AB184" s="520"/>
      <c r="AC184" s="521"/>
    </row>
    <row r="185" spans="1:29" s="221" customFormat="1">
      <c r="A185" s="224" t="s">
        <v>135</v>
      </c>
      <c r="B185" s="148" t="s">
        <v>327</v>
      </c>
      <c r="C185" s="558">
        <f>'[59]Sch C'!D196</f>
        <v>0</v>
      </c>
      <c r="D185" s="558">
        <f>'[59]Sch C'!F196</f>
        <v>0</v>
      </c>
      <c r="E185" s="171">
        <f t="shared" si="45"/>
        <v>0</v>
      </c>
      <c r="F185" s="484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  <c r="Z185" s="223"/>
      <c r="AA185" s="218"/>
      <c r="AB185" s="520"/>
      <c r="AC185" s="521"/>
    </row>
    <row r="186" spans="1:29" s="221" customFormat="1">
      <c r="A186" s="224" t="s">
        <v>136</v>
      </c>
      <c r="B186" s="148" t="s">
        <v>328</v>
      </c>
      <c r="C186" s="558">
        <f>'[59]Sch C'!D197</f>
        <v>93241.44</v>
      </c>
      <c r="D186" s="558">
        <f>'[59]Sch C'!F197</f>
        <v>0</v>
      </c>
      <c r="E186" s="171">
        <f t="shared" si="45"/>
        <v>93241.44</v>
      </c>
      <c r="F186" s="484"/>
      <c r="G186" s="171">
        <f t="shared" si="46"/>
        <v>93241.44</v>
      </c>
      <c r="H186" s="172">
        <f t="shared" si="47"/>
        <v>3.9265739650167365E-2</v>
      </c>
      <c r="I186" s="336"/>
      <c r="J186" s="223"/>
      <c r="K186" s="218"/>
      <c r="M186" s="364">
        <f t="shared" si="48"/>
        <v>8.9784727973038034</v>
      </c>
      <c r="N186" s="359">
        <f>SUMMARY!J189</f>
        <v>5.0164683871805966</v>
      </c>
      <c r="O186" s="220"/>
      <c r="P186"/>
      <c r="Q186"/>
      <c r="R186" s="220"/>
      <c r="S186" s="220"/>
      <c r="Z186" s="223"/>
      <c r="AA186" s="218"/>
      <c r="AB186" s="520"/>
      <c r="AC186" s="521"/>
    </row>
    <row r="187" spans="1:29" s="221" customFormat="1">
      <c r="A187" s="224" t="s">
        <v>137</v>
      </c>
      <c r="B187" s="148" t="s">
        <v>122</v>
      </c>
      <c r="C187" s="558">
        <f>'[59]Sch C'!D198</f>
        <v>20011.27</v>
      </c>
      <c r="D187" s="558">
        <f>'[59]Sch C'!F198</f>
        <v>0</v>
      </c>
      <c r="E187" s="171">
        <f t="shared" si="45"/>
        <v>20011.27</v>
      </c>
      <c r="F187" s="484"/>
      <c r="G187" s="171">
        <f t="shared" si="46"/>
        <v>20011.27</v>
      </c>
      <c r="H187" s="172">
        <f t="shared" si="47"/>
        <v>8.4271255129608116E-3</v>
      </c>
      <c r="I187" s="336"/>
      <c r="J187" s="223"/>
      <c r="K187" s="218"/>
      <c r="M187" s="364">
        <f t="shared" si="48"/>
        <v>1.9269398170438132</v>
      </c>
      <c r="N187" s="359">
        <f>SUMMARY!J190</f>
        <v>1.4762344610483848</v>
      </c>
      <c r="O187" s="220"/>
      <c r="P187"/>
      <c r="Q187"/>
      <c r="R187" s="220"/>
      <c r="S187" s="220"/>
      <c r="Z187" s="223"/>
      <c r="AA187" s="218"/>
      <c r="AB187" s="520"/>
      <c r="AC187" s="521"/>
    </row>
    <row r="188" spans="1:29" s="221" customFormat="1">
      <c r="A188" s="224" t="s">
        <v>275</v>
      </c>
      <c r="B188" s="148" t="s">
        <v>329</v>
      </c>
      <c r="C188" s="558">
        <f>'[59]Sch C'!D199</f>
        <v>0</v>
      </c>
      <c r="D188" s="558">
        <f>'[59]Sch C'!F199</f>
        <v>0</v>
      </c>
      <c r="E188" s="171">
        <f t="shared" si="45"/>
        <v>0</v>
      </c>
      <c r="F188" s="484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  <c r="Z188" s="223"/>
      <c r="AA188" s="218"/>
      <c r="AB188" s="520"/>
      <c r="AC188" s="521"/>
    </row>
    <row r="189" spans="1:29" s="221" customFormat="1">
      <c r="A189" s="224" t="s">
        <v>277</v>
      </c>
      <c r="B189" s="148" t="s">
        <v>278</v>
      </c>
      <c r="C189" s="558">
        <f>'[59]Sch C'!D200</f>
        <v>0</v>
      </c>
      <c r="D189" s="558">
        <f>'[59]Sch C'!F200</f>
        <v>0</v>
      </c>
      <c r="E189" s="171">
        <f t="shared" si="45"/>
        <v>0</v>
      </c>
      <c r="F189" s="484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  <c r="Z189" s="223"/>
      <c r="AA189" s="218"/>
      <c r="AB189" s="520"/>
      <c r="AC189" s="521"/>
    </row>
    <row r="190" spans="1:29" s="221" customFormat="1">
      <c r="A190" s="225" t="s">
        <v>279</v>
      </c>
      <c r="B190" s="226" t="s">
        <v>280</v>
      </c>
      <c r="C190" s="558">
        <f>'[59]Sch C'!D201</f>
        <v>0</v>
      </c>
      <c r="D190" s="558">
        <f>'[59]Sch C'!F201</f>
        <v>0</v>
      </c>
      <c r="E190" s="171">
        <f t="shared" si="45"/>
        <v>0</v>
      </c>
      <c r="F190" s="484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  <c r="Z190" s="223"/>
      <c r="AA190" s="218"/>
      <c r="AB190" s="520"/>
      <c r="AC190" s="521"/>
    </row>
    <row r="191" spans="1:29" s="221" customFormat="1">
      <c r="A191" s="225" t="s">
        <v>281</v>
      </c>
      <c r="B191" s="226" t="s">
        <v>282</v>
      </c>
      <c r="C191" s="558">
        <f>'[59]Sch C'!D202</f>
        <v>0</v>
      </c>
      <c r="D191" s="558">
        <f>'[59]Sch C'!F202</f>
        <v>0</v>
      </c>
      <c r="E191" s="171">
        <f t="shared" si="45"/>
        <v>0</v>
      </c>
      <c r="F191" s="484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  <c r="Z191" s="223"/>
      <c r="AA191" s="218"/>
      <c r="AB191" s="520"/>
      <c r="AC191" s="521"/>
    </row>
    <row r="192" spans="1:29" s="221" customFormat="1">
      <c r="A192" s="225" t="s">
        <v>283</v>
      </c>
      <c r="B192" s="226" t="s">
        <v>330</v>
      </c>
      <c r="C192" s="558">
        <f>'[59]Sch C'!D203</f>
        <v>0</v>
      </c>
      <c r="D192" s="558">
        <f>'[59]Sch C'!F203</f>
        <v>0</v>
      </c>
      <c r="E192" s="171">
        <f t="shared" si="45"/>
        <v>0</v>
      </c>
      <c r="F192" s="484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  <c r="Z192" s="223"/>
      <c r="AA192" s="218"/>
      <c r="AB192" s="520"/>
      <c r="AC192" s="521"/>
    </row>
    <row r="193" spans="1:29" s="221" customFormat="1">
      <c r="A193" s="225" t="s">
        <v>285</v>
      </c>
      <c r="B193" s="226" t="s">
        <v>331</v>
      </c>
      <c r="C193" s="558">
        <f>'[59]Sch C'!D204</f>
        <v>0</v>
      </c>
      <c r="D193" s="558">
        <f>'[59]Sch C'!F204</f>
        <v>0</v>
      </c>
      <c r="E193" s="171">
        <f t="shared" si="45"/>
        <v>0</v>
      </c>
      <c r="F193" s="484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  <c r="Z193" s="223"/>
      <c r="AA193" s="218"/>
      <c r="AB193" s="520"/>
      <c r="AC193" s="521"/>
    </row>
    <row r="194" spans="1:29" s="221" customFormat="1">
      <c r="A194" s="224" t="s">
        <v>138</v>
      </c>
      <c r="B194" s="148" t="s">
        <v>332</v>
      </c>
      <c r="C194" s="558">
        <f>'[59]Sch C'!D205</f>
        <v>99667.86</v>
      </c>
      <c r="D194" s="558">
        <f>'[59]Sch C'!F205</f>
        <v>-21200.29</v>
      </c>
      <c r="E194" s="171">
        <f t="shared" si="45"/>
        <v>78467.570000000007</v>
      </c>
      <c r="F194" s="484"/>
      <c r="G194" s="171">
        <f t="shared" si="46"/>
        <v>78467.570000000007</v>
      </c>
      <c r="H194" s="172">
        <f t="shared" si="47"/>
        <v>3.304418265742446E-2</v>
      </c>
      <c r="I194" s="336"/>
      <c r="J194" s="223"/>
      <c r="K194" s="218"/>
      <c r="M194" s="364">
        <f t="shared" si="48"/>
        <v>7.5558565238324515</v>
      </c>
      <c r="N194" s="359">
        <f>SUMMARY!J197</f>
        <v>9.4138592764245246</v>
      </c>
      <c r="O194" s="220"/>
      <c r="P194"/>
      <c r="Q194"/>
      <c r="R194" s="220"/>
      <c r="S194" s="220"/>
      <c r="Z194" s="223"/>
      <c r="AA194" s="218"/>
      <c r="AB194" s="520"/>
      <c r="AC194" s="521"/>
    </row>
    <row r="195" spans="1:29" s="221" customFormat="1">
      <c r="A195" s="224" t="s">
        <v>139</v>
      </c>
      <c r="B195" s="148" t="s">
        <v>67</v>
      </c>
      <c r="C195" s="558">
        <f>'[59]Sch C'!D206</f>
        <v>3153.18</v>
      </c>
      <c r="D195" s="558">
        <f>'[59]Sch C'!F206</f>
        <v>0</v>
      </c>
      <c r="E195" s="171">
        <f t="shared" si="45"/>
        <v>3153.18</v>
      </c>
      <c r="F195" s="484"/>
      <c r="G195" s="171">
        <f t="shared" si="46"/>
        <v>3153.18</v>
      </c>
      <c r="H195" s="172">
        <f t="shared" si="47"/>
        <v>1.3278639299233767E-3</v>
      </c>
      <c r="I195" s="336"/>
      <c r="J195" s="223"/>
      <c r="K195" s="218"/>
      <c r="M195" s="364">
        <f t="shared" si="48"/>
        <v>0.30362831006259028</v>
      </c>
      <c r="N195" s="359">
        <f>SUMMARY!J198</f>
        <v>0.50303072526897752</v>
      </c>
      <c r="O195" s="220"/>
      <c r="P195"/>
      <c r="Q195"/>
      <c r="R195" s="220"/>
      <c r="S195" s="220"/>
      <c r="Z195" s="223"/>
      <c r="AA195" s="218"/>
      <c r="AB195" s="520"/>
      <c r="AC195" s="521"/>
    </row>
    <row r="196" spans="1:29" s="221" customFormat="1">
      <c r="A196" s="225" t="s">
        <v>143</v>
      </c>
      <c r="B196" s="194" t="s">
        <v>333</v>
      </c>
      <c r="C196" s="558">
        <f>'[59]Sch C'!D207</f>
        <v>-221.41</v>
      </c>
      <c r="D196" s="558">
        <f>'[59]Sch C'!F207</f>
        <v>0</v>
      </c>
      <c r="E196" s="171">
        <f t="shared" si="45"/>
        <v>-221.41</v>
      </c>
      <c r="F196" s="484"/>
      <c r="G196" s="171">
        <f t="shared" si="46"/>
        <v>-221.41</v>
      </c>
      <c r="H196" s="172">
        <f t="shared" si="47"/>
        <v>-9.3239952278123943E-5</v>
      </c>
      <c r="I196" s="336"/>
      <c r="J196" s="223"/>
      <c r="K196" s="218"/>
      <c r="M196" s="364">
        <f t="shared" si="48"/>
        <v>-2.1320173326913817E-2</v>
      </c>
      <c r="N196" s="359">
        <f>SUMMARY!J199</f>
        <v>0.37420738931321718</v>
      </c>
      <c r="O196" s="220"/>
      <c r="P196"/>
      <c r="Q196"/>
      <c r="R196" s="220"/>
      <c r="S196" s="220"/>
      <c r="Z196" s="223"/>
      <c r="AA196" s="218"/>
      <c r="AB196" s="520"/>
      <c r="AC196" s="521"/>
    </row>
    <row r="197" spans="1:29" s="167" customFormat="1">
      <c r="A197" s="163"/>
      <c r="B197" s="212" t="s">
        <v>130</v>
      </c>
      <c r="C197" s="558">
        <f>SUM(C164:C196)</f>
        <v>322163.75</v>
      </c>
      <c r="D197" s="558">
        <f>SUM(D164:D196)</f>
        <v>-21200.29</v>
      </c>
      <c r="E197" s="171">
        <f t="shared" ref="E197:F197" si="49">SUM(E164:E196)</f>
        <v>300963.46000000002</v>
      </c>
      <c r="F197" s="171">
        <f t="shared" si="49"/>
        <v>0</v>
      </c>
      <c r="G197" s="171">
        <f>SUM(G164:G196)</f>
        <v>300963.46000000002</v>
      </c>
      <c r="H197" s="172">
        <f>IF($G$208=0,0,G197/$G$208)</f>
        <v>0.1267414238194258</v>
      </c>
      <c r="I197" s="336"/>
      <c r="J197" s="168"/>
      <c r="K197" s="168"/>
      <c r="M197" s="364">
        <f>G197/G$228</f>
        <v>28.980593163216181</v>
      </c>
      <c r="N197" s="359">
        <f>SUMMARY!J200</f>
        <v>37.406784978272242</v>
      </c>
      <c r="O197" s="354"/>
      <c r="P197"/>
      <c r="Q197"/>
      <c r="Z197" s="168"/>
      <c r="AA197" s="168"/>
      <c r="AB197" s="513"/>
      <c r="AC197" s="513"/>
    </row>
    <row r="198" spans="1:2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  <c r="Z198" s="168"/>
      <c r="AA198" s="168"/>
      <c r="AB198" s="513"/>
      <c r="AC198" s="513"/>
    </row>
    <row r="199" spans="1:2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  <c r="Z199" s="168"/>
      <c r="AA199" s="168"/>
      <c r="AB199" s="513"/>
      <c r="AC199" s="513"/>
    </row>
    <row r="200" spans="1:29" s="167" customFormat="1">
      <c r="A200" s="169" t="s">
        <v>85</v>
      </c>
      <c r="B200" s="170" t="s">
        <v>69</v>
      </c>
      <c r="C200" s="558">
        <f>'[59]Sch C'!D211</f>
        <v>31549.41</v>
      </c>
      <c r="D200" s="558">
        <f>'[59]Sch C'!F211</f>
        <v>0</v>
      </c>
      <c r="E200" s="171">
        <f t="shared" ref="E200:E205" si="50">C200+D200</f>
        <v>31549.41</v>
      </c>
      <c r="F200" s="484"/>
      <c r="G200" s="171">
        <f t="shared" ref="G200:G205" si="51">E200+F200</f>
        <v>31549.41</v>
      </c>
      <c r="H200" s="172">
        <f t="shared" ref="H200:H206" si="52">IF($G$208=0,0,G200/$G$208)</f>
        <v>1.3286055204385376E-2</v>
      </c>
      <c r="I200" s="336"/>
      <c r="J200" s="183">
        <v>2070.09</v>
      </c>
      <c r="K200" s="183">
        <v>2237.44</v>
      </c>
      <c r="M200" s="364">
        <f t="shared" ref="M200:M205" si="53">G200/G$228</f>
        <v>3.0379788155994221</v>
      </c>
      <c r="N200" s="359">
        <f>SUMMARY!J203</f>
        <v>5.2601700809246292</v>
      </c>
      <c r="P200"/>
      <c r="Q200"/>
      <c r="Z200" s="183">
        <v>1179</v>
      </c>
      <c r="AA200" s="183">
        <v>1174</v>
      </c>
      <c r="AB200" s="486">
        <v>620</v>
      </c>
      <c r="AC200" s="486">
        <v>646</v>
      </c>
    </row>
    <row r="201" spans="1:29" s="167" customFormat="1">
      <c r="A201" s="169" t="s">
        <v>86</v>
      </c>
      <c r="B201" s="170" t="s">
        <v>45</v>
      </c>
      <c r="C201" s="558">
        <f>'[59]Sch C'!D212</f>
        <v>3330.13</v>
      </c>
      <c r="D201" s="558">
        <f>'[59]Sch C'!F212</f>
        <v>0</v>
      </c>
      <c r="E201" s="171">
        <f t="shared" si="50"/>
        <v>3330.13</v>
      </c>
      <c r="F201" s="484"/>
      <c r="G201" s="171">
        <f t="shared" si="51"/>
        <v>3330.13</v>
      </c>
      <c r="H201" s="172">
        <f t="shared" si="52"/>
        <v>1.402380932568307E-3</v>
      </c>
      <c r="I201" s="336"/>
      <c r="J201" s="168"/>
      <c r="K201" s="168"/>
      <c r="M201" s="364">
        <f t="shared" si="53"/>
        <v>0.32066730861819931</v>
      </c>
      <c r="N201" s="359">
        <f>SUMMARY!J204</f>
        <v>1.0692430699343443</v>
      </c>
      <c r="P201"/>
      <c r="Q201"/>
      <c r="Z201" s="168"/>
      <c r="AA201" s="168"/>
      <c r="AB201" s="513"/>
      <c r="AC201" s="513"/>
    </row>
    <row r="202" spans="1:29" s="167" customFormat="1">
      <c r="A202" s="169" t="s">
        <v>140</v>
      </c>
      <c r="B202" s="170" t="s">
        <v>54</v>
      </c>
      <c r="C202" s="558">
        <f>'[59]Sch C'!D213</f>
        <v>7947</v>
      </c>
      <c r="D202" s="558">
        <f>'[59]Sch C'!F213</f>
        <v>0</v>
      </c>
      <c r="E202" s="171">
        <f t="shared" si="50"/>
        <v>7947</v>
      </c>
      <c r="F202" s="484"/>
      <c r="G202" s="171">
        <f t="shared" si="51"/>
        <v>7947</v>
      </c>
      <c r="H202" s="172">
        <f t="shared" si="52"/>
        <v>3.3466324951639537E-3</v>
      </c>
      <c r="I202" s="336"/>
      <c r="J202" s="168"/>
      <c r="K202" s="168"/>
      <c r="M202" s="364">
        <f t="shared" si="53"/>
        <v>0.76523832450649976</v>
      </c>
      <c r="N202" s="359">
        <f>SUMMARY!J205</f>
        <v>0.45326453571252473</v>
      </c>
      <c r="P202"/>
      <c r="Q202"/>
      <c r="Z202" s="168"/>
      <c r="AA202" s="168"/>
      <c r="AB202" s="513"/>
      <c r="AC202" s="513"/>
    </row>
    <row r="203" spans="1:29" s="167" customFormat="1">
      <c r="A203" s="169" t="s">
        <v>141</v>
      </c>
      <c r="B203" s="170" t="s">
        <v>70</v>
      </c>
      <c r="C203" s="558">
        <f>'[59]Sch C'!D214</f>
        <v>0</v>
      </c>
      <c r="D203" s="558">
        <f>'[59]Sch C'!F214</f>
        <v>0</v>
      </c>
      <c r="E203" s="171">
        <f t="shared" si="50"/>
        <v>0</v>
      </c>
      <c r="F203" s="484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  <c r="Z203" s="168"/>
      <c r="AA203" s="168"/>
      <c r="AB203" s="513"/>
      <c r="AC203" s="513"/>
    </row>
    <row r="204" spans="1:29" s="167" customFormat="1">
      <c r="A204" s="169" t="s">
        <v>142</v>
      </c>
      <c r="B204" s="202" t="s">
        <v>71</v>
      </c>
      <c r="C204" s="558">
        <f>'[59]Sch C'!D215</f>
        <v>0</v>
      </c>
      <c r="D204" s="558">
        <f>'[59]Sch C'!F215</f>
        <v>0</v>
      </c>
      <c r="E204" s="171">
        <f t="shared" si="50"/>
        <v>0</v>
      </c>
      <c r="F204" s="484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  <c r="Z204" s="168"/>
      <c r="AA204" s="168"/>
      <c r="AB204" s="513"/>
      <c r="AC204" s="513"/>
    </row>
    <row r="205" spans="1:29" s="167" customFormat="1">
      <c r="A205" s="169" t="s">
        <v>143</v>
      </c>
      <c r="B205" s="170" t="s">
        <v>312</v>
      </c>
      <c r="C205" s="558">
        <f>'[59]Sch C'!D216</f>
        <v>861.42</v>
      </c>
      <c r="D205" s="558">
        <f>'[59]Sch C'!F216</f>
        <v>0</v>
      </c>
      <c r="E205" s="171">
        <f t="shared" si="50"/>
        <v>861.42</v>
      </c>
      <c r="F205" s="484"/>
      <c r="G205" s="171">
        <f t="shared" si="51"/>
        <v>861.42</v>
      </c>
      <c r="H205" s="172">
        <f t="shared" si="52"/>
        <v>3.6276030753543885E-4</v>
      </c>
      <c r="I205" s="336"/>
      <c r="J205" s="168"/>
      <c r="K205" s="168"/>
      <c r="M205" s="364">
        <f t="shared" si="53"/>
        <v>8.2948483389504085E-2</v>
      </c>
      <c r="N205" s="359">
        <f>SUMMARY!J208</f>
        <v>0.36243287087155324</v>
      </c>
      <c r="P205"/>
      <c r="Q205"/>
      <c r="Z205" s="168"/>
      <c r="AA205" s="168"/>
      <c r="AB205" s="513"/>
      <c r="AC205" s="513"/>
    </row>
    <row r="206" spans="1:29" s="167" customFormat="1">
      <c r="A206" s="163"/>
      <c r="B206" s="170" t="s">
        <v>144</v>
      </c>
      <c r="C206" s="558">
        <f>SUM(C200:C205)</f>
        <v>43687.96</v>
      </c>
      <c r="D206" s="558">
        <f>SUM(D200:D205)</f>
        <v>0</v>
      </c>
      <c r="E206" s="171">
        <f t="shared" ref="E206:F206" si="54">SUM(E200:E205)</f>
        <v>43687.96</v>
      </c>
      <c r="F206" s="171">
        <f t="shared" si="54"/>
        <v>0</v>
      </c>
      <c r="G206" s="171">
        <f>SUM(G200:G205)</f>
        <v>43687.96</v>
      </c>
      <c r="H206" s="172">
        <f t="shared" si="52"/>
        <v>1.8397828939653076E-2</v>
      </c>
      <c r="I206" s="336"/>
      <c r="J206" s="168"/>
      <c r="K206" s="168"/>
      <c r="M206" s="364">
        <f>G206/G$228</f>
        <v>4.2068329321136257</v>
      </c>
      <c r="N206" s="359">
        <f>SUMMARY!J209</f>
        <v>7.1515095990067339</v>
      </c>
      <c r="O206" s="354">
        <f>M206/N206-1</f>
        <v>-0.411755955316356</v>
      </c>
      <c r="P206"/>
      <c r="Q206"/>
      <c r="Z206" s="168"/>
      <c r="AA206" s="168"/>
      <c r="AB206" s="513"/>
      <c r="AC206" s="513"/>
    </row>
    <row r="207" spans="1:2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29" s="167" customFormat="1">
      <c r="A208" s="227"/>
      <c r="B208" s="228" t="s">
        <v>145</v>
      </c>
      <c r="C208" s="558">
        <f>SUM(C25:C206)/2</f>
        <v>2570122.4299999997</v>
      </c>
      <c r="D208" s="558">
        <f>SUM(D25:D206)/2</f>
        <v>-195496.58999999997</v>
      </c>
      <c r="E208" s="171">
        <f t="shared" ref="E208:F208" si="55">SUM(E25:E206)/2</f>
        <v>2374625.8400000003</v>
      </c>
      <c r="F208" s="171">
        <f t="shared" si="55"/>
        <v>0</v>
      </c>
      <c r="G208" s="171">
        <f>SUM(G25:G206)/2</f>
        <v>2374625.8400000003</v>
      </c>
      <c r="H208" s="172">
        <f>IF($G$208=0,0,G208/$G$208)</f>
        <v>1</v>
      </c>
      <c r="I208" s="336"/>
      <c r="J208" s="183">
        <f>SUM(J25:J200)</f>
        <v>56978.14</v>
      </c>
      <c r="K208" s="183">
        <f>SUM(K25:K200)</f>
        <v>60774.71</v>
      </c>
      <c r="M208" s="364">
        <f>G208/G$228</f>
        <v>228.65920462205108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-0.99501363962905209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'[59]Sch C'!D221</f>
        <v>2570122.42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9.9999997764825821E-3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79648.569999999367</v>
      </c>
      <c r="D215" s="558">
        <f>D21-D208</f>
        <v>195496.58999999997</v>
      </c>
      <c r="E215" s="171">
        <f t="shared" ref="E215:F215" si="56">E21-E208</f>
        <v>275145.15999999922</v>
      </c>
      <c r="F215" s="171">
        <f t="shared" si="56"/>
        <v>472455</v>
      </c>
      <c r="G215" s="171">
        <f>G21-G208</f>
        <v>747600.15999999968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'[59]Sch D'!C9</f>
        <v>6402</v>
      </c>
      <c r="D219" s="592"/>
      <c r="E219" s="235">
        <f t="shared" ref="E219:G227" si="57">C219+D219</f>
        <v>6402</v>
      </c>
      <c r="F219" s="485"/>
      <c r="G219" s="235">
        <f t="shared" si="57"/>
        <v>6402</v>
      </c>
      <c r="H219" s="172">
        <f t="shared" ref="H219:H228" si="58">IF($G$228=0,0,G219/$G$228)</f>
        <v>0.61646605681271061</v>
      </c>
      <c r="I219" s="336"/>
      <c r="J219" s="168"/>
      <c r="K219" s="168"/>
    </row>
    <row r="220" spans="1:17">
      <c r="A220" s="163"/>
      <c r="B220" s="170" t="s">
        <v>217</v>
      </c>
      <c r="C220" s="592">
        <f>'[59]Sch D'!D9</f>
        <v>0</v>
      </c>
      <c r="D220" s="592"/>
      <c r="E220" s="235">
        <f t="shared" ref="E220:E227" si="59">C220+D220</f>
        <v>0</v>
      </c>
      <c r="F220" s="485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'[59]Sch D'!E9</f>
        <v>1028</v>
      </c>
      <c r="D221" s="592"/>
      <c r="E221" s="235">
        <f t="shared" si="59"/>
        <v>1028</v>
      </c>
      <c r="F221" s="485"/>
      <c r="G221" s="235">
        <f t="shared" si="57"/>
        <v>1028</v>
      </c>
      <c r="H221" s="172">
        <f t="shared" si="58"/>
        <v>9.8988926336061628E-2</v>
      </c>
      <c r="I221" s="336"/>
      <c r="J221" s="168"/>
      <c r="K221" s="168"/>
    </row>
    <row r="222" spans="1:17">
      <c r="A222" s="163"/>
      <c r="B222" s="202" t="s">
        <v>334</v>
      </c>
      <c r="C222" s="592">
        <f>'[59]Sch D'!F9</f>
        <v>551</v>
      </c>
      <c r="D222" s="592"/>
      <c r="E222" s="235">
        <f>C222+D222</f>
        <v>551</v>
      </c>
      <c r="F222" s="485"/>
      <c r="G222" s="235">
        <f>E222+F222</f>
        <v>551</v>
      </c>
      <c r="H222" s="172">
        <f t="shared" si="58"/>
        <v>5.3057294174289844E-2</v>
      </c>
      <c r="I222" s="336"/>
      <c r="J222" s="168"/>
      <c r="K222" s="168"/>
    </row>
    <row r="223" spans="1:17">
      <c r="A223" s="163"/>
      <c r="B223" s="170" t="s">
        <v>73</v>
      </c>
      <c r="C223" s="592">
        <f>'[59]Sch D'!G9</f>
        <v>0</v>
      </c>
      <c r="D223" s="592"/>
      <c r="E223" s="235">
        <f t="shared" si="59"/>
        <v>0</v>
      </c>
      <c r="F223" s="485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'[59]Sch D'!H9</f>
        <v>1792</v>
      </c>
      <c r="D224" s="592"/>
      <c r="E224" s="235">
        <f t="shared" si="59"/>
        <v>1792</v>
      </c>
      <c r="F224" s="485"/>
      <c r="G224" s="235">
        <f t="shared" si="57"/>
        <v>1792</v>
      </c>
      <c r="H224" s="172">
        <f t="shared" si="58"/>
        <v>0.1725565719788156</v>
      </c>
      <c r="I224" s="336"/>
      <c r="J224" s="168"/>
      <c r="K224" s="168"/>
    </row>
    <row r="225" spans="1:11">
      <c r="A225" s="163"/>
      <c r="B225" s="170" t="s">
        <v>236</v>
      </c>
      <c r="C225" s="592">
        <f>'[59]Sch D'!I9</f>
        <v>239</v>
      </c>
      <c r="D225" s="592"/>
      <c r="E225" s="235">
        <f t="shared" si="59"/>
        <v>239</v>
      </c>
      <c r="F225" s="485"/>
      <c r="G225" s="235">
        <f t="shared" si="57"/>
        <v>239</v>
      </c>
      <c r="H225" s="172">
        <f t="shared" si="58"/>
        <v>2.301396244583534E-2</v>
      </c>
      <c r="I225" s="336"/>
      <c r="J225" s="168"/>
      <c r="K225" s="168"/>
    </row>
    <row r="226" spans="1:11">
      <c r="A226" s="163"/>
      <c r="B226" s="170" t="s">
        <v>235</v>
      </c>
      <c r="C226" s="592">
        <f>'[59]Sch D'!J9</f>
        <v>364</v>
      </c>
      <c r="D226" s="592"/>
      <c r="E226" s="235">
        <f>C226+D226</f>
        <v>364</v>
      </c>
      <c r="F226" s="485"/>
      <c r="G226" s="235">
        <f>E226+F226</f>
        <v>364</v>
      </c>
      <c r="H226" s="172">
        <f t="shared" si="58"/>
        <v>3.5050553683196921E-2</v>
      </c>
      <c r="I226" s="336"/>
      <c r="J226" s="168"/>
      <c r="K226" s="168"/>
    </row>
    <row r="227" spans="1:11">
      <c r="A227" s="163"/>
      <c r="B227" s="170" t="s">
        <v>179</v>
      </c>
      <c r="C227" s="592">
        <f>'[59]Sch D'!K9</f>
        <v>9</v>
      </c>
      <c r="D227" s="592"/>
      <c r="E227" s="235">
        <f t="shared" si="59"/>
        <v>9</v>
      </c>
      <c r="F227" s="485"/>
      <c r="G227" s="235">
        <f t="shared" si="57"/>
        <v>9</v>
      </c>
      <c r="H227" s="172">
        <f t="shared" si="58"/>
        <v>8.6663456909003369E-4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10385</v>
      </c>
      <c r="D228" s="592">
        <f>SUM(D219:D227)</f>
        <v>0</v>
      </c>
      <c r="E228" s="237">
        <f>SUM(E219:E227)</f>
        <v>10385</v>
      </c>
      <c r="F228" s="237">
        <f>SUM(F219:F227)</f>
        <v>0</v>
      </c>
      <c r="G228" s="237">
        <f>SUM(G219:G227)</f>
        <v>10385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 t="s">
        <v>431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'[59]Sch D'!N22</f>
        <v>46</v>
      </c>
      <c r="D231" s="559"/>
      <c r="E231" s="235">
        <f>C231+D231</f>
        <v>46</v>
      </c>
      <c r="F231" s="486"/>
      <c r="G231" s="235">
        <f>SUM(E231:F231)</f>
        <v>46</v>
      </c>
      <c r="H231" s="167"/>
      <c r="J231" s="168"/>
      <c r="K231" s="168"/>
    </row>
    <row r="232" spans="1:11">
      <c r="A232" s="163"/>
      <c r="B232" s="202" t="s">
        <v>290</v>
      </c>
      <c r="C232" s="593">
        <f>'[59]Sch D'!N24</f>
        <v>46</v>
      </c>
      <c r="D232" s="559"/>
      <c r="E232" s="235">
        <f>C232+D232</f>
        <v>46</v>
      </c>
      <c r="F232" s="486"/>
      <c r="G232" s="235">
        <f>SUM(E232:F232)</f>
        <v>46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'[59]Sch D'!N28</f>
        <v>16836</v>
      </c>
      <c r="D235" s="483"/>
      <c r="E235" s="234">
        <f>E231*E233</f>
        <v>16836</v>
      </c>
      <c r="F235"/>
      <c r="G235" s="234">
        <f>G231*G233</f>
        <v>16836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'[59]Sch D'!N30</f>
        <v>0.61683297695414585</v>
      </c>
      <c r="D236" s="239"/>
      <c r="E236" s="244">
        <f>E228/E235</f>
        <v>0.61683297695414585</v>
      </c>
      <c r="F236"/>
      <c r="G236" s="244">
        <f>G228/G235</f>
        <v>0.61683297695414585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'[59]Sch D'!N32</f>
        <v>0.38025659301496795</v>
      </c>
      <c r="D237" s="239"/>
      <c r="E237" s="244">
        <f>(E219+E220)/E235</f>
        <v>0.38025659301496795</v>
      </c>
      <c r="F237"/>
      <c r="G237" s="244">
        <f>(G219+G220)/G235</f>
        <v>0.38025659301496795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'[59]Sch D'!N34</f>
        <v>0.61646605681271072</v>
      </c>
      <c r="D238" s="239"/>
      <c r="E238" s="244">
        <f>(E237/E236)</f>
        <v>0.61646605681271072</v>
      </c>
      <c r="F238"/>
      <c r="G238" s="244">
        <f>(G237/G236)</f>
        <v>0.61646605681271072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'[59]Sch B'!C85</f>
        <v>272.23971246006391</v>
      </c>
    </row>
    <row r="242" spans="2:7">
      <c r="F242" s="142" t="s">
        <v>341</v>
      </c>
      <c r="G242" s="558">
        <f>'[59]Sch B'!E85</f>
        <v>62.817772151898744</v>
      </c>
    </row>
    <row r="243" spans="2:7">
      <c r="F243" s="142" t="s">
        <v>342</v>
      </c>
      <c r="G243" s="558">
        <f>'[59]Sch B'!G85</f>
        <v>272.01380952380953</v>
      </c>
    </row>
    <row r="244" spans="2:7">
      <c r="F244" s="142" t="s">
        <v>343</v>
      </c>
      <c r="G244" s="558">
        <f>'[59]Sch B'!I85</f>
        <v>268.24927536231883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E28CAB"/>
  </sheetPr>
  <dimension ref="A1:T245"/>
  <sheetViews>
    <sheetView showGridLines="0" zoomScale="125" zoomScaleNormal="125" workbookViewId="0">
      <pane xSplit="2" ySplit="8" topLeftCell="C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416</v>
      </c>
      <c r="D2" s="246"/>
      <c r="E2" s="144"/>
    </row>
    <row r="3" spans="1:17">
      <c r="A3" s="145"/>
      <c r="B3" s="140" t="s">
        <v>79</v>
      </c>
      <c r="C3" s="489">
        <v>42186</v>
      </c>
      <c r="D3" s="438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52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484">
        <v>203479.45</v>
      </c>
      <c r="D11" s="484">
        <v>0</v>
      </c>
      <c r="E11" s="171">
        <f>C11+D11</f>
        <v>203479.45</v>
      </c>
      <c r="F11" s="564"/>
      <c r="G11" s="171">
        <f t="shared" ref="G11:G20" si="0">E11+F11</f>
        <v>203479.45</v>
      </c>
      <c r="H11" s="172">
        <f t="shared" ref="H11:H21" si="1">IF($G$21=0,0,G11/$G$21)</f>
        <v>3.5452871479181282E-2</v>
      </c>
      <c r="I11" s="348"/>
      <c r="J11" s="368" t="s">
        <v>344</v>
      </c>
      <c r="K11" s="369">
        <f>G21</f>
        <v>5739434.9600000009</v>
      </c>
      <c r="M11" s="359">
        <f>IFERROR(G11/G219,0)</f>
        <v>239.10628672150412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484">
        <v>0</v>
      </c>
      <c r="D12" s="484"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5611845.9900000002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484">
        <v>2809566.12</v>
      </c>
      <c r="D13" s="484">
        <v>0</v>
      </c>
      <c r="E13" s="171">
        <f t="shared" si="2"/>
        <v>2809566.12</v>
      </c>
      <c r="F13" s="171"/>
      <c r="G13" s="171">
        <f t="shared" si="0"/>
        <v>2809566.12</v>
      </c>
      <c r="H13" s="172">
        <f t="shared" si="1"/>
        <v>0.48951963731286879</v>
      </c>
      <c r="I13" s="336"/>
      <c r="J13" s="370" t="s">
        <v>346</v>
      </c>
      <c r="K13" s="371">
        <f>G228</f>
        <v>10881</v>
      </c>
      <c r="M13" s="359">
        <f t="shared" si="3"/>
        <v>586.42582341891045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484">
        <v>1485170.4400000002</v>
      </c>
      <c r="D14" s="484">
        <v>0</v>
      </c>
      <c r="E14" s="171">
        <f t="shared" si="2"/>
        <v>1485170.4400000002</v>
      </c>
      <c r="F14" s="175"/>
      <c r="G14" s="175">
        <f>E14+F14</f>
        <v>1485170.4400000002</v>
      </c>
      <c r="H14" s="176">
        <f t="shared" si="1"/>
        <v>0.25876596744289965</v>
      </c>
      <c r="I14" s="337"/>
      <c r="J14" s="370" t="s">
        <v>347</v>
      </c>
      <c r="K14" s="371">
        <f>G231</f>
        <v>40</v>
      </c>
      <c r="M14" s="359">
        <f t="shared" si="3"/>
        <v>446.80217809867634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484">
        <v>0</v>
      </c>
      <c r="D15" s="484"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14640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484">
        <v>806606.83</v>
      </c>
      <c r="D16" s="484">
        <v>0</v>
      </c>
      <c r="E16" s="171">
        <f t="shared" si="2"/>
        <v>806606.83</v>
      </c>
      <c r="F16" s="171"/>
      <c r="G16" s="171">
        <f t="shared" si="0"/>
        <v>806606.83</v>
      </c>
      <c r="H16" s="172">
        <f t="shared" si="1"/>
        <v>0.14053767237045228</v>
      </c>
      <c r="I16" s="336"/>
      <c r="J16" s="372"/>
      <c r="K16" s="371"/>
      <c r="M16" s="359">
        <f t="shared" si="3"/>
        <v>469.23026759744033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484">
        <v>0</v>
      </c>
      <c r="D17" s="484">
        <v>21369.3</v>
      </c>
      <c r="E17" s="171">
        <f t="shared" si="2"/>
        <v>21369.3</v>
      </c>
      <c r="F17" s="171"/>
      <c r="G17" s="171">
        <f>E17+F17</f>
        <v>21369.3</v>
      </c>
      <c r="H17" s="172">
        <f t="shared" si="1"/>
        <v>3.7232410766790875E-3</v>
      </c>
      <c r="I17" s="336"/>
      <c r="J17" s="370" t="s">
        <v>156</v>
      </c>
      <c r="K17" s="371">
        <f>J208</f>
        <v>87309.72</v>
      </c>
      <c r="M17" s="359">
        <f t="shared" si="3"/>
        <v>187.45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484">
        <v>41406.379999999997</v>
      </c>
      <c r="D18" s="484">
        <v>-21369.3</v>
      </c>
      <c r="E18" s="171">
        <f t="shared" si="2"/>
        <v>20037.079999999998</v>
      </c>
      <c r="F18" s="171"/>
      <c r="G18" s="171">
        <f>E18+F18</f>
        <v>20037.079999999998</v>
      </c>
      <c r="H18" s="172">
        <f t="shared" si="1"/>
        <v>3.4911241506602932E-3</v>
      </c>
      <c r="I18" s="336"/>
      <c r="J18" s="373" t="s">
        <v>252</v>
      </c>
      <c r="K18" s="374">
        <f>K208</f>
        <v>93017.709999999992</v>
      </c>
      <c r="M18" s="359">
        <f t="shared" si="3"/>
        <v>244.35463414634145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484">
        <v>0</v>
      </c>
      <c r="D19" s="484"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484">
        <v>393205.74000000005</v>
      </c>
      <c r="D20" s="484">
        <v>0</v>
      </c>
      <c r="E20" s="171">
        <f t="shared" si="2"/>
        <v>393205.74000000005</v>
      </c>
      <c r="F20" s="171"/>
      <c r="G20" s="171">
        <f t="shared" si="0"/>
        <v>393205.74000000005</v>
      </c>
      <c r="H20" s="172">
        <f t="shared" si="1"/>
        <v>6.8509486167258521E-2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484">
        <v>5739434.9600000009</v>
      </c>
      <c r="D21" s="484">
        <v>0</v>
      </c>
      <c r="E21" s="171">
        <f>SUM(E11:E20)</f>
        <v>5739434.9600000009</v>
      </c>
      <c r="F21" s="171">
        <f>SUM(F11:F20)</f>
        <v>0</v>
      </c>
      <c r="G21" s="171">
        <f>SUM(G11:G20)</f>
        <v>5739434.9600000009</v>
      </c>
      <c r="H21" s="172">
        <f t="shared" si="1"/>
        <v>1</v>
      </c>
      <c r="I21" s="336"/>
      <c r="J21" s="168"/>
      <c r="K21" s="168"/>
      <c r="M21" s="359">
        <f>IFERROR(G21/G228,0)</f>
        <v>527.47311460343724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484">
        <v>0</v>
      </c>
      <c r="D25" s="484">
        <v>93451.520000000004</v>
      </c>
      <c r="E25" s="171">
        <f t="shared" ref="E25:E60" si="4">C25+D25</f>
        <v>93451.520000000004</v>
      </c>
      <c r="F25" s="171"/>
      <c r="G25" s="182">
        <f>E25+F25</f>
        <v>93451.520000000004</v>
      </c>
      <c r="H25" s="172">
        <f>IF($G$208=0,0,G25/$G$208)</f>
        <v>1.6652545377497077E-2</v>
      </c>
      <c r="I25" s="336"/>
      <c r="J25" s="183">
        <v>0</v>
      </c>
      <c r="K25" s="183">
        <v>0</v>
      </c>
      <c r="M25" s="359">
        <f>G25/G$228</f>
        <v>8.5885047330208621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484">
        <v>0</v>
      </c>
      <c r="D26" s="484"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484">
        <v>82878.97</v>
      </c>
      <c r="D27" s="484">
        <v>0</v>
      </c>
      <c r="E27" s="171">
        <f t="shared" si="4"/>
        <v>82878.97</v>
      </c>
      <c r="F27" s="171"/>
      <c r="G27" s="171">
        <f t="shared" si="5"/>
        <v>82878.97</v>
      </c>
      <c r="H27" s="172">
        <f t="shared" si="6"/>
        <v>1.4768575286578739E-2</v>
      </c>
      <c r="I27" s="336"/>
      <c r="J27" s="185">
        <v>4373.8500000000004</v>
      </c>
      <c r="K27" s="185">
        <v>4677.7700000000004</v>
      </c>
      <c r="M27" s="359">
        <f t="shared" si="7"/>
        <v>7.6168523113684401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484">
        <v>18866.32</v>
      </c>
      <c r="D28" s="484">
        <v>18185.57</v>
      </c>
      <c r="E28" s="171">
        <f t="shared" si="4"/>
        <v>37051.89</v>
      </c>
      <c r="F28" s="171"/>
      <c r="G28" s="171">
        <f t="shared" si="5"/>
        <v>37051.89</v>
      </c>
      <c r="H28" s="172">
        <f t="shared" si="6"/>
        <v>6.6024424166351717E-3</v>
      </c>
      <c r="I28" s="336"/>
      <c r="J28" s="168"/>
      <c r="K28" s="168"/>
      <c r="M28" s="359">
        <f t="shared" si="7"/>
        <v>3.4051916184174247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484">
        <v>0</v>
      </c>
      <c r="D29" s="484"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484">
        <v>0</v>
      </c>
      <c r="D30" s="484"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484">
        <v>324500</v>
      </c>
      <c r="D31" s="484">
        <v>-39893</v>
      </c>
      <c r="E31" s="171">
        <f t="shared" si="4"/>
        <v>284607</v>
      </c>
      <c r="F31" s="171"/>
      <c r="G31" s="171">
        <f t="shared" si="5"/>
        <v>284607</v>
      </c>
      <c r="H31" s="172">
        <f t="shared" si="6"/>
        <v>5.0715397483671855E-2</v>
      </c>
      <c r="I31" s="336"/>
      <c r="J31" s="168"/>
      <c r="K31" s="168"/>
      <c r="M31" s="359">
        <f t="shared" si="7"/>
        <v>26.156327543424318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484">
        <v>21073.919999999998</v>
      </c>
      <c r="D32" s="484">
        <v>-21073.919999999998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484">
        <v>10030.73</v>
      </c>
      <c r="D33" s="484">
        <v>0</v>
      </c>
      <c r="E33" s="171">
        <f t="shared" si="4"/>
        <v>10030.73</v>
      </c>
      <c r="F33" s="171"/>
      <c r="G33" s="171">
        <f t="shared" si="5"/>
        <v>10030.73</v>
      </c>
      <c r="H33" s="172">
        <f t="shared" si="6"/>
        <v>1.787420755643367E-3</v>
      </c>
      <c r="I33" s="336"/>
      <c r="J33" s="168"/>
      <c r="K33" s="168"/>
      <c r="M33" s="359">
        <f t="shared" si="7"/>
        <v>0.9218573660509144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484">
        <v>27638.42</v>
      </c>
      <c r="D34" s="484">
        <v>0</v>
      </c>
      <c r="E34" s="171">
        <f t="shared" si="4"/>
        <v>27638.42</v>
      </c>
      <c r="F34" s="171"/>
      <c r="G34" s="171">
        <f t="shared" si="5"/>
        <v>27638.42</v>
      </c>
      <c r="H34" s="172">
        <f t="shared" si="6"/>
        <v>4.9250139881333406E-3</v>
      </c>
      <c r="I34" s="336"/>
      <c r="J34" s="168"/>
      <c r="K34" s="168"/>
      <c r="M34" s="359">
        <f t="shared" si="7"/>
        <v>2.5400624942560426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484">
        <v>7846.56</v>
      </c>
      <c r="D35" s="484">
        <v>0</v>
      </c>
      <c r="E35" s="171">
        <f t="shared" si="4"/>
        <v>7846.56</v>
      </c>
      <c r="F35" s="171"/>
      <c r="G35" s="171">
        <f t="shared" si="5"/>
        <v>7846.56</v>
      </c>
      <c r="H35" s="172">
        <f t="shared" si="6"/>
        <v>1.3982137097101625E-3</v>
      </c>
      <c r="I35" s="336"/>
      <c r="J35" s="168"/>
      <c r="K35" s="168"/>
      <c r="M35" s="359">
        <f t="shared" si="7"/>
        <v>0.72112489660876766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484">
        <v>64352.11</v>
      </c>
      <c r="D36" s="484">
        <v>0</v>
      </c>
      <c r="E36" s="171">
        <f t="shared" si="4"/>
        <v>64352.11</v>
      </c>
      <c r="F36" s="171"/>
      <c r="G36" s="171">
        <f t="shared" si="5"/>
        <v>64352.11</v>
      </c>
      <c r="H36" s="172">
        <f t="shared" si="6"/>
        <v>1.146719103030837E-2</v>
      </c>
      <c r="I36" s="336"/>
      <c r="J36" s="168"/>
      <c r="K36" s="168"/>
      <c r="M36" s="359">
        <f t="shared" si="7"/>
        <v>5.9141724106240234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484">
        <v>0</v>
      </c>
      <c r="D37" s="484"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484">
        <v>18067.36</v>
      </c>
      <c r="D38" s="484">
        <v>0</v>
      </c>
      <c r="E38" s="171">
        <f t="shared" si="4"/>
        <v>18067.36</v>
      </c>
      <c r="F38" s="171"/>
      <c r="G38" s="171">
        <f t="shared" si="5"/>
        <v>18067.36</v>
      </c>
      <c r="H38" s="172">
        <f t="shared" si="6"/>
        <v>3.2195038909113042E-3</v>
      </c>
      <c r="I38" s="336"/>
      <c r="J38" s="168"/>
      <c r="K38" s="168"/>
      <c r="M38" s="359">
        <f t="shared" si="7"/>
        <v>1.660450326256778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484">
        <v>40557.57</v>
      </c>
      <c r="D39" s="484">
        <v>36118.04</v>
      </c>
      <c r="E39" s="171">
        <f t="shared" si="4"/>
        <v>76675.61</v>
      </c>
      <c r="F39" s="171"/>
      <c r="G39" s="171">
        <f t="shared" si="5"/>
        <v>76675.61</v>
      </c>
      <c r="H39" s="172">
        <f t="shared" si="6"/>
        <v>1.366317075283814E-2</v>
      </c>
      <c r="I39" s="336"/>
      <c r="J39" s="168"/>
      <c r="K39" s="168"/>
      <c r="M39" s="359">
        <f t="shared" si="7"/>
        <v>7.0467429464203661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484">
        <v>0</v>
      </c>
      <c r="D40" s="484"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484">
        <v>47590.59</v>
      </c>
      <c r="D41" s="484">
        <v>0</v>
      </c>
      <c r="E41" s="171">
        <f t="shared" si="4"/>
        <v>47590.59</v>
      </c>
      <c r="F41" s="171"/>
      <c r="G41" s="171">
        <f t="shared" si="5"/>
        <v>47590.59</v>
      </c>
      <c r="H41" s="172">
        <f t="shared" si="6"/>
        <v>8.4803806242729762E-3</v>
      </c>
      <c r="I41" s="336"/>
      <c r="J41" s="168"/>
      <c r="K41" s="168"/>
      <c r="M41" s="359">
        <f t="shared" si="7"/>
        <v>4.3737331127653709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484">
        <v>684.62</v>
      </c>
      <c r="D42" s="484">
        <v>0</v>
      </c>
      <c r="E42" s="171">
        <f t="shared" si="4"/>
        <v>684.62</v>
      </c>
      <c r="F42" s="171"/>
      <c r="G42" s="171">
        <f t="shared" si="5"/>
        <v>684.62</v>
      </c>
      <c r="H42" s="172">
        <f t="shared" si="6"/>
        <v>1.219955075780688E-4</v>
      </c>
      <c r="I42" s="336"/>
      <c r="J42" s="168"/>
      <c r="K42" s="168"/>
      <c r="M42" s="359">
        <f t="shared" si="7"/>
        <v>6.2918849370462271E-2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484">
        <v>0</v>
      </c>
      <c r="D43" s="484"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484">
        <v>81658.100000000006</v>
      </c>
      <c r="D44" s="484">
        <v>-81658.100000000006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484">
        <v>-93</v>
      </c>
      <c r="D45" s="484">
        <v>93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484">
        <v>2711.97</v>
      </c>
      <c r="D46" s="484">
        <v>0</v>
      </c>
      <c r="E46" s="171">
        <f t="shared" si="4"/>
        <v>2711.97</v>
      </c>
      <c r="F46" s="171"/>
      <c r="G46" s="171">
        <f t="shared" si="5"/>
        <v>2711.97</v>
      </c>
      <c r="H46" s="172">
        <f t="shared" si="6"/>
        <v>4.8325809454368145E-4</v>
      </c>
      <c r="I46" s="336"/>
      <c r="J46" s="168"/>
      <c r="K46" s="168"/>
      <c r="M46" s="359">
        <f t="shared" si="7"/>
        <v>0.2492390405293631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484">
        <v>0</v>
      </c>
      <c r="D47" s="484">
        <v>14007.37</v>
      </c>
      <c r="E47" s="171">
        <f t="shared" si="4"/>
        <v>14007.37</v>
      </c>
      <c r="F47" s="171"/>
      <c r="G47" s="171">
        <f t="shared" si="5"/>
        <v>14007.37</v>
      </c>
      <c r="H47" s="172">
        <f t="shared" si="6"/>
        <v>2.4960360681601673E-3</v>
      </c>
      <c r="I47" s="336"/>
      <c r="J47" s="168"/>
      <c r="K47" s="168"/>
      <c r="M47" s="359">
        <f t="shared" si="7"/>
        <v>1.2873237753882916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484">
        <v>19.82</v>
      </c>
      <c r="D48" s="484">
        <v>-19.82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484">
        <v>0</v>
      </c>
      <c r="D49" s="484"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484">
        <v>695.69</v>
      </c>
      <c r="D50" s="484">
        <v>-695.69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484">
        <v>0</v>
      </c>
      <c r="D51" s="484"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484">
        <v>0</v>
      </c>
      <c r="D52" s="484"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484">
        <v>-22.45</v>
      </c>
      <c r="D53" s="484">
        <v>0</v>
      </c>
      <c r="E53" s="171">
        <f t="shared" si="4"/>
        <v>-22.45</v>
      </c>
      <c r="F53" s="171"/>
      <c r="G53" s="171">
        <f t="shared" si="5"/>
        <v>-22.45</v>
      </c>
      <c r="H53" s="172">
        <f t="shared" si="6"/>
        <v>-4.000466163897701E-6</v>
      </c>
      <c r="I53" s="336"/>
      <c r="J53" s="168"/>
      <c r="K53" s="168"/>
      <c r="M53" s="359">
        <f t="shared" si="7"/>
        <v>-2.0632294825843212E-3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484">
        <v>3295.21</v>
      </c>
      <c r="D54" s="484">
        <v>0</v>
      </c>
      <c r="E54" s="171">
        <f t="shared" si="4"/>
        <v>3295.21</v>
      </c>
      <c r="F54" s="171"/>
      <c r="G54" s="171">
        <f t="shared" si="5"/>
        <v>3295.21</v>
      </c>
      <c r="H54" s="172">
        <f t="shared" si="6"/>
        <v>5.8718824534242074E-4</v>
      </c>
      <c r="I54" s="336"/>
      <c r="J54" s="168"/>
      <c r="K54" s="168"/>
      <c r="M54" s="359">
        <f t="shared" si="7"/>
        <v>0.30284073155040897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484">
        <v>7347.3</v>
      </c>
      <c r="D55" s="484">
        <v>0</v>
      </c>
      <c r="E55" s="171">
        <f t="shared" si="4"/>
        <v>7347.3</v>
      </c>
      <c r="F55" s="171"/>
      <c r="G55" s="171">
        <f t="shared" si="5"/>
        <v>7347.3</v>
      </c>
      <c r="H55" s="172">
        <f t="shared" si="6"/>
        <v>1.3092483316706272E-3</v>
      </c>
      <c r="I55" s="336"/>
      <c r="J55" s="168"/>
      <c r="K55" s="168"/>
      <c r="M55" s="359">
        <f t="shared" si="7"/>
        <v>0.67524124620898818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484">
        <v>70614.98</v>
      </c>
      <c r="D56" s="484">
        <v>-6120.65</v>
      </c>
      <c r="E56" s="171">
        <f t="shared" si="4"/>
        <v>64494.329999999994</v>
      </c>
      <c r="F56" s="171"/>
      <c r="G56" s="171">
        <f t="shared" si="5"/>
        <v>64494.329999999994</v>
      </c>
      <c r="H56" s="172">
        <f t="shared" si="6"/>
        <v>1.1492533849810799E-2</v>
      </c>
      <c r="I56" s="336"/>
      <c r="J56" s="168"/>
      <c r="K56" s="168"/>
      <c r="M56" s="359">
        <f t="shared" si="7"/>
        <v>5.9272429004687064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484">
        <v>-175.67</v>
      </c>
      <c r="D57" s="484">
        <v>0</v>
      </c>
      <c r="E57" s="171">
        <f t="shared" si="4"/>
        <v>-175.67</v>
      </c>
      <c r="F57" s="171"/>
      <c r="G57" s="171">
        <f t="shared" si="5"/>
        <v>-175.67</v>
      </c>
      <c r="H57" s="172">
        <f t="shared" si="6"/>
        <v>-3.1303424989394616E-5</v>
      </c>
      <c r="I57" s="336"/>
      <c r="J57" s="168"/>
      <c r="K57" s="168"/>
      <c r="M57" s="359">
        <f t="shared" si="7"/>
        <v>-1.6144655822075176E-2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484">
        <v>0</v>
      </c>
      <c r="D58" s="484"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484">
        <v>0</v>
      </c>
      <c r="D59" s="484"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484">
        <v>114989.03</v>
      </c>
      <c r="D60" s="484">
        <v>-111637.09</v>
      </c>
      <c r="E60" s="171">
        <f t="shared" si="4"/>
        <v>3351.9400000000023</v>
      </c>
      <c r="F60" s="171"/>
      <c r="G60" s="171">
        <f t="shared" si="5"/>
        <v>3351.9400000000023</v>
      </c>
      <c r="H60" s="172">
        <f t="shared" si="6"/>
        <v>5.9729721841493414E-4</v>
      </c>
      <c r="I60" s="336"/>
      <c r="J60" s="168"/>
      <c r="K60" s="168"/>
      <c r="M60" s="359">
        <f t="shared" si="7"/>
        <v>0.30805440676408441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484">
        <v>945128.14999999979</v>
      </c>
      <c r="D61" s="484">
        <v>-99242.77</v>
      </c>
      <c r="E61" s="171">
        <f t="shared" ref="E61:F61" si="8">SUM(E25:E60)</f>
        <v>845885.37999999989</v>
      </c>
      <c r="F61" s="171">
        <f t="shared" si="8"/>
        <v>0</v>
      </c>
      <c r="G61" s="171">
        <f>SUM(G25:G60)</f>
        <v>845885.37999999989</v>
      </c>
      <c r="H61" s="186">
        <f t="shared" si="6"/>
        <v>0.15073210874056789</v>
      </c>
      <c r="I61" s="338"/>
      <c r="J61" s="168"/>
      <c r="K61" s="168"/>
      <c r="M61" s="364">
        <f>G61/G$228</f>
        <v>77.739672824188943</v>
      </c>
      <c r="N61" s="359">
        <f>SUMMARY!J64</f>
        <v>53.728790309602623</v>
      </c>
      <c r="O61" s="354">
        <f>M61/N61-1</f>
        <v>0.44689043576503162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484">
        <v>487690</v>
      </c>
      <c r="D64" s="484">
        <v>-487690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484">
        <v>22194.41</v>
      </c>
      <c r="D65" s="484">
        <v>271925.40000000002</v>
      </c>
      <c r="E65" s="171">
        <f t="shared" si="9"/>
        <v>294119.81</v>
      </c>
      <c r="F65" s="171"/>
      <c r="G65" s="171">
        <f t="shared" si="10"/>
        <v>294119.81</v>
      </c>
      <c r="H65" s="172">
        <f t="shared" si="11"/>
        <v>5.2410527752205831E-2</v>
      </c>
      <c r="I65" s="336"/>
      <c r="J65" s="190"/>
      <c r="K65" s="168"/>
      <c r="M65" s="359">
        <f t="shared" si="12"/>
        <v>27.030586343166988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484">
        <v>0</v>
      </c>
      <c r="D66" s="484">
        <v>221252.92</v>
      </c>
      <c r="E66" s="171">
        <f t="shared" si="9"/>
        <v>221252.92</v>
      </c>
      <c r="F66" s="171"/>
      <c r="G66" s="171">
        <f t="shared" si="10"/>
        <v>221252.92</v>
      </c>
      <c r="H66" s="172">
        <f t="shared" si="11"/>
        <v>3.9426049894145436E-2</v>
      </c>
      <c r="I66" s="336"/>
      <c r="J66" s="190"/>
      <c r="K66" s="168"/>
      <c r="M66" s="359">
        <f t="shared" si="12"/>
        <v>20.333877400974178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484">
        <v>72.47</v>
      </c>
      <c r="D67" s="484">
        <v>0</v>
      </c>
      <c r="E67" s="171">
        <f t="shared" si="9"/>
        <v>72.47</v>
      </c>
      <c r="F67" s="171"/>
      <c r="G67" s="171">
        <f t="shared" si="10"/>
        <v>72.47</v>
      </c>
      <c r="H67" s="172">
        <f t="shared" si="11"/>
        <v>1.2913754249339262E-5</v>
      </c>
      <c r="I67" s="336"/>
      <c r="J67" s="193"/>
      <c r="K67" s="168"/>
      <c r="M67" s="359">
        <f t="shared" si="12"/>
        <v>6.6602334344269829E-3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484">
        <v>14007.37</v>
      </c>
      <c r="D68" s="484">
        <v>-14007.37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484">
        <v>9839.76</v>
      </c>
      <c r="D69" s="484">
        <v>0</v>
      </c>
      <c r="E69" s="171">
        <f t="shared" si="9"/>
        <v>9839.76</v>
      </c>
      <c r="F69" s="171"/>
      <c r="G69" s="171">
        <f t="shared" si="10"/>
        <v>9839.76</v>
      </c>
      <c r="H69" s="172">
        <f t="shared" si="11"/>
        <v>1.753390955050069E-3</v>
      </c>
      <c r="I69" s="336"/>
      <c r="J69" s="195"/>
      <c r="K69" s="168"/>
      <c r="M69" s="359">
        <f t="shared" si="12"/>
        <v>0.90430658946787978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484">
        <v>0</v>
      </c>
      <c r="D70" s="484"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484">
        <v>0</v>
      </c>
      <c r="D71" s="484"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484">
        <v>2416.88</v>
      </c>
      <c r="D72" s="484">
        <v>0</v>
      </c>
      <c r="E72" s="171">
        <f t="shared" si="9"/>
        <v>2416.88</v>
      </c>
      <c r="F72" s="171"/>
      <c r="G72" s="171">
        <f t="shared" si="10"/>
        <v>2416.88</v>
      </c>
      <c r="H72" s="172">
        <f t="shared" si="11"/>
        <v>4.3067468428512593E-4</v>
      </c>
      <c r="I72" s="336"/>
      <c r="J72" s="195"/>
      <c r="K72" s="168"/>
      <c r="M72" s="359">
        <f t="shared" si="12"/>
        <v>0.22211929050638729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484">
        <v>43032.55</v>
      </c>
      <c r="D73" s="484">
        <v>-42481.19</v>
      </c>
      <c r="E73" s="171">
        <f t="shared" si="9"/>
        <v>551.36000000000058</v>
      </c>
      <c r="F73" s="171"/>
      <c r="G73" s="171">
        <f t="shared" si="10"/>
        <v>551.36000000000058</v>
      </c>
      <c r="H73" s="172">
        <f t="shared" si="11"/>
        <v>9.8249310651520676E-5</v>
      </c>
      <c r="I73" s="336"/>
      <c r="J73" s="195"/>
      <c r="K73" s="168"/>
      <c r="M73" s="359">
        <f t="shared" si="12"/>
        <v>5.0671813252458467E-2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484">
        <v>26560.69</v>
      </c>
      <c r="D74" s="484">
        <v>0</v>
      </c>
      <c r="E74" s="171">
        <f t="shared" si="9"/>
        <v>26560.69</v>
      </c>
      <c r="F74" s="171"/>
      <c r="G74" s="171">
        <f t="shared" si="10"/>
        <v>26560.69</v>
      </c>
      <c r="H74" s="172">
        <f t="shared" si="11"/>
        <v>4.7329684469833424E-3</v>
      </c>
      <c r="I74" s="336"/>
      <c r="J74" s="195"/>
      <c r="K74" s="168"/>
      <c r="M74" s="359">
        <f t="shared" si="12"/>
        <v>2.441015531660693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484">
        <v>0</v>
      </c>
      <c r="D75" s="484"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484">
        <v>0</v>
      </c>
      <c r="D76" s="484">
        <v>5140.17</v>
      </c>
      <c r="E76" s="171">
        <f t="shared" si="9"/>
        <v>5140.17</v>
      </c>
      <c r="F76" s="171"/>
      <c r="G76" s="171">
        <f t="shared" si="10"/>
        <v>5140.17</v>
      </c>
      <c r="H76" s="172">
        <f t="shared" si="11"/>
        <v>9.1594994038672823E-4</v>
      </c>
      <c r="I76" s="336"/>
      <c r="J76" s="195"/>
      <c r="K76" s="168"/>
      <c r="M76" s="359">
        <f t="shared" si="12"/>
        <v>0.47239867659222501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484">
        <v>0</v>
      </c>
      <c r="D77" s="484"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484">
        <v>0</v>
      </c>
      <c r="D78" s="484"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484">
        <v>605814.12999999989</v>
      </c>
      <c r="D79" s="484">
        <v>-45860.069999999971</v>
      </c>
      <c r="E79" s="171">
        <f t="shared" ref="E79:F79" si="13">SUM(E64:E78)</f>
        <v>559954.05999999994</v>
      </c>
      <c r="F79" s="171">
        <f t="shared" si="13"/>
        <v>0</v>
      </c>
      <c r="G79" s="171">
        <f>SUM(G64:G78)</f>
        <v>559954.05999999994</v>
      </c>
      <c r="H79" s="172">
        <f t="shared" si="11"/>
        <v>9.9780724737957377E-2</v>
      </c>
      <c r="I79" s="336"/>
      <c r="J79" s="195"/>
      <c r="K79" s="168"/>
      <c r="M79" s="359">
        <f t="shared" si="12"/>
        <v>51.46163587905523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484">
        <v>49544.37</v>
      </c>
      <c r="D82" s="484">
        <v>0</v>
      </c>
      <c r="E82" s="171">
        <f t="shared" ref="E82:E92" si="14">C82+D82</f>
        <v>49544.37</v>
      </c>
      <c r="F82" s="171"/>
      <c r="G82" s="171">
        <f t="shared" ref="G82:G92" si="15">E82+F82</f>
        <v>49544.37</v>
      </c>
      <c r="H82" s="172">
        <f t="shared" ref="H82:H93" si="16">IF($G$208=0,0,G82/$G$208)</f>
        <v>8.8285334430569431E-3</v>
      </c>
      <c r="I82" s="336"/>
      <c r="J82" s="183">
        <v>1795.41</v>
      </c>
      <c r="K82" s="183">
        <v>1995.41</v>
      </c>
      <c r="M82" s="359">
        <f t="shared" ref="M82:M92" si="17">G82/G$228</f>
        <v>4.5532919768403639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484">
        <v>7365.83</v>
      </c>
      <c r="D83" s="484">
        <v>0</v>
      </c>
      <c r="E83" s="171">
        <f t="shared" si="14"/>
        <v>7365.83</v>
      </c>
      <c r="F83" s="171"/>
      <c r="G83" s="171">
        <f t="shared" si="15"/>
        <v>7365.83</v>
      </c>
      <c r="H83" s="172">
        <f t="shared" si="16"/>
        <v>1.3125502754575771E-3</v>
      </c>
      <c r="I83" s="336"/>
      <c r="J83" s="168"/>
      <c r="K83" s="168"/>
      <c r="M83" s="359">
        <f t="shared" si="17"/>
        <v>0.67694421468615018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484">
        <v>13026.01</v>
      </c>
      <c r="D84" s="484">
        <v>0</v>
      </c>
      <c r="E84" s="171">
        <f t="shared" si="14"/>
        <v>13026.01</v>
      </c>
      <c r="F84" s="171"/>
      <c r="G84" s="171">
        <f t="shared" si="15"/>
        <v>13026.01</v>
      </c>
      <c r="H84" s="172">
        <f t="shared" si="16"/>
        <v>2.3211631294250824E-3</v>
      </c>
      <c r="I84" s="336"/>
      <c r="J84" s="168"/>
      <c r="K84" s="168"/>
      <c r="M84" s="359">
        <f t="shared" si="17"/>
        <v>1.1971335355206323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484">
        <v>0</v>
      </c>
      <c r="D85" s="484"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484">
        <v>5335.64</v>
      </c>
      <c r="D86" s="484">
        <v>0</v>
      </c>
      <c r="E86" s="171">
        <f t="shared" si="14"/>
        <v>5335.64</v>
      </c>
      <c r="F86" s="171"/>
      <c r="G86" s="171">
        <f>E86+F86</f>
        <v>5335.64</v>
      </c>
      <c r="H86" s="172">
        <f t="shared" si="16"/>
        <v>9.5078161615764513E-4</v>
      </c>
      <c r="I86" s="336"/>
      <c r="J86" s="168"/>
      <c r="K86" s="168"/>
      <c r="M86" s="359">
        <f t="shared" si="17"/>
        <v>0.49036301810495364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484">
        <v>15507.23</v>
      </c>
      <c r="D87" s="484">
        <v>0</v>
      </c>
      <c r="E87" s="171">
        <f t="shared" si="14"/>
        <v>15507.23</v>
      </c>
      <c r="F87" s="171"/>
      <c r="G87" s="171">
        <f t="shared" si="15"/>
        <v>15507.23</v>
      </c>
      <c r="H87" s="172">
        <f t="shared" si="16"/>
        <v>2.7633028468053164E-3</v>
      </c>
      <c r="I87" s="336"/>
      <c r="J87" s="168"/>
      <c r="K87" s="168"/>
      <c r="M87" s="359">
        <f t="shared" si="17"/>
        <v>1.4251658854884661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484">
        <v>2530.75</v>
      </c>
      <c r="D88" s="484">
        <v>0</v>
      </c>
      <c r="E88" s="171">
        <f t="shared" si="14"/>
        <v>2530.75</v>
      </c>
      <c r="F88" s="171"/>
      <c r="G88" s="171">
        <f t="shared" si="15"/>
        <v>2530.75</v>
      </c>
      <c r="H88" s="172">
        <f t="shared" si="16"/>
        <v>4.5096569016855718E-4</v>
      </c>
      <c r="I88" s="336"/>
      <c r="J88" s="168"/>
      <c r="K88" s="168"/>
      <c r="M88" s="359">
        <f t="shared" si="17"/>
        <v>0.23258432129399872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484">
        <v>17493.64</v>
      </c>
      <c r="D89" s="484">
        <v>0</v>
      </c>
      <c r="E89" s="171">
        <f t="shared" si="14"/>
        <v>17493.64</v>
      </c>
      <c r="F89" s="171"/>
      <c r="G89" s="171">
        <f t="shared" si="15"/>
        <v>17493.64</v>
      </c>
      <c r="H89" s="172">
        <f t="shared" si="16"/>
        <v>3.117270151599438E-3</v>
      </c>
      <c r="I89" s="336"/>
      <c r="J89" s="168"/>
      <c r="K89" s="168"/>
      <c r="M89" s="359">
        <f t="shared" si="17"/>
        <v>1.607723554820329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484">
        <v>0</v>
      </c>
      <c r="D90" s="484"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484">
        <v>118242.82</v>
      </c>
      <c r="D91" s="484">
        <v>0</v>
      </c>
      <c r="E91" s="171">
        <f t="shared" si="14"/>
        <v>118242.82</v>
      </c>
      <c r="F91" s="171"/>
      <c r="G91" s="171">
        <f t="shared" si="15"/>
        <v>118242.82</v>
      </c>
      <c r="H91" s="172">
        <f t="shared" si="16"/>
        <v>2.1070218286585587E-2</v>
      </c>
      <c r="I91" s="336"/>
      <c r="J91" s="168"/>
      <c r="K91" s="168"/>
      <c r="M91" s="359">
        <f t="shared" si="17"/>
        <v>10.866907453359067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484">
        <v>195</v>
      </c>
      <c r="D92" s="484">
        <v>0</v>
      </c>
      <c r="E92" s="171">
        <f t="shared" si="14"/>
        <v>195</v>
      </c>
      <c r="F92" s="171"/>
      <c r="G92" s="171">
        <f t="shared" si="15"/>
        <v>195</v>
      </c>
      <c r="H92" s="172">
        <f t="shared" si="16"/>
        <v>3.4747924363476697E-5</v>
      </c>
      <c r="I92" s="336"/>
      <c r="J92" s="168"/>
      <c r="K92" s="168"/>
      <c r="M92" s="359">
        <f t="shared" si="17"/>
        <v>1.7921146953405017E-2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484">
        <v>229241.29</v>
      </c>
      <c r="D93" s="484">
        <v>0</v>
      </c>
      <c r="E93" s="171">
        <f t="shared" ref="E93:F93" si="18">SUM(E82:E92)</f>
        <v>229241.29</v>
      </c>
      <c r="F93" s="171">
        <f t="shared" si="18"/>
        <v>0</v>
      </c>
      <c r="G93" s="171">
        <f>SUM(G82:G92)</f>
        <v>229241.29</v>
      </c>
      <c r="H93" s="172">
        <f t="shared" si="16"/>
        <v>4.0849533363619621E-2</v>
      </c>
      <c r="I93" s="336"/>
      <c r="J93" s="168"/>
      <c r="K93" s="168"/>
      <c r="M93" s="364">
        <f>G93/G$228</f>
        <v>21.068035107067367</v>
      </c>
      <c r="N93" s="359">
        <f>SUMMARY!J96</f>
        <v>11.458724454710746</v>
      </c>
      <c r="O93" s="354">
        <f>M93/N93-1</f>
        <v>0.83860212280487989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484">
        <v>142867.26999999999</v>
      </c>
      <c r="D96" s="484">
        <v>0</v>
      </c>
      <c r="E96" s="171">
        <f t="shared" ref="E96:E101" si="19">C96+D96</f>
        <v>142867.26999999999</v>
      </c>
      <c r="F96" s="171"/>
      <c r="G96" s="171">
        <f t="shared" ref="G96:G101" si="20">E96+F96</f>
        <v>142867.26999999999</v>
      </c>
      <c r="H96" s="172">
        <f t="shared" ref="H96:H102" si="21">IF($G$208=0,0,G96/$G$208)</f>
        <v>2.5458159446032833E-2</v>
      </c>
      <c r="I96" s="336"/>
      <c r="J96" s="183">
        <v>9851.2900000000009</v>
      </c>
      <c r="K96" s="183">
        <v>10246.219999999999</v>
      </c>
      <c r="M96" s="364">
        <f t="shared" ref="M96:M101" si="22">G96/G$228</f>
        <v>13.129976105137395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484">
        <v>34060.86</v>
      </c>
      <c r="D97" s="484">
        <v>0</v>
      </c>
      <c r="E97" s="171">
        <f t="shared" si="19"/>
        <v>34060.86</v>
      </c>
      <c r="F97" s="171"/>
      <c r="G97" s="171">
        <f t="shared" si="20"/>
        <v>34060.86</v>
      </c>
      <c r="H97" s="172">
        <f t="shared" si="21"/>
        <v>6.0694573694100966E-3</v>
      </c>
      <c r="I97" s="336"/>
      <c r="J97" s="168"/>
      <c r="K97" s="168"/>
      <c r="M97" s="364">
        <f t="shared" si="22"/>
        <v>3.1303060380479737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484">
        <v>42105.24</v>
      </c>
      <c r="D98" s="484">
        <v>0</v>
      </c>
      <c r="E98" s="171">
        <f t="shared" si="19"/>
        <v>42105.24</v>
      </c>
      <c r="F98" s="171"/>
      <c r="G98" s="171">
        <f t="shared" si="20"/>
        <v>42105.24</v>
      </c>
      <c r="H98" s="172">
        <f t="shared" si="21"/>
        <v>7.5029215119283765E-3</v>
      </c>
      <c r="I98" s="336"/>
      <c r="J98" s="168"/>
      <c r="K98" s="168"/>
      <c r="M98" s="364">
        <f t="shared" si="22"/>
        <v>3.8696112489660877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484">
        <v>110049.3</v>
      </c>
      <c r="D99" s="484">
        <v>0</v>
      </c>
      <c r="E99" s="171">
        <f t="shared" si="19"/>
        <v>110049.3</v>
      </c>
      <c r="F99" s="171"/>
      <c r="G99" s="171">
        <f t="shared" si="20"/>
        <v>110049.3</v>
      </c>
      <c r="H99" s="172">
        <f t="shared" si="21"/>
        <v>1.9610178218736184E-2</v>
      </c>
      <c r="I99" s="336"/>
      <c r="J99" s="168"/>
      <c r="K99" s="168"/>
      <c r="M99" s="364">
        <f t="shared" si="22"/>
        <v>10.113895781637718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484">
        <v>12139.27</v>
      </c>
      <c r="D100" s="484">
        <v>0</v>
      </c>
      <c r="E100" s="171">
        <f t="shared" si="19"/>
        <v>12139.27</v>
      </c>
      <c r="F100" s="171"/>
      <c r="G100" s="171">
        <f t="shared" si="20"/>
        <v>12139.27</v>
      </c>
      <c r="H100" s="172">
        <f t="shared" si="21"/>
        <v>2.1631509527580603E-3</v>
      </c>
      <c r="I100" s="336"/>
      <c r="J100" s="168"/>
      <c r="K100" s="168"/>
      <c r="M100" s="364">
        <f t="shared" si="22"/>
        <v>1.1156391875746714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484">
        <v>1637</v>
      </c>
      <c r="D101" s="484">
        <v>0</v>
      </c>
      <c r="E101" s="171">
        <f t="shared" si="19"/>
        <v>1637</v>
      </c>
      <c r="F101" s="171"/>
      <c r="G101" s="171">
        <f t="shared" si="20"/>
        <v>1637</v>
      </c>
      <c r="H101" s="172">
        <f t="shared" si="21"/>
        <v>2.9170437016928899E-4</v>
      </c>
      <c r="I101" s="336"/>
      <c r="J101" s="168"/>
      <c r="K101" s="168"/>
      <c r="M101" s="364">
        <f t="shared" si="22"/>
        <v>0.15044573109089238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484">
        <v>342858.94</v>
      </c>
      <c r="D102" s="484">
        <v>0</v>
      </c>
      <c r="E102" s="171">
        <f t="shared" ref="E102:F102" si="23">SUM(E96:E101)</f>
        <v>342858.94</v>
      </c>
      <c r="F102" s="171">
        <f t="shared" si="23"/>
        <v>0</v>
      </c>
      <c r="G102" s="171">
        <f>SUM(G96:G101)</f>
        <v>342858.94</v>
      </c>
      <c r="H102" s="172">
        <f t="shared" si="21"/>
        <v>6.1095571869034845E-2</v>
      </c>
      <c r="I102" s="336"/>
      <c r="J102" s="168"/>
      <c r="K102" s="168"/>
      <c r="M102" s="364">
        <f>G102/G$228</f>
        <v>31.509874092454737</v>
      </c>
      <c r="N102" s="359">
        <f>SUMMARY!J105</f>
        <v>19.901077037785338</v>
      </c>
      <c r="O102" s="354">
        <f>M102/N102-1</f>
        <v>0.58332506490117408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484">
        <v>13396.49</v>
      </c>
      <c r="D105" s="484">
        <v>0</v>
      </c>
      <c r="E105" s="171">
        <f t="shared" ref="E105:E110" si="24">C105+D105</f>
        <v>13396.49</v>
      </c>
      <c r="F105" s="171"/>
      <c r="G105" s="171">
        <f t="shared" ref="G105:G110" si="25">E105+F105</f>
        <v>13396.49</v>
      </c>
      <c r="H105" s="172">
        <f t="shared" ref="H105:H111" si="26">IF($G$208=0,0,G105/$G$208)</f>
        <v>2.3871806218260096E-3</v>
      </c>
      <c r="I105" s="336"/>
      <c r="J105" s="183">
        <v>1219.8599999999999</v>
      </c>
      <c r="K105" s="183">
        <v>1219.8599999999999</v>
      </c>
      <c r="M105" s="364">
        <f t="shared" ref="M105:M110" si="27">G105/G$228</f>
        <v>1.2311818766657476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484">
        <v>1862.27</v>
      </c>
      <c r="D106" s="484">
        <v>0</v>
      </c>
      <c r="E106" s="171">
        <f t="shared" si="24"/>
        <v>1862.27</v>
      </c>
      <c r="F106" s="171"/>
      <c r="G106" s="171">
        <f t="shared" si="25"/>
        <v>1862.27</v>
      </c>
      <c r="H106" s="172">
        <f t="shared" si="26"/>
        <v>3.3184624156088073E-4</v>
      </c>
      <c r="I106" s="336"/>
      <c r="J106" s="168"/>
      <c r="K106" s="168"/>
      <c r="M106" s="364">
        <f t="shared" si="27"/>
        <v>0.1711487914713721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484">
        <v>0</v>
      </c>
      <c r="D107" s="484"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484">
        <v>0</v>
      </c>
      <c r="D108" s="484"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484">
        <v>3957.03</v>
      </c>
      <c r="D109" s="484">
        <v>0</v>
      </c>
      <c r="E109" s="171">
        <f t="shared" si="24"/>
        <v>3957.03</v>
      </c>
      <c r="F109" s="171"/>
      <c r="G109" s="171">
        <f t="shared" si="25"/>
        <v>3957.03</v>
      </c>
      <c r="H109" s="172">
        <f t="shared" si="26"/>
        <v>7.0512091868722151E-4</v>
      </c>
      <c r="I109" s="336"/>
      <c r="J109" s="168"/>
      <c r="K109" s="168"/>
      <c r="M109" s="364">
        <f t="shared" si="27"/>
        <v>0.36366418527708855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484">
        <v>0</v>
      </c>
      <c r="D110" s="484"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484">
        <v>19215.79</v>
      </c>
      <c r="D111" s="484">
        <v>0</v>
      </c>
      <c r="E111" s="171">
        <f t="shared" ref="E111:F111" si="28">SUM(E105:E110)</f>
        <v>19215.79</v>
      </c>
      <c r="F111" s="171">
        <f t="shared" si="28"/>
        <v>0</v>
      </c>
      <c r="G111" s="171">
        <f>SUM(G105:G110)</f>
        <v>19215.79</v>
      </c>
      <c r="H111" s="172">
        <f t="shared" si="26"/>
        <v>3.4241477820741123E-3</v>
      </c>
      <c r="I111" s="336"/>
      <c r="J111" s="168"/>
      <c r="K111" s="168"/>
      <c r="M111" s="364">
        <f>G111/G$228</f>
        <v>1.7659948534142083</v>
      </c>
      <c r="N111" s="359">
        <f>SUMMARY!J114</f>
        <v>2.4242384372309496</v>
      </c>
      <c r="O111" s="354">
        <f>M111/N111-1</f>
        <v>-0.27152592488740934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484">
        <v>37964.74</v>
      </c>
      <c r="D114" s="484">
        <v>0</v>
      </c>
      <c r="E114" s="171">
        <f t="shared" ref="E114:E118" si="29">C114+D114</f>
        <v>37964.74</v>
      </c>
      <c r="F114" s="171"/>
      <c r="G114" s="171">
        <f>E114+F114</f>
        <v>37964.74</v>
      </c>
      <c r="H114" s="172">
        <f t="shared" ref="H114:H119" si="30">IF($G$208=0,0,G114/$G$208)</f>
        <v>6.7651072512772215E-3</v>
      </c>
      <c r="I114" s="336"/>
      <c r="J114" s="183">
        <v>3280.26</v>
      </c>
      <c r="K114" s="183">
        <v>3508.46</v>
      </c>
      <c r="M114" s="364">
        <f t="shared" ref="M114:M119" si="31">G114/G$228</f>
        <v>3.4890855619887877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484">
        <v>7070.88</v>
      </c>
      <c r="D115" s="484">
        <v>0</v>
      </c>
      <c r="E115" s="171">
        <f t="shared" si="29"/>
        <v>7070.88</v>
      </c>
      <c r="F115" s="171"/>
      <c r="G115" s="171">
        <f>E115+F115</f>
        <v>7070.88</v>
      </c>
      <c r="H115" s="172">
        <f t="shared" si="30"/>
        <v>1.2599918124267698E-3</v>
      </c>
      <c r="I115" s="336"/>
      <c r="J115" s="168"/>
      <c r="K115" s="168"/>
      <c r="M115" s="364">
        <f t="shared" si="31"/>
        <v>0.64983733112765374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484">
        <v>10364.799999999999</v>
      </c>
      <c r="D116" s="484">
        <v>0</v>
      </c>
      <c r="E116" s="171">
        <f t="shared" si="29"/>
        <v>10364.799999999999</v>
      </c>
      <c r="F116" s="171"/>
      <c r="G116" s="171">
        <f>E116+F116</f>
        <v>10364.799999999999</v>
      </c>
      <c r="H116" s="172">
        <f t="shared" si="30"/>
        <v>1.8469501868849396E-3</v>
      </c>
      <c r="I116" s="336"/>
      <c r="J116" s="168"/>
      <c r="K116" s="168"/>
      <c r="M116" s="364">
        <f t="shared" si="31"/>
        <v>0.95255950739821704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484">
        <v>7853.98</v>
      </c>
      <c r="D117" s="484">
        <v>0</v>
      </c>
      <c r="E117" s="171">
        <f t="shared" si="29"/>
        <v>7853.98</v>
      </c>
      <c r="F117" s="171"/>
      <c r="G117" s="171">
        <f>E117+F117</f>
        <v>7853.98</v>
      </c>
      <c r="H117" s="172">
        <f t="shared" si="30"/>
        <v>1.3995359127808138E-3</v>
      </c>
      <c r="I117" s="336"/>
      <c r="J117" s="168"/>
      <c r="K117" s="168"/>
      <c r="M117" s="364">
        <f t="shared" si="31"/>
        <v>0.72180681922617407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484">
        <v>0</v>
      </c>
      <c r="D118" s="484"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484">
        <v>63254.399999999994</v>
      </c>
      <c r="D119" s="484">
        <v>0</v>
      </c>
      <c r="E119" s="171">
        <f t="shared" ref="E119:F119" si="32">SUM(E114:E118)</f>
        <v>63254.399999999994</v>
      </c>
      <c r="F119" s="171">
        <f t="shared" si="32"/>
        <v>0</v>
      </c>
      <c r="G119" s="171">
        <f>SUM(G114:G118)</f>
        <v>63254.399999999994</v>
      </c>
      <c r="H119" s="172">
        <f t="shared" si="30"/>
        <v>1.1271585163369744E-2</v>
      </c>
      <c r="I119" s="336"/>
      <c r="J119" s="168"/>
      <c r="K119" s="168"/>
      <c r="M119" s="364">
        <f t="shared" si="31"/>
        <v>5.8132892197408319</v>
      </c>
      <c r="N119" s="359">
        <f>SUMMARY!J122</f>
        <v>6.0247597205909562</v>
      </c>
      <c r="O119" s="354">
        <f>M119/N119-1</f>
        <v>-3.5100238126904326E-2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484">
        <v>0</v>
      </c>
      <c r="D123" s="484"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484">
        <v>0</v>
      </c>
      <c r="D124" s="484"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6"/>
      <c r="J124" s="183">
        <v>0</v>
      </c>
      <c r="K124" s="183">
        <v>0</v>
      </c>
      <c r="M124" s="364">
        <f t="shared" si="34"/>
        <v>0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484">
        <v>0</v>
      </c>
      <c r="D125" s="484"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484">
        <v>0</v>
      </c>
      <c r="D126" s="484"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484">
        <v>389022.09</v>
      </c>
      <c r="D127" s="484">
        <v>0</v>
      </c>
      <c r="E127" s="171">
        <f t="shared" si="33"/>
        <v>389022.09</v>
      </c>
      <c r="F127" s="171"/>
      <c r="G127" s="171">
        <f>E127+F127</f>
        <v>389022.09</v>
      </c>
      <c r="H127" s="172">
        <f>IF($G$208=0,0,G127/$G$208)</f>
        <v>6.9321590559187823E-2</v>
      </c>
      <c r="I127" s="336"/>
      <c r="J127" s="183">
        <v>15329.05</v>
      </c>
      <c r="K127" s="183">
        <v>16987.82</v>
      </c>
      <c r="M127" s="364">
        <f t="shared" si="34"/>
        <v>35.752420733388476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484">
        <v>0</v>
      </c>
      <c r="D129" s="484"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484">
        <v>0</v>
      </c>
      <c r="D130" s="484"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484">
        <v>0</v>
      </c>
      <c r="D131" s="484"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484">
        <v>0</v>
      </c>
      <c r="D132" s="484"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484">
        <v>86947.3</v>
      </c>
      <c r="D133" s="484">
        <v>0</v>
      </c>
      <c r="E133" s="171">
        <f t="shared" si="35"/>
        <v>86947.3</v>
      </c>
      <c r="F133" s="171"/>
      <c r="G133" s="171">
        <f>E133+F133</f>
        <v>86947.3</v>
      </c>
      <c r="H133" s="172">
        <f>IF($G$208=0,0,G133/$G$208)</f>
        <v>1.549352925132573E-2</v>
      </c>
      <c r="I133" s="336"/>
      <c r="J133" s="168"/>
      <c r="K133" s="168"/>
      <c r="M133" s="364">
        <f t="shared" si="34"/>
        <v>7.9907453359066265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484">
        <v>425517.35</v>
      </c>
      <c r="D135" s="484">
        <v>0</v>
      </c>
      <c r="E135" s="171">
        <f t="shared" ref="E135:E138" si="36">C135+D135</f>
        <v>425517.35</v>
      </c>
      <c r="F135" s="171"/>
      <c r="G135" s="171">
        <f>E135+F135</f>
        <v>425517.35</v>
      </c>
      <c r="H135" s="172">
        <f>IF($G$208=0,0,G135/$G$208)</f>
        <v>7.5824844580241232E-2</v>
      </c>
      <c r="I135" s="336"/>
      <c r="J135" s="183">
        <v>14082.44</v>
      </c>
      <c r="K135" s="183">
        <v>14890.52</v>
      </c>
      <c r="M135" s="364">
        <f t="shared" si="34"/>
        <v>39.106456208069112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484">
        <v>217923.87</v>
      </c>
      <c r="D136" s="484">
        <v>0</v>
      </c>
      <c r="E136" s="171">
        <f t="shared" si="36"/>
        <v>217923.87</v>
      </c>
      <c r="F136" s="171"/>
      <c r="G136" s="171">
        <f>E136+F136</f>
        <v>217923.87</v>
      </c>
      <c r="H136" s="172">
        <f>IF($G$208=0,0,G136/$G$208)</f>
        <v>3.883283154746732E-2</v>
      </c>
      <c r="I136" s="336"/>
      <c r="J136" s="183">
        <v>7641.13</v>
      </c>
      <c r="K136" s="183">
        <v>8024.36</v>
      </c>
      <c r="M136" s="364">
        <f t="shared" si="34"/>
        <v>20.027926661152467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484">
        <v>359354.32</v>
      </c>
      <c r="D137" s="484">
        <v>0</v>
      </c>
      <c r="E137" s="171">
        <f t="shared" si="36"/>
        <v>359354.32</v>
      </c>
      <c r="F137" s="171"/>
      <c r="G137" s="171">
        <f>E137+F137</f>
        <v>359354.32</v>
      </c>
      <c r="H137" s="172">
        <f>IF($G$208=0,0,G137/$G$208)</f>
        <v>6.4034957595121025E-2</v>
      </c>
      <c r="I137" s="336"/>
      <c r="J137" s="183">
        <v>28154.06</v>
      </c>
      <c r="K137" s="183">
        <v>29717.919999999998</v>
      </c>
      <c r="M137" s="364">
        <f t="shared" si="34"/>
        <v>33.025854241338116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484">
        <v>0</v>
      </c>
      <c r="D138" s="484"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484">
        <v>60868.82</v>
      </c>
      <c r="D140" s="484">
        <v>0</v>
      </c>
      <c r="E140" s="171">
        <f t="shared" ref="E140:E143" si="37">C140+D140</f>
        <v>60868.82</v>
      </c>
      <c r="F140" s="171"/>
      <c r="G140" s="171">
        <f>E140+F140</f>
        <v>60868.82</v>
      </c>
      <c r="H140" s="172">
        <f>IF($G$208=0,0,G140/$G$208)</f>
        <v>1.0846487966431166E-2</v>
      </c>
      <c r="I140" s="336"/>
      <c r="J140" s="168"/>
      <c r="K140" s="168"/>
      <c r="M140" s="364">
        <f t="shared" si="34"/>
        <v>5.5940465030787614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484">
        <v>31883.67</v>
      </c>
      <c r="D141" s="484">
        <v>0</v>
      </c>
      <c r="E141" s="171">
        <f t="shared" si="37"/>
        <v>31883.67</v>
      </c>
      <c r="F141" s="171"/>
      <c r="G141" s="171">
        <f>E141+F141</f>
        <v>31883.67</v>
      </c>
      <c r="H141" s="172">
        <f>IF($G$208=0,0,G141/$G$208)</f>
        <v>5.6814941209746206E-3</v>
      </c>
      <c r="I141" s="336"/>
      <c r="J141" s="168"/>
      <c r="K141" s="168"/>
      <c r="M141" s="364">
        <f t="shared" si="34"/>
        <v>2.9302150537634408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484">
        <v>52173.279999999999</v>
      </c>
      <c r="D142" s="484">
        <v>0</v>
      </c>
      <c r="E142" s="171">
        <f t="shared" si="37"/>
        <v>52173.279999999999</v>
      </c>
      <c r="F142" s="171"/>
      <c r="G142" s="171">
        <f>E142+F142</f>
        <v>52173.279999999999</v>
      </c>
      <c r="H142" s="172">
        <f>IF($G$208=0,0,G142/$G$208)</f>
        <v>9.2969907037666229E-3</v>
      </c>
      <c r="I142" s="336"/>
      <c r="J142" s="168"/>
      <c r="K142" s="168"/>
      <c r="M142" s="364">
        <f t="shared" si="34"/>
        <v>4.7948975278007531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484">
        <v>0</v>
      </c>
      <c r="D143" s="484"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484">
        <v>39242</v>
      </c>
      <c r="D145" s="484">
        <v>0</v>
      </c>
      <c r="E145" s="171">
        <f t="shared" ref="E145:E153" si="38">C145+D145</f>
        <v>39242</v>
      </c>
      <c r="F145" s="171"/>
      <c r="G145" s="171">
        <f t="shared" ref="G145:G153" si="39">E145+F145</f>
        <v>39242</v>
      </c>
      <c r="H145" s="172">
        <f t="shared" ref="H145:H153" si="40">IF($G$208=0,0,G145/$G$208)</f>
        <v>6.9927079378028327E-3</v>
      </c>
      <c r="I145" s="336"/>
      <c r="J145" s="183">
        <v>0</v>
      </c>
      <c r="K145" s="183">
        <v>0</v>
      </c>
      <c r="M145" s="364">
        <f t="shared" si="34"/>
        <v>3.6064699935667677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484">
        <v>0</v>
      </c>
      <c r="D146" s="484"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484">
        <v>0</v>
      </c>
      <c r="D147" s="484"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484">
        <v>1911.89</v>
      </c>
      <c r="D148" s="484">
        <v>0</v>
      </c>
      <c r="E148" s="171">
        <f t="shared" si="38"/>
        <v>1911.89</v>
      </c>
      <c r="F148" s="171"/>
      <c r="G148" s="171">
        <f t="shared" si="39"/>
        <v>1911.89</v>
      </c>
      <c r="H148" s="172">
        <f t="shared" si="40"/>
        <v>3.4068825185275622E-4</v>
      </c>
      <c r="I148" s="336"/>
      <c r="J148" s="183">
        <v>0</v>
      </c>
      <c r="K148" s="183">
        <v>0</v>
      </c>
      <c r="M148" s="364">
        <f t="shared" si="34"/>
        <v>0.17570903409613087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484">
        <v>4750</v>
      </c>
      <c r="D149" s="484">
        <v>0</v>
      </c>
      <c r="E149" s="171">
        <f t="shared" si="38"/>
        <v>4750</v>
      </c>
      <c r="F149" s="171"/>
      <c r="G149" s="171">
        <f t="shared" si="39"/>
        <v>4750</v>
      </c>
      <c r="H149" s="172">
        <f t="shared" si="40"/>
        <v>8.464237985975092E-4</v>
      </c>
      <c r="I149" s="336"/>
      <c r="J149" s="183">
        <v>0</v>
      </c>
      <c r="K149" s="183">
        <v>0</v>
      </c>
      <c r="M149" s="364">
        <f t="shared" si="34"/>
        <v>0.43654075912140428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484">
        <v>68300.679999999993</v>
      </c>
      <c r="D150" s="484">
        <v>0</v>
      </c>
      <c r="E150" s="171">
        <f t="shared" si="38"/>
        <v>68300.679999999993</v>
      </c>
      <c r="F150" s="171"/>
      <c r="G150" s="171">
        <f t="shared" si="39"/>
        <v>68300.679999999993</v>
      </c>
      <c r="H150" s="172">
        <f t="shared" si="40"/>
        <v>1.2170804423661667E-2</v>
      </c>
      <c r="I150" s="336"/>
      <c r="J150" s="168"/>
      <c r="K150" s="168"/>
      <c r="M150" s="364">
        <f t="shared" si="34"/>
        <v>6.2770590938332864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484">
        <v>2443.2399999999998</v>
      </c>
      <c r="D151" s="484">
        <v>0</v>
      </c>
      <c r="E151" s="171">
        <f t="shared" si="38"/>
        <v>2443.2399999999998</v>
      </c>
      <c r="F151" s="171"/>
      <c r="G151" s="171">
        <f t="shared" si="39"/>
        <v>2443.2399999999998</v>
      </c>
      <c r="H151" s="172">
        <f t="shared" si="40"/>
        <v>4.3537189088113225E-4</v>
      </c>
      <c r="I151" s="336"/>
      <c r="J151" s="168"/>
      <c r="K151" s="168"/>
      <c r="M151" s="364">
        <f t="shared" si="34"/>
        <v>0.22454186196121678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484">
        <v>12462.67</v>
      </c>
      <c r="D152" s="484">
        <v>0</v>
      </c>
      <c r="E152" s="171">
        <f t="shared" si="38"/>
        <v>12462.67</v>
      </c>
      <c r="F152" s="171"/>
      <c r="G152" s="171">
        <f t="shared" si="39"/>
        <v>12462.67</v>
      </c>
      <c r="H152" s="172">
        <f t="shared" si="40"/>
        <v>2.2207790488562571E-3</v>
      </c>
      <c r="I152" s="336"/>
      <c r="J152" s="168"/>
      <c r="K152" s="168"/>
      <c r="M152" s="364">
        <f t="shared" si="34"/>
        <v>1.1453607205220109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484">
        <v>398.23</v>
      </c>
      <c r="D153" s="484">
        <v>0</v>
      </c>
      <c r="E153" s="171">
        <f t="shared" si="38"/>
        <v>398.23</v>
      </c>
      <c r="F153" s="171"/>
      <c r="G153" s="171">
        <f t="shared" si="39"/>
        <v>398.23</v>
      </c>
      <c r="H153" s="172">
        <f t="shared" si="40"/>
        <v>7.0962389329576027E-5</v>
      </c>
      <c r="I153" s="336"/>
      <c r="J153" s="168"/>
      <c r="K153" s="168"/>
      <c r="M153" s="364">
        <f t="shared" si="34"/>
        <v>3.6598658211561441E-2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484">
        <v>0</v>
      </c>
      <c r="D155" s="484"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484">
        <v>0</v>
      </c>
      <c r="D156" s="484"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484">
        <v>0</v>
      </c>
      <c r="D157" s="484"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484">
        <v>0</v>
      </c>
      <c r="D158" s="484"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484">
        <v>195</v>
      </c>
      <c r="D159" s="484">
        <v>0</v>
      </c>
      <c r="E159" s="171">
        <f t="shared" si="41"/>
        <v>195</v>
      </c>
      <c r="F159" s="171"/>
      <c r="G159" s="171">
        <f t="shared" si="42"/>
        <v>195</v>
      </c>
      <c r="H159" s="172">
        <f>IF($G$208=0,0,G159/$G$208)</f>
        <v>3.4747924363476697E-5</v>
      </c>
      <c r="I159" s="336"/>
      <c r="J159" s="168"/>
      <c r="K159" s="168"/>
      <c r="M159" s="364">
        <f t="shared" si="34"/>
        <v>1.7921146953405017E-2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484">
        <v>47858.53</v>
      </c>
      <c r="D160" s="484">
        <v>0</v>
      </c>
      <c r="E160" s="171">
        <f t="shared" si="41"/>
        <v>47858.53</v>
      </c>
      <c r="F160" s="171"/>
      <c r="G160" s="171">
        <f t="shared" si="42"/>
        <v>47858.53</v>
      </c>
      <c r="H160" s="172">
        <f t="shared" si="43"/>
        <v>8.5281260542932318E-3</v>
      </c>
      <c r="I160" s="336"/>
      <c r="J160" s="168"/>
      <c r="K160" s="168"/>
      <c r="M160" s="364">
        <f t="shared" si="34"/>
        <v>4.3983576877125259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484">
        <v>1801252.9399999997</v>
      </c>
      <c r="D161" s="484">
        <v>0</v>
      </c>
      <c r="E161" s="171">
        <f t="shared" ref="E161:F161" si="44">SUM(E123:E160)</f>
        <v>1801252.9399999997</v>
      </c>
      <c r="F161" s="171">
        <f t="shared" si="44"/>
        <v>0</v>
      </c>
      <c r="G161" s="171">
        <f>SUM(G123:G160)</f>
        <v>1801252.9399999997</v>
      </c>
      <c r="H161" s="172">
        <f t="shared" si="43"/>
        <v>0.3209733380441539</v>
      </c>
      <c r="I161" s="336"/>
      <c r="J161" s="168"/>
      <c r="K161" s="168"/>
      <c r="M161" s="364">
        <f>G161/G$228</f>
        <v>165.54112122047604</v>
      </c>
      <c r="N161" s="359">
        <f>SUMMARY!J164</f>
        <v>105.56901037202306</v>
      </c>
      <c r="O161" s="354">
        <f>M161/N161-1</f>
        <v>0.56808442777963419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484">
        <v>0</v>
      </c>
      <c r="D164" s="484"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484">
        <v>0</v>
      </c>
      <c r="D165" s="484"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484">
        <v>0</v>
      </c>
      <c r="D166" s="484"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484">
        <v>0</v>
      </c>
      <c r="D167" s="484"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484">
        <v>0</v>
      </c>
      <c r="D168" s="484"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484">
        <v>0</v>
      </c>
      <c r="D169" s="484"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484">
        <v>0</v>
      </c>
      <c r="D170" s="484"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484">
        <v>0</v>
      </c>
      <c r="D171" s="484"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484">
        <v>0</v>
      </c>
      <c r="D172" s="484"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484">
        <v>0</v>
      </c>
      <c r="D173" s="484"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484">
        <v>0</v>
      </c>
      <c r="D174" s="484"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484">
        <v>0</v>
      </c>
      <c r="D175" s="484"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484">
        <v>0</v>
      </c>
      <c r="D176" s="484"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484">
        <v>0</v>
      </c>
      <c r="D177" s="484"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484">
        <v>0</v>
      </c>
      <c r="D178" s="484"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484">
        <v>0</v>
      </c>
      <c r="D179" s="484"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484">
        <v>0</v>
      </c>
      <c r="D180" s="484"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484">
        <v>0</v>
      </c>
      <c r="D181" s="484"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484">
        <v>0</v>
      </c>
      <c r="D182" s="484"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484">
        <v>671761.2</v>
      </c>
      <c r="D183" s="484">
        <v>-12098.94</v>
      </c>
      <c r="E183" s="171">
        <f t="shared" si="45"/>
        <v>659662.26</v>
      </c>
      <c r="F183" s="216"/>
      <c r="G183" s="171">
        <f t="shared" si="46"/>
        <v>659662.26</v>
      </c>
      <c r="H183" s="172">
        <f t="shared" si="47"/>
        <v>0.11754817597907742</v>
      </c>
      <c r="I183" s="336"/>
      <c r="J183" s="223"/>
      <c r="K183" s="218"/>
      <c r="M183" s="364">
        <f t="shared" si="48"/>
        <v>60.625150261924453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484">
        <v>100650.27</v>
      </c>
      <c r="D184" s="484">
        <v>-1897.87</v>
      </c>
      <c r="E184" s="171">
        <f t="shared" si="45"/>
        <v>98752.400000000009</v>
      </c>
      <c r="F184" s="216"/>
      <c r="G184" s="171">
        <f t="shared" si="46"/>
        <v>98752.400000000009</v>
      </c>
      <c r="H184" s="172">
        <f t="shared" si="47"/>
        <v>1.7597132953393827E-2</v>
      </c>
      <c r="I184" s="336"/>
      <c r="J184" s="223"/>
      <c r="K184" s="218"/>
      <c r="M184" s="364">
        <f t="shared" si="48"/>
        <v>9.075673191802224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484">
        <v>0</v>
      </c>
      <c r="D185" s="484"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484">
        <v>541533.5</v>
      </c>
      <c r="D186" s="484">
        <v>-9726.6</v>
      </c>
      <c r="E186" s="171">
        <f t="shared" si="45"/>
        <v>531806.9</v>
      </c>
      <c r="F186" s="216"/>
      <c r="G186" s="171">
        <f t="shared" si="46"/>
        <v>531806.9</v>
      </c>
      <c r="H186" s="172">
        <f t="shared" si="47"/>
        <v>9.4765056088077004E-2</v>
      </c>
      <c r="I186" s="336"/>
      <c r="J186" s="223"/>
      <c r="K186" s="218"/>
      <c r="M186" s="364">
        <f t="shared" si="48"/>
        <v>48.874818490947526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484">
        <v>58525.05</v>
      </c>
      <c r="D187" s="484">
        <v>0</v>
      </c>
      <c r="E187" s="171">
        <f t="shared" si="45"/>
        <v>58525.05</v>
      </c>
      <c r="F187" s="216"/>
      <c r="G187" s="171">
        <f t="shared" si="46"/>
        <v>58525.05</v>
      </c>
      <c r="H187" s="172">
        <f t="shared" si="47"/>
        <v>1.0428841080865087E-2</v>
      </c>
      <c r="I187" s="336"/>
      <c r="J187" s="223"/>
      <c r="K187" s="218"/>
      <c r="M187" s="364">
        <f t="shared" si="48"/>
        <v>5.3786462641301354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484">
        <v>0</v>
      </c>
      <c r="D188" s="484"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484">
        <v>0</v>
      </c>
      <c r="D189" s="484"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484">
        <v>0</v>
      </c>
      <c r="D190" s="484"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484">
        <v>0</v>
      </c>
      <c r="D191" s="484"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484">
        <v>0</v>
      </c>
      <c r="D192" s="484"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484">
        <v>0</v>
      </c>
      <c r="D193" s="484"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484">
        <v>496654.06</v>
      </c>
      <c r="D194" s="484">
        <v>-118123.3</v>
      </c>
      <c r="E194" s="171">
        <f t="shared" si="45"/>
        <v>378530.76</v>
      </c>
      <c r="F194" s="216"/>
      <c r="G194" s="171">
        <f t="shared" si="46"/>
        <v>378530.76</v>
      </c>
      <c r="H194" s="172">
        <f t="shared" si="47"/>
        <v>6.7452093424253082E-2</v>
      </c>
      <c r="I194" s="336"/>
      <c r="J194" s="223"/>
      <c r="K194" s="218"/>
      <c r="M194" s="364">
        <f t="shared" si="48"/>
        <v>34.788232699200442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484">
        <v>11308.65</v>
      </c>
      <c r="D195" s="484">
        <v>0</v>
      </c>
      <c r="E195" s="171">
        <f t="shared" si="45"/>
        <v>11308.65</v>
      </c>
      <c r="F195" s="216"/>
      <c r="G195" s="171">
        <f t="shared" si="46"/>
        <v>11308.65</v>
      </c>
      <c r="H195" s="172">
        <f t="shared" si="47"/>
        <v>2.0151390505283627E-3</v>
      </c>
      <c r="I195" s="336"/>
      <c r="J195" s="223"/>
      <c r="K195" s="218"/>
      <c r="M195" s="364">
        <f t="shared" si="48"/>
        <v>1.0393024538185829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484">
        <v>-43334.49</v>
      </c>
      <c r="D196" s="484">
        <v>0</v>
      </c>
      <c r="E196" s="171">
        <f t="shared" si="45"/>
        <v>-43334.49</v>
      </c>
      <c r="F196" s="216"/>
      <c r="G196" s="171">
        <f t="shared" si="46"/>
        <v>-43334.49</v>
      </c>
      <c r="H196" s="172">
        <f t="shared" si="47"/>
        <v>-7.7219670812812159E-3</v>
      </c>
      <c r="I196" s="336"/>
      <c r="J196" s="223"/>
      <c r="K196" s="218"/>
      <c r="M196" s="364">
        <f t="shared" si="48"/>
        <v>-3.9825834022608215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484">
        <v>1837098.24</v>
      </c>
      <c r="D197" s="484">
        <v>-141846.71000000002</v>
      </c>
      <c r="E197" s="171">
        <f t="shared" ref="E197:F197" si="49">SUM(E164:E196)</f>
        <v>1695251.53</v>
      </c>
      <c r="F197" s="171">
        <f t="shared" si="49"/>
        <v>0</v>
      </c>
      <c r="G197" s="171">
        <f>SUM(G164:G196)</f>
        <v>1695251.53</v>
      </c>
      <c r="H197" s="172">
        <f>IF($G$208=0,0,G197/$G$208)</f>
        <v>0.30208447149491358</v>
      </c>
      <c r="I197" s="336"/>
      <c r="J197" s="168"/>
      <c r="K197" s="168"/>
      <c r="M197" s="364">
        <f>G197/G$228</f>
        <v>155.79923995956256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484">
        <v>23114.87</v>
      </c>
      <c r="D200" s="484">
        <v>0</v>
      </c>
      <c r="E200" s="171">
        <f t="shared" ref="E200:E205" si="50">C200+D200</f>
        <v>23114.87</v>
      </c>
      <c r="F200" s="171"/>
      <c r="G200" s="171">
        <f t="shared" ref="G200:G205" si="51">E200+F200</f>
        <v>23114.87</v>
      </c>
      <c r="H200" s="172">
        <f t="shared" ref="H200:H206" si="52">IF($G$208=0,0,G200/$G$208)</f>
        <v>4.1189423304184439E-3</v>
      </c>
      <c r="I200" s="336"/>
      <c r="J200" s="183">
        <v>1582.37</v>
      </c>
      <c r="K200" s="183">
        <v>1749.37</v>
      </c>
      <c r="M200" s="364">
        <f t="shared" ref="M200:M205" si="53">G200/G$228</f>
        <v>2.1243332414300156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484">
        <v>13158.8</v>
      </c>
      <c r="D201" s="484">
        <v>0</v>
      </c>
      <c r="E201" s="171">
        <f t="shared" si="50"/>
        <v>13158.8</v>
      </c>
      <c r="F201" s="171"/>
      <c r="G201" s="171">
        <f t="shared" si="51"/>
        <v>13158.8</v>
      </c>
      <c r="H201" s="172">
        <f t="shared" si="52"/>
        <v>2.3448255749441904E-3</v>
      </c>
      <c r="I201" s="336"/>
      <c r="J201" s="168"/>
      <c r="K201" s="168"/>
      <c r="M201" s="364">
        <f t="shared" si="53"/>
        <v>1.2093373770793125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484">
        <v>14924.73</v>
      </c>
      <c r="D202" s="484">
        <v>0</v>
      </c>
      <c r="E202" s="171">
        <f t="shared" si="50"/>
        <v>14924.73</v>
      </c>
      <c r="F202" s="171"/>
      <c r="G202" s="171">
        <f t="shared" si="51"/>
        <v>14924.73</v>
      </c>
      <c r="H202" s="172">
        <f t="shared" si="52"/>
        <v>2.6595045599246744E-3</v>
      </c>
      <c r="I202" s="336"/>
      <c r="J202" s="168"/>
      <c r="K202" s="168"/>
      <c r="M202" s="364">
        <f t="shared" si="53"/>
        <v>1.3716322029225254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484">
        <v>0</v>
      </c>
      <c r="D203" s="484"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484">
        <v>0</v>
      </c>
      <c r="D204" s="484"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484">
        <v>3733.26</v>
      </c>
      <c r="D205" s="484">
        <v>0</v>
      </c>
      <c r="E205" s="171">
        <f t="shared" si="50"/>
        <v>3733.26</v>
      </c>
      <c r="F205" s="171"/>
      <c r="G205" s="171">
        <f t="shared" si="51"/>
        <v>3733.26</v>
      </c>
      <c r="H205" s="172">
        <f t="shared" si="52"/>
        <v>6.6524633902150258E-4</v>
      </c>
      <c r="I205" s="336"/>
      <c r="J205" s="168"/>
      <c r="K205" s="168"/>
      <c r="M205" s="364">
        <f t="shared" si="53"/>
        <v>0.34309897987317345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484">
        <v>54931.659999999996</v>
      </c>
      <c r="D206" s="484">
        <v>0</v>
      </c>
      <c r="E206" s="171">
        <f t="shared" ref="E206:F206" si="54">SUM(E200:E205)</f>
        <v>54931.659999999996</v>
      </c>
      <c r="F206" s="171">
        <f t="shared" si="54"/>
        <v>0</v>
      </c>
      <c r="G206" s="171">
        <f>SUM(G200:G205)</f>
        <v>54931.659999999996</v>
      </c>
      <c r="H206" s="172">
        <f t="shared" si="52"/>
        <v>9.7885188043088101E-3</v>
      </c>
      <c r="I206" s="336"/>
      <c r="J206" s="168"/>
      <c r="K206" s="168"/>
      <c r="M206" s="364">
        <f>G206/G$228</f>
        <v>5.0484018013050269</v>
      </c>
      <c r="N206" s="359">
        <f>SUMMARY!J209</f>
        <v>7.1515095990067339</v>
      </c>
      <c r="O206" s="354">
        <f>M206/N206-1</f>
        <v>-0.29407886105526659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484">
        <v>5898795.540000001</v>
      </c>
      <c r="D208" s="484">
        <v>-286949.54999999993</v>
      </c>
      <c r="E208" s="171">
        <f t="shared" ref="E208:F208" si="55">SUM(E25:E206)/2</f>
        <v>5611845.9900000002</v>
      </c>
      <c r="F208" s="171">
        <f t="shared" si="55"/>
        <v>0</v>
      </c>
      <c r="G208" s="171">
        <f>SUM(G25:G206)/2</f>
        <v>5611845.9900000002</v>
      </c>
      <c r="H208" s="172">
        <f>IF($G$208=0,0,G208/$G$208)</f>
        <v>1</v>
      </c>
      <c r="I208" s="336"/>
      <c r="J208" s="183">
        <f>SUM(J25:J200)</f>
        <v>87309.72</v>
      </c>
      <c r="K208" s="183">
        <f>SUM(K25:K200)</f>
        <v>93017.709999999992</v>
      </c>
      <c r="M208" s="364">
        <f>G208/G$228</f>
        <v>515.74726495726497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1.8361970271811399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484">
        <v>5898795.54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484"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6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484">
        <v>-159360.58000000007</v>
      </c>
      <c r="D215" s="484">
        <v>286949.54999999993</v>
      </c>
      <c r="E215" s="171">
        <f t="shared" ref="E215:F215" si="56">E21-E208</f>
        <v>127588.97000000067</v>
      </c>
      <c r="F215" s="171">
        <f t="shared" si="56"/>
        <v>0</v>
      </c>
      <c r="G215" s="171">
        <f>G21-G208</f>
        <v>127588.97000000067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485">
        <v>851</v>
      </c>
      <c r="D219" s="485"/>
      <c r="E219" s="235">
        <f t="shared" ref="E219:G227" si="57">C219+D219</f>
        <v>851</v>
      </c>
      <c r="F219" s="234"/>
      <c r="G219" s="235">
        <f t="shared" si="57"/>
        <v>851</v>
      </c>
      <c r="H219" s="172">
        <f t="shared" ref="H219:H228" si="58">IF($G$228=0,0,G219/$G$228)</f>
        <v>7.8209723371013687E-2</v>
      </c>
      <c r="I219" s="336"/>
      <c r="J219" s="168"/>
      <c r="K219" s="168"/>
    </row>
    <row r="220" spans="1:17">
      <c r="A220" s="163"/>
      <c r="B220" s="170" t="s">
        <v>217</v>
      </c>
      <c r="C220" s="485">
        <v>0</v>
      </c>
      <c r="D220" s="485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485">
        <v>4791</v>
      </c>
      <c r="D221" s="485"/>
      <c r="E221" s="235">
        <f t="shared" si="59"/>
        <v>4791</v>
      </c>
      <c r="F221" s="234"/>
      <c r="G221" s="235">
        <f t="shared" si="57"/>
        <v>4791</v>
      </c>
      <c r="H221" s="172">
        <f t="shared" si="58"/>
        <v>0.44030879514750482</v>
      </c>
      <c r="I221" s="336"/>
      <c r="J221" s="168"/>
      <c r="K221" s="168"/>
    </row>
    <row r="222" spans="1:17">
      <c r="A222" s="163"/>
      <c r="B222" s="202" t="s">
        <v>334</v>
      </c>
      <c r="C222" s="485">
        <v>3324</v>
      </c>
      <c r="D222" s="485"/>
      <c r="E222" s="235">
        <f>C222+D222</f>
        <v>3324</v>
      </c>
      <c r="F222" s="234"/>
      <c r="G222" s="235">
        <f>E222+F222</f>
        <v>3324</v>
      </c>
      <c r="H222" s="172">
        <f t="shared" si="58"/>
        <v>0.30548662806727322</v>
      </c>
      <c r="I222" s="336"/>
      <c r="J222" s="168"/>
      <c r="K222" s="168"/>
    </row>
    <row r="223" spans="1:17">
      <c r="A223" s="163"/>
      <c r="B223" s="170" t="s">
        <v>73</v>
      </c>
      <c r="C223" s="485">
        <v>0</v>
      </c>
      <c r="D223" s="485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485">
        <v>1719</v>
      </c>
      <c r="D224" s="485"/>
      <c r="E224" s="235">
        <f t="shared" si="59"/>
        <v>1719</v>
      </c>
      <c r="F224" s="234"/>
      <c r="G224" s="235">
        <f t="shared" si="57"/>
        <v>1719</v>
      </c>
      <c r="H224" s="172">
        <f t="shared" si="58"/>
        <v>0.15798180314309346</v>
      </c>
      <c r="I224" s="336"/>
      <c r="J224" s="168"/>
      <c r="K224" s="168"/>
    </row>
    <row r="225" spans="1:11">
      <c r="A225" s="163"/>
      <c r="B225" s="170" t="s">
        <v>236</v>
      </c>
      <c r="C225" s="485">
        <v>114</v>
      </c>
      <c r="D225" s="485"/>
      <c r="E225" s="235">
        <f t="shared" si="59"/>
        <v>114</v>
      </c>
      <c r="F225" s="234"/>
      <c r="G225" s="235">
        <f t="shared" si="57"/>
        <v>114</v>
      </c>
      <c r="H225" s="172">
        <f t="shared" si="58"/>
        <v>1.0476978218913703E-2</v>
      </c>
      <c r="I225" s="336"/>
      <c r="J225" s="168"/>
      <c r="K225" s="168"/>
    </row>
    <row r="226" spans="1:11">
      <c r="A226" s="163"/>
      <c r="B226" s="170" t="s">
        <v>235</v>
      </c>
      <c r="C226" s="485">
        <v>82</v>
      </c>
      <c r="D226" s="485"/>
      <c r="E226" s="235">
        <f>C226+D226</f>
        <v>82</v>
      </c>
      <c r="F226" s="234"/>
      <c r="G226" s="235">
        <f>E226+F226</f>
        <v>82</v>
      </c>
      <c r="H226" s="172">
        <f t="shared" si="58"/>
        <v>7.5360720522010842E-3</v>
      </c>
      <c r="I226" s="336"/>
      <c r="J226" s="168"/>
      <c r="K226" s="168"/>
    </row>
    <row r="227" spans="1:11">
      <c r="A227" s="163"/>
      <c r="B227" s="170" t="s">
        <v>179</v>
      </c>
      <c r="C227" s="485">
        <v>0</v>
      </c>
      <c r="D227" s="485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485">
        <v>10881</v>
      </c>
      <c r="D228" s="485">
        <v>0</v>
      </c>
      <c r="E228" s="237">
        <f>SUM(E219:E227)</f>
        <v>10881</v>
      </c>
      <c r="F228" s="237">
        <f>SUM(F219:F227)</f>
        <v>0</v>
      </c>
      <c r="G228" s="237">
        <f>SUM(G219:G227)</f>
        <v>10881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6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6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86">
        <v>40</v>
      </c>
      <c r="D231" s="512"/>
      <c r="E231" s="235">
        <f>C231+D231</f>
        <v>40</v>
      </c>
      <c r="F231" s="235"/>
      <c r="G231" s="235">
        <f>E231+F231</f>
        <v>40</v>
      </c>
      <c r="H231" s="167"/>
      <c r="J231" s="168"/>
      <c r="K231" s="168"/>
    </row>
    <row r="232" spans="1:11">
      <c r="A232" s="163"/>
      <c r="B232" s="202" t="s">
        <v>290</v>
      </c>
      <c r="C232" s="486">
        <v>10</v>
      </c>
      <c r="D232" s="512"/>
      <c r="E232" s="235">
        <f>C232+D232</f>
        <v>10</v>
      </c>
      <c r="F232" s="235"/>
      <c r="G232" s="235">
        <f>E232+F232</f>
        <v>10</v>
      </c>
      <c r="H232" s="167"/>
      <c r="J232" s="168"/>
      <c r="K232" s="168"/>
    </row>
    <row r="233" spans="1:11">
      <c r="A233" s="163"/>
      <c r="B233" s="202" t="s">
        <v>76</v>
      </c>
      <c r="C233" s="486"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6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486">
        <v>14640</v>
      </c>
      <c r="D235" s="483"/>
      <c r="E235" s="234">
        <f>E231*E233</f>
        <v>14640</v>
      </c>
      <c r="F235" s="239"/>
      <c r="G235" s="234">
        <f>G231*G233</f>
        <v>14640</v>
      </c>
      <c r="H235" s="167"/>
      <c r="J235" s="168"/>
      <c r="K235" s="168"/>
    </row>
    <row r="236" spans="1:11" ht="26.5">
      <c r="A236" s="163"/>
      <c r="B236" s="243" t="s">
        <v>336</v>
      </c>
      <c r="C236" s="487">
        <v>0.74323770491803276</v>
      </c>
      <c r="D236" s="239"/>
      <c r="E236" s="244">
        <f>E228/E235</f>
        <v>0.74323770491803276</v>
      </c>
      <c r="F236" s="245"/>
      <c r="G236" s="244">
        <f>G228/G235</f>
        <v>0.74323770491803276</v>
      </c>
      <c r="H236" s="167"/>
      <c r="J236" s="168"/>
      <c r="K236" s="168"/>
    </row>
    <row r="237" spans="1:11" ht="26.5">
      <c r="A237" s="163"/>
      <c r="B237" s="243" t="s">
        <v>337</v>
      </c>
      <c r="C237" s="487">
        <v>5.8128415300546445E-2</v>
      </c>
      <c r="D237" s="239"/>
      <c r="E237" s="244">
        <f>(E219+E220)/E235</f>
        <v>5.8128415300546445E-2</v>
      </c>
      <c r="F237" s="245"/>
      <c r="G237" s="244">
        <f>(G219+G220)/G235</f>
        <v>5.8128415300546445E-2</v>
      </c>
      <c r="H237" s="167"/>
      <c r="J237" s="168"/>
      <c r="K237" s="168"/>
    </row>
    <row r="238" spans="1:11" ht="26.5">
      <c r="A238" s="163"/>
      <c r="B238" s="243" t="s">
        <v>338</v>
      </c>
      <c r="C238" s="487">
        <v>7.8209723371013687E-2</v>
      </c>
      <c r="D238" s="239"/>
      <c r="E238" s="244">
        <f>(E237/E236)</f>
        <v>7.8209723371013687E-2</v>
      </c>
      <c r="F238" s="245"/>
      <c r="G238" s="244">
        <f>(G237/G236)</f>
        <v>7.8209723371013687E-2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478.62923076923073</v>
      </c>
    </row>
    <row r="242" spans="2:7">
      <c r="F242" s="142" t="s">
        <v>341</v>
      </c>
      <c r="G242" s="558">
        <v>453.57483870967735</v>
      </c>
    </row>
    <row r="243" spans="2:7">
      <c r="F243" s="142" t="s">
        <v>342</v>
      </c>
      <c r="G243" s="558">
        <v>525.18510489510493</v>
      </c>
    </row>
    <row r="244" spans="2:7">
      <c r="F244" s="142" t="s">
        <v>343</v>
      </c>
      <c r="G244" s="558">
        <v>400.43826625386998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E28CAB"/>
  </sheetPr>
  <dimension ref="A1:AF246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475</v>
      </c>
      <c r="D2" s="246"/>
      <c r="E2" s="144"/>
      <c r="F2" s="460"/>
    </row>
    <row r="3" spans="1:17">
      <c r="A3" s="145"/>
      <c r="B3" s="140" t="s">
        <v>79</v>
      </c>
      <c r="C3" s="146">
        <v>42186</v>
      </c>
      <c r="D3" s="144"/>
      <c r="E3" s="147"/>
      <c r="F3"/>
    </row>
    <row r="4" spans="1:17">
      <c r="A4" s="145"/>
      <c r="B4" s="148" t="s">
        <v>80</v>
      </c>
      <c r="C4" s="146">
        <v>42551</v>
      </c>
      <c r="D4" s="144"/>
      <c r="E4" s="149"/>
      <c r="F4"/>
      <c r="G4" s="150"/>
    </row>
    <row r="5" spans="1:17">
      <c r="A5" s="145"/>
      <c r="B5" s="148"/>
      <c r="C5" s="151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51" t="s">
        <v>719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'[60]Sch B'!E10</f>
        <v>2195694.1799999997</v>
      </c>
      <c r="D11" s="558">
        <f>'[60]Sch B'!G10</f>
        <v>0</v>
      </c>
      <c r="E11" s="171">
        <f>C11+D11</f>
        <v>2195694.1799999997</v>
      </c>
      <c r="F11" s="752">
        <v>1078470</v>
      </c>
      <c r="G11" s="171">
        <f t="shared" ref="G11:G20" si="0">E11+F11</f>
        <v>3274164.1799999997</v>
      </c>
      <c r="H11" s="172">
        <f t="shared" ref="H11:H21" si="1">IF($G$21=0,0,G11/$G$21)</f>
        <v>0.49705466687283634</v>
      </c>
      <c r="I11" s="555" t="s">
        <v>718</v>
      </c>
      <c r="J11" s="368" t="s">
        <v>344</v>
      </c>
      <c r="K11" s="369">
        <f>G21</f>
        <v>6587130.9499999993</v>
      </c>
      <c r="M11" s="359">
        <f>IFERROR(G11/G219,0)</f>
        <v>284.93291967626834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'[60]Sch B'!E15</f>
        <v>0</v>
      </c>
      <c r="D12" s="558">
        <f>'[60]Sch B'!G15</f>
        <v>0</v>
      </c>
      <c r="E12" s="171">
        <f t="shared" ref="E12:E20" si="2">C12+D12</f>
        <v>0</v>
      </c>
      <c r="F12" s="484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4921895.95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'[60]Sch B'!E21</f>
        <v>2232174.6400000006</v>
      </c>
      <c r="D13" s="558">
        <f>'[60]Sch B'!G21</f>
        <v>0</v>
      </c>
      <c r="E13" s="171">
        <f t="shared" si="2"/>
        <v>2232174.6400000006</v>
      </c>
      <c r="F13" s="484"/>
      <c r="G13" s="171">
        <f t="shared" si="0"/>
        <v>2232174.6400000006</v>
      </c>
      <c r="H13" s="172">
        <f t="shared" si="1"/>
        <v>0.33886902460926493</v>
      </c>
      <c r="I13" s="336"/>
      <c r="J13" s="370" t="s">
        <v>346</v>
      </c>
      <c r="K13" s="371">
        <f>G228</f>
        <v>19411</v>
      </c>
      <c r="M13" s="359">
        <f t="shared" si="3"/>
        <v>583.88036620455159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'[60]Sch B'!E27</f>
        <v>289071.83999999997</v>
      </c>
      <c r="D14" s="558">
        <f>'[60]Sch B'!G27</f>
        <v>0</v>
      </c>
      <c r="E14" s="171">
        <f t="shared" si="2"/>
        <v>289071.83999999997</v>
      </c>
      <c r="F14" s="484"/>
      <c r="G14" s="175">
        <f>E14+F14</f>
        <v>289071.83999999997</v>
      </c>
      <c r="H14" s="176">
        <f t="shared" si="1"/>
        <v>4.3884331766624436E-2</v>
      </c>
      <c r="I14" s="337"/>
      <c r="J14" s="370" t="s">
        <v>347</v>
      </c>
      <c r="K14" s="371">
        <f>G231</f>
        <v>84</v>
      </c>
      <c r="M14" s="359">
        <f t="shared" si="3"/>
        <v>439.98757990867574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'[60]Sch B'!E32</f>
        <v>0</v>
      </c>
      <c r="D15" s="558">
        <f>'[60]Sch B'!G32</f>
        <v>0</v>
      </c>
      <c r="E15" s="171">
        <f t="shared" si="2"/>
        <v>0</v>
      </c>
      <c r="F15" s="484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30744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'[60]Sch B'!E37</f>
        <v>523840.59999999986</v>
      </c>
      <c r="D16" s="558">
        <f>'[60]Sch B'!G37</f>
        <v>0</v>
      </c>
      <c r="E16" s="171">
        <f t="shared" si="2"/>
        <v>523840.59999999986</v>
      </c>
      <c r="F16" s="484"/>
      <c r="G16" s="171">
        <f t="shared" si="0"/>
        <v>523840.59999999986</v>
      </c>
      <c r="H16" s="172">
        <f t="shared" si="1"/>
        <v>7.9524849889313326E-2</v>
      </c>
      <c r="I16" s="336"/>
      <c r="J16" s="372"/>
      <c r="K16" s="371"/>
      <c r="M16" s="359">
        <f t="shared" si="3"/>
        <v>190.83446265938065</v>
      </c>
      <c r="N16" s="359">
        <f>SUMMARY!J19</f>
        <v>209.32685676266178</v>
      </c>
      <c r="P16"/>
      <c r="Q16"/>
    </row>
    <row r="17" spans="1:29" s="167" customFormat="1">
      <c r="A17" s="169" t="s">
        <v>215</v>
      </c>
      <c r="B17" s="170" t="s">
        <v>228</v>
      </c>
      <c r="C17" s="558">
        <f>'[60]Sch B'!E42</f>
        <v>0</v>
      </c>
      <c r="D17" s="558">
        <f>'[60]Sch B'!G42</f>
        <v>89467.26</v>
      </c>
      <c r="E17" s="171">
        <f t="shared" si="2"/>
        <v>89467.26</v>
      </c>
      <c r="F17" s="484"/>
      <c r="G17" s="171">
        <f>E17+F17</f>
        <v>89467.26</v>
      </c>
      <c r="H17" s="172">
        <f t="shared" si="1"/>
        <v>1.3582128650410389E-2</v>
      </c>
      <c r="I17" s="336"/>
      <c r="J17" s="370" t="s">
        <v>156</v>
      </c>
      <c r="K17" s="371">
        <f>J208</f>
        <v>112856.61000000002</v>
      </c>
      <c r="M17" s="359">
        <f t="shared" si="3"/>
        <v>187.17</v>
      </c>
      <c r="N17" s="359">
        <f>SUMMARY!J20</f>
        <v>177.55325692366318</v>
      </c>
      <c r="P17"/>
      <c r="Q17"/>
    </row>
    <row r="18" spans="1:29" s="167" customFormat="1" ht="16" thickBot="1">
      <c r="A18" s="169" t="s">
        <v>216</v>
      </c>
      <c r="B18" s="170" t="s">
        <v>229</v>
      </c>
      <c r="C18" s="558">
        <f>'[60]Sch B'!E47</f>
        <v>129281.37999999998</v>
      </c>
      <c r="D18" s="558">
        <f>'[60]Sch B'!G47</f>
        <v>-89467.26</v>
      </c>
      <c r="E18" s="171">
        <f t="shared" si="2"/>
        <v>39814.119999999981</v>
      </c>
      <c r="F18" s="484"/>
      <c r="G18" s="171">
        <f>E18+F18</f>
        <v>39814.119999999981</v>
      </c>
      <c r="H18" s="172">
        <f t="shared" si="1"/>
        <v>6.0442277984469077E-3</v>
      </c>
      <c r="I18" s="336"/>
      <c r="J18" s="373" t="s">
        <v>252</v>
      </c>
      <c r="K18" s="374">
        <f>K208</f>
        <v>122756.15</v>
      </c>
      <c r="M18" s="359">
        <f t="shared" si="3"/>
        <v>183.47520737327181</v>
      </c>
      <c r="N18" s="359">
        <f>SUMMARY!J21</f>
        <v>189.23177326776752</v>
      </c>
      <c r="P18"/>
      <c r="Q18"/>
    </row>
    <row r="19" spans="1:29" s="167" customFormat="1">
      <c r="A19" s="169" t="s">
        <v>227</v>
      </c>
      <c r="B19" s="177" t="s">
        <v>173</v>
      </c>
      <c r="C19" s="558">
        <f>'[60]Sch B'!E52</f>
        <v>0</v>
      </c>
      <c r="D19" s="558">
        <f>'[60]Sch B'!G52</f>
        <v>0</v>
      </c>
      <c r="E19" s="171">
        <f t="shared" si="2"/>
        <v>0</v>
      </c>
      <c r="F19" s="484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29" s="167" customFormat="1">
      <c r="A20" s="169" t="s">
        <v>183</v>
      </c>
      <c r="B20" s="23" t="s">
        <v>180</v>
      </c>
      <c r="C20" s="558">
        <f>'[60]Sch B'!E67</f>
        <v>138598.31000000003</v>
      </c>
      <c r="D20" s="558">
        <f>'[60]Sch B'!G67</f>
        <v>0</v>
      </c>
      <c r="E20" s="171">
        <f t="shared" si="2"/>
        <v>138598.31000000003</v>
      </c>
      <c r="F20" s="484"/>
      <c r="G20" s="171">
        <f t="shared" si="0"/>
        <v>138598.31000000003</v>
      </c>
      <c r="H20" s="172">
        <f t="shared" si="1"/>
        <v>2.1040770413103756E-2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29" s="167" customFormat="1">
      <c r="A21" s="169"/>
      <c r="B21" s="178" t="s">
        <v>77</v>
      </c>
      <c r="C21" s="558">
        <f>SUM(C11:C20)</f>
        <v>5508660.9499999993</v>
      </c>
      <c r="D21" s="558">
        <f>SUM(D11:D20)</f>
        <v>0</v>
      </c>
      <c r="E21" s="171">
        <f>SUM(E11:E20)</f>
        <v>5508660.9499999993</v>
      </c>
      <c r="F21" s="171">
        <f>SUM(F11:F20)</f>
        <v>1078470</v>
      </c>
      <c r="G21" s="171">
        <f>SUM(G11:G20)</f>
        <v>6587130.9499999993</v>
      </c>
      <c r="H21" s="172">
        <f t="shared" si="1"/>
        <v>1</v>
      </c>
      <c r="I21" s="336"/>
      <c r="J21" s="168"/>
      <c r="K21" s="168"/>
      <c r="M21" s="359">
        <f>IFERROR(G21/G228,0)</f>
        <v>339.35041728916588</v>
      </c>
      <c r="N21" s="359">
        <f>SUMMARY!J24</f>
        <v>278.37842406091033</v>
      </c>
      <c r="P21"/>
      <c r="Q21"/>
    </row>
    <row r="22" spans="1:29" ht="12" customHeight="1">
      <c r="A22" s="145"/>
      <c r="B22" s="179"/>
      <c r="C22" s="151"/>
      <c r="D22" s="144"/>
      <c r="F22" s="144"/>
      <c r="G22" s="144"/>
      <c r="J22" s="545"/>
      <c r="M22" s="363"/>
      <c r="N22" s="363"/>
    </row>
    <row r="23" spans="1:29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  <c r="Z23" s="140" t="s">
        <v>411</v>
      </c>
      <c r="AB23" s="140" t="s">
        <v>440</v>
      </c>
    </row>
    <row r="24" spans="1:29">
      <c r="A24" s="181" t="s">
        <v>161</v>
      </c>
      <c r="B24" s="148" t="s">
        <v>12</v>
      </c>
      <c r="M24" s="363"/>
      <c r="N24" s="363"/>
      <c r="Z24" s="140" t="s">
        <v>438</v>
      </c>
      <c r="AA24" s="140" t="s">
        <v>439</v>
      </c>
      <c r="AB24" s="140" t="s">
        <v>432</v>
      </c>
      <c r="AC24" s="140" t="s">
        <v>433</v>
      </c>
    </row>
    <row r="25" spans="1:29" s="167" customFormat="1">
      <c r="A25" s="169" t="s">
        <v>83</v>
      </c>
      <c r="B25" s="170" t="s">
        <v>14</v>
      </c>
      <c r="C25" s="558">
        <f>'[60]Sch C'!D10</f>
        <v>0</v>
      </c>
      <c r="D25" s="558">
        <f>'[60]Sch C'!F10</f>
        <v>75990</v>
      </c>
      <c r="E25" s="171">
        <f t="shared" ref="E25:E60" si="4">C25+D25</f>
        <v>75990</v>
      </c>
      <c r="F25" s="484"/>
      <c r="G25" s="182">
        <f>E25+F25</f>
        <v>75990</v>
      </c>
      <c r="H25" s="172">
        <f>IF($G$208=0,0,G25/$G$208)</f>
        <v>1.5439172378278333E-2</v>
      </c>
      <c r="I25" s="336"/>
      <c r="J25" s="183">
        <v>0</v>
      </c>
      <c r="K25" s="183">
        <v>0</v>
      </c>
      <c r="M25" s="359">
        <f>G25/G$228</f>
        <v>3.9147905826593168</v>
      </c>
      <c r="N25" s="359">
        <f>SUMMARY!J28</f>
        <v>5.2871017912533844</v>
      </c>
      <c r="P25"/>
      <c r="Q25"/>
      <c r="Z25" s="183">
        <v>1077.1600000000001</v>
      </c>
      <c r="AA25" s="183">
        <v>1178.76</v>
      </c>
      <c r="AB25" s="486">
        <v>665.64</v>
      </c>
      <c r="AC25" s="486">
        <v>728</v>
      </c>
    </row>
    <row r="26" spans="1:29" s="167" customFormat="1">
      <c r="A26" s="169" t="s">
        <v>84</v>
      </c>
      <c r="B26" s="170" t="s">
        <v>176</v>
      </c>
      <c r="C26" s="558">
        <f>'[60]Sch C'!D11</f>
        <v>0</v>
      </c>
      <c r="D26" s="558">
        <f>'[60]Sch C'!F11</f>
        <v>0</v>
      </c>
      <c r="E26" s="171">
        <f t="shared" si="4"/>
        <v>0</v>
      </c>
      <c r="F26" s="484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  <c r="Z26" s="183">
        <v>0</v>
      </c>
      <c r="AA26" s="183">
        <v>0</v>
      </c>
      <c r="AB26" s="486">
        <v>0</v>
      </c>
      <c r="AC26" s="486">
        <v>0</v>
      </c>
    </row>
    <row r="27" spans="1:29" s="167" customFormat="1">
      <c r="A27" s="169" t="s">
        <v>85</v>
      </c>
      <c r="B27" s="170" t="s">
        <v>17</v>
      </c>
      <c r="C27" s="558">
        <f>'[60]Sch C'!D12</f>
        <v>137703.70000000001</v>
      </c>
      <c r="D27" s="558">
        <f>'[60]Sch C'!F12</f>
        <v>-16402.900000000001</v>
      </c>
      <c r="E27" s="171">
        <f t="shared" si="4"/>
        <v>121300.80000000002</v>
      </c>
      <c r="F27" s="484"/>
      <c r="G27" s="171">
        <f t="shared" si="5"/>
        <v>121300.80000000002</v>
      </c>
      <c r="H27" s="172">
        <f t="shared" si="6"/>
        <v>2.464513700254066E-2</v>
      </c>
      <c r="I27" s="336"/>
      <c r="J27" s="183">
        <v>5221.54</v>
      </c>
      <c r="K27" s="183">
        <v>5653.54</v>
      </c>
      <c r="M27" s="359">
        <f t="shared" si="7"/>
        <v>6.2490752666014124</v>
      </c>
      <c r="N27" s="359">
        <f>SUMMARY!J30</f>
        <v>6.7296464607712929</v>
      </c>
      <c r="P27"/>
      <c r="Q27"/>
      <c r="Z27" s="185">
        <v>2121.12</v>
      </c>
      <c r="AA27" s="185">
        <v>2346.66</v>
      </c>
      <c r="AB27" s="486">
        <v>1820.596</v>
      </c>
      <c r="AC27" s="486">
        <v>2141.6819999999998</v>
      </c>
    </row>
    <row r="28" spans="1:29" s="167" customFormat="1">
      <c r="A28" s="169" t="s">
        <v>86</v>
      </c>
      <c r="B28" s="170" t="s">
        <v>45</v>
      </c>
      <c r="C28" s="558">
        <f>'[60]Sch C'!D13</f>
        <v>32658</v>
      </c>
      <c r="D28" s="558">
        <f>'[60]Sch C'!F13</f>
        <v>13304.03</v>
      </c>
      <c r="E28" s="171">
        <f t="shared" si="4"/>
        <v>45962.03</v>
      </c>
      <c r="F28" s="484"/>
      <c r="G28" s="171">
        <f t="shared" si="5"/>
        <v>45962.03</v>
      </c>
      <c r="H28" s="172">
        <f t="shared" si="6"/>
        <v>9.3382774578970925E-3</v>
      </c>
      <c r="I28" s="336"/>
      <c r="J28" s="168"/>
      <c r="K28" s="168"/>
      <c r="M28" s="359">
        <f t="shared" si="7"/>
        <v>2.3678342177116067</v>
      </c>
      <c r="N28" s="359">
        <f>SUMMARY!J31</f>
        <v>2.2098304126852</v>
      </c>
      <c r="P28"/>
      <c r="Q28"/>
      <c r="Z28" s="168"/>
      <c r="AA28" s="168"/>
      <c r="AB28" s="513"/>
      <c r="AC28" s="513"/>
    </row>
    <row r="29" spans="1:29" s="167" customFormat="1">
      <c r="A29" s="169" t="s">
        <v>175</v>
      </c>
      <c r="B29" s="170" t="s">
        <v>20</v>
      </c>
      <c r="C29" s="558">
        <f>'[60]Sch C'!D14</f>
        <v>0</v>
      </c>
      <c r="D29" s="558">
        <f>'[60]Sch C'!F14</f>
        <v>0</v>
      </c>
      <c r="E29" s="171">
        <f t="shared" si="4"/>
        <v>0</v>
      </c>
      <c r="F29" s="484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  <c r="Z29" s="168"/>
      <c r="AA29" s="168"/>
      <c r="AB29" s="513"/>
      <c r="AC29" s="513"/>
    </row>
    <row r="30" spans="1:29" s="167" customFormat="1">
      <c r="A30" s="169" t="s">
        <v>88</v>
      </c>
      <c r="B30" s="170" t="s">
        <v>22</v>
      </c>
      <c r="C30" s="558">
        <f>'[60]Sch C'!D15</f>
        <v>0</v>
      </c>
      <c r="D30" s="558">
        <f>'[60]Sch C'!F15</f>
        <v>0</v>
      </c>
      <c r="E30" s="171">
        <f t="shared" si="4"/>
        <v>0</v>
      </c>
      <c r="F30" s="484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  <c r="Z30" s="168"/>
      <c r="AA30" s="168"/>
      <c r="AB30" s="513"/>
      <c r="AC30" s="513"/>
    </row>
    <row r="31" spans="1:29" s="167" customFormat="1">
      <c r="A31" s="169" t="s">
        <v>89</v>
      </c>
      <c r="B31" s="170" t="s">
        <v>148</v>
      </c>
      <c r="C31" s="558">
        <f>'[60]Sch C'!D16</f>
        <v>319679</v>
      </c>
      <c r="D31" s="558">
        <f>'[60]Sch C'!F16</f>
        <v>-49386</v>
      </c>
      <c r="E31" s="171">
        <f t="shared" si="4"/>
        <v>270293</v>
      </c>
      <c r="F31" s="484"/>
      <c r="G31" s="171">
        <f t="shared" si="5"/>
        <v>270293</v>
      </c>
      <c r="H31" s="172">
        <f t="shared" si="6"/>
        <v>5.4916439263613441E-2</v>
      </c>
      <c r="I31" s="336"/>
      <c r="J31" s="168"/>
      <c r="K31" s="168"/>
      <c r="M31" s="359">
        <f t="shared" si="7"/>
        <v>13.92473339858843</v>
      </c>
      <c r="N31" s="359">
        <f>SUMMARY!J34</f>
        <v>9.228688439287323</v>
      </c>
      <c r="P31"/>
      <c r="Q31"/>
      <c r="Z31" s="168"/>
      <c r="AA31" s="168"/>
      <c r="AB31" s="513"/>
      <c r="AC31" s="513"/>
    </row>
    <row r="32" spans="1:29" s="167" customFormat="1">
      <c r="A32" s="169" t="s">
        <v>90</v>
      </c>
      <c r="B32" s="170" t="s">
        <v>23</v>
      </c>
      <c r="C32" s="558">
        <f>'[60]Sch C'!D17</f>
        <v>3180.46</v>
      </c>
      <c r="D32" s="558">
        <f>'[60]Sch C'!F17</f>
        <v>-3180.46</v>
      </c>
      <c r="E32" s="171">
        <f t="shared" si="4"/>
        <v>0</v>
      </c>
      <c r="F32" s="484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  <c r="Z32" s="168"/>
      <c r="AA32" s="168"/>
      <c r="AB32" s="513"/>
      <c r="AC32" s="513"/>
    </row>
    <row r="33" spans="1:29" s="167" customFormat="1">
      <c r="A33" s="169" t="s">
        <v>91</v>
      </c>
      <c r="B33" s="170" t="s">
        <v>24</v>
      </c>
      <c r="C33" s="558">
        <f>'[60]Sch C'!D18</f>
        <v>18183.39</v>
      </c>
      <c r="D33" s="558">
        <f>'[60]Sch C'!F18</f>
        <v>0</v>
      </c>
      <c r="E33" s="171">
        <f t="shared" si="4"/>
        <v>18183.39</v>
      </c>
      <c r="F33" s="484"/>
      <c r="G33" s="171">
        <f t="shared" si="5"/>
        <v>18183.39</v>
      </c>
      <c r="H33" s="172">
        <f t="shared" si="6"/>
        <v>3.6943873224300891E-3</v>
      </c>
      <c r="I33" s="336"/>
      <c r="J33" s="168"/>
      <c r="K33" s="168"/>
      <c r="M33" s="359">
        <f t="shared" si="7"/>
        <v>0.936756993457318</v>
      </c>
      <c r="N33" s="359">
        <f>SUMMARY!J36</f>
        <v>0.84523554145971291</v>
      </c>
      <c r="P33"/>
      <c r="Q33"/>
      <c r="Z33" s="168"/>
      <c r="AA33" s="168"/>
      <c r="AB33" s="513"/>
      <c r="AC33" s="513"/>
    </row>
    <row r="34" spans="1:29" s="167" customFormat="1">
      <c r="A34" s="169" t="s">
        <v>92</v>
      </c>
      <c r="B34" s="170" t="s">
        <v>25</v>
      </c>
      <c r="C34" s="558">
        <f>'[60]Sch C'!D19</f>
        <v>17104.48</v>
      </c>
      <c r="D34" s="558">
        <f>'[60]Sch C'!F19</f>
        <v>0</v>
      </c>
      <c r="E34" s="171">
        <f t="shared" si="4"/>
        <v>17104.48</v>
      </c>
      <c r="F34" s="484"/>
      <c r="G34" s="171">
        <f t="shared" si="5"/>
        <v>17104.48</v>
      </c>
      <c r="H34" s="172">
        <f t="shared" si="6"/>
        <v>3.4751811443718143E-3</v>
      </c>
      <c r="I34" s="336"/>
      <c r="J34" s="168"/>
      <c r="K34" s="168"/>
      <c r="M34" s="359">
        <f t="shared" si="7"/>
        <v>0.88117459172634072</v>
      </c>
      <c r="N34" s="359">
        <f>SUMMARY!J37</f>
        <v>0.66565591578793926</v>
      </c>
      <c r="P34"/>
      <c r="Q34"/>
      <c r="Z34" s="168"/>
      <c r="AA34" s="168"/>
      <c r="AB34" s="513"/>
      <c r="AC34" s="513"/>
    </row>
    <row r="35" spans="1:29" s="167" customFormat="1">
      <c r="A35" s="169" t="s">
        <v>93</v>
      </c>
      <c r="B35" s="170" t="s">
        <v>26</v>
      </c>
      <c r="C35" s="558">
        <f>'[60]Sch C'!D20</f>
        <v>10009.86</v>
      </c>
      <c r="D35" s="558">
        <f>'[60]Sch C'!F20</f>
        <v>0</v>
      </c>
      <c r="E35" s="171">
        <f t="shared" si="4"/>
        <v>10009.86</v>
      </c>
      <c r="F35" s="484"/>
      <c r="G35" s="171">
        <f t="shared" si="5"/>
        <v>10009.86</v>
      </c>
      <c r="H35" s="172">
        <f t="shared" si="6"/>
        <v>2.0337406767000021E-3</v>
      </c>
      <c r="I35" s="336"/>
      <c r="J35" s="168"/>
      <c r="K35" s="168"/>
      <c r="M35" s="359">
        <f t="shared" si="7"/>
        <v>0.51567976920302927</v>
      </c>
      <c r="N35" s="359">
        <f>SUMMARY!J38</f>
        <v>0.8424592434119561</v>
      </c>
      <c r="P35"/>
      <c r="Q35"/>
      <c r="Z35" s="168"/>
      <c r="AA35" s="168"/>
      <c r="AB35" s="513"/>
      <c r="AC35" s="513"/>
    </row>
    <row r="36" spans="1:29" s="167" customFormat="1">
      <c r="A36" s="169" t="s">
        <v>94</v>
      </c>
      <c r="B36" s="170" t="s">
        <v>27</v>
      </c>
      <c r="C36" s="558">
        <f>'[60]Sch C'!D21</f>
        <v>53678.49</v>
      </c>
      <c r="D36" s="558">
        <f>'[60]Sch C'!F21</f>
        <v>0</v>
      </c>
      <c r="E36" s="171">
        <f t="shared" si="4"/>
        <v>53678.49</v>
      </c>
      <c r="F36" s="484"/>
      <c r="G36" s="171">
        <f t="shared" si="5"/>
        <v>53678.49</v>
      </c>
      <c r="H36" s="172">
        <f t="shared" si="6"/>
        <v>1.0906059483033158E-2</v>
      </c>
      <c r="I36" s="336"/>
      <c r="J36" s="168"/>
      <c r="K36" s="168"/>
      <c r="M36" s="359">
        <f t="shared" si="7"/>
        <v>2.7653644840554326</v>
      </c>
      <c r="N36" s="359">
        <f>SUMMARY!J39</f>
        <v>1.3169235823352747</v>
      </c>
      <c r="P36"/>
      <c r="Q36"/>
      <c r="Z36" s="168"/>
      <c r="AA36" s="168"/>
      <c r="AB36" s="513"/>
      <c r="AC36" s="513"/>
    </row>
    <row r="37" spans="1:29" s="167" customFormat="1">
      <c r="A37" s="163">
        <v>130</v>
      </c>
      <c r="B37" s="170" t="s">
        <v>28</v>
      </c>
      <c r="C37" s="558">
        <f>'[60]Sch C'!D22</f>
        <v>0</v>
      </c>
      <c r="D37" s="558">
        <f>'[60]Sch C'!F22</f>
        <v>0</v>
      </c>
      <c r="E37" s="171">
        <f t="shared" si="4"/>
        <v>0</v>
      </c>
      <c r="F37" s="484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  <c r="Z37" s="168"/>
      <c r="AA37" s="168"/>
      <c r="AB37" s="513"/>
      <c r="AC37" s="513"/>
    </row>
    <row r="38" spans="1:29" s="167" customFormat="1">
      <c r="A38" s="163">
        <v>140</v>
      </c>
      <c r="B38" s="170" t="s">
        <v>149</v>
      </c>
      <c r="C38" s="558">
        <f>'[60]Sch C'!D23</f>
        <v>14573.6</v>
      </c>
      <c r="D38" s="558">
        <f>'[60]Sch C'!F23</f>
        <v>0</v>
      </c>
      <c r="E38" s="171">
        <f t="shared" si="4"/>
        <v>14573.6</v>
      </c>
      <c r="F38" s="484"/>
      <c r="G38" s="171">
        <f t="shared" si="5"/>
        <v>14573.6</v>
      </c>
      <c r="H38" s="172">
        <f t="shared" si="6"/>
        <v>2.9609727934212017E-3</v>
      </c>
      <c r="I38" s="336"/>
      <c r="J38" s="168"/>
      <c r="K38" s="168"/>
      <c r="M38" s="359">
        <f t="shared" si="7"/>
        <v>0.75079078872804084</v>
      </c>
      <c r="N38" s="359">
        <f>SUMMARY!J41</f>
        <v>0.78350447706162407</v>
      </c>
      <c r="P38"/>
      <c r="Q38"/>
      <c r="Z38" s="168"/>
      <c r="AA38" s="168"/>
      <c r="AB38" s="513"/>
      <c r="AC38" s="513"/>
    </row>
    <row r="39" spans="1:29" s="167" customFormat="1">
      <c r="A39" s="163">
        <v>150</v>
      </c>
      <c r="B39" s="170" t="s">
        <v>29</v>
      </c>
      <c r="C39" s="558">
        <f>'[60]Sch C'!D24</f>
        <v>64692.43</v>
      </c>
      <c r="D39" s="558">
        <f>'[60]Sch C'!F24</f>
        <v>30797.27</v>
      </c>
      <c r="E39" s="171">
        <f t="shared" si="4"/>
        <v>95489.7</v>
      </c>
      <c r="F39" s="484"/>
      <c r="G39" s="171">
        <f t="shared" si="5"/>
        <v>95489.7</v>
      </c>
      <c r="H39" s="172">
        <f t="shared" si="6"/>
        <v>1.9400999324254303E-2</v>
      </c>
      <c r="I39" s="336"/>
      <c r="J39" s="168"/>
      <c r="K39" s="168"/>
      <c r="M39" s="359">
        <f t="shared" si="7"/>
        <v>4.91936015661223</v>
      </c>
      <c r="N39" s="359">
        <f>SUMMARY!J42</f>
        <v>1.2663707557948845</v>
      </c>
      <c r="P39"/>
      <c r="Q39"/>
      <c r="Z39" s="168"/>
      <c r="AA39" s="168"/>
      <c r="AB39" s="513"/>
      <c r="AC39" s="513"/>
    </row>
    <row r="40" spans="1:29" s="167" customFormat="1">
      <c r="A40" s="163">
        <v>160</v>
      </c>
      <c r="B40" s="170" t="s">
        <v>30</v>
      </c>
      <c r="C40" s="558">
        <f>'[60]Sch C'!D25</f>
        <v>0</v>
      </c>
      <c r="D40" s="558">
        <f>'[60]Sch C'!F25</f>
        <v>0</v>
      </c>
      <c r="E40" s="171">
        <f t="shared" si="4"/>
        <v>0</v>
      </c>
      <c r="F40" s="484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  <c r="Z40" s="168"/>
      <c r="AA40" s="168"/>
      <c r="AB40" s="513"/>
      <c r="AC40" s="513"/>
    </row>
    <row r="41" spans="1:29" s="167" customFormat="1">
      <c r="A41" s="163">
        <v>170</v>
      </c>
      <c r="B41" s="170" t="s">
        <v>31</v>
      </c>
      <c r="C41" s="558">
        <f>'[60]Sch C'!D26</f>
        <v>273517.59999999998</v>
      </c>
      <c r="D41" s="558">
        <f>'[60]Sch C'!F26</f>
        <v>0</v>
      </c>
      <c r="E41" s="171">
        <f t="shared" si="4"/>
        <v>273517.59999999998</v>
      </c>
      <c r="F41" s="484"/>
      <c r="G41" s="171">
        <f t="shared" si="5"/>
        <v>273517.59999999998</v>
      </c>
      <c r="H41" s="172">
        <f t="shared" si="6"/>
        <v>5.5571593300341907E-2</v>
      </c>
      <c r="I41" s="336"/>
      <c r="J41" s="168"/>
      <c r="K41" s="168"/>
      <c r="M41" s="359">
        <f t="shared" si="7"/>
        <v>14.090855700376075</v>
      </c>
      <c r="N41" s="359">
        <f>SUMMARY!J44</f>
        <v>13.276275078297671</v>
      </c>
      <c r="P41"/>
      <c r="Q41"/>
      <c r="Z41" s="168"/>
      <c r="AA41" s="168"/>
      <c r="AB41" s="513"/>
      <c r="AC41" s="513"/>
    </row>
    <row r="42" spans="1:29" s="167" customFormat="1">
      <c r="A42" s="163">
        <v>180</v>
      </c>
      <c r="B42" s="170" t="s">
        <v>32</v>
      </c>
      <c r="C42" s="558">
        <f>'[60]Sch C'!D27</f>
        <v>35777.730000000003</v>
      </c>
      <c r="D42" s="558">
        <f>'[60]Sch C'!F27</f>
        <v>0</v>
      </c>
      <c r="E42" s="171">
        <f t="shared" si="4"/>
        <v>35777.730000000003</v>
      </c>
      <c r="F42" s="484"/>
      <c r="G42" s="171">
        <f t="shared" si="5"/>
        <v>35777.730000000003</v>
      </c>
      <c r="H42" s="172">
        <f t="shared" si="6"/>
        <v>7.2690951542768801E-3</v>
      </c>
      <c r="I42" s="336"/>
      <c r="J42" s="168"/>
      <c r="K42" s="168"/>
      <c r="M42" s="359">
        <f t="shared" si="7"/>
        <v>1.8431677914584517</v>
      </c>
      <c r="N42" s="359">
        <f>SUMMARY!J45</f>
        <v>0.53704966247864372</v>
      </c>
      <c r="P42"/>
      <c r="Q42"/>
      <c r="Z42" s="168"/>
      <c r="AA42" s="168"/>
      <c r="AB42" s="513"/>
      <c r="AC42" s="513"/>
    </row>
    <row r="43" spans="1:29" s="167" customFormat="1">
      <c r="A43" s="163">
        <v>190</v>
      </c>
      <c r="B43" s="170" t="s">
        <v>33</v>
      </c>
      <c r="C43" s="558">
        <f>'[60]Sch C'!D28</f>
        <v>0</v>
      </c>
      <c r="D43" s="558">
        <f>'[60]Sch C'!F28</f>
        <v>0</v>
      </c>
      <c r="E43" s="171">
        <f t="shared" si="4"/>
        <v>0</v>
      </c>
      <c r="F43" s="484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  <c r="Z43" s="168"/>
      <c r="AA43" s="168"/>
      <c r="AB43" s="513"/>
      <c r="AC43" s="513"/>
    </row>
    <row r="44" spans="1:29" s="167" customFormat="1">
      <c r="A44" s="163">
        <v>200</v>
      </c>
      <c r="B44" s="170" t="s">
        <v>34</v>
      </c>
      <c r="C44" s="558">
        <f>'[60]Sch C'!D29</f>
        <v>399497.32</v>
      </c>
      <c r="D44" s="558">
        <f>'[60]Sch C'!F29</f>
        <v>-399497.32</v>
      </c>
      <c r="E44" s="171">
        <f t="shared" si="4"/>
        <v>0</v>
      </c>
      <c r="F44" s="484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  <c r="Z44" s="168"/>
      <c r="AA44" s="168"/>
      <c r="AB44" s="513"/>
      <c r="AC44" s="513"/>
    </row>
    <row r="45" spans="1:29" s="167" customFormat="1">
      <c r="A45" s="163">
        <v>210</v>
      </c>
      <c r="B45" s="170" t="s">
        <v>35</v>
      </c>
      <c r="C45" s="558">
        <f>'[60]Sch C'!D30</f>
        <v>0</v>
      </c>
      <c r="D45" s="558">
        <f>'[60]Sch C'!F30</f>
        <v>0</v>
      </c>
      <c r="E45" s="171">
        <f t="shared" si="4"/>
        <v>0</v>
      </c>
      <c r="F45" s="484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  <c r="Z45" s="168"/>
      <c r="AA45" s="168"/>
      <c r="AB45" s="513"/>
      <c r="AC45" s="513"/>
    </row>
    <row r="46" spans="1:29" s="167" customFormat="1">
      <c r="A46" s="163">
        <v>220</v>
      </c>
      <c r="B46" s="170" t="s">
        <v>190</v>
      </c>
      <c r="C46" s="558">
        <f>'[60]Sch C'!D31</f>
        <v>369.28</v>
      </c>
      <c r="D46" s="558">
        <f>'[60]Sch C'!F31</f>
        <v>0</v>
      </c>
      <c r="E46" s="171">
        <f t="shared" si="4"/>
        <v>369.28</v>
      </c>
      <c r="F46" s="484"/>
      <c r="G46" s="171">
        <f t="shared" si="5"/>
        <v>369.28</v>
      </c>
      <c r="H46" s="172">
        <f t="shared" si="6"/>
        <v>7.5027998103048072E-5</v>
      </c>
      <c r="I46" s="336"/>
      <c r="J46" s="168"/>
      <c r="K46" s="168"/>
      <c r="M46" s="359">
        <f t="shared" si="7"/>
        <v>1.9024264592241512E-2</v>
      </c>
      <c r="N46" s="359">
        <f>SUMMARY!J49</f>
        <v>1.2423066513894216</v>
      </c>
      <c r="P46"/>
      <c r="Q46"/>
      <c r="Z46" s="168"/>
      <c r="AA46" s="168"/>
      <c r="AB46" s="513"/>
      <c r="AC46" s="513"/>
    </row>
    <row r="47" spans="1:29" s="167" customFormat="1">
      <c r="A47" s="163">
        <v>230</v>
      </c>
      <c r="B47" s="170" t="s">
        <v>191</v>
      </c>
      <c r="C47" s="558">
        <f>'[60]Sch C'!D32</f>
        <v>0</v>
      </c>
      <c r="D47" s="558">
        <f>'[60]Sch C'!F32</f>
        <v>14750.86</v>
      </c>
      <c r="E47" s="171">
        <f t="shared" si="4"/>
        <v>14750.86</v>
      </c>
      <c r="F47" s="484"/>
      <c r="G47" s="171">
        <f t="shared" si="5"/>
        <v>14750.86</v>
      </c>
      <c r="H47" s="172">
        <f t="shared" si="6"/>
        <v>2.9969873702835998E-3</v>
      </c>
      <c r="I47" s="336"/>
      <c r="J47" s="168"/>
      <c r="K47" s="168"/>
      <c r="M47" s="359">
        <f t="shared" si="7"/>
        <v>0.75992272422853024</v>
      </c>
      <c r="N47" s="359">
        <f>SUMMARY!J50</f>
        <v>2.4834328319281553</v>
      </c>
      <c r="P47"/>
      <c r="Q47"/>
      <c r="Z47" s="168"/>
      <c r="AA47" s="168"/>
      <c r="AB47" s="513"/>
      <c r="AC47" s="513"/>
    </row>
    <row r="48" spans="1:29" s="167" customFormat="1">
      <c r="A48" s="163">
        <v>240</v>
      </c>
      <c r="B48" s="170" t="s">
        <v>201</v>
      </c>
      <c r="C48" s="558">
        <f>'[60]Sch C'!D33</f>
        <v>-3.92</v>
      </c>
      <c r="D48" s="558">
        <f>'[60]Sch C'!F33</f>
        <v>3.92</v>
      </c>
      <c r="E48" s="171">
        <f t="shared" si="4"/>
        <v>0</v>
      </c>
      <c r="F48" s="484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  <c r="Z48" s="168"/>
      <c r="AA48" s="168"/>
      <c r="AB48" s="513"/>
      <c r="AC48" s="513"/>
    </row>
    <row r="49" spans="1:29" s="167" customFormat="1">
      <c r="A49" s="163">
        <v>250</v>
      </c>
      <c r="B49" s="170" t="s">
        <v>202</v>
      </c>
      <c r="C49" s="558">
        <f>'[60]Sch C'!D34</f>
        <v>829.71</v>
      </c>
      <c r="D49" s="558">
        <f>'[60]Sch C'!F34</f>
        <v>0</v>
      </c>
      <c r="E49" s="171">
        <f t="shared" si="4"/>
        <v>829.71</v>
      </c>
      <c r="F49" s="484"/>
      <c r="G49" s="171">
        <f t="shared" si="5"/>
        <v>829.71</v>
      </c>
      <c r="H49" s="172">
        <f t="shared" si="6"/>
        <v>1.6857528245797231E-4</v>
      </c>
      <c r="I49" s="336"/>
      <c r="J49" s="168"/>
      <c r="K49" s="168"/>
      <c r="M49" s="359">
        <f t="shared" si="7"/>
        <v>4.2744320230796974E-2</v>
      </c>
      <c r="N49" s="359">
        <f>SUMMARY!J52</f>
        <v>1.9989597825457835E-2</v>
      </c>
      <c r="P49"/>
      <c r="Q49"/>
      <c r="Z49" s="168"/>
      <c r="AA49" s="168"/>
      <c r="AB49" s="513"/>
      <c r="AC49" s="513"/>
    </row>
    <row r="50" spans="1:29" s="167" customFormat="1">
      <c r="A50" s="163">
        <v>270</v>
      </c>
      <c r="B50" s="170" t="s">
        <v>203</v>
      </c>
      <c r="C50" s="558">
        <f>'[60]Sch C'!D35</f>
        <v>0</v>
      </c>
      <c r="D50" s="558">
        <f>'[60]Sch C'!F35</f>
        <v>0</v>
      </c>
      <c r="E50" s="171">
        <f t="shared" si="4"/>
        <v>0</v>
      </c>
      <c r="F50" s="484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  <c r="Z50" s="168"/>
      <c r="AA50" s="168"/>
      <c r="AB50" s="513"/>
      <c r="AC50" s="513"/>
    </row>
    <row r="51" spans="1:29" s="167" customFormat="1">
      <c r="A51" s="163">
        <v>280</v>
      </c>
      <c r="B51" s="170" t="s">
        <v>204</v>
      </c>
      <c r="C51" s="558">
        <f>'[60]Sch C'!D36</f>
        <v>0</v>
      </c>
      <c r="D51" s="558">
        <f>'[60]Sch C'!F36</f>
        <v>16402.900000000001</v>
      </c>
      <c r="E51" s="171">
        <f t="shared" si="4"/>
        <v>16402.900000000001</v>
      </c>
      <c r="F51" s="484"/>
      <c r="G51" s="171">
        <f t="shared" si="5"/>
        <v>16402.900000000001</v>
      </c>
      <c r="H51" s="172">
        <f t="shared" si="6"/>
        <v>3.3326385130104186E-3</v>
      </c>
      <c r="I51" s="336"/>
      <c r="J51" s="183">
        <v>1010.15</v>
      </c>
      <c r="K51" s="183">
        <v>1130.83</v>
      </c>
      <c r="M51" s="359">
        <f t="shared" si="7"/>
        <v>0.84503116789449284</v>
      </c>
      <c r="N51" s="359">
        <f>SUMMARY!J54</f>
        <v>0.71016556619157756</v>
      </c>
      <c r="P51"/>
      <c r="Q51"/>
      <c r="Z51" s="183">
        <v>0</v>
      </c>
      <c r="AA51" s="183">
        <v>0</v>
      </c>
      <c r="AB51" s="486">
        <v>0</v>
      </c>
      <c r="AC51" s="486">
        <v>0</v>
      </c>
    </row>
    <row r="52" spans="1:29" s="167" customFormat="1">
      <c r="A52" s="163">
        <v>290</v>
      </c>
      <c r="B52" s="170" t="s">
        <v>205</v>
      </c>
      <c r="C52" s="558">
        <f>'[60]Sch C'!D37</f>
        <v>0</v>
      </c>
      <c r="D52" s="558">
        <f>'[60]Sch C'!F37</f>
        <v>3918.96</v>
      </c>
      <c r="E52" s="171">
        <f t="shared" si="4"/>
        <v>3918.96</v>
      </c>
      <c r="F52" s="484"/>
      <c r="G52" s="171">
        <f t="shared" si="5"/>
        <v>3918.96</v>
      </c>
      <c r="H52" s="172">
        <f t="shared" si="6"/>
        <v>7.9622975369887693E-4</v>
      </c>
      <c r="I52" s="336"/>
      <c r="J52" s="168"/>
      <c r="K52" s="168"/>
      <c r="M52" s="359">
        <f t="shared" si="7"/>
        <v>0.20189377157281954</v>
      </c>
      <c r="N52" s="359">
        <f>SUMMARY!J55</f>
        <v>0.1226645084196832</v>
      </c>
      <c r="P52"/>
      <c r="Q52"/>
      <c r="Z52" s="168"/>
      <c r="AA52" s="168"/>
      <c r="AB52" s="513"/>
      <c r="AC52" s="513"/>
    </row>
    <row r="53" spans="1:29" s="167" customFormat="1">
      <c r="A53" s="163">
        <v>300</v>
      </c>
      <c r="B53" s="170" t="s">
        <v>206</v>
      </c>
      <c r="C53" s="558">
        <f>'[60]Sch C'!D38</f>
        <v>51</v>
      </c>
      <c r="D53" s="558">
        <f>'[60]Sch C'!F38</f>
        <v>0</v>
      </c>
      <c r="E53" s="171">
        <f t="shared" si="4"/>
        <v>51</v>
      </c>
      <c r="F53" s="484"/>
      <c r="G53" s="171">
        <f t="shared" si="5"/>
        <v>51</v>
      </c>
      <c r="H53" s="172">
        <f t="shared" si="6"/>
        <v>1.0361860656562639E-5</v>
      </c>
      <c r="I53" s="336"/>
      <c r="J53" s="168"/>
      <c r="K53" s="168"/>
      <c r="M53" s="359">
        <f t="shared" si="7"/>
        <v>2.6273762299726957E-3</v>
      </c>
      <c r="N53" s="359">
        <f>SUMMARY!J56</f>
        <v>2.2357065225546585E-3</v>
      </c>
      <c r="P53"/>
      <c r="Q53"/>
      <c r="Z53" s="168"/>
      <c r="AA53" s="168"/>
      <c r="AB53" s="513"/>
      <c r="AC53" s="513"/>
    </row>
    <row r="54" spans="1:29" s="167" customFormat="1">
      <c r="A54" s="163">
        <v>310</v>
      </c>
      <c r="B54" s="170" t="s">
        <v>207</v>
      </c>
      <c r="C54" s="558">
        <f>'[60]Sch C'!D39</f>
        <v>4171.18</v>
      </c>
      <c r="D54" s="558">
        <f>'[60]Sch C'!F39</f>
        <v>0</v>
      </c>
      <c r="E54" s="171">
        <f t="shared" si="4"/>
        <v>4171.18</v>
      </c>
      <c r="F54" s="484"/>
      <c r="G54" s="171">
        <f t="shared" si="5"/>
        <v>4171.18</v>
      </c>
      <c r="H54" s="172">
        <f t="shared" si="6"/>
        <v>8.4747423398903829E-4</v>
      </c>
      <c r="I54" s="336"/>
      <c r="J54" s="168"/>
      <c r="K54" s="168"/>
      <c r="M54" s="359">
        <f t="shared" si="7"/>
        <v>0.21488743495955903</v>
      </c>
      <c r="N54" s="359">
        <f>SUMMARY!J57</f>
        <v>0.27779592873572578</v>
      </c>
      <c r="P54"/>
      <c r="Q54"/>
      <c r="Z54" s="168"/>
      <c r="AA54" s="168"/>
      <c r="AB54" s="513"/>
      <c r="AC54" s="513"/>
    </row>
    <row r="55" spans="1:29" s="167" customFormat="1">
      <c r="A55" s="163">
        <v>320</v>
      </c>
      <c r="B55" s="170" t="s">
        <v>208</v>
      </c>
      <c r="C55" s="558">
        <f>'[60]Sch C'!D40</f>
        <v>12303</v>
      </c>
      <c r="D55" s="558">
        <f>'[60]Sch C'!F40</f>
        <v>0</v>
      </c>
      <c r="E55" s="171">
        <f t="shared" si="4"/>
        <v>12303</v>
      </c>
      <c r="F55" s="484"/>
      <c r="G55" s="171">
        <f t="shared" si="5"/>
        <v>12303</v>
      </c>
      <c r="H55" s="172">
        <f t="shared" si="6"/>
        <v>2.4996465030919638E-3</v>
      </c>
      <c r="I55" s="336"/>
      <c r="J55" s="168"/>
      <c r="K55" s="168"/>
      <c r="M55" s="359">
        <f t="shared" si="7"/>
        <v>0.63381587759517799</v>
      </c>
      <c r="N55" s="359">
        <f>SUMMARY!J58</f>
        <v>0.16653887337107628</v>
      </c>
      <c r="P55"/>
      <c r="Q55"/>
      <c r="Z55" s="168"/>
      <c r="AA55" s="168"/>
      <c r="AB55" s="513"/>
      <c r="AC55" s="513"/>
    </row>
    <row r="56" spans="1:29" s="167" customFormat="1">
      <c r="A56" s="163">
        <v>330</v>
      </c>
      <c r="B56" s="170" t="s">
        <v>48</v>
      </c>
      <c r="C56" s="558">
        <f>'[60]Sch C'!D41</f>
        <v>58155.839999999997</v>
      </c>
      <c r="D56" s="558">
        <f>'[60]Sch C'!F41</f>
        <v>-4792.91</v>
      </c>
      <c r="E56" s="171">
        <f t="shared" si="4"/>
        <v>53362.929999999993</v>
      </c>
      <c r="F56" s="484"/>
      <c r="G56" s="171">
        <f t="shared" si="5"/>
        <v>53362.929999999993</v>
      </c>
      <c r="H56" s="172">
        <f t="shared" si="6"/>
        <v>1.0841945978155023E-2</v>
      </c>
      <c r="I56" s="336"/>
      <c r="J56" s="168"/>
      <c r="K56" s="168"/>
      <c r="M56" s="359">
        <f t="shared" si="7"/>
        <v>2.7491077224254283</v>
      </c>
      <c r="N56" s="359">
        <f>SUMMARY!J59</f>
        <v>2.14994424305825</v>
      </c>
      <c r="P56"/>
      <c r="Q56"/>
      <c r="Z56" s="168"/>
      <c r="AA56" s="168"/>
      <c r="AB56" s="513"/>
      <c r="AC56" s="513"/>
    </row>
    <row r="57" spans="1:29" s="167" customFormat="1">
      <c r="A57" s="163">
        <v>340</v>
      </c>
      <c r="B57" s="170" t="s">
        <v>209</v>
      </c>
      <c r="C57" s="558">
        <f>'[60]Sch C'!D42</f>
        <v>340.76</v>
      </c>
      <c r="D57" s="558">
        <f>'[60]Sch C'!F42</f>
        <v>0</v>
      </c>
      <c r="E57" s="171">
        <f t="shared" si="4"/>
        <v>340.76</v>
      </c>
      <c r="F57" s="484"/>
      <c r="G57" s="171">
        <f t="shared" si="5"/>
        <v>340.76</v>
      </c>
      <c r="H57" s="172">
        <f t="shared" si="6"/>
        <v>6.9233483084907545E-5</v>
      </c>
      <c r="I57" s="336"/>
      <c r="J57" s="168"/>
      <c r="K57" s="168"/>
      <c r="M57" s="359">
        <f t="shared" si="7"/>
        <v>1.7554994590695996E-2</v>
      </c>
      <c r="N57" s="359">
        <f>SUMMARY!J60</f>
        <v>0.23079784303595582</v>
      </c>
      <c r="P57"/>
      <c r="Q57"/>
      <c r="Z57" s="168"/>
      <c r="AA57" s="168"/>
      <c r="AB57" s="513"/>
      <c r="AC57" s="513"/>
    </row>
    <row r="58" spans="1:29" s="167" customFormat="1">
      <c r="A58" s="163">
        <v>350</v>
      </c>
      <c r="B58" s="170" t="s">
        <v>210</v>
      </c>
      <c r="C58" s="558">
        <f>'[60]Sch C'!D43</f>
        <v>0</v>
      </c>
      <c r="D58" s="558">
        <f>'[60]Sch C'!F43</f>
        <v>0</v>
      </c>
      <c r="E58" s="171">
        <f t="shared" si="4"/>
        <v>0</v>
      </c>
      <c r="F58" s="484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  <c r="Z58" s="168"/>
      <c r="AA58" s="168"/>
      <c r="AB58" s="513"/>
      <c r="AC58" s="513"/>
    </row>
    <row r="59" spans="1:29" s="167" customFormat="1">
      <c r="A59" s="163">
        <v>360</v>
      </c>
      <c r="B59" s="170" t="s">
        <v>211</v>
      </c>
      <c r="C59" s="558">
        <f>'[60]Sch C'!D44</f>
        <v>0</v>
      </c>
      <c r="D59" s="558">
        <f>'[60]Sch C'!F44</f>
        <v>0</v>
      </c>
      <c r="E59" s="171">
        <f t="shared" si="4"/>
        <v>0</v>
      </c>
      <c r="F59" s="484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  <c r="Z59" s="168"/>
      <c r="AA59" s="168"/>
      <c r="AB59" s="513"/>
      <c r="AC59" s="513"/>
    </row>
    <row r="60" spans="1:29" s="167" customFormat="1">
      <c r="A60" s="163">
        <v>490</v>
      </c>
      <c r="B60" s="170" t="s">
        <v>36</v>
      </c>
      <c r="C60" s="558">
        <f>'[60]Sch C'!D45</f>
        <v>93212.99</v>
      </c>
      <c r="D60" s="558">
        <f>'[60]Sch C'!F45</f>
        <v>-93212.99</v>
      </c>
      <c r="E60" s="171">
        <f t="shared" si="4"/>
        <v>0</v>
      </c>
      <c r="F60" s="484"/>
      <c r="G60" s="171">
        <f t="shared" si="5"/>
        <v>0</v>
      </c>
      <c r="H60" s="172">
        <f t="shared" si="6"/>
        <v>0</v>
      </c>
      <c r="I60" s="336"/>
      <c r="J60" s="168"/>
      <c r="K60" s="168"/>
      <c r="M60" s="359">
        <f t="shared" si="7"/>
        <v>0</v>
      </c>
      <c r="N60" s="359">
        <f>SUMMARY!J63</f>
        <v>0.69532317482298633</v>
      </c>
      <c r="P60"/>
      <c r="Q60"/>
      <c r="Z60" s="168"/>
      <c r="AA60" s="168"/>
      <c r="AB60" s="513"/>
      <c r="AC60" s="513"/>
    </row>
    <row r="61" spans="1:29" s="167" customFormat="1">
      <c r="A61" s="163"/>
      <c r="B61" s="170" t="s">
        <v>177</v>
      </c>
      <c r="C61" s="558">
        <f>SUM(C25:C60)</f>
        <v>1549685.9000000001</v>
      </c>
      <c r="D61" s="558">
        <f>SUM(D25:D60)</f>
        <v>-411304.63999999996</v>
      </c>
      <c r="E61" s="171">
        <f t="shared" ref="E61:F61" si="8">SUM(E25:E60)</f>
        <v>1138381.2599999995</v>
      </c>
      <c r="F61" s="171">
        <f t="shared" si="8"/>
        <v>0</v>
      </c>
      <c r="G61" s="171">
        <f>SUM(G25:G60)</f>
        <v>1138381.2599999995</v>
      </c>
      <c r="H61" s="186">
        <f t="shared" si="6"/>
        <v>0.23128917627769022</v>
      </c>
      <c r="I61" s="338"/>
      <c r="J61" s="168"/>
      <c r="K61" s="168"/>
      <c r="M61" s="364">
        <f>G61/G$228</f>
        <v>58.646193395497377</v>
      </c>
      <c r="N61" s="359">
        <f>SUMMARY!J64</f>
        <v>53.728790309602623</v>
      </c>
      <c r="O61" s="354">
        <f>M61/N61-1</f>
        <v>9.1522683789437398E-2</v>
      </c>
      <c r="P61"/>
      <c r="Q61"/>
      <c r="Z61" s="168"/>
      <c r="AA61" s="168"/>
      <c r="AB61" s="513"/>
      <c r="AC61" s="513"/>
    </row>
    <row r="62" spans="1:29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  <c r="Z62" s="168"/>
      <c r="AA62" s="168"/>
      <c r="AB62" s="513"/>
      <c r="AC62" s="513"/>
    </row>
    <row r="63" spans="1:29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  <c r="Z63" s="168"/>
      <c r="AA63" s="168"/>
      <c r="AB63" s="513"/>
      <c r="AC63" s="513"/>
    </row>
    <row r="64" spans="1:29" s="167" customFormat="1">
      <c r="A64" s="188">
        <v>230</v>
      </c>
      <c r="B64" s="189" t="s">
        <v>253</v>
      </c>
      <c r="C64" s="558">
        <f>'[60]Sch C'!D57</f>
        <v>0</v>
      </c>
      <c r="D64" s="558">
        <f>'[60]Sch C'!F57</f>
        <v>0</v>
      </c>
      <c r="E64" s="171">
        <f t="shared" ref="E64:E78" si="9">C64+D64</f>
        <v>0</v>
      </c>
      <c r="F64" s="484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  <c r="Z64" s="190"/>
      <c r="AA64" s="168"/>
      <c r="AB64" s="514"/>
      <c r="AC64" s="513"/>
    </row>
    <row r="65" spans="1:29" s="167" customFormat="1">
      <c r="A65" s="191">
        <v>240</v>
      </c>
      <c r="B65" s="189" t="s">
        <v>254</v>
      </c>
      <c r="C65" s="558">
        <f>'[60]Sch C'!D58</f>
        <v>33838.69</v>
      </c>
      <c r="D65" s="558">
        <f>'[60]Sch C'!F58</f>
        <v>0</v>
      </c>
      <c r="E65" s="171">
        <f t="shared" si="9"/>
        <v>33838.69</v>
      </c>
      <c r="F65" s="484"/>
      <c r="G65" s="171">
        <f t="shared" si="10"/>
        <v>33838.69</v>
      </c>
      <c r="H65" s="172">
        <f t="shared" si="11"/>
        <v>6.8751331486396009E-3</v>
      </c>
      <c r="I65" s="336"/>
      <c r="J65" s="190"/>
      <c r="K65" s="168"/>
      <c r="M65" s="359">
        <f t="shared" si="12"/>
        <v>1.7432739168512701</v>
      </c>
      <c r="N65" s="359">
        <f>SUMMARY!J68</f>
        <v>5.746156082994454</v>
      </c>
      <c r="P65"/>
      <c r="Q65"/>
      <c r="Z65" s="190"/>
      <c r="AA65" s="168"/>
      <c r="AB65" s="514"/>
      <c r="AC65" s="513"/>
    </row>
    <row r="66" spans="1:29" s="167" customFormat="1">
      <c r="A66" s="142">
        <v>250</v>
      </c>
      <c r="B66" s="189" t="s">
        <v>307</v>
      </c>
      <c r="C66" s="558">
        <f>'[60]Sch C'!D59</f>
        <v>0</v>
      </c>
      <c r="D66" s="558">
        <f>'[60]Sch C'!F59</f>
        <v>0</v>
      </c>
      <c r="E66" s="171">
        <f t="shared" si="9"/>
        <v>0</v>
      </c>
      <c r="F66" s="484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  <c r="Z66" s="190"/>
      <c r="AA66" s="168"/>
      <c r="AB66" s="514"/>
      <c r="AC66" s="513"/>
    </row>
    <row r="67" spans="1:29" s="167" customFormat="1">
      <c r="A67" s="142">
        <v>260</v>
      </c>
      <c r="B67" s="192" t="s">
        <v>308</v>
      </c>
      <c r="C67" s="558">
        <f>'[60]Sch C'!D60</f>
        <v>767.68</v>
      </c>
      <c r="D67" s="558">
        <f>'[60]Sch C'!F60</f>
        <v>0</v>
      </c>
      <c r="E67" s="171">
        <f t="shared" si="9"/>
        <v>767.68</v>
      </c>
      <c r="F67" s="484"/>
      <c r="G67" s="171">
        <f t="shared" si="10"/>
        <v>767.68</v>
      </c>
      <c r="H67" s="172">
        <f t="shared" si="11"/>
        <v>1.5597241546725504E-4</v>
      </c>
      <c r="I67" s="336"/>
      <c r="J67" s="193"/>
      <c r="K67" s="168"/>
      <c r="M67" s="359">
        <f t="shared" si="12"/>
        <v>3.9548709494616453E-2</v>
      </c>
      <c r="N67" s="359">
        <f>SUMMARY!J70</f>
        <v>1.3209605424779576</v>
      </c>
      <c r="P67"/>
      <c r="Q67"/>
      <c r="Z67" s="193"/>
      <c r="AA67" s="168"/>
      <c r="AB67" s="515"/>
      <c r="AC67" s="513"/>
    </row>
    <row r="68" spans="1:29" s="167" customFormat="1">
      <c r="A68" s="142">
        <v>270</v>
      </c>
      <c r="B68" s="192" t="s">
        <v>309</v>
      </c>
      <c r="C68" s="558">
        <f>'[60]Sch C'!D61</f>
        <v>14750.86</v>
      </c>
      <c r="D68" s="558">
        <f>'[60]Sch C'!F61</f>
        <v>-14750.86</v>
      </c>
      <c r="E68" s="171">
        <f t="shared" si="9"/>
        <v>0</v>
      </c>
      <c r="F68" s="484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  <c r="Z68" s="193"/>
      <c r="AA68" s="168"/>
      <c r="AB68" s="515"/>
      <c r="AC68" s="513"/>
    </row>
    <row r="69" spans="1:29" s="167" customFormat="1">
      <c r="A69" s="142">
        <v>280</v>
      </c>
      <c r="B69" s="194" t="s">
        <v>258</v>
      </c>
      <c r="C69" s="558">
        <f>'[60]Sch C'!D62</f>
        <v>8402.0400000000009</v>
      </c>
      <c r="D69" s="558">
        <f>'[60]Sch C'!F62</f>
        <v>0</v>
      </c>
      <c r="E69" s="171">
        <f t="shared" si="9"/>
        <v>8402.0400000000009</v>
      </c>
      <c r="F69" s="484"/>
      <c r="G69" s="171">
        <f t="shared" si="10"/>
        <v>8402.0400000000009</v>
      </c>
      <c r="H69" s="172">
        <f t="shared" si="11"/>
        <v>1.7070738766836386E-3</v>
      </c>
      <c r="I69" s="336"/>
      <c r="J69" s="195"/>
      <c r="K69" s="168"/>
      <c r="M69" s="359">
        <f t="shared" si="12"/>
        <v>0.43284941527999593</v>
      </c>
      <c r="N69" s="359">
        <f>SUMMARY!J72</f>
        <v>0.16713696357256011</v>
      </c>
      <c r="P69"/>
      <c r="Q69"/>
      <c r="Z69" s="195"/>
      <c r="AA69" s="168"/>
      <c r="AB69" s="516"/>
      <c r="AC69" s="513"/>
    </row>
    <row r="70" spans="1:29" s="167" customFormat="1">
      <c r="A70" s="142">
        <v>290</v>
      </c>
      <c r="B70" s="194" t="s">
        <v>259</v>
      </c>
      <c r="C70" s="558">
        <f>'[60]Sch C'!D63</f>
        <v>0</v>
      </c>
      <c r="D70" s="558">
        <f>'[60]Sch C'!F63</f>
        <v>0</v>
      </c>
      <c r="E70" s="171">
        <f t="shared" si="9"/>
        <v>0</v>
      </c>
      <c r="F70" s="484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  <c r="Z70" s="195"/>
      <c r="AA70" s="168"/>
      <c r="AB70" s="516"/>
      <c r="AC70" s="513"/>
    </row>
    <row r="71" spans="1:29" s="167" customFormat="1">
      <c r="A71" s="142">
        <v>300</v>
      </c>
      <c r="B71" s="194" t="s">
        <v>260</v>
      </c>
      <c r="C71" s="558">
        <f>'[60]Sch C'!D64</f>
        <v>0</v>
      </c>
      <c r="D71" s="558">
        <f>'[60]Sch C'!F64</f>
        <v>0</v>
      </c>
      <c r="E71" s="171">
        <f t="shared" si="9"/>
        <v>0</v>
      </c>
      <c r="F71" s="484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  <c r="Z71" s="195"/>
      <c r="AA71" s="168"/>
      <c r="AB71" s="516"/>
      <c r="AC71" s="513"/>
    </row>
    <row r="72" spans="1:29" s="167" customFormat="1">
      <c r="A72" s="142">
        <v>310</v>
      </c>
      <c r="B72" s="194" t="s">
        <v>310</v>
      </c>
      <c r="C72" s="558">
        <f>'[60]Sch C'!D65</f>
        <v>0</v>
      </c>
      <c r="D72" s="558">
        <f>'[60]Sch C'!F65</f>
        <v>0</v>
      </c>
      <c r="E72" s="171">
        <f t="shared" si="9"/>
        <v>0</v>
      </c>
      <c r="F72" s="484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  <c r="Z72" s="195"/>
      <c r="AA72" s="168"/>
      <c r="AB72" s="516"/>
      <c r="AC72" s="513"/>
    </row>
    <row r="73" spans="1:29" s="167" customFormat="1">
      <c r="A73" s="142">
        <v>320</v>
      </c>
      <c r="B73" s="194" t="s">
        <v>262</v>
      </c>
      <c r="C73" s="558">
        <f>'[60]Sch C'!D66</f>
        <v>46125.95</v>
      </c>
      <c r="D73" s="558">
        <f>'[60]Sch C'!F66</f>
        <v>-37624.019999999997</v>
      </c>
      <c r="E73" s="171">
        <f t="shared" si="9"/>
        <v>8501.93</v>
      </c>
      <c r="F73" s="484"/>
      <c r="G73" s="171">
        <f t="shared" si="10"/>
        <v>8501.93</v>
      </c>
      <c r="H73" s="172">
        <f t="shared" si="11"/>
        <v>1.7273689014088158E-3</v>
      </c>
      <c r="I73" s="336"/>
      <c r="J73" s="195"/>
      <c r="K73" s="168"/>
      <c r="M73" s="359">
        <f t="shared" si="12"/>
        <v>0.4379954664880738</v>
      </c>
      <c r="N73" s="359">
        <f>SUMMARY!J76</f>
        <v>0.81830256983551586</v>
      </c>
      <c r="P73"/>
      <c r="Q73"/>
      <c r="Z73" s="195"/>
      <c r="AA73" s="168"/>
      <c r="AB73" s="516"/>
      <c r="AC73" s="513"/>
    </row>
    <row r="74" spans="1:29" s="167" customFormat="1">
      <c r="A74" s="142">
        <v>330</v>
      </c>
      <c r="B74" s="194" t="s">
        <v>263</v>
      </c>
      <c r="C74" s="558">
        <f>'[60]Sch C'!D67</f>
        <v>44561.31</v>
      </c>
      <c r="D74" s="558">
        <f>'[60]Sch C'!F67</f>
        <v>0</v>
      </c>
      <c r="E74" s="171">
        <f t="shared" si="9"/>
        <v>44561.31</v>
      </c>
      <c r="F74" s="484"/>
      <c r="G74" s="171">
        <f t="shared" si="10"/>
        <v>44561.31</v>
      </c>
      <c r="H74" s="172">
        <f t="shared" si="11"/>
        <v>9.0536879390959082E-3</v>
      </c>
      <c r="I74" s="336"/>
      <c r="J74" s="195"/>
      <c r="K74" s="168"/>
      <c r="M74" s="359">
        <f t="shared" si="12"/>
        <v>2.2956730719695018</v>
      </c>
      <c r="N74" s="359">
        <f>SUMMARY!J77</f>
        <v>3.2132948973832529</v>
      </c>
      <c r="P74"/>
      <c r="Q74"/>
      <c r="Z74" s="195"/>
      <c r="AA74" s="168"/>
      <c r="AB74" s="516"/>
      <c r="AC74" s="513"/>
    </row>
    <row r="75" spans="1:29" s="167" customFormat="1">
      <c r="A75" s="142">
        <v>340</v>
      </c>
      <c r="B75" s="194" t="s">
        <v>264</v>
      </c>
      <c r="C75" s="558">
        <f>'[60]Sch C'!D68</f>
        <v>0</v>
      </c>
      <c r="D75" s="558">
        <f>'[60]Sch C'!F68</f>
        <v>0</v>
      </c>
      <c r="E75" s="171">
        <f t="shared" si="9"/>
        <v>0</v>
      </c>
      <c r="F75" s="484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  <c r="Z75" s="195"/>
      <c r="AA75" s="168"/>
      <c r="AB75" s="516"/>
      <c r="AC75" s="513"/>
    </row>
    <row r="76" spans="1:29" s="167" customFormat="1">
      <c r="A76" s="167">
        <v>350</v>
      </c>
      <c r="B76" s="194" t="s">
        <v>311</v>
      </c>
      <c r="C76" s="558">
        <f>'[60]Sch C'!D69</f>
        <v>2002.53</v>
      </c>
      <c r="D76" s="558">
        <f>'[60]Sch C'!F69</f>
        <v>0</v>
      </c>
      <c r="E76" s="171">
        <f t="shared" si="9"/>
        <v>2002.53</v>
      </c>
      <c r="F76" s="484"/>
      <c r="G76" s="171">
        <f t="shared" si="10"/>
        <v>2002.53</v>
      </c>
      <c r="H76" s="172">
        <f t="shared" si="11"/>
        <v>4.0686150628600748E-4</v>
      </c>
      <c r="I76" s="336"/>
      <c r="J76" s="195"/>
      <c r="K76" s="168"/>
      <c r="M76" s="359">
        <f t="shared" si="12"/>
        <v>0.1031647004275926</v>
      </c>
      <c r="N76" s="359">
        <f>SUMMARY!J79</f>
        <v>0.13243591488759648</v>
      </c>
      <c r="P76"/>
      <c r="Q76"/>
      <c r="Z76" s="195"/>
      <c r="AA76" s="168"/>
      <c r="AB76" s="516"/>
      <c r="AC76" s="513"/>
    </row>
    <row r="77" spans="1:29" s="167" customFormat="1">
      <c r="A77" s="142">
        <v>360</v>
      </c>
      <c r="B77" s="194" t="s">
        <v>192</v>
      </c>
      <c r="C77" s="558">
        <f>'[60]Sch C'!D70</f>
        <v>0</v>
      </c>
      <c r="D77" s="558">
        <f>'[60]Sch C'!F70</f>
        <v>0</v>
      </c>
      <c r="E77" s="171">
        <f t="shared" si="9"/>
        <v>0</v>
      </c>
      <c r="F77" s="484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  <c r="Z77" s="195"/>
      <c r="AA77" s="168"/>
      <c r="AB77" s="516"/>
      <c r="AC77" s="513"/>
    </row>
    <row r="78" spans="1:29" s="167" customFormat="1">
      <c r="A78" s="142">
        <v>490</v>
      </c>
      <c r="B78" s="194" t="s">
        <v>312</v>
      </c>
      <c r="C78" s="558">
        <f>'[60]Sch C'!D71</f>
        <v>0</v>
      </c>
      <c r="D78" s="558">
        <f>'[60]Sch C'!F71</f>
        <v>0</v>
      </c>
      <c r="E78" s="171">
        <f t="shared" si="9"/>
        <v>0</v>
      </c>
      <c r="F78" s="484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  <c r="Z78" s="195"/>
      <c r="AA78" s="168"/>
      <c r="AB78" s="516"/>
      <c r="AC78" s="513"/>
    </row>
    <row r="79" spans="1:29" s="167" customFormat="1">
      <c r="A79" s="163"/>
      <c r="B79" s="170" t="s">
        <v>150</v>
      </c>
      <c r="C79" s="558">
        <f>SUM(C64:C78)</f>
        <v>150449.06</v>
      </c>
      <c r="D79" s="558">
        <f>SUM(D64:D78)</f>
        <v>-52374.879999999997</v>
      </c>
      <c r="E79" s="171">
        <f t="shared" ref="E79:F79" si="13">SUM(E64:E78)</f>
        <v>98074.18</v>
      </c>
      <c r="F79" s="171">
        <f t="shared" si="13"/>
        <v>0</v>
      </c>
      <c r="G79" s="171">
        <f>SUM(G64:G78)</f>
        <v>98074.18</v>
      </c>
      <c r="H79" s="172">
        <f t="shared" si="11"/>
        <v>1.9926097787581226E-2</v>
      </c>
      <c r="I79" s="336"/>
      <c r="J79" s="195"/>
      <c r="K79" s="168"/>
      <c r="M79" s="359">
        <f t="shared" si="12"/>
        <v>5.05250528051105</v>
      </c>
      <c r="N79" s="359">
        <f>SUMMARY!J82</f>
        <v>22.656344165426013</v>
      </c>
      <c r="P79"/>
      <c r="Q79"/>
      <c r="Z79" s="195"/>
      <c r="AA79" s="168"/>
      <c r="AB79" s="516"/>
      <c r="AC79" s="513"/>
    </row>
    <row r="80" spans="1:29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  <c r="Z80" s="168"/>
      <c r="AA80" s="168"/>
      <c r="AB80" s="513"/>
      <c r="AC80" s="513"/>
    </row>
    <row r="81" spans="1:29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  <c r="Z81" s="168"/>
      <c r="AA81" s="168"/>
      <c r="AB81" s="513"/>
      <c r="AC81" s="513"/>
    </row>
    <row r="82" spans="1:29" s="167" customFormat="1">
      <c r="A82" s="169" t="s">
        <v>85</v>
      </c>
      <c r="B82" s="148" t="s">
        <v>44</v>
      </c>
      <c r="C82" s="558">
        <f>'[60]Sch C'!D75</f>
        <v>55941.83</v>
      </c>
      <c r="D82" s="558">
        <f>'[60]Sch C'!F75</f>
        <v>0</v>
      </c>
      <c r="E82" s="171">
        <f t="shared" ref="E82:E92" si="14">C82+D82</f>
        <v>55941.83</v>
      </c>
      <c r="F82" s="484"/>
      <c r="G82" s="171">
        <f t="shared" ref="G82:G92" si="15">E82+F82</f>
        <v>55941.83</v>
      </c>
      <c r="H82" s="172">
        <f t="shared" ref="H82:H93" si="16">IF($G$208=0,0,G82/$G$208)</f>
        <v>1.1365910732021875E-2</v>
      </c>
      <c r="I82" s="336"/>
      <c r="J82" s="183">
        <v>3262.61</v>
      </c>
      <c r="K82" s="183">
        <v>3744.34</v>
      </c>
      <c r="M82" s="359">
        <f t="shared" ref="M82:M92" si="17">G82/G$228</f>
        <v>2.8819653804543814</v>
      </c>
      <c r="N82" s="359">
        <f>SUMMARY!J85</f>
        <v>2.536968118505103</v>
      </c>
      <c r="P82"/>
      <c r="Q82"/>
      <c r="Z82" s="183">
        <v>2153.4699999999998</v>
      </c>
      <c r="AA82" s="183">
        <v>2437.88</v>
      </c>
      <c r="AB82" s="486">
        <v>1341.51</v>
      </c>
      <c r="AC82" s="486">
        <v>1518.808</v>
      </c>
    </row>
    <row r="83" spans="1:29" s="167" customFormat="1">
      <c r="A83" s="169" t="s">
        <v>86</v>
      </c>
      <c r="B83" s="199" t="s">
        <v>45</v>
      </c>
      <c r="C83" s="558">
        <f>'[60]Sch C'!D76</f>
        <v>24054.84</v>
      </c>
      <c r="D83" s="558">
        <f>'[60]Sch C'!F76</f>
        <v>0</v>
      </c>
      <c r="E83" s="171">
        <f t="shared" si="14"/>
        <v>24054.84</v>
      </c>
      <c r="F83" s="484"/>
      <c r="G83" s="171">
        <f t="shared" si="15"/>
        <v>24054.84</v>
      </c>
      <c r="H83" s="172">
        <f t="shared" si="16"/>
        <v>4.8873117685472407E-3</v>
      </c>
      <c r="I83" s="336"/>
      <c r="J83" s="168"/>
      <c r="K83" s="168"/>
      <c r="M83" s="359">
        <f t="shared" si="17"/>
        <v>1.2392375457214981</v>
      </c>
      <c r="N83" s="359">
        <f>SUMMARY!J86</f>
        <v>0.51085058065727817</v>
      </c>
      <c r="P83"/>
      <c r="Q83"/>
      <c r="Z83" s="168"/>
      <c r="AA83" s="168"/>
      <c r="AB83" s="513"/>
      <c r="AC83" s="513"/>
    </row>
    <row r="84" spans="1:29" s="167" customFormat="1">
      <c r="A84" s="169" t="s">
        <v>93</v>
      </c>
      <c r="B84" s="199" t="s">
        <v>47</v>
      </c>
      <c r="C84" s="558">
        <f>'[60]Sch C'!D77</f>
        <v>7055.2</v>
      </c>
      <c r="D84" s="558">
        <f>'[60]Sch C'!F77</f>
        <v>0</v>
      </c>
      <c r="E84" s="171">
        <f t="shared" si="14"/>
        <v>7055.2</v>
      </c>
      <c r="F84" s="484"/>
      <c r="G84" s="171">
        <f t="shared" si="15"/>
        <v>7055.2</v>
      </c>
      <c r="H84" s="172">
        <f t="shared" si="16"/>
        <v>1.4334313589055047E-3</v>
      </c>
      <c r="I84" s="336"/>
      <c r="J84" s="168"/>
      <c r="K84" s="168"/>
      <c r="M84" s="359">
        <f t="shared" si="17"/>
        <v>0.36346401524908556</v>
      </c>
      <c r="N84" s="359">
        <f>SUMMARY!J87</f>
        <v>0.62330034041531523</v>
      </c>
      <c r="P84"/>
      <c r="Q84"/>
      <c r="Z84" s="168"/>
      <c r="AA84" s="168"/>
      <c r="AB84" s="513"/>
      <c r="AC84" s="513"/>
    </row>
    <row r="85" spans="1:29" s="167" customFormat="1">
      <c r="A85" s="169">
        <v>230</v>
      </c>
      <c r="B85" s="199" t="s">
        <v>46</v>
      </c>
      <c r="C85" s="558">
        <f>'[60]Sch C'!D78</f>
        <v>0</v>
      </c>
      <c r="D85" s="558">
        <f>'[60]Sch C'!F78</f>
        <v>0</v>
      </c>
      <c r="E85" s="171">
        <f t="shared" si="14"/>
        <v>0</v>
      </c>
      <c r="F85" s="484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  <c r="Z85" s="168"/>
      <c r="AA85" s="168"/>
      <c r="AB85" s="513"/>
      <c r="AC85" s="513"/>
    </row>
    <row r="86" spans="1:29" s="167" customFormat="1">
      <c r="A86" s="169">
        <v>240</v>
      </c>
      <c r="B86" s="200" t="s">
        <v>267</v>
      </c>
      <c r="C86" s="558">
        <f>'[60]Sch C'!D79</f>
        <v>2518.7399999999998</v>
      </c>
      <c r="D86" s="558">
        <f>'[60]Sch C'!F79</f>
        <v>0</v>
      </c>
      <c r="E86" s="171">
        <f t="shared" si="14"/>
        <v>2518.7399999999998</v>
      </c>
      <c r="F86" s="484"/>
      <c r="G86" s="171">
        <f>E86+F86</f>
        <v>2518.7399999999998</v>
      </c>
      <c r="H86" s="172">
        <f t="shared" si="16"/>
        <v>5.1174182176687419E-4</v>
      </c>
      <c r="I86" s="336"/>
      <c r="J86" s="168"/>
      <c r="K86" s="168"/>
      <c r="M86" s="359">
        <f t="shared" si="17"/>
        <v>0.12975838442120446</v>
      </c>
      <c r="N86" s="359">
        <f>SUMMARY!J89</f>
        <v>0.42480855389944888</v>
      </c>
      <c r="P86"/>
      <c r="Q86"/>
      <c r="Z86" s="168"/>
      <c r="AA86" s="168"/>
      <c r="AB86" s="513"/>
      <c r="AC86" s="513"/>
    </row>
    <row r="87" spans="1:29" s="167" customFormat="1">
      <c r="A87" s="169">
        <v>310</v>
      </c>
      <c r="B87" s="199" t="s">
        <v>54</v>
      </c>
      <c r="C87" s="558">
        <f>'[60]Sch C'!D80</f>
        <v>13641.9</v>
      </c>
      <c r="D87" s="558">
        <f>'[60]Sch C'!F80</f>
        <v>0</v>
      </c>
      <c r="E87" s="171">
        <f t="shared" si="14"/>
        <v>13641.9</v>
      </c>
      <c r="F87" s="484"/>
      <c r="G87" s="171">
        <f t="shared" si="15"/>
        <v>13641.9</v>
      </c>
      <c r="H87" s="172">
        <f t="shared" si="16"/>
        <v>2.7716758213874879E-3</v>
      </c>
      <c r="I87" s="336"/>
      <c r="J87" s="168"/>
      <c r="K87" s="168"/>
      <c r="M87" s="359">
        <f t="shared" si="17"/>
        <v>0.70279223120910816</v>
      </c>
      <c r="N87" s="359">
        <f>SUMMARY!J90</f>
        <v>1.0101009938069276</v>
      </c>
      <c r="P87"/>
      <c r="Q87"/>
      <c r="Z87" s="168"/>
      <c r="AA87" s="168"/>
      <c r="AB87" s="513"/>
      <c r="AC87" s="513"/>
    </row>
    <row r="88" spans="1:29" s="167" customFormat="1">
      <c r="A88" s="169">
        <v>320</v>
      </c>
      <c r="B88" s="201" t="s">
        <v>313</v>
      </c>
      <c r="C88" s="558">
        <f>'[60]Sch C'!D81</f>
        <v>1528.2</v>
      </c>
      <c r="D88" s="558">
        <f>'[60]Sch C'!F81</f>
        <v>0</v>
      </c>
      <c r="E88" s="171">
        <f t="shared" si="14"/>
        <v>1528.2</v>
      </c>
      <c r="F88" s="484"/>
      <c r="G88" s="171">
        <f t="shared" si="15"/>
        <v>1528.2</v>
      </c>
      <c r="H88" s="172">
        <f t="shared" si="16"/>
        <v>3.1049010696782405E-4</v>
      </c>
      <c r="I88" s="336"/>
      <c r="J88" s="168"/>
      <c r="K88" s="168"/>
      <c r="M88" s="359">
        <f t="shared" si="17"/>
        <v>7.872855597341713E-2</v>
      </c>
      <c r="N88" s="359">
        <f>SUMMARY!J91</f>
        <v>0.64997885266319244</v>
      </c>
      <c r="P88"/>
      <c r="Q88"/>
      <c r="Z88" s="168"/>
      <c r="AA88" s="168"/>
      <c r="AB88" s="513"/>
      <c r="AC88" s="513"/>
    </row>
    <row r="89" spans="1:29" s="167" customFormat="1">
      <c r="A89" s="169">
        <v>330</v>
      </c>
      <c r="B89" s="201" t="s">
        <v>314</v>
      </c>
      <c r="C89" s="558">
        <f>'[60]Sch C'!D82</f>
        <v>6178.18</v>
      </c>
      <c r="D89" s="558">
        <f>'[60]Sch C'!F82</f>
        <v>0</v>
      </c>
      <c r="E89" s="171">
        <f t="shared" si="14"/>
        <v>6178.18</v>
      </c>
      <c r="F89" s="484"/>
      <c r="G89" s="171">
        <f t="shared" si="15"/>
        <v>6178.18</v>
      </c>
      <c r="H89" s="172">
        <f t="shared" si="16"/>
        <v>1.2552439268855328E-3</v>
      </c>
      <c r="I89" s="336"/>
      <c r="J89" s="168"/>
      <c r="K89" s="168"/>
      <c r="M89" s="359">
        <f t="shared" si="17"/>
        <v>0.31828241718613159</v>
      </c>
      <c r="N89" s="359">
        <f>SUMMARY!J92</f>
        <v>0.42366280341015539</v>
      </c>
      <c r="P89"/>
      <c r="Q89"/>
      <c r="Z89" s="168"/>
      <c r="AA89" s="168"/>
      <c r="AB89" s="513"/>
      <c r="AC89" s="513"/>
    </row>
    <row r="90" spans="1:29" s="167" customFormat="1">
      <c r="A90" s="163">
        <v>340</v>
      </c>
      <c r="B90" s="201" t="s">
        <v>300</v>
      </c>
      <c r="C90" s="558">
        <f>'[60]Sch C'!D83</f>
        <v>0</v>
      </c>
      <c r="D90" s="558">
        <f>'[60]Sch C'!F83</f>
        <v>0</v>
      </c>
      <c r="E90" s="171">
        <f t="shared" si="14"/>
        <v>0</v>
      </c>
      <c r="F90" s="484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  <c r="Z90" s="168"/>
      <c r="AA90" s="168"/>
      <c r="AB90" s="513"/>
      <c r="AC90" s="513"/>
    </row>
    <row r="91" spans="1:29" s="167" customFormat="1">
      <c r="A91" s="163">
        <v>350</v>
      </c>
      <c r="B91" s="199" t="s">
        <v>49</v>
      </c>
      <c r="C91" s="558">
        <f>'[60]Sch C'!D84</f>
        <v>126435.71</v>
      </c>
      <c r="D91" s="558">
        <f>'[60]Sch C'!F84</f>
        <v>0</v>
      </c>
      <c r="E91" s="171">
        <f t="shared" si="14"/>
        <v>126435.71</v>
      </c>
      <c r="F91" s="484"/>
      <c r="G91" s="171">
        <f t="shared" si="15"/>
        <v>126435.71</v>
      </c>
      <c r="H91" s="172">
        <f t="shared" si="16"/>
        <v>2.5688415863403209E-2</v>
      </c>
      <c r="I91" s="336"/>
      <c r="J91" s="168"/>
      <c r="K91" s="168"/>
      <c r="M91" s="359">
        <f t="shared" si="17"/>
        <v>6.513611354386688</v>
      </c>
      <c r="N91" s="359">
        <f>SUMMARY!J94</f>
        <v>4.7538617738038829</v>
      </c>
      <c r="P91"/>
      <c r="Q91"/>
      <c r="Z91" s="168"/>
      <c r="AA91" s="168"/>
      <c r="AB91" s="513"/>
      <c r="AC91" s="513"/>
    </row>
    <row r="92" spans="1:29" s="167" customFormat="1">
      <c r="A92" s="163">
        <v>490</v>
      </c>
      <c r="B92" s="148" t="s">
        <v>312</v>
      </c>
      <c r="C92" s="558">
        <f>'[60]Sch C'!D85</f>
        <v>0</v>
      </c>
      <c r="D92" s="558">
        <f>'[60]Sch C'!F85</f>
        <v>0</v>
      </c>
      <c r="E92" s="171">
        <f t="shared" si="14"/>
        <v>0</v>
      </c>
      <c r="F92" s="484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  <c r="Z92" s="168"/>
      <c r="AA92" s="168"/>
      <c r="AB92" s="513"/>
      <c r="AC92" s="513"/>
    </row>
    <row r="93" spans="1:29" s="167" customFormat="1">
      <c r="A93" s="163"/>
      <c r="B93" s="170" t="s">
        <v>50</v>
      </c>
      <c r="C93" s="558">
        <f>SUM(C82:C92)</f>
        <v>237354.59999999998</v>
      </c>
      <c r="D93" s="558">
        <f>SUM(D82:D92)</f>
        <v>0</v>
      </c>
      <c r="E93" s="171">
        <f t="shared" ref="E93:F93" si="18">SUM(E82:E92)</f>
        <v>237354.59999999998</v>
      </c>
      <c r="F93" s="171">
        <f t="shared" si="18"/>
        <v>0</v>
      </c>
      <c r="G93" s="171">
        <f>SUM(G82:G92)</f>
        <v>237354.59999999998</v>
      </c>
      <c r="H93" s="172">
        <f t="shared" si="16"/>
        <v>4.8224221399885539E-2</v>
      </c>
      <c r="I93" s="336"/>
      <c r="J93" s="168"/>
      <c r="K93" s="168"/>
      <c r="M93" s="364">
        <f>G93/G$228</f>
        <v>12.227839884601513</v>
      </c>
      <c r="N93" s="359">
        <f>SUMMARY!J96</f>
        <v>11.458724454710746</v>
      </c>
      <c r="O93" s="354">
        <f>M93/N93-1</f>
        <v>6.7120510047222526E-2</v>
      </c>
      <c r="P93"/>
      <c r="Q93"/>
      <c r="Z93" s="168"/>
      <c r="AA93" s="168"/>
      <c r="AB93" s="513"/>
      <c r="AC93" s="513"/>
    </row>
    <row r="94" spans="1:29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  <c r="Z94" s="168"/>
      <c r="AA94" s="168"/>
      <c r="AB94" s="513"/>
      <c r="AC94" s="513"/>
    </row>
    <row r="95" spans="1:29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  <c r="Z95" s="168"/>
      <c r="AA95" s="168"/>
      <c r="AB95" s="513"/>
      <c r="AC95" s="513"/>
    </row>
    <row r="96" spans="1:29" s="167" customFormat="1">
      <c r="A96" s="169" t="s">
        <v>85</v>
      </c>
      <c r="B96" s="170" t="s">
        <v>44</v>
      </c>
      <c r="C96" s="558">
        <f>'[60]Sch C'!D89</f>
        <v>157044.20000000001</v>
      </c>
      <c r="D96" s="558">
        <f>'[60]Sch C'!F89</f>
        <v>0</v>
      </c>
      <c r="E96" s="171">
        <f t="shared" ref="E96:E101" si="19">C96+D96</f>
        <v>157044.20000000001</v>
      </c>
      <c r="F96" s="484"/>
      <c r="G96" s="171">
        <f t="shared" ref="G96:G101" si="20">E96+F96</f>
        <v>157044.20000000001</v>
      </c>
      <c r="H96" s="172">
        <f t="shared" ref="H96:H102" si="21">IF($G$208=0,0,G96/$G$208)</f>
        <v>3.1907257202379503E-2</v>
      </c>
      <c r="I96" s="336"/>
      <c r="J96" s="183">
        <v>13496.22</v>
      </c>
      <c r="K96" s="183">
        <v>14447.83</v>
      </c>
      <c r="M96" s="364">
        <f t="shared" ref="M96:M101" si="22">G96/G$228</f>
        <v>8.0904744732368243</v>
      </c>
      <c r="N96" s="359">
        <f>SUMMARY!J99</f>
        <v>8.3100610477681069</v>
      </c>
      <c r="P96"/>
      <c r="Q96"/>
      <c r="Z96" s="183">
        <v>7328.02</v>
      </c>
      <c r="AA96" s="183">
        <v>8119.45</v>
      </c>
      <c r="AB96" s="486">
        <v>4083.3980000000001</v>
      </c>
      <c r="AC96" s="486">
        <v>4760.6559999999999</v>
      </c>
    </row>
    <row r="97" spans="1:29" s="167" customFormat="1">
      <c r="A97" s="169" t="s">
        <v>86</v>
      </c>
      <c r="B97" s="170" t="s">
        <v>45</v>
      </c>
      <c r="C97" s="558">
        <f>'[60]Sch C'!D90</f>
        <v>33713.53</v>
      </c>
      <c r="D97" s="558">
        <f>'[60]Sch C'!F90</f>
        <v>0</v>
      </c>
      <c r="E97" s="171">
        <f t="shared" si="19"/>
        <v>33713.53</v>
      </c>
      <c r="F97" s="484"/>
      <c r="G97" s="171">
        <f t="shared" si="20"/>
        <v>33713.53</v>
      </c>
      <c r="H97" s="172">
        <f t="shared" si="21"/>
        <v>6.8497039235459658E-3</v>
      </c>
      <c r="I97" s="336"/>
      <c r="J97" s="168"/>
      <c r="K97" s="168"/>
      <c r="M97" s="364">
        <f t="shared" si="22"/>
        <v>1.736826026479831</v>
      </c>
      <c r="N97" s="359">
        <f>SUMMARY!J100</f>
        <v>1.5162882954735211</v>
      </c>
      <c r="P97"/>
      <c r="Q97"/>
      <c r="Z97" s="168"/>
      <c r="AA97" s="168"/>
      <c r="AB97" s="513"/>
      <c r="AC97" s="513"/>
    </row>
    <row r="98" spans="1:29" s="167" customFormat="1">
      <c r="A98" s="169">
        <v>310</v>
      </c>
      <c r="B98" s="170" t="s">
        <v>54</v>
      </c>
      <c r="C98" s="558">
        <f>'[60]Sch C'!D91</f>
        <v>11820.91</v>
      </c>
      <c r="D98" s="558">
        <f>'[60]Sch C'!F91</f>
        <v>0</v>
      </c>
      <c r="E98" s="171">
        <f t="shared" si="19"/>
        <v>11820.91</v>
      </c>
      <c r="F98" s="484"/>
      <c r="G98" s="171">
        <f t="shared" si="20"/>
        <v>11820.91</v>
      </c>
      <c r="H98" s="172">
        <f t="shared" si="21"/>
        <v>2.4016984755640758E-3</v>
      </c>
      <c r="I98" s="336"/>
      <c r="J98" s="168"/>
      <c r="K98" s="168"/>
      <c r="M98" s="364">
        <f t="shared" si="22"/>
        <v>0.6089799598165988</v>
      </c>
      <c r="N98" s="359">
        <f>SUMMARY!J101</f>
        <v>2.5247120350104719</v>
      </c>
      <c r="P98"/>
      <c r="Q98"/>
      <c r="Z98" s="168"/>
      <c r="AA98" s="168"/>
      <c r="AB98" s="513"/>
      <c r="AC98" s="513"/>
    </row>
    <row r="99" spans="1:29" s="167" customFormat="1">
      <c r="A99" s="169">
        <v>380</v>
      </c>
      <c r="B99" s="170" t="s">
        <v>52</v>
      </c>
      <c r="C99" s="558">
        <f>'[60]Sch C'!D92</f>
        <v>148318.71</v>
      </c>
      <c r="D99" s="558">
        <f>'[60]Sch C'!F92</f>
        <v>0</v>
      </c>
      <c r="E99" s="171">
        <f t="shared" si="19"/>
        <v>148318.71</v>
      </c>
      <c r="F99" s="484"/>
      <c r="G99" s="171">
        <f t="shared" si="20"/>
        <v>148318.71</v>
      </c>
      <c r="H99" s="172">
        <f t="shared" si="21"/>
        <v>3.0134466780022032E-2</v>
      </c>
      <c r="I99" s="336"/>
      <c r="J99" s="168"/>
      <c r="K99" s="168"/>
      <c r="M99" s="364">
        <f t="shared" si="22"/>
        <v>7.6409618257688932</v>
      </c>
      <c r="N99" s="359">
        <f>SUMMARY!J102</f>
        <v>6.7604047844643738</v>
      </c>
      <c r="P99"/>
      <c r="Q99"/>
      <c r="Z99" s="168"/>
      <c r="AA99" s="168"/>
      <c r="AB99" s="513"/>
      <c r="AC99" s="513"/>
    </row>
    <row r="100" spans="1:29" s="167" customFormat="1">
      <c r="A100" s="169">
        <v>390</v>
      </c>
      <c r="B100" s="170" t="s">
        <v>53</v>
      </c>
      <c r="C100" s="558">
        <f>'[60]Sch C'!D93</f>
        <v>8646.4</v>
      </c>
      <c r="D100" s="558">
        <f>'[60]Sch C'!F93</f>
        <v>0</v>
      </c>
      <c r="E100" s="171">
        <f t="shared" si="19"/>
        <v>8646.4</v>
      </c>
      <c r="F100" s="484"/>
      <c r="G100" s="171">
        <f t="shared" si="20"/>
        <v>8646.4</v>
      </c>
      <c r="H100" s="172">
        <f t="shared" si="21"/>
        <v>1.756721411390259E-3</v>
      </c>
      <c r="I100" s="336"/>
      <c r="J100" s="168"/>
      <c r="K100" s="168"/>
      <c r="M100" s="364">
        <f t="shared" si="22"/>
        <v>0.44543815362423367</v>
      </c>
      <c r="N100" s="359">
        <f>SUMMARY!J103</f>
        <v>0.72385493548615287</v>
      </c>
      <c r="P100"/>
      <c r="Q100"/>
      <c r="Z100" s="168"/>
      <c r="AA100" s="168"/>
      <c r="AB100" s="513"/>
      <c r="AC100" s="513"/>
    </row>
    <row r="101" spans="1:29" s="167" customFormat="1">
      <c r="A101" s="169">
        <v>490</v>
      </c>
      <c r="B101" s="202" t="s">
        <v>312</v>
      </c>
      <c r="C101" s="558">
        <f>'[60]Sch C'!D94</f>
        <v>1412.62</v>
      </c>
      <c r="D101" s="558">
        <f>'[60]Sch C'!F94</f>
        <v>0</v>
      </c>
      <c r="E101" s="171">
        <f t="shared" si="19"/>
        <v>1412.62</v>
      </c>
      <c r="F101" s="484"/>
      <c r="G101" s="171">
        <f t="shared" si="20"/>
        <v>1412.62</v>
      </c>
      <c r="H101" s="172">
        <f t="shared" si="21"/>
        <v>2.8700728628771596E-4</v>
      </c>
      <c r="I101" s="336"/>
      <c r="J101" s="168"/>
      <c r="K101" s="168"/>
      <c r="M101" s="364">
        <f t="shared" si="22"/>
        <v>7.2774200195765276E-2</v>
      </c>
      <c r="N101" s="359">
        <f>SUMMARY!J104</f>
        <v>6.5755939582712558E-2</v>
      </c>
      <c r="P101"/>
      <c r="Q101"/>
      <c r="Z101" s="168"/>
      <c r="AA101" s="168"/>
      <c r="AB101" s="513"/>
      <c r="AC101" s="513"/>
    </row>
    <row r="102" spans="1:29" s="167" customFormat="1">
      <c r="A102" s="169"/>
      <c r="B102" s="170" t="s">
        <v>55</v>
      </c>
      <c r="C102" s="558">
        <f>SUM(C96:C101)</f>
        <v>360956.37</v>
      </c>
      <c r="D102" s="558">
        <f>SUM(D96:D101)</f>
        <v>0</v>
      </c>
      <c r="E102" s="171">
        <f t="shared" ref="E102:F102" si="23">SUM(E96:E101)</f>
        <v>360956.37</v>
      </c>
      <c r="F102" s="171">
        <f t="shared" si="23"/>
        <v>0</v>
      </c>
      <c r="G102" s="171">
        <f>SUM(G96:G101)</f>
        <v>360956.37</v>
      </c>
      <c r="H102" s="172">
        <f t="shared" si="21"/>
        <v>7.333685507918955E-2</v>
      </c>
      <c r="I102" s="336"/>
      <c r="J102" s="168"/>
      <c r="K102" s="168"/>
      <c r="M102" s="364">
        <f>G102/G$228</f>
        <v>18.595454639122146</v>
      </c>
      <c r="N102" s="359">
        <f>SUMMARY!J105</f>
        <v>19.901077037785338</v>
      </c>
      <c r="O102" s="354">
        <f>M102/N102-1</f>
        <v>-6.5605615021953945E-2</v>
      </c>
      <c r="P102"/>
      <c r="Q102"/>
      <c r="Z102" s="168"/>
      <c r="AA102" s="168"/>
      <c r="AB102" s="513"/>
      <c r="AC102" s="513"/>
    </row>
    <row r="103" spans="1:29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  <c r="Z103" s="168"/>
      <c r="AA103" s="168"/>
      <c r="AB103" s="513"/>
      <c r="AC103" s="513"/>
    </row>
    <row r="104" spans="1:29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  <c r="Z104" s="168"/>
      <c r="AA104" s="168"/>
      <c r="AB104" s="513"/>
      <c r="AC104" s="513"/>
    </row>
    <row r="105" spans="1:29" s="167" customFormat="1">
      <c r="A105" s="169" t="s">
        <v>85</v>
      </c>
      <c r="B105" s="170" t="s">
        <v>44</v>
      </c>
      <c r="C105" s="558">
        <f>'[60]Sch C'!D98</f>
        <v>58698.96</v>
      </c>
      <c r="D105" s="558">
        <f>'[60]Sch C'!F98</f>
        <v>0</v>
      </c>
      <c r="E105" s="171">
        <f t="shared" ref="E105:E110" si="24">C105+D105</f>
        <v>58698.96</v>
      </c>
      <c r="F105" s="484"/>
      <c r="G105" s="171">
        <f t="shared" ref="G105:G110" si="25">E105+F105</f>
        <v>58698.96</v>
      </c>
      <c r="H105" s="172">
        <f t="shared" ref="H105:H111" si="26">IF($G$208=0,0,G105/$G$208)</f>
        <v>1.1926087141277335E-2</v>
      </c>
      <c r="I105" s="336"/>
      <c r="J105" s="183">
        <v>5678.88</v>
      </c>
      <c r="K105" s="183">
        <v>6211.88</v>
      </c>
      <c r="M105" s="364">
        <f t="shared" ref="M105:M110" si="27">G105/G$228</f>
        <v>3.0240049456493741</v>
      </c>
      <c r="N105" s="359">
        <f>SUMMARY!J108</f>
        <v>1.037156498380404</v>
      </c>
      <c r="P105"/>
      <c r="Q105"/>
      <c r="Z105" s="183">
        <v>3198.91</v>
      </c>
      <c r="AA105" s="183">
        <v>3409.56</v>
      </c>
      <c r="AB105" s="486">
        <v>1684.9559999999999</v>
      </c>
      <c r="AC105" s="486">
        <v>1842.8420000000001</v>
      </c>
    </row>
    <row r="106" spans="1:29" s="167" customFormat="1">
      <c r="A106" s="169" t="s">
        <v>86</v>
      </c>
      <c r="B106" s="170" t="s">
        <v>45</v>
      </c>
      <c r="C106" s="558">
        <f>'[60]Sch C'!D99</f>
        <v>10617.2</v>
      </c>
      <c r="D106" s="558">
        <f>'[60]Sch C'!F99</f>
        <v>0</v>
      </c>
      <c r="E106" s="171">
        <f t="shared" si="24"/>
        <v>10617.2</v>
      </c>
      <c r="F106" s="484"/>
      <c r="G106" s="171">
        <f t="shared" si="25"/>
        <v>10617.2</v>
      </c>
      <c r="H106" s="172">
        <f t="shared" si="26"/>
        <v>2.1571362149579777E-3</v>
      </c>
      <c r="I106" s="336"/>
      <c r="J106" s="168"/>
      <c r="K106" s="168"/>
      <c r="M106" s="364">
        <f t="shared" si="27"/>
        <v>0.54696821389933548</v>
      </c>
      <c r="N106" s="359">
        <f>SUMMARY!J109</f>
        <v>0.20576729906268329</v>
      </c>
      <c r="P106"/>
      <c r="Q106"/>
      <c r="Z106" s="168"/>
      <c r="AA106" s="168"/>
      <c r="AB106" s="513"/>
      <c r="AC106" s="513"/>
    </row>
    <row r="107" spans="1:29" s="167" customFormat="1">
      <c r="A107" s="169">
        <v>110</v>
      </c>
      <c r="B107" s="170" t="s">
        <v>47</v>
      </c>
      <c r="C107" s="558">
        <f>'[60]Sch C'!D100</f>
        <v>4549.4799999999996</v>
      </c>
      <c r="D107" s="558">
        <f>'[60]Sch C'!F100</f>
        <v>0</v>
      </c>
      <c r="E107" s="171">
        <f t="shared" si="24"/>
        <v>4549.4799999999996</v>
      </c>
      <c r="F107" s="484"/>
      <c r="G107" s="171">
        <f t="shared" si="25"/>
        <v>4549.4799999999996</v>
      </c>
      <c r="H107" s="172">
        <f t="shared" si="26"/>
        <v>9.2433485921212925E-4</v>
      </c>
      <c r="I107" s="336"/>
      <c r="J107" s="168"/>
      <c r="K107" s="168"/>
      <c r="M107" s="364">
        <f t="shared" si="27"/>
        <v>0.23437638452423881</v>
      </c>
      <c r="N107" s="359">
        <f>SUMMARY!J110</f>
        <v>0.1677349841046627</v>
      </c>
      <c r="P107"/>
      <c r="Q107"/>
      <c r="Z107" s="168"/>
      <c r="AA107" s="168"/>
      <c r="AB107" s="513"/>
      <c r="AC107" s="513"/>
    </row>
    <row r="108" spans="1:29" s="167" customFormat="1">
      <c r="A108" s="169">
        <v>310</v>
      </c>
      <c r="B108" s="170" t="s">
        <v>54</v>
      </c>
      <c r="C108" s="558">
        <f>'[60]Sch C'!D101</f>
        <v>0</v>
      </c>
      <c r="D108" s="558">
        <f>'[60]Sch C'!F101</f>
        <v>0</v>
      </c>
      <c r="E108" s="171">
        <f t="shared" si="24"/>
        <v>0</v>
      </c>
      <c r="F108" s="484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  <c r="Z108" s="168"/>
      <c r="AA108" s="168"/>
      <c r="AB108" s="513"/>
      <c r="AC108" s="513"/>
    </row>
    <row r="109" spans="1:29" s="167" customFormat="1">
      <c r="A109" s="169">
        <v>410</v>
      </c>
      <c r="B109" s="170" t="s">
        <v>57</v>
      </c>
      <c r="C109" s="558">
        <f>'[60]Sch C'!D102</f>
        <v>4267.07</v>
      </c>
      <c r="D109" s="558">
        <f>'[60]Sch C'!F102</f>
        <v>0</v>
      </c>
      <c r="E109" s="171">
        <f t="shared" si="24"/>
        <v>4267.07</v>
      </c>
      <c r="F109" s="484"/>
      <c r="G109" s="171">
        <f t="shared" si="25"/>
        <v>4267.07</v>
      </c>
      <c r="H109" s="172">
        <f t="shared" si="26"/>
        <v>8.6695656376075964E-4</v>
      </c>
      <c r="I109" s="336"/>
      <c r="J109" s="168"/>
      <c r="K109" s="168"/>
      <c r="M109" s="364">
        <f t="shared" si="27"/>
        <v>0.21982741744371748</v>
      </c>
      <c r="N109" s="359">
        <f>SUMMARY!J112</f>
        <v>0.24781104699146178</v>
      </c>
      <c r="P109"/>
      <c r="Q109"/>
      <c r="Z109" s="168"/>
      <c r="AA109" s="168"/>
      <c r="AB109" s="513"/>
      <c r="AC109" s="513"/>
    </row>
    <row r="110" spans="1:29" s="167" customFormat="1">
      <c r="A110" s="169">
        <v>490</v>
      </c>
      <c r="B110" s="202" t="s">
        <v>312</v>
      </c>
      <c r="C110" s="558">
        <f>'[60]Sch C'!D103</f>
        <v>13218.08</v>
      </c>
      <c r="D110" s="558">
        <f>'[60]Sch C'!F103</f>
        <v>0</v>
      </c>
      <c r="E110" s="171">
        <f t="shared" si="24"/>
        <v>13218.08</v>
      </c>
      <c r="F110" s="484"/>
      <c r="G110" s="171">
        <f t="shared" si="25"/>
        <v>13218.08</v>
      </c>
      <c r="H110" s="172">
        <f t="shared" si="26"/>
        <v>2.6855667275940687E-3</v>
      </c>
      <c r="I110" s="336"/>
      <c r="J110" s="168"/>
      <c r="K110" s="168"/>
      <c r="M110" s="364">
        <f t="shared" si="27"/>
        <v>0.68095821956622538</v>
      </c>
      <c r="N110" s="359">
        <f>SUMMARY!J113</f>
        <v>1.442148153547029E-2</v>
      </c>
      <c r="P110"/>
      <c r="Q110"/>
      <c r="Z110" s="168"/>
      <c r="AA110" s="168"/>
      <c r="AB110" s="513"/>
      <c r="AC110" s="513"/>
    </row>
    <row r="111" spans="1:29" s="167" customFormat="1">
      <c r="A111" s="163"/>
      <c r="B111" s="170" t="s">
        <v>58</v>
      </c>
      <c r="C111" s="558">
        <f>SUM(C105:C110)</f>
        <v>91350.79</v>
      </c>
      <c r="D111" s="558">
        <f>SUM(D105:D110)</f>
        <v>0</v>
      </c>
      <c r="E111" s="171">
        <f t="shared" ref="E111:F111" si="28">SUM(E105:E110)</f>
        <v>91350.79</v>
      </c>
      <c r="F111" s="171">
        <f t="shared" si="28"/>
        <v>0</v>
      </c>
      <c r="G111" s="171">
        <f>SUM(G105:G110)</f>
        <v>91350.79</v>
      </c>
      <c r="H111" s="172">
        <f t="shared" si="26"/>
        <v>1.8560081506802269E-2</v>
      </c>
      <c r="I111" s="336"/>
      <c r="J111" s="168"/>
      <c r="K111" s="168"/>
      <c r="M111" s="364">
        <f>G111/G$228</f>
        <v>4.7061351810828906</v>
      </c>
      <c r="N111" s="359">
        <f>SUMMARY!J114</f>
        <v>2.4242384372309496</v>
      </c>
      <c r="O111" s="354">
        <f>M111/N111-1</f>
        <v>0.94128395491427153</v>
      </c>
      <c r="P111"/>
      <c r="Q111"/>
      <c r="Z111" s="168"/>
      <c r="AA111" s="168"/>
      <c r="AB111" s="513"/>
      <c r="AC111" s="513"/>
    </row>
    <row r="112" spans="1:29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  <c r="Z112" s="168"/>
      <c r="AA112" s="168"/>
      <c r="AB112" s="513"/>
      <c r="AC112" s="513"/>
    </row>
    <row r="113" spans="1:32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  <c r="Z113" s="168"/>
      <c r="AA113" s="168"/>
      <c r="AB113" s="513"/>
      <c r="AC113" s="513"/>
    </row>
    <row r="114" spans="1:32" s="167" customFormat="1">
      <c r="A114" s="169" t="s">
        <v>85</v>
      </c>
      <c r="B114" s="170" t="s">
        <v>44</v>
      </c>
      <c r="C114" s="558">
        <f>'[60]Sch C'!D115</f>
        <v>91171.91</v>
      </c>
      <c r="D114" s="558">
        <f>'[60]Sch C'!F115</f>
        <v>0</v>
      </c>
      <c r="E114" s="171">
        <f t="shared" ref="E114:E118" si="29">C114+D114</f>
        <v>91171.91</v>
      </c>
      <c r="F114" s="484"/>
      <c r="G114" s="171">
        <f>E114+F114</f>
        <v>91171.91</v>
      </c>
      <c r="H114" s="172">
        <f t="shared" ref="H114:H119" si="30">IF($G$208=0,0,G114/$G$208)</f>
        <v>1.8523737788483725E-2</v>
      </c>
      <c r="I114" s="336"/>
      <c r="J114" s="183">
        <v>8683.49</v>
      </c>
      <c r="K114" s="183">
        <v>9334.34</v>
      </c>
      <c r="M114" s="364">
        <f t="shared" ref="M114:M119" si="31">G114/G$228</f>
        <v>4.6969197877492146</v>
      </c>
      <c r="N114" s="359">
        <f>SUMMARY!J117</f>
        <v>3.2429359621060407</v>
      </c>
      <c r="P114"/>
      <c r="Q114"/>
      <c r="Z114" s="183">
        <v>5051.7</v>
      </c>
      <c r="AA114" s="183">
        <v>5308.41</v>
      </c>
      <c r="AB114" s="486">
        <v>2838.76</v>
      </c>
      <c r="AC114" s="486">
        <v>3221.5039999999999</v>
      </c>
    </row>
    <row r="115" spans="1:32" s="167" customFormat="1">
      <c r="A115" s="169" t="s">
        <v>86</v>
      </c>
      <c r="B115" s="170" t="s">
        <v>151</v>
      </c>
      <c r="C115" s="558">
        <f>'[60]Sch C'!D116</f>
        <v>14692.36</v>
      </c>
      <c r="D115" s="558">
        <f>'[60]Sch C'!F116</f>
        <v>0</v>
      </c>
      <c r="E115" s="171">
        <f t="shared" si="29"/>
        <v>14692.36</v>
      </c>
      <c r="F115" s="484"/>
      <c r="G115" s="171">
        <f>E115+F115</f>
        <v>14692.36</v>
      </c>
      <c r="H115" s="172">
        <f t="shared" si="30"/>
        <v>2.9851017065893075E-3</v>
      </c>
      <c r="I115" s="336"/>
      <c r="J115" s="168"/>
      <c r="K115" s="168"/>
      <c r="M115" s="364">
        <f t="shared" si="31"/>
        <v>0.75690896914120864</v>
      </c>
      <c r="N115" s="359">
        <f>SUMMARY!J118</f>
        <v>0.64416765619740102</v>
      </c>
      <c r="P115"/>
      <c r="Q115"/>
      <c r="Z115" s="168"/>
      <c r="AA115" s="168"/>
      <c r="AB115" s="513"/>
      <c r="AC115" s="513"/>
    </row>
    <row r="116" spans="1:32" s="167" customFormat="1">
      <c r="A116" s="169" t="s">
        <v>93</v>
      </c>
      <c r="B116" s="170" t="s">
        <v>47</v>
      </c>
      <c r="C116" s="558">
        <f>'[60]Sch C'!D117</f>
        <v>12036.41</v>
      </c>
      <c r="D116" s="558">
        <f>'[60]Sch C'!F117</f>
        <v>0</v>
      </c>
      <c r="E116" s="171">
        <f t="shared" si="29"/>
        <v>12036.41</v>
      </c>
      <c r="F116" s="484"/>
      <c r="G116" s="171">
        <f>E116+F116</f>
        <v>12036.41</v>
      </c>
      <c r="H116" s="172">
        <f t="shared" si="30"/>
        <v>2.4454824161815121E-3</v>
      </c>
      <c r="I116" s="336"/>
      <c r="J116" s="168"/>
      <c r="K116" s="168"/>
      <c r="M116" s="364">
        <f t="shared" si="31"/>
        <v>0.620081912317758</v>
      </c>
      <c r="N116" s="359">
        <f>SUMMARY!J119</f>
        <v>0.86820957192988468</v>
      </c>
      <c r="P116"/>
      <c r="Q116"/>
      <c r="Z116" s="168"/>
      <c r="AA116" s="168"/>
      <c r="AB116" s="513"/>
      <c r="AC116" s="513"/>
    </row>
    <row r="117" spans="1:32" s="167" customFormat="1">
      <c r="A117" s="169">
        <v>310</v>
      </c>
      <c r="B117" s="170" t="s">
        <v>60</v>
      </c>
      <c r="C117" s="558">
        <f>'[60]Sch C'!D118</f>
        <v>0</v>
      </c>
      <c r="D117" s="558">
        <f>'[60]Sch C'!F118</f>
        <v>0</v>
      </c>
      <c r="E117" s="171">
        <f t="shared" si="29"/>
        <v>0</v>
      </c>
      <c r="F117" s="484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  <c r="Z117" s="168"/>
      <c r="AA117" s="168"/>
      <c r="AB117" s="513"/>
      <c r="AC117" s="513"/>
    </row>
    <row r="118" spans="1:32" s="167" customFormat="1">
      <c r="A118" s="169">
        <v>490</v>
      </c>
      <c r="B118" s="202" t="s">
        <v>312</v>
      </c>
      <c r="C118" s="558">
        <f>'[60]Sch C'!D119</f>
        <v>56.72</v>
      </c>
      <c r="D118" s="558">
        <f>'[60]Sch C'!F119</f>
        <v>0</v>
      </c>
      <c r="E118" s="171">
        <f t="shared" si="29"/>
        <v>56.72</v>
      </c>
      <c r="F118" s="484"/>
      <c r="G118" s="171">
        <f>E118+F118</f>
        <v>56.72</v>
      </c>
      <c r="H118" s="172">
        <f t="shared" si="30"/>
        <v>1.1524014440004566E-5</v>
      </c>
      <c r="I118" s="336"/>
      <c r="J118" s="168"/>
      <c r="K118" s="168"/>
      <c r="M118" s="364">
        <f t="shared" si="31"/>
        <v>2.9220545051774766E-3</v>
      </c>
      <c r="N118" s="359">
        <f>SUMMARY!J121</f>
        <v>8.9442087594777155E-3</v>
      </c>
      <c r="P118"/>
      <c r="Q118"/>
      <c r="Z118" s="168"/>
      <c r="AA118" s="168"/>
      <c r="AB118" s="513"/>
      <c r="AC118" s="513"/>
    </row>
    <row r="119" spans="1:32" s="167" customFormat="1">
      <c r="A119" s="163"/>
      <c r="B119" s="170" t="s">
        <v>61</v>
      </c>
      <c r="C119" s="558">
        <f>SUM(C114:C118)</f>
        <v>117957.40000000001</v>
      </c>
      <c r="D119" s="558">
        <f>SUM(D114:D118)</f>
        <v>0</v>
      </c>
      <c r="E119" s="171">
        <f t="shared" ref="E119:F119" si="32">SUM(E114:E118)</f>
        <v>117957.40000000001</v>
      </c>
      <c r="F119" s="171">
        <f t="shared" si="32"/>
        <v>0</v>
      </c>
      <c r="G119" s="171">
        <f>SUM(G114:G118)</f>
        <v>117957.40000000001</v>
      </c>
      <c r="H119" s="172">
        <f t="shared" si="30"/>
        <v>2.3965845925694548E-2</v>
      </c>
      <c r="I119" s="336"/>
      <c r="J119" s="168"/>
      <c r="K119" s="168"/>
      <c r="M119" s="364">
        <f t="shared" si="31"/>
        <v>6.076832723713359</v>
      </c>
      <c r="N119" s="359">
        <f>SUMMARY!J122</f>
        <v>6.0247597205909562</v>
      </c>
      <c r="O119" s="354">
        <f>M119/N119-1</f>
        <v>8.6431667879520724E-3</v>
      </c>
      <c r="P119"/>
      <c r="Q119"/>
      <c r="Z119" s="168"/>
      <c r="AA119" s="168"/>
      <c r="AB119" s="513"/>
      <c r="AC119" s="513"/>
    </row>
    <row r="120" spans="1:32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  <c r="Z120" s="203"/>
      <c r="AA120" s="203"/>
      <c r="AB120" s="203"/>
      <c r="AC120" s="203"/>
    </row>
    <row r="121" spans="1:32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  <c r="Z121" s="204"/>
      <c r="AA121" s="204"/>
      <c r="AB121" s="483"/>
      <c r="AC121" s="483"/>
    </row>
    <row r="122" spans="1:32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  <c r="Z122" s="204"/>
      <c r="AA122" s="204"/>
      <c r="AB122" s="483"/>
      <c r="AC122" s="483"/>
    </row>
    <row r="123" spans="1:32" s="167" customFormat="1">
      <c r="B123" s="163" t="s">
        <v>232</v>
      </c>
      <c r="C123" s="558">
        <f>'[60]Sch C'!D124</f>
        <v>0</v>
      </c>
      <c r="D123" s="558">
        <f>'[60]Sch C'!F124</f>
        <v>0</v>
      </c>
      <c r="E123" s="171">
        <f t="shared" ref="E123:E127" si="33">C123+D123</f>
        <v>0</v>
      </c>
      <c r="F123" s="484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  <c r="Z123" s="183">
        <v>0</v>
      </c>
      <c r="AA123" s="183">
        <v>0</v>
      </c>
      <c r="AB123" s="544">
        <v>0</v>
      </c>
      <c r="AC123" s="544">
        <v>0</v>
      </c>
    </row>
    <row r="124" spans="1:32" s="167" customFormat="1">
      <c r="B124" s="163" t="s">
        <v>194</v>
      </c>
      <c r="C124" s="558">
        <f>'[60]Sch C'!D125</f>
        <v>0</v>
      </c>
      <c r="D124" s="558">
        <f>'[60]Sch C'!F125</f>
        <v>0</v>
      </c>
      <c r="E124" s="171">
        <f t="shared" si="33"/>
        <v>0</v>
      </c>
      <c r="F124" s="484"/>
      <c r="G124" s="171">
        <f>E124+F124</f>
        <v>0</v>
      </c>
      <c r="H124" s="172">
        <f>IF($G$208=0,0,G124/$G$208)</f>
        <v>0</v>
      </c>
      <c r="I124" s="336"/>
      <c r="J124" s="183">
        <v>0</v>
      </c>
      <c r="K124" s="183">
        <v>0</v>
      </c>
      <c r="M124" s="364">
        <f t="shared" si="34"/>
        <v>0</v>
      </c>
      <c r="N124" s="359">
        <f>SUMMARY!J127</f>
        <v>7.6528583695016472</v>
      </c>
      <c r="P124"/>
      <c r="Q124"/>
      <c r="Z124" s="183">
        <v>0</v>
      </c>
      <c r="AA124" s="183">
        <v>0</v>
      </c>
      <c r="AB124" s="544">
        <v>0</v>
      </c>
      <c r="AC124" s="544">
        <v>0</v>
      </c>
    </row>
    <row r="125" spans="1:32" s="167" customFormat="1">
      <c r="A125" s="163" t="s">
        <v>198</v>
      </c>
      <c r="B125" s="163" t="s">
        <v>195</v>
      </c>
      <c r="C125" s="558">
        <f>'[60]Sch C'!D126</f>
        <v>0</v>
      </c>
      <c r="D125" s="558">
        <f>'[60]Sch C'!F126</f>
        <v>0</v>
      </c>
      <c r="E125" s="171">
        <f t="shared" si="33"/>
        <v>0</v>
      </c>
      <c r="F125" s="484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  <c r="Z125" s="183">
        <v>0</v>
      </c>
      <c r="AA125" s="183">
        <v>0</v>
      </c>
      <c r="AB125" s="544">
        <v>0</v>
      </c>
      <c r="AC125" s="544">
        <v>0</v>
      </c>
    </row>
    <row r="126" spans="1:32" s="167" customFormat="1">
      <c r="A126" s="169"/>
      <c r="B126" s="163" t="s">
        <v>196</v>
      </c>
      <c r="C126" s="558">
        <f>'[60]Sch C'!D127</f>
        <v>0</v>
      </c>
      <c r="D126" s="558">
        <f>'[60]Sch C'!F127</f>
        <v>0</v>
      </c>
      <c r="E126" s="171">
        <f t="shared" si="33"/>
        <v>0</v>
      </c>
      <c r="F126" s="484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  <c r="Z126" s="183">
        <v>0</v>
      </c>
      <c r="AA126" s="183">
        <v>0</v>
      </c>
      <c r="AB126" s="544">
        <v>0</v>
      </c>
      <c r="AC126" s="544">
        <v>0</v>
      </c>
      <c r="AE126"/>
      <c r="AF126"/>
    </row>
    <row r="127" spans="1:32" s="167" customFormat="1">
      <c r="A127" s="169"/>
      <c r="B127" s="163" t="s">
        <v>197</v>
      </c>
      <c r="C127" s="558">
        <f>'[60]Sch C'!D128</f>
        <v>215943.66</v>
      </c>
      <c r="D127" s="558">
        <f>'[60]Sch C'!F128</f>
        <v>0</v>
      </c>
      <c r="E127" s="171">
        <f t="shared" si="33"/>
        <v>215943.66</v>
      </c>
      <c r="F127" s="484"/>
      <c r="G127" s="171">
        <f>E127+F127</f>
        <v>215943.66</v>
      </c>
      <c r="H127" s="172">
        <f>IF($G$208=0,0,G127/$G$208)</f>
        <v>4.3874080678198812E-2</v>
      </c>
      <c r="I127" s="336"/>
      <c r="J127" s="183">
        <v>5971.12</v>
      </c>
      <c r="K127" s="183">
        <v>6918.63</v>
      </c>
      <c r="M127" s="364">
        <f t="shared" si="34"/>
        <v>11.124808613672659</v>
      </c>
      <c r="N127" s="359">
        <f>SUMMARY!J130</f>
        <v>3.5158276990454227</v>
      </c>
      <c r="P127"/>
      <c r="Q127"/>
      <c r="Z127" s="183">
        <v>0</v>
      </c>
      <c r="AA127" s="183">
        <v>0</v>
      </c>
      <c r="AB127" s="544">
        <v>0</v>
      </c>
      <c r="AC127" s="544">
        <v>0</v>
      </c>
      <c r="AE127"/>
      <c r="AF127"/>
    </row>
    <row r="128" spans="1:32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  <c r="Z128" s="207"/>
      <c r="AA128" s="207"/>
      <c r="AB128" s="517"/>
      <c r="AC128" s="517"/>
    </row>
    <row r="129" spans="1:29" s="167" customFormat="1">
      <c r="A129" s="169"/>
      <c r="B129" s="163" t="s">
        <v>232</v>
      </c>
      <c r="C129" s="558">
        <f>'[60]Sch C'!D130</f>
        <v>0</v>
      </c>
      <c r="D129" s="558">
        <f>'[60]Sch C'!F130</f>
        <v>0</v>
      </c>
      <c r="E129" s="171">
        <f t="shared" ref="E129:E133" si="35">C129+D129</f>
        <v>0</v>
      </c>
      <c r="F129" s="484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  <c r="Z129" s="204"/>
      <c r="AA129" s="204"/>
      <c r="AB129" s="483"/>
      <c r="AC129" s="483"/>
    </row>
    <row r="130" spans="1:29" s="167" customFormat="1">
      <c r="A130" s="169"/>
      <c r="B130" s="163" t="s">
        <v>194</v>
      </c>
      <c r="C130" s="558">
        <f>'[60]Sch C'!D131</f>
        <v>0</v>
      </c>
      <c r="D130" s="558">
        <f>'[60]Sch C'!F131</f>
        <v>0</v>
      </c>
      <c r="E130" s="171">
        <f t="shared" si="35"/>
        <v>0</v>
      </c>
      <c r="F130" s="484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  <c r="Z130" s="204"/>
      <c r="AA130" s="204"/>
      <c r="AB130" s="483"/>
      <c r="AC130" s="483"/>
    </row>
    <row r="131" spans="1:29" s="167" customFormat="1">
      <c r="B131" s="163" t="s">
        <v>195</v>
      </c>
      <c r="C131" s="558">
        <f>'[60]Sch C'!D132</f>
        <v>0</v>
      </c>
      <c r="D131" s="558">
        <f>'[60]Sch C'!F132</f>
        <v>0</v>
      </c>
      <c r="E131" s="171">
        <f t="shared" si="35"/>
        <v>0</v>
      </c>
      <c r="F131" s="484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  <c r="Z131" s="168"/>
      <c r="AA131" s="168"/>
      <c r="AB131" s="513"/>
      <c r="AC131" s="513"/>
    </row>
    <row r="132" spans="1:29" s="167" customFormat="1">
      <c r="B132" s="163" t="s">
        <v>196</v>
      </c>
      <c r="C132" s="558">
        <f>'[60]Sch C'!D133</f>
        <v>0</v>
      </c>
      <c r="D132" s="558">
        <f>'[60]Sch C'!F133</f>
        <v>0</v>
      </c>
      <c r="E132" s="171">
        <f t="shared" si="35"/>
        <v>0</v>
      </c>
      <c r="F132" s="484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  <c r="Z132" s="168"/>
      <c r="AA132" s="168"/>
      <c r="AB132" s="513"/>
      <c r="AC132" s="513"/>
    </row>
    <row r="133" spans="1:29" s="167" customFormat="1">
      <c r="B133" s="163" t="s">
        <v>197</v>
      </c>
      <c r="C133" s="558">
        <f>'[60]Sch C'!D134</f>
        <v>41035.78</v>
      </c>
      <c r="D133" s="558">
        <f>'[60]Sch C'!F134</f>
        <v>0</v>
      </c>
      <c r="E133" s="171">
        <f t="shared" si="35"/>
        <v>41035.78</v>
      </c>
      <c r="F133" s="484"/>
      <c r="G133" s="171">
        <f>E133+F133</f>
        <v>41035.78</v>
      </c>
      <c r="H133" s="172">
        <f>IF($G$208=0,0,G133/$G$208)</f>
        <v>8.3373928292815695E-3</v>
      </c>
      <c r="I133" s="336"/>
      <c r="J133" s="168"/>
      <c r="K133" s="168"/>
      <c r="M133" s="364">
        <f t="shared" si="34"/>
        <v>2.1140477049095874</v>
      </c>
      <c r="N133" s="359">
        <f>SUMMARY!J136</f>
        <v>0.68147708722106659</v>
      </c>
      <c r="P133"/>
      <c r="Q133"/>
      <c r="Z133" s="168"/>
      <c r="AA133" s="168"/>
      <c r="AB133" s="513"/>
      <c r="AC133" s="513"/>
    </row>
    <row r="134" spans="1:29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  <c r="Z134" s="204"/>
      <c r="AA134" s="204"/>
      <c r="AB134" s="483"/>
      <c r="AC134" s="483"/>
    </row>
    <row r="135" spans="1:29" s="167" customFormat="1">
      <c r="A135" s="169"/>
      <c r="B135" s="163" t="s">
        <v>194</v>
      </c>
      <c r="C135" s="558">
        <f>'[60]Sch C'!D136</f>
        <v>385009.04</v>
      </c>
      <c r="D135" s="558">
        <f>'[60]Sch C'!F136</f>
        <v>0</v>
      </c>
      <c r="E135" s="171">
        <f t="shared" ref="E135:E138" si="36">C135+D135</f>
        <v>385009.04</v>
      </c>
      <c r="F135" s="484"/>
      <c r="G135" s="171">
        <f>E135+F135</f>
        <v>385009.04</v>
      </c>
      <c r="H135" s="172">
        <f>IF($G$208=0,0,G135/$G$208)</f>
        <v>7.8223725960724536E-2</v>
      </c>
      <c r="I135" s="336"/>
      <c r="J135" s="183">
        <v>12581.81</v>
      </c>
      <c r="K135" s="183">
        <v>13371.5</v>
      </c>
      <c r="M135" s="364">
        <f t="shared" si="34"/>
        <v>19.83458039256092</v>
      </c>
      <c r="N135" s="359">
        <f>SUMMARY!J138</f>
        <v>22.831883555057285</v>
      </c>
      <c r="P135"/>
      <c r="Q135"/>
      <c r="Z135" s="183">
        <v>6554.21</v>
      </c>
      <c r="AA135" s="183">
        <v>7350.96</v>
      </c>
      <c r="AB135" s="486">
        <v>4078.32</v>
      </c>
      <c r="AC135" s="486">
        <v>4588.3500000000004</v>
      </c>
    </row>
    <row r="136" spans="1:29" s="167" customFormat="1">
      <c r="A136" s="169"/>
      <c r="B136" s="163" t="s">
        <v>195</v>
      </c>
      <c r="C136" s="558">
        <f>'[60]Sch C'!D137</f>
        <v>180653.5</v>
      </c>
      <c r="D136" s="558">
        <f>'[60]Sch C'!F137</f>
        <v>0</v>
      </c>
      <c r="E136" s="171">
        <f t="shared" si="36"/>
        <v>180653.5</v>
      </c>
      <c r="F136" s="484"/>
      <c r="G136" s="171">
        <f>E136+F136</f>
        <v>180653.5</v>
      </c>
      <c r="H136" s="172">
        <f>IF($G$208=0,0,G136/$G$208)</f>
        <v>3.6704046943536059E-2</v>
      </c>
      <c r="I136" s="336"/>
      <c r="J136" s="183">
        <v>6395.3</v>
      </c>
      <c r="K136" s="183">
        <v>7010.57</v>
      </c>
      <c r="M136" s="364">
        <f t="shared" si="34"/>
        <v>9.3067590541445568</v>
      </c>
      <c r="N136" s="359">
        <f>SUMMARY!J139</f>
        <v>12.148107264801752</v>
      </c>
      <c r="P136"/>
      <c r="Q136"/>
      <c r="Z136" s="183">
        <v>5292.28</v>
      </c>
      <c r="AA136" s="183">
        <v>5633.23</v>
      </c>
      <c r="AB136" s="486">
        <v>2796.18</v>
      </c>
      <c r="AC136" s="486">
        <v>3064.47</v>
      </c>
    </row>
    <row r="137" spans="1:29" s="167" customFormat="1">
      <c r="A137" s="169"/>
      <c r="B137" s="163" t="s">
        <v>196</v>
      </c>
      <c r="C137" s="558">
        <f>'[60]Sch C'!D138</f>
        <v>467142.01</v>
      </c>
      <c r="D137" s="558">
        <f>'[60]Sch C'!F138</f>
        <v>0</v>
      </c>
      <c r="E137" s="171">
        <f t="shared" si="36"/>
        <v>467142.01</v>
      </c>
      <c r="F137" s="484"/>
      <c r="G137" s="171">
        <f>E137+F137</f>
        <v>467142.01</v>
      </c>
      <c r="H137" s="172">
        <f>IF($G$208=0,0,G137/$G$208)</f>
        <v>9.4910988518560613E-2</v>
      </c>
      <c r="I137" s="336"/>
      <c r="J137" s="183">
        <v>41256.800000000003</v>
      </c>
      <c r="K137" s="183">
        <v>43991</v>
      </c>
      <c r="M137" s="364">
        <f t="shared" si="34"/>
        <v>24.065839472464067</v>
      </c>
      <c r="N137" s="359">
        <f>SUMMARY!J140</f>
        <v>29.755103028612584</v>
      </c>
      <c r="P137"/>
      <c r="Q137"/>
      <c r="Z137" s="183">
        <v>25614.94</v>
      </c>
      <c r="AA137" s="183">
        <v>30363.26</v>
      </c>
      <c r="AB137" s="486">
        <v>12887.57</v>
      </c>
      <c r="AC137" s="486">
        <v>13782.18</v>
      </c>
    </row>
    <row r="138" spans="1:29" s="167" customFormat="1">
      <c r="A138" s="169"/>
      <c r="B138" s="163" t="s">
        <v>197</v>
      </c>
      <c r="C138" s="558">
        <f>'[60]Sch C'!D139</f>
        <v>157218.14000000001</v>
      </c>
      <c r="D138" s="558">
        <f>'[60]Sch C'!F139</f>
        <v>0</v>
      </c>
      <c r="E138" s="171">
        <f t="shared" si="36"/>
        <v>157218.14000000001</v>
      </c>
      <c r="F138" s="484"/>
      <c r="G138" s="171">
        <f>E138+F138</f>
        <v>157218.14000000001</v>
      </c>
      <c r="H138" s="172">
        <f>IF($G$208=0,0,G138/$G$208)</f>
        <v>3.194259724243053E-2</v>
      </c>
      <c r="I138" s="336"/>
      <c r="J138" s="183">
        <v>3495.41</v>
      </c>
      <c r="K138" s="183">
        <v>3928.13</v>
      </c>
      <c r="M138" s="364">
        <f t="shared" si="34"/>
        <v>8.0994353716964618</v>
      </c>
      <c r="N138" s="359">
        <f>SUMMARY!J141</f>
        <v>2.6137536270315449</v>
      </c>
      <c r="P138"/>
      <c r="Q138"/>
      <c r="Z138" s="183">
        <v>4033</v>
      </c>
      <c r="AA138" s="183">
        <v>4358.59</v>
      </c>
      <c r="AB138" s="486">
        <v>1615.05</v>
      </c>
      <c r="AC138" s="486">
        <v>1778.6</v>
      </c>
    </row>
    <row r="139" spans="1:29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  <c r="Z139" s="404"/>
      <c r="AA139" s="404"/>
      <c r="AB139" s="518"/>
      <c r="AC139" s="518"/>
    </row>
    <row r="140" spans="1:29" s="167" customFormat="1">
      <c r="A140" s="169"/>
      <c r="B140" s="163" t="s">
        <v>194</v>
      </c>
      <c r="C140" s="558">
        <f>'[60]Sch C'!D141</f>
        <v>0</v>
      </c>
      <c r="D140" s="558">
        <f>'[60]Sch C'!F141</f>
        <v>0</v>
      </c>
      <c r="E140" s="171">
        <f t="shared" ref="E140:E143" si="37">C140+D140</f>
        <v>0</v>
      </c>
      <c r="F140" s="484"/>
      <c r="G140" s="171">
        <f>E140+F140</f>
        <v>0</v>
      </c>
      <c r="H140" s="172">
        <f>IF($G$208=0,0,G140/$G$208)</f>
        <v>0</v>
      </c>
      <c r="I140" s="336"/>
      <c r="J140" s="168"/>
      <c r="K140" s="168"/>
      <c r="M140" s="364">
        <f t="shared" si="34"/>
        <v>0</v>
      </c>
      <c r="N140" s="359">
        <f>SUMMARY!J143</f>
        <v>4.2102596407658526</v>
      </c>
      <c r="P140"/>
      <c r="Q140"/>
      <c r="Z140" s="168"/>
      <c r="AA140" s="168"/>
      <c r="AB140" s="513"/>
      <c r="AC140" s="513"/>
    </row>
    <row r="141" spans="1:29" s="167" customFormat="1">
      <c r="A141" s="169"/>
      <c r="B141" s="163" t="s">
        <v>195</v>
      </c>
      <c r="C141" s="558">
        <f>'[60]Sch C'!D142</f>
        <v>0</v>
      </c>
      <c r="D141" s="558">
        <f>'[60]Sch C'!F142</f>
        <v>0</v>
      </c>
      <c r="E141" s="171">
        <f t="shared" si="37"/>
        <v>0</v>
      </c>
      <c r="F141" s="484"/>
      <c r="G141" s="171">
        <f>E141+F141</f>
        <v>0</v>
      </c>
      <c r="H141" s="172">
        <f>IF($G$208=0,0,G141/$G$208)</f>
        <v>0</v>
      </c>
      <c r="I141" s="336"/>
      <c r="J141" s="168"/>
      <c r="K141" s="168"/>
      <c r="M141" s="364">
        <f t="shared" si="34"/>
        <v>0</v>
      </c>
      <c r="N141" s="359">
        <f>SUMMARY!J144</f>
        <v>2.2256603513522144</v>
      </c>
      <c r="P141"/>
      <c r="Q141"/>
      <c r="Z141" s="168"/>
      <c r="AA141" s="168"/>
      <c r="AB141" s="513"/>
      <c r="AC141" s="513"/>
    </row>
    <row r="142" spans="1:29" s="167" customFormat="1">
      <c r="A142" s="169"/>
      <c r="B142" s="163" t="s">
        <v>196</v>
      </c>
      <c r="C142" s="558">
        <f>'[60]Sch C'!D143</f>
        <v>0</v>
      </c>
      <c r="D142" s="558">
        <f>'[60]Sch C'!F143</f>
        <v>0</v>
      </c>
      <c r="E142" s="171">
        <f t="shared" si="37"/>
        <v>0</v>
      </c>
      <c r="F142" s="484"/>
      <c r="G142" s="171">
        <f>E142+F142</f>
        <v>0</v>
      </c>
      <c r="H142" s="172">
        <f>IF($G$208=0,0,G142/$G$208)</f>
        <v>0</v>
      </c>
      <c r="I142" s="336"/>
      <c r="J142" s="168"/>
      <c r="K142" s="168"/>
      <c r="M142" s="364">
        <f t="shared" si="34"/>
        <v>0</v>
      </c>
      <c r="N142" s="359">
        <f>SUMMARY!J145</f>
        <v>5.5063490246705751</v>
      </c>
      <c r="P142"/>
      <c r="Q142"/>
      <c r="Z142" s="168"/>
      <c r="AA142" s="168"/>
      <c r="AB142" s="513"/>
      <c r="AC142" s="513"/>
    </row>
    <row r="143" spans="1:29" s="167" customFormat="1">
      <c r="A143" s="169"/>
      <c r="B143" s="163" t="s">
        <v>197</v>
      </c>
      <c r="C143" s="558">
        <f>'[60]Sch C'!D144</f>
        <v>261689.83</v>
      </c>
      <c r="D143" s="558">
        <f>'[60]Sch C'!F144</f>
        <v>0</v>
      </c>
      <c r="E143" s="171">
        <f t="shared" si="37"/>
        <v>261689.83</v>
      </c>
      <c r="F143" s="484"/>
      <c r="G143" s="171">
        <f>E143+F143</f>
        <v>261689.83</v>
      </c>
      <c r="H143" s="172">
        <f>IF($G$208=0,0,G143/$G$208)</f>
        <v>5.3168501052932658E-2</v>
      </c>
      <c r="I143" s="336"/>
      <c r="J143" s="168"/>
      <c r="K143" s="168"/>
      <c r="M143" s="364">
        <f t="shared" si="34"/>
        <v>13.481522332697955</v>
      </c>
      <c r="N143" s="359">
        <f>SUMMARY!J146</f>
        <v>0.55064368222190041</v>
      </c>
      <c r="P143"/>
      <c r="Q143"/>
      <c r="Z143" s="168"/>
      <c r="AA143" s="168"/>
      <c r="AB143" s="513"/>
      <c r="AC143" s="513"/>
    </row>
    <row r="144" spans="1:29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  <c r="Z144" s="204"/>
      <c r="AA144" s="204"/>
      <c r="AB144" s="483"/>
      <c r="AC144" s="483"/>
    </row>
    <row r="145" spans="1:29" s="167" customFormat="1">
      <c r="A145" s="169"/>
      <c r="B145" s="163" t="s">
        <v>232</v>
      </c>
      <c r="C145" s="558">
        <f>'[60]Sch C'!D146</f>
        <v>21600</v>
      </c>
      <c r="D145" s="558">
        <f>'[60]Sch C'!F146</f>
        <v>0</v>
      </c>
      <c r="E145" s="171">
        <f t="shared" ref="E145:E153" si="38">C145+D145</f>
        <v>21600</v>
      </c>
      <c r="F145" s="484"/>
      <c r="G145" s="171">
        <f t="shared" ref="G145:G153" si="39">E145+F145</f>
        <v>21600</v>
      </c>
      <c r="H145" s="172">
        <f t="shared" ref="H145:H153" si="40">IF($G$208=0,0,G145/$G$208)</f>
        <v>4.3885527486618239E-3</v>
      </c>
      <c r="I145" s="336"/>
      <c r="J145" s="183">
        <v>0</v>
      </c>
      <c r="K145" s="183">
        <v>0</v>
      </c>
      <c r="M145" s="364">
        <f t="shared" si="34"/>
        <v>1.1127711091649064</v>
      </c>
      <c r="N145" s="359">
        <f>SUMMARY!J148</f>
        <v>1.6451259729597054</v>
      </c>
      <c r="P145"/>
      <c r="Q145"/>
      <c r="Z145" s="183">
        <v>0</v>
      </c>
      <c r="AA145" s="183">
        <v>0</v>
      </c>
      <c r="AB145" s="486">
        <v>0</v>
      </c>
      <c r="AC145" s="486">
        <v>0</v>
      </c>
    </row>
    <row r="146" spans="1:29" s="167" customFormat="1">
      <c r="A146" s="169"/>
      <c r="B146" s="163" t="s">
        <v>194</v>
      </c>
      <c r="C146" s="558">
        <f>'[60]Sch C'!D147</f>
        <v>0</v>
      </c>
      <c r="D146" s="558">
        <f>'[60]Sch C'!F147</f>
        <v>0</v>
      </c>
      <c r="E146" s="171">
        <f t="shared" si="38"/>
        <v>0</v>
      </c>
      <c r="F146" s="484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  <c r="Z146" s="183">
        <v>0</v>
      </c>
      <c r="AA146" s="183">
        <v>0</v>
      </c>
      <c r="AB146" s="486">
        <v>0</v>
      </c>
      <c r="AC146" s="486">
        <v>0</v>
      </c>
    </row>
    <row r="147" spans="1:29" s="167" customFormat="1">
      <c r="A147" s="169"/>
      <c r="B147" s="163" t="s">
        <v>195</v>
      </c>
      <c r="C147" s="558">
        <f>'[60]Sch C'!D148</f>
        <v>0</v>
      </c>
      <c r="D147" s="558">
        <f>'[60]Sch C'!F148</f>
        <v>0</v>
      </c>
      <c r="E147" s="171">
        <f t="shared" si="38"/>
        <v>0</v>
      </c>
      <c r="F147" s="484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  <c r="Z147" s="183">
        <v>0</v>
      </c>
      <c r="AA147" s="183">
        <v>0</v>
      </c>
      <c r="AB147" s="486">
        <v>0</v>
      </c>
      <c r="AC147" s="486">
        <v>0</v>
      </c>
    </row>
    <row r="148" spans="1:29" s="167" customFormat="1">
      <c r="A148" s="169"/>
      <c r="B148" s="163" t="s">
        <v>196</v>
      </c>
      <c r="C148" s="558">
        <f>'[60]Sch C'!D149</f>
        <v>0</v>
      </c>
      <c r="D148" s="558">
        <f>'[60]Sch C'!F149</f>
        <v>0</v>
      </c>
      <c r="E148" s="171">
        <f t="shared" si="38"/>
        <v>0</v>
      </c>
      <c r="F148" s="484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  <c r="Z148" s="183">
        <v>0</v>
      </c>
      <c r="AA148" s="183">
        <v>0</v>
      </c>
      <c r="AB148" s="486">
        <v>0</v>
      </c>
      <c r="AC148" s="486">
        <v>0</v>
      </c>
    </row>
    <row r="149" spans="1:29" s="167" customFormat="1">
      <c r="A149" s="169"/>
      <c r="B149" s="163" t="s">
        <v>197</v>
      </c>
      <c r="C149" s="558">
        <f>'[60]Sch C'!D150</f>
        <v>8460</v>
      </c>
      <c r="D149" s="558">
        <f>'[60]Sch C'!F150</f>
        <v>0</v>
      </c>
      <c r="E149" s="171">
        <f t="shared" si="38"/>
        <v>8460</v>
      </c>
      <c r="F149" s="484"/>
      <c r="G149" s="171">
        <f t="shared" si="39"/>
        <v>8460</v>
      </c>
      <c r="H149" s="172">
        <f t="shared" si="40"/>
        <v>1.7188498265592145E-3</v>
      </c>
      <c r="I149" s="336"/>
      <c r="J149" s="183">
        <v>0</v>
      </c>
      <c r="K149" s="183">
        <v>0</v>
      </c>
      <c r="M149" s="364">
        <f t="shared" si="34"/>
        <v>0.43583535108958837</v>
      </c>
      <c r="N149" s="359">
        <f>SUMMARY!J152</f>
        <v>0.63962211863516594</v>
      </c>
      <c r="P149"/>
      <c r="Q149"/>
      <c r="Z149" s="183">
        <v>0</v>
      </c>
      <c r="AA149" s="183">
        <v>0</v>
      </c>
      <c r="AB149" s="486">
        <v>0</v>
      </c>
      <c r="AC149" s="486">
        <v>0</v>
      </c>
    </row>
    <row r="150" spans="1:29" s="167" customFormat="1">
      <c r="A150" s="169">
        <v>110</v>
      </c>
      <c r="B150" s="167" t="s">
        <v>65</v>
      </c>
      <c r="C150" s="558">
        <f>'[60]Sch C'!D151</f>
        <v>116714.95</v>
      </c>
      <c r="D150" s="558">
        <f>'[60]Sch C'!F151</f>
        <v>0</v>
      </c>
      <c r="E150" s="171">
        <f t="shared" si="38"/>
        <v>116714.95</v>
      </c>
      <c r="F150" s="484"/>
      <c r="G150" s="171">
        <f t="shared" si="39"/>
        <v>116714.95</v>
      </c>
      <c r="H150" s="172">
        <f t="shared" si="40"/>
        <v>2.3713412714464227E-2</v>
      </c>
      <c r="I150" s="336"/>
      <c r="J150" s="168"/>
      <c r="K150" s="168"/>
      <c r="M150" s="364">
        <f t="shared" si="34"/>
        <v>6.0128252022049349</v>
      </c>
      <c r="N150" s="359">
        <f>SUMMARY!J153</f>
        <v>5.6321022575023187</v>
      </c>
      <c r="P150"/>
      <c r="Q150"/>
      <c r="Z150" s="168"/>
      <c r="AA150" s="168"/>
      <c r="AB150" s="513"/>
      <c r="AC150" s="513"/>
    </row>
    <row r="151" spans="1:29" s="167" customFormat="1">
      <c r="A151" s="169">
        <v>111</v>
      </c>
      <c r="B151" s="170" t="s">
        <v>97</v>
      </c>
      <c r="C151" s="558">
        <f>'[60]Sch C'!D152</f>
        <v>2060.3000000000002</v>
      </c>
      <c r="D151" s="558">
        <f>'[60]Sch C'!F152</f>
        <v>0</v>
      </c>
      <c r="E151" s="171">
        <f t="shared" si="38"/>
        <v>2060.3000000000002</v>
      </c>
      <c r="F151" s="484"/>
      <c r="G151" s="171">
        <f t="shared" si="39"/>
        <v>2060.3000000000002</v>
      </c>
      <c r="H151" s="172">
        <f t="shared" si="40"/>
        <v>4.185988531512943E-4</v>
      </c>
      <c r="I151" s="336"/>
      <c r="J151" s="168"/>
      <c r="K151" s="168"/>
      <c r="M151" s="364">
        <f t="shared" si="34"/>
        <v>0.10614084797279894</v>
      </c>
      <c r="N151" s="359">
        <f>SUMMARY!J154</f>
        <v>0.34937544615199928</v>
      </c>
      <c r="P151"/>
      <c r="Q151"/>
      <c r="Z151" s="168"/>
      <c r="AA151" s="168"/>
      <c r="AB151" s="513"/>
      <c r="AC151" s="513"/>
    </row>
    <row r="152" spans="1:29" s="167" customFormat="1">
      <c r="A152" s="169">
        <v>230</v>
      </c>
      <c r="B152" s="170" t="s">
        <v>66</v>
      </c>
      <c r="C152" s="558">
        <f>'[60]Sch C'!D153</f>
        <v>3963.95</v>
      </c>
      <c r="D152" s="558">
        <f>'[60]Sch C'!F153</f>
        <v>0</v>
      </c>
      <c r="E152" s="171">
        <f t="shared" si="38"/>
        <v>3963.95</v>
      </c>
      <c r="F152" s="484"/>
      <c r="G152" s="171">
        <f t="shared" si="39"/>
        <v>3963.95</v>
      </c>
      <c r="H152" s="172">
        <f t="shared" si="40"/>
        <v>8.05370540187872E-4</v>
      </c>
      <c r="I152" s="336"/>
      <c r="J152" s="168"/>
      <c r="K152" s="168"/>
      <c r="M152" s="364">
        <f t="shared" si="34"/>
        <v>0.20421152954510327</v>
      </c>
      <c r="N152" s="359">
        <f>SUMMARY!J155</f>
        <v>0.16440170079037233</v>
      </c>
      <c r="P152"/>
      <c r="Q152"/>
      <c r="Z152" s="168"/>
      <c r="AA152" s="168"/>
      <c r="AB152" s="513"/>
      <c r="AC152" s="513"/>
    </row>
    <row r="153" spans="1:29" s="167" customFormat="1">
      <c r="A153" s="169">
        <v>430</v>
      </c>
      <c r="B153" s="170" t="s">
        <v>99</v>
      </c>
      <c r="C153" s="558">
        <f>'[60]Sch C'!D154</f>
        <v>0</v>
      </c>
      <c r="D153" s="558">
        <f>'[60]Sch C'!F154</f>
        <v>0</v>
      </c>
      <c r="E153" s="171">
        <f t="shared" si="38"/>
        <v>0</v>
      </c>
      <c r="F153" s="484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  <c r="Z153" s="168"/>
      <c r="AA153" s="168"/>
      <c r="AB153" s="513"/>
      <c r="AC153" s="513"/>
    </row>
    <row r="154" spans="1:29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  <c r="Z154" s="168"/>
      <c r="AA154" s="168"/>
      <c r="AB154" s="513"/>
      <c r="AC154" s="513"/>
    </row>
    <row r="155" spans="1:29" s="167" customFormat="1">
      <c r="A155" s="169">
        <v>440.1</v>
      </c>
      <c r="B155" s="163" t="s">
        <v>223</v>
      </c>
      <c r="C155" s="558">
        <f>'[60]Sch C'!D156</f>
        <v>0</v>
      </c>
      <c r="D155" s="558">
        <f>'[60]Sch C'!F156</f>
        <v>0</v>
      </c>
      <c r="E155" s="171">
        <f t="shared" ref="E155:E160" si="41">C155+D155</f>
        <v>0</v>
      </c>
      <c r="F155" s="484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  <c r="Z155" s="168"/>
      <c r="AA155" s="168"/>
      <c r="AB155" s="513"/>
      <c r="AC155" s="513"/>
    </row>
    <row r="156" spans="1:29" s="167" customFormat="1">
      <c r="A156" s="169">
        <v>440.2</v>
      </c>
      <c r="B156" s="163" t="s">
        <v>224</v>
      </c>
      <c r="C156" s="558">
        <f>'[60]Sch C'!D157</f>
        <v>0</v>
      </c>
      <c r="D156" s="558">
        <f>'[60]Sch C'!F157</f>
        <v>0</v>
      </c>
      <c r="E156" s="171">
        <f t="shared" si="41"/>
        <v>0</v>
      </c>
      <c r="F156" s="484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  <c r="Z156" s="168"/>
      <c r="AA156" s="168"/>
      <c r="AB156" s="513"/>
      <c r="AC156" s="513"/>
    </row>
    <row r="157" spans="1:29" s="167" customFormat="1">
      <c r="A157" s="169">
        <v>440.3</v>
      </c>
      <c r="B157" s="163" t="s">
        <v>225</v>
      </c>
      <c r="C157" s="558">
        <f>'[60]Sch C'!D158</f>
        <v>0</v>
      </c>
      <c r="D157" s="558">
        <f>'[60]Sch C'!F158</f>
        <v>0</v>
      </c>
      <c r="E157" s="171">
        <f t="shared" si="41"/>
        <v>0</v>
      </c>
      <c r="F157" s="484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  <c r="Z157" s="168"/>
      <c r="AA157" s="168"/>
      <c r="AB157" s="513"/>
      <c r="AC157" s="513"/>
    </row>
    <row r="158" spans="1:29" s="167" customFormat="1">
      <c r="A158" s="169">
        <v>440.4</v>
      </c>
      <c r="B158" s="163" t="s">
        <v>226</v>
      </c>
      <c r="C158" s="558">
        <f>'[60]Sch C'!D159</f>
        <v>0</v>
      </c>
      <c r="D158" s="558">
        <f>'[60]Sch C'!F159</f>
        <v>0</v>
      </c>
      <c r="E158" s="171">
        <f t="shared" si="41"/>
        <v>0</v>
      </c>
      <c r="F158" s="484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  <c r="Z158" s="168"/>
      <c r="AA158" s="168"/>
      <c r="AB158" s="513"/>
      <c r="AC158" s="513"/>
    </row>
    <row r="159" spans="1:29" s="167" customFormat="1">
      <c r="A159" s="169">
        <v>440.5</v>
      </c>
      <c r="B159" s="163" t="s">
        <v>301</v>
      </c>
      <c r="C159" s="558">
        <f>'[60]Sch C'!D160</f>
        <v>4031.45</v>
      </c>
      <c r="D159" s="558">
        <f>'[60]Sch C'!F160</f>
        <v>0</v>
      </c>
      <c r="E159" s="171">
        <f t="shared" si="41"/>
        <v>4031.45</v>
      </c>
      <c r="F159" s="484"/>
      <c r="G159" s="171">
        <f t="shared" si="42"/>
        <v>4031.45</v>
      </c>
      <c r="H159" s="172">
        <f>IF($G$208=0,0,G159/$G$208)</f>
        <v>8.1908476752744024E-4</v>
      </c>
      <c r="I159" s="336"/>
      <c r="J159" s="168"/>
      <c r="K159" s="168"/>
      <c r="M159" s="364">
        <f t="shared" si="34"/>
        <v>0.20768893926124363</v>
      </c>
      <c r="N159" s="359">
        <f>SUMMARY!J162</f>
        <v>1.6643468549097623E-2</v>
      </c>
      <c r="P159"/>
      <c r="Q159"/>
      <c r="Z159" s="168"/>
      <c r="AA159" s="168"/>
      <c r="AB159" s="513"/>
      <c r="AC159" s="513"/>
    </row>
    <row r="160" spans="1:29" s="167" customFormat="1">
      <c r="A160" s="169">
        <v>490</v>
      </c>
      <c r="B160" s="202" t="s">
        <v>315</v>
      </c>
      <c r="C160" s="558">
        <f>'[60]Sch C'!D161</f>
        <v>32403.05</v>
      </c>
      <c r="D160" s="558">
        <f>'[60]Sch C'!F161</f>
        <v>0</v>
      </c>
      <c r="E160" s="171">
        <f t="shared" si="41"/>
        <v>32403.05</v>
      </c>
      <c r="F160" s="484"/>
      <c r="G160" s="171">
        <f t="shared" si="42"/>
        <v>32403.05</v>
      </c>
      <c r="H160" s="172">
        <f t="shared" si="43"/>
        <v>6.5834488028947459E-3</v>
      </c>
      <c r="I160" s="336"/>
      <c r="J160" s="168"/>
      <c r="K160" s="168"/>
      <c r="M160" s="364">
        <f t="shared" si="34"/>
        <v>1.6693137911493483</v>
      </c>
      <c r="N160" s="359">
        <f>SUMMARY!J163</f>
        <v>0.85264911391265397</v>
      </c>
      <c r="P160"/>
      <c r="Q160"/>
      <c r="Z160" s="168"/>
      <c r="AA160" s="168"/>
      <c r="AB160" s="513"/>
      <c r="AC160" s="513"/>
    </row>
    <row r="161" spans="1:29" s="167" customFormat="1">
      <c r="A161" s="169"/>
      <c r="B161" s="170" t="s">
        <v>233</v>
      </c>
      <c r="C161" s="558">
        <f>SUM(C123:C160)</f>
        <v>1897925.66</v>
      </c>
      <c r="D161" s="558">
        <f>SUM(D123:D160)</f>
        <v>0</v>
      </c>
      <c r="E161" s="171">
        <f t="shared" ref="E161:F161" si="44">SUM(E123:E160)</f>
        <v>1897925.66</v>
      </c>
      <c r="F161" s="171">
        <f t="shared" si="44"/>
        <v>0</v>
      </c>
      <c r="G161" s="171">
        <f>SUM(G123:G160)</f>
        <v>1897925.66</v>
      </c>
      <c r="H161" s="172">
        <f t="shared" si="43"/>
        <v>0.38560865147911139</v>
      </c>
      <c r="I161" s="336"/>
      <c r="J161" s="168"/>
      <c r="K161" s="168"/>
      <c r="M161" s="364">
        <f>G161/G$228</f>
        <v>97.775779712534131</v>
      </c>
      <c r="N161" s="359">
        <f>SUMMARY!J164</f>
        <v>105.56901037202306</v>
      </c>
      <c r="O161" s="354">
        <f>M161/N161-1</f>
        <v>-7.3821196504786246E-2</v>
      </c>
      <c r="P161"/>
      <c r="Q161"/>
      <c r="Z161" s="168"/>
      <c r="AA161" s="168"/>
      <c r="AB161" s="513"/>
      <c r="AC161" s="513"/>
    </row>
    <row r="162" spans="1:29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  <c r="Z162" s="168"/>
      <c r="AA162" s="168"/>
      <c r="AB162" s="513"/>
      <c r="AC162" s="513"/>
    </row>
    <row r="163" spans="1:29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  <c r="Z163" s="168"/>
      <c r="AA163" s="168"/>
      <c r="AB163" s="513"/>
      <c r="AC163" s="513"/>
    </row>
    <row r="164" spans="1:29" s="221" customFormat="1">
      <c r="A164" s="215" t="s">
        <v>95</v>
      </c>
      <c r="B164" s="148" t="s">
        <v>102</v>
      </c>
      <c r="C164" s="558">
        <f>'[60]Sch C'!D175</f>
        <v>0</v>
      </c>
      <c r="D164" s="558">
        <f>'[60]Sch C'!F175</f>
        <v>0</v>
      </c>
      <c r="E164" s="171">
        <f t="shared" ref="E164:E196" si="45">C164+D164</f>
        <v>0</v>
      </c>
      <c r="F164" s="484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  <c r="Z164" s="217">
        <v>0</v>
      </c>
      <c r="AA164" s="217">
        <v>0</v>
      </c>
      <c r="AB164" s="486">
        <v>0</v>
      </c>
      <c r="AC164" s="486">
        <v>0</v>
      </c>
    </row>
    <row r="165" spans="1:29" s="221" customFormat="1">
      <c r="A165" s="215" t="s">
        <v>123</v>
      </c>
      <c r="B165" s="148" t="s">
        <v>103</v>
      </c>
      <c r="C165" s="558">
        <f>'[60]Sch C'!D176</f>
        <v>0</v>
      </c>
      <c r="D165" s="558">
        <f>'[60]Sch C'!F176</f>
        <v>0</v>
      </c>
      <c r="E165" s="171">
        <f t="shared" si="45"/>
        <v>0</v>
      </c>
      <c r="F165" s="484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  <c r="Z165" s="222"/>
      <c r="AA165" s="222"/>
      <c r="AB165" s="519"/>
      <c r="AC165" s="519"/>
    </row>
    <row r="166" spans="1:29" s="221" customFormat="1">
      <c r="A166" s="215" t="s">
        <v>124</v>
      </c>
      <c r="B166" s="148" t="s">
        <v>104</v>
      </c>
      <c r="C166" s="558">
        <f>'[60]Sch C'!D177</f>
        <v>0</v>
      </c>
      <c r="D166" s="558">
        <f>'[60]Sch C'!F177</f>
        <v>0</v>
      </c>
      <c r="E166" s="171">
        <f t="shared" si="45"/>
        <v>0</v>
      </c>
      <c r="F166" s="484"/>
      <c r="G166" s="171">
        <f t="shared" si="46"/>
        <v>0</v>
      </c>
      <c r="H166" s="172">
        <f t="shared" si="47"/>
        <v>0</v>
      </c>
      <c r="I166" s="342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  <c r="Z166" s="217">
        <v>0</v>
      </c>
      <c r="AA166" s="217">
        <v>0</v>
      </c>
      <c r="AB166" s="486">
        <v>0</v>
      </c>
      <c r="AC166" s="486">
        <v>0</v>
      </c>
    </row>
    <row r="167" spans="1:29" s="221" customFormat="1">
      <c r="A167" s="215" t="s">
        <v>157</v>
      </c>
      <c r="B167" s="148" t="s">
        <v>105</v>
      </c>
      <c r="C167" s="558">
        <f>'[60]Sch C'!D178</f>
        <v>0</v>
      </c>
      <c r="D167" s="558">
        <f>'[60]Sch C'!F178</f>
        <v>0</v>
      </c>
      <c r="E167" s="171">
        <f t="shared" si="45"/>
        <v>0</v>
      </c>
      <c r="F167" s="484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  <c r="Z167" s="222"/>
      <c r="AA167" s="222"/>
      <c r="AB167" s="519"/>
      <c r="AC167" s="519"/>
    </row>
    <row r="168" spans="1:29" s="221" customFormat="1">
      <c r="A168" s="215" t="s">
        <v>158</v>
      </c>
      <c r="B168" s="148" t="s">
        <v>316</v>
      </c>
      <c r="C168" s="558">
        <f>'[60]Sch C'!D179</f>
        <v>0</v>
      </c>
      <c r="D168" s="558">
        <f>'[60]Sch C'!F179</f>
        <v>0</v>
      </c>
      <c r="E168" s="171">
        <f t="shared" si="45"/>
        <v>0</v>
      </c>
      <c r="F168" s="484"/>
      <c r="G168" s="171">
        <f t="shared" si="46"/>
        <v>0</v>
      </c>
      <c r="H168" s="172">
        <f t="shared" si="47"/>
        <v>0</v>
      </c>
      <c r="I168" s="342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  <c r="Z168" s="217">
        <v>0</v>
      </c>
      <c r="AA168" s="217">
        <v>0</v>
      </c>
      <c r="AB168" s="486">
        <v>0</v>
      </c>
      <c r="AC168" s="486">
        <v>0</v>
      </c>
    </row>
    <row r="169" spans="1:29" s="221" customFormat="1">
      <c r="A169" s="215" t="s">
        <v>86</v>
      </c>
      <c r="B169" s="148" t="s">
        <v>317</v>
      </c>
      <c r="C169" s="558">
        <f>'[60]Sch C'!D180</f>
        <v>0</v>
      </c>
      <c r="D169" s="558">
        <f>'[60]Sch C'!F180</f>
        <v>0</v>
      </c>
      <c r="E169" s="171">
        <f t="shared" si="45"/>
        <v>0</v>
      </c>
      <c r="F169" s="484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  <c r="Z169" s="222"/>
      <c r="AA169" s="222"/>
      <c r="AB169" s="519"/>
      <c r="AC169" s="519"/>
    </row>
    <row r="170" spans="1:29" s="221" customFormat="1">
      <c r="A170" s="215" t="s">
        <v>96</v>
      </c>
      <c r="B170" s="148" t="s">
        <v>318</v>
      </c>
      <c r="C170" s="558">
        <f>'[60]Sch C'!D181</f>
        <v>0</v>
      </c>
      <c r="D170" s="558">
        <f>'[60]Sch C'!F181</f>
        <v>0</v>
      </c>
      <c r="E170" s="171">
        <f t="shared" si="45"/>
        <v>0</v>
      </c>
      <c r="F170" s="484"/>
      <c r="G170" s="171">
        <f t="shared" si="46"/>
        <v>0</v>
      </c>
      <c r="H170" s="172">
        <f t="shared" si="47"/>
        <v>0</v>
      </c>
      <c r="I170" s="342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  <c r="Z170" s="217">
        <v>0</v>
      </c>
      <c r="AA170" s="217">
        <v>0</v>
      </c>
      <c r="AB170" s="486">
        <v>0</v>
      </c>
      <c r="AC170" s="486">
        <v>0</v>
      </c>
    </row>
    <row r="171" spans="1:29" s="221" customFormat="1">
      <c r="A171" s="215" t="s">
        <v>125</v>
      </c>
      <c r="B171" s="148" t="s">
        <v>109</v>
      </c>
      <c r="C171" s="558">
        <f>'[60]Sch C'!D182</f>
        <v>0</v>
      </c>
      <c r="D171" s="558">
        <f>'[60]Sch C'!F182</f>
        <v>0</v>
      </c>
      <c r="E171" s="171">
        <f t="shared" si="45"/>
        <v>0</v>
      </c>
      <c r="F171" s="484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  <c r="Z171" s="222"/>
      <c r="AA171" s="222"/>
      <c r="AB171" s="519"/>
      <c r="AC171" s="519"/>
    </row>
    <row r="172" spans="1:29" s="221" customFormat="1">
      <c r="A172" s="215" t="s">
        <v>126</v>
      </c>
      <c r="B172" s="148" t="s">
        <v>319</v>
      </c>
      <c r="C172" s="558">
        <f>'[60]Sch C'!D183</f>
        <v>0</v>
      </c>
      <c r="D172" s="558">
        <f>'[60]Sch C'!F183</f>
        <v>0</v>
      </c>
      <c r="E172" s="171">
        <f t="shared" si="45"/>
        <v>0</v>
      </c>
      <c r="F172" s="484"/>
      <c r="G172" s="171">
        <f t="shared" si="46"/>
        <v>0</v>
      </c>
      <c r="H172" s="172">
        <f t="shared" si="47"/>
        <v>0</v>
      </c>
      <c r="I172" s="342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  <c r="Z172" s="217">
        <v>0</v>
      </c>
      <c r="AA172" s="217">
        <v>0</v>
      </c>
      <c r="AB172" s="486">
        <v>0</v>
      </c>
      <c r="AC172" s="486">
        <v>0</v>
      </c>
    </row>
    <row r="173" spans="1:29" s="221" customFormat="1">
      <c r="A173" s="215" t="s">
        <v>127</v>
      </c>
      <c r="B173" s="148" t="s">
        <v>111</v>
      </c>
      <c r="C173" s="558">
        <f>'[60]Sch C'!D184</f>
        <v>0</v>
      </c>
      <c r="D173" s="558">
        <f>'[60]Sch C'!F184</f>
        <v>0</v>
      </c>
      <c r="E173" s="171">
        <f t="shared" si="45"/>
        <v>0</v>
      </c>
      <c r="F173" s="484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  <c r="Z173" s="222"/>
      <c r="AA173" s="222"/>
      <c r="AB173" s="519"/>
      <c r="AC173" s="519"/>
    </row>
    <row r="174" spans="1:29" s="221" customFormat="1">
      <c r="A174" s="215" t="s">
        <v>128</v>
      </c>
      <c r="B174" s="148" t="s">
        <v>320</v>
      </c>
      <c r="C174" s="558">
        <f>'[60]Sch C'!D185</f>
        <v>0</v>
      </c>
      <c r="D174" s="558">
        <f>'[60]Sch C'!F185</f>
        <v>0</v>
      </c>
      <c r="E174" s="171">
        <f t="shared" si="45"/>
        <v>0</v>
      </c>
      <c r="F174" s="484"/>
      <c r="G174" s="171">
        <f t="shared" si="46"/>
        <v>0</v>
      </c>
      <c r="H174" s="172">
        <f t="shared" si="47"/>
        <v>0</v>
      </c>
      <c r="I174" s="342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  <c r="Z174" s="217">
        <v>0</v>
      </c>
      <c r="AA174" s="217">
        <v>0</v>
      </c>
      <c r="AB174" s="486">
        <v>0</v>
      </c>
      <c r="AC174" s="486">
        <v>0</v>
      </c>
    </row>
    <row r="175" spans="1:29" s="221" customFormat="1">
      <c r="A175" s="215" t="s">
        <v>129</v>
      </c>
      <c r="B175" s="148" t="s">
        <v>321</v>
      </c>
      <c r="C175" s="558">
        <f>'[60]Sch C'!D186</f>
        <v>0</v>
      </c>
      <c r="D175" s="558">
        <f>'[60]Sch C'!F186</f>
        <v>0</v>
      </c>
      <c r="E175" s="171">
        <f t="shared" si="45"/>
        <v>0</v>
      </c>
      <c r="F175" s="484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  <c r="Z175" s="223"/>
      <c r="AA175" s="218"/>
      <c r="AB175" s="520"/>
      <c r="AC175" s="521"/>
    </row>
    <row r="176" spans="1:29" s="221" customFormat="1">
      <c r="A176" s="224" t="s">
        <v>293</v>
      </c>
      <c r="B176" s="148" t="s">
        <v>154</v>
      </c>
      <c r="C176" s="558">
        <f>'[60]Sch C'!D187</f>
        <v>0</v>
      </c>
      <c r="D176" s="558">
        <f>'[60]Sch C'!F187</f>
        <v>0</v>
      </c>
      <c r="E176" s="171">
        <f t="shared" si="45"/>
        <v>0</v>
      </c>
      <c r="F176" s="484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  <c r="Z176" s="223"/>
      <c r="AA176" s="218"/>
      <c r="AB176" s="520"/>
      <c r="AC176" s="521"/>
    </row>
    <row r="177" spans="1:29" s="221" customFormat="1">
      <c r="A177" s="224" t="s">
        <v>294</v>
      </c>
      <c r="B177" s="148" t="s">
        <v>322</v>
      </c>
      <c r="C177" s="558">
        <f>'[60]Sch C'!D188</f>
        <v>0</v>
      </c>
      <c r="D177" s="558">
        <f>'[60]Sch C'!F188</f>
        <v>0</v>
      </c>
      <c r="E177" s="171">
        <f t="shared" si="45"/>
        <v>0</v>
      </c>
      <c r="F177" s="484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  <c r="Z177" s="223"/>
      <c r="AA177" s="218"/>
      <c r="AB177" s="520"/>
      <c r="AC177" s="521"/>
    </row>
    <row r="178" spans="1:29" s="221" customFormat="1">
      <c r="A178" s="224" t="s">
        <v>295</v>
      </c>
      <c r="B178" s="148" t="s">
        <v>323</v>
      </c>
      <c r="C178" s="558">
        <f>'[60]Sch C'!D189</f>
        <v>0</v>
      </c>
      <c r="D178" s="558">
        <f>'[60]Sch C'!F189</f>
        <v>0</v>
      </c>
      <c r="E178" s="171">
        <f t="shared" si="45"/>
        <v>0</v>
      </c>
      <c r="F178" s="484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  <c r="Z178" s="223"/>
      <c r="AA178" s="218"/>
      <c r="AB178" s="520"/>
      <c r="AC178" s="521"/>
    </row>
    <row r="179" spans="1:29" s="221" customFormat="1">
      <c r="A179" s="224" t="s">
        <v>296</v>
      </c>
      <c r="B179" s="148" t="s">
        <v>324</v>
      </c>
      <c r="C179" s="558">
        <f>'[60]Sch C'!D190</f>
        <v>0</v>
      </c>
      <c r="D179" s="558">
        <f>'[60]Sch C'!F190</f>
        <v>0</v>
      </c>
      <c r="E179" s="171">
        <f t="shared" si="45"/>
        <v>0</v>
      </c>
      <c r="F179" s="484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  <c r="Z179" s="223"/>
      <c r="AA179" s="218"/>
      <c r="AB179" s="520"/>
      <c r="AC179" s="521"/>
    </row>
    <row r="180" spans="1:29" s="221" customFormat="1">
      <c r="A180" s="224" t="s">
        <v>297</v>
      </c>
      <c r="B180" s="148" t="s">
        <v>325</v>
      </c>
      <c r="C180" s="558">
        <f>'[60]Sch C'!D191</f>
        <v>0</v>
      </c>
      <c r="D180" s="558">
        <f>'[60]Sch C'!F191</f>
        <v>0</v>
      </c>
      <c r="E180" s="171">
        <f t="shared" si="45"/>
        <v>0</v>
      </c>
      <c r="F180" s="484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  <c r="Z180" s="223"/>
      <c r="AA180" s="218"/>
      <c r="AB180" s="520"/>
      <c r="AC180" s="521"/>
    </row>
    <row r="181" spans="1:29" s="221" customFormat="1">
      <c r="A181" s="224" t="s">
        <v>298</v>
      </c>
      <c r="B181" s="148" t="s">
        <v>117</v>
      </c>
      <c r="C181" s="558">
        <f>'[60]Sch C'!D192</f>
        <v>0</v>
      </c>
      <c r="D181" s="558">
        <f>'[60]Sch C'!F192</f>
        <v>0</v>
      </c>
      <c r="E181" s="171">
        <f t="shared" si="45"/>
        <v>0</v>
      </c>
      <c r="F181" s="484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  <c r="Z181" s="223"/>
      <c r="AA181" s="218"/>
      <c r="AB181" s="520"/>
      <c r="AC181" s="521"/>
    </row>
    <row r="182" spans="1:29" s="221" customFormat="1">
      <c r="A182" s="224" t="s">
        <v>132</v>
      </c>
      <c r="B182" s="148" t="s">
        <v>118</v>
      </c>
      <c r="C182" s="558">
        <f>'[60]Sch C'!D193</f>
        <v>0</v>
      </c>
      <c r="D182" s="558">
        <f>'[60]Sch C'!F193</f>
        <v>0</v>
      </c>
      <c r="E182" s="171">
        <f t="shared" si="45"/>
        <v>0</v>
      </c>
      <c r="F182" s="484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  <c r="Z182" s="223"/>
      <c r="AA182" s="218"/>
      <c r="AB182" s="520"/>
      <c r="AC182" s="521"/>
    </row>
    <row r="183" spans="1:29" s="221" customFormat="1">
      <c r="A183" s="224" t="s">
        <v>133</v>
      </c>
      <c r="B183" s="148" t="s">
        <v>119</v>
      </c>
      <c r="C183" s="558">
        <f>'[60]Sch C'!D194</f>
        <v>299845.96000000002</v>
      </c>
      <c r="D183" s="558">
        <f>'[60]Sch C'!F194</f>
        <v>-6079.07</v>
      </c>
      <c r="E183" s="171">
        <f t="shared" si="45"/>
        <v>293766.89</v>
      </c>
      <c r="F183" s="484"/>
      <c r="G183" s="171">
        <f t="shared" si="46"/>
        <v>293766.89</v>
      </c>
      <c r="H183" s="172">
        <f t="shared" si="47"/>
        <v>5.9685717248858135E-2</v>
      </c>
      <c r="I183" s="336"/>
      <c r="J183" s="223"/>
      <c r="K183" s="218"/>
      <c r="M183" s="364">
        <f t="shared" si="48"/>
        <v>15.134042038019681</v>
      </c>
      <c r="N183" s="359">
        <f>SUMMARY!J186</f>
        <v>7.2780776577335544</v>
      </c>
      <c r="O183" s="220"/>
      <c r="P183"/>
      <c r="Q183"/>
      <c r="R183" s="220"/>
      <c r="S183" s="220"/>
      <c r="Z183" s="223"/>
      <c r="AA183" s="218"/>
      <c r="AB183" s="520"/>
      <c r="AC183" s="521"/>
    </row>
    <row r="184" spans="1:29" s="221" customFormat="1">
      <c r="A184" s="224" t="s">
        <v>134</v>
      </c>
      <c r="B184" s="148" t="s">
        <v>326</v>
      </c>
      <c r="C184" s="558">
        <f>'[60]Sch C'!D195</f>
        <v>107078.97</v>
      </c>
      <c r="D184" s="558">
        <f>'[60]Sch C'!F195</f>
        <v>-2161.4499999999998</v>
      </c>
      <c r="E184" s="171">
        <f t="shared" si="45"/>
        <v>104917.52</v>
      </c>
      <c r="F184" s="484"/>
      <c r="G184" s="171">
        <f t="shared" si="46"/>
        <v>104917.52</v>
      </c>
      <c r="H184" s="172">
        <f t="shared" si="47"/>
        <v>2.1316484758276941E-2</v>
      </c>
      <c r="I184" s="336"/>
      <c r="J184" s="223"/>
      <c r="K184" s="218"/>
      <c r="M184" s="364">
        <f t="shared" si="48"/>
        <v>5.4050548657977435</v>
      </c>
      <c r="N184" s="359">
        <f>SUMMARY!J187</f>
        <v>1.7471448792019588</v>
      </c>
      <c r="O184" s="220"/>
      <c r="P184"/>
      <c r="Q184"/>
      <c r="R184" s="220"/>
      <c r="S184" s="220"/>
      <c r="Z184" s="223"/>
      <c r="AA184" s="218"/>
      <c r="AB184" s="520"/>
      <c r="AC184" s="521"/>
    </row>
    <row r="185" spans="1:29" s="221" customFormat="1">
      <c r="A185" s="224" t="s">
        <v>135</v>
      </c>
      <c r="B185" s="148" t="s">
        <v>327</v>
      </c>
      <c r="C185" s="558">
        <f>'[60]Sch C'!D196</f>
        <v>0</v>
      </c>
      <c r="D185" s="558">
        <f>'[60]Sch C'!F196</f>
        <v>0</v>
      </c>
      <c r="E185" s="171">
        <f t="shared" si="45"/>
        <v>0</v>
      </c>
      <c r="F185" s="484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  <c r="Z185" s="223"/>
      <c r="AA185" s="218"/>
      <c r="AB185" s="520"/>
      <c r="AC185" s="521"/>
    </row>
    <row r="186" spans="1:29" s="221" customFormat="1">
      <c r="A186" s="224" t="s">
        <v>136</v>
      </c>
      <c r="B186" s="148" t="s">
        <v>328</v>
      </c>
      <c r="C186" s="558">
        <f>'[60]Sch C'!D197</f>
        <v>255987.46</v>
      </c>
      <c r="D186" s="558">
        <f>'[60]Sch C'!F197</f>
        <v>-5268.53</v>
      </c>
      <c r="E186" s="171">
        <f t="shared" si="45"/>
        <v>250718.93</v>
      </c>
      <c r="F186" s="484"/>
      <c r="G186" s="171">
        <f t="shared" si="46"/>
        <v>250718.93</v>
      </c>
      <c r="H186" s="172">
        <f t="shared" si="47"/>
        <v>5.0939502286715344E-2</v>
      </c>
      <c r="I186" s="336"/>
      <c r="J186" s="223"/>
      <c r="K186" s="218"/>
      <c r="M186" s="364">
        <f t="shared" si="48"/>
        <v>12.916332491886044</v>
      </c>
      <c r="N186" s="359">
        <f>SUMMARY!J189</f>
        <v>5.0164683871805966</v>
      </c>
      <c r="O186" s="220"/>
      <c r="P186"/>
      <c r="Q186"/>
      <c r="R186" s="220"/>
      <c r="S186" s="220"/>
      <c r="Z186" s="223"/>
      <c r="AA186" s="218"/>
      <c r="AB186" s="520"/>
      <c r="AC186" s="521"/>
    </row>
    <row r="187" spans="1:29" s="221" customFormat="1">
      <c r="A187" s="224" t="s">
        <v>137</v>
      </c>
      <c r="B187" s="148" t="s">
        <v>122</v>
      </c>
      <c r="C187" s="558">
        <f>'[60]Sch C'!D198</f>
        <v>28444.13</v>
      </c>
      <c r="D187" s="558">
        <f>'[60]Sch C'!F198</f>
        <v>0</v>
      </c>
      <c r="E187" s="171">
        <f t="shared" si="45"/>
        <v>28444.13</v>
      </c>
      <c r="F187" s="484"/>
      <c r="G187" s="171">
        <f t="shared" si="46"/>
        <v>28444.13</v>
      </c>
      <c r="H187" s="172">
        <f t="shared" si="47"/>
        <v>5.7791002266108452E-3</v>
      </c>
      <c r="I187" s="336"/>
      <c r="J187" s="223"/>
      <c r="K187" s="218"/>
      <c r="M187" s="364">
        <f t="shared" si="48"/>
        <v>1.4653613930245737</v>
      </c>
      <c r="N187" s="359">
        <f>SUMMARY!J190</f>
        <v>1.4762344610483848</v>
      </c>
      <c r="O187" s="220"/>
      <c r="P187"/>
      <c r="Q187"/>
      <c r="R187" s="220"/>
      <c r="S187" s="220"/>
      <c r="Z187" s="223"/>
      <c r="AA187" s="218"/>
      <c r="AB187" s="520"/>
      <c r="AC187" s="521"/>
    </row>
    <row r="188" spans="1:29" s="221" customFormat="1">
      <c r="A188" s="224" t="s">
        <v>275</v>
      </c>
      <c r="B188" s="148" t="s">
        <v>329</v>
      </c>
      <c r="C188" s="558">
        <f>'[60]Sch C'!D199</f>
        <v>0</v>
      </c>
      <c r="D188" s="558">
        <f>'[60]Sch C'!F199</f>
        <v>0</v>
      </c>
      <c r="E188" s="171">
        <f t="shared" si="45"/>
        <v>0</v>
      </c>
      <c r="F188" s="484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  <c r="Z188" s="223"/>
      <c r="AA188" s="218"/>
      <c r="AB188" s="520"/>
      <c r="AC188" s="521"/>
    </row>
    <row r="189" spans="1:29" s="221" customFormat="1">
      <c r="A189" s="224" t="s">
        <v>277</v>
      </c>
      <c r="B189" s="148" t="s">
        <v>278</v>
      </c>
      <c r="C189" s="558">
        <f>'[60]Sch C'!D200</f>
        <v>0</v>
      </c>
      <c r="D189" s="558">
        <f>'[60]Sch C'!F200</f>
        <v>0</v>
      </c>
      <c r="E189" s="171">
        <f t="shared" si="45"/>
        <v>0</v>
      </c>
      <c r="F189" s="484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  <c r="Z189" s="223"/>
      <c r="AA189" s="218"/>
      <c r="AB189" s="520"/>
      <c r="AC189" s="521"/>
    </row>
    <row r="190" spans="1:29" s="221" customFormat="1">
      <c r="A190" s="225" t="s">
        <v>279</v>
      </c>
      <c r="B190" s="226" t="s">
        <v>280</v>
      </c>
      <c r="C190" s="558">
        <f>'[60]Sch C'!D201</f>
        <v>0</v>
      </c>
      <c r="D190" s="558">
        <f>'[60]Sch C'!F201</f>
        <v>0</v>
      </c>
      <c r="E190" s="171">
        <f t="shared" si="45"/>
        <v>0</v>
      </c>
      <c r="F190" s="484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  <c r="Z190" s="223"/>
      <c r="AA190" s="218"/>
      <c r="AB190" s="520"/>
      <c r="AC190" s="521"/>
    </row>
    <row r="191" spans="1:29" s="221" customFormat="1">
      <c r="A191" s="225" t="s">
        <v>281</v>
      </c>
      <c r="B191" s="226" t="s">
        <v>282</v>
      </c>
      <c r="C191" s="558">
        <f>'[60]Sch C'!D202</f>
        <v>0</v>
      </c>
      <c r="D191" s="558">
        <f>'[60]Sch C'!F202</f>
        <v>0</v>
      </c>
      <c r="E191" s="171">
        <f t="shared" si="45"/>
        <v>0</v>
      </c>
      <c r="F191" s="484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  <c r="Z191" s="223"/>
      <c r="AA191" s="218"/>
      <c r="AB191" s="520"/>
      <c r="AC191" s="521"/>
    </row>
    <row r="192" spans="1:29" s="221" customFormat="1">
      <c r="A192" s="225" t="s">
        <v>283</v>
      </c>
      <c r="B192" s="226" t="s">
        <v>330</v>
      </c>
      <c r="C192" s="558">
        <f>'[60]Sch C'!D203</f>
        <v>0</v>
      </c>
      <c r="D192" s="558">
        <f>'[60]Sch C'!F203</f>
        <v>0</v>
      </c>
      <c r="E192" s="171">
        <f t="shared" si="45"/>
        <v>0</v>
      </c>
      <c r="F192" s="484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  <c r="Z192" s="223"/>
      <c r="AA192" s="218"/>
      <c r="AB192" s="520"/>
      <c r="AC192" s="521"/>
    </row>
    <row r="193" spans="1:29" s="221" customFormat="1">
      <c r="A193" s="225" t="s">
        <v>285</v>
      </c>
      <c r="B193" s="226" t="s">
        <v>331</v>
      </c>
      <c r="C193" s="558">
        <f>'[60]Sch C'!D204</f>
        <v>0</v>
      </c>
      <c r="D193" s="558">
        <f>'[60]Sch C'!F204</f>
        <v>0</v>
      </c>
      <c r="E193" s="171">
        <f t="shared" si="45"/>
        <v>0</v>
      </c>
      <c r="F193" s="484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  <c r="Z193" s="223"/>
      <c r="AA193" s="218"/>
      <c r="AB193" s="520"/>
      <c r="AC193" s="521"/>
    </row>
    <row r="194" spans="1:29" s="221" customFormat="1">
      <c r="A194" s="224" t="s">
        <v>138</v>
      </c>
      <c r="B194" s="148" t="s">
        <v>332</v>
      </c>
      <c r="C194" s="558">
        <f>'[60]Sch C'!D205</f>
        <v>242943.19</v>
      </c>
      <c r="D194" s="558">
        <f>'[60]Sch C'!F205</f>
        <v>-61309.05</v>
      </c>
      <c r="E194" s="171">
        <f t="shared" si="45"/>
        <v>181634.14</v>
      </c>
      <c r="F194" s="484"/>
      <c r="G194" s="171">
        <f t="shared" si="46"/>
        <v>181634.14</v>
      </c>
      <c r="H194" s="172">
        <f t="shared" si="47"/>
        <v>3.6903287238325304E-2</v>
      </c>
      <c r="I194" s="336"/>
      <c r="J194" s="223"/>
      <c r="K194" s="218"/>
      <c r="M194" s="364">
        <f t="shared" si="48"/>
        <v>9.3572788625006442</v>
      </c>
      <c r="N194" s="359">
        <f>SUMMARY!J197</f>
        <v>9.4138592764245246</v>
      </c>
      <c r="O194" s="220"/>
      <c r="P194"/>
      <c r="Q194"/>
      <c r="R194" s="220"/>
      <c r="S194" s="220"/>
      <c r="Z194" s="223"/>
      <c r="AA194" s="218"/>
      <c r="AB194" s="520"/>
      <c r="AC194" s="521"/>
    </row>
    <row r="195" spans="1:29" s="221" customFormat="1">
      <c r="A195" s="224" t="s">
        <v>139</v>
      </c>
      <c r="B195" s="148" t="s">
        <v>67</v>
      </c>
      <c r="C195" s="558">
        <f>'[60]Sch C'!D206</f>
        <v>30863.35</v>
      </c>
      <c r="D195" s="558">
        <f>'[60]Sch C'!F206</f>
        <v>0</v>
      </c>
      <c r="E195" s="171">
        <f t="shared" si="45"/>
        <v>30863.35</v>
      </c>
      <c r="F195" s="484"/>
      <c r="G195" s="171">
        <f t="shared" si="46"/>
        <v>30863.35</v>
      </c>
      <c r="H195" s="172">
        <f t="shared" si="47"/>
        <v>6.2706221979357364E-3</v>
      </c>
      <c r="I195" s="336"/>
      <c r="J195" s="223"/>
      <c r="K195" s="218"/>
      <c r="M195" s="364">
        <f t="shared" si="48"/>
        <v>1.5899927875946627</v>
      </c>
      <c r="N195" s="359">
        <f>SUMMARY!J198</f>
        <v>0.50303072526897752</v>
      </c>
      <c r="O195" s="220"/>
      <c r="P195"/>
      <c r="Q195"/>
      <c r="R195" s="220"/>
      <c r="S195" s="220"/>
      <c r="Z195" s="223"/>
      <c r="AA195" s="218"/>
      <c r="AB195" s="520"/>
      <c r="AC195" s="521"/>
    </row>
    <row r="196" spans="1:29" s="221" customFormat="1">
      <c r="A196" s="225" t="s">
        <v>143</v>
      </c>
      <c r="B196" s="194" t="s">
        <v>333</v>
      </c>
      <c r="C196" s="558">
        <f>'[60]Sch C'!D207</f>
        <v>-44426.15</v>
      </c>
      <c r="D196" s="558">
        <f>'[60]Sch C'!F207</f>
        <v>0</v>
      </c>
      <c r="E196" s="171">
        <f t="shared" si="45"/>
        <v>-44426.15</v>
      </c>
      <c r="F196" s="484"/>
      <c r="G196" s="171">
        <f t="shared" si="46"/>
        <v>-44426.15</v>
      </c>
      <c r="H196" s="172">
        <f t="shared" si="47"/>
        <v>-9.0262269766186332E-3</v>
      </c>
      <c r="I196" s="336"/>
      <c r="J196" s="223"/>
      <c r="K196" s="218"/>
      <c r="M196" s="364">
        <f t="shared" si="48"/>
        <v>-2.2887100097882644</v>
      </c>
      <c r="N196" s="359">
        <f>SUMMARY!J199</f>
        <v>0.37420738931321718</v>
      </c>
      <c r="O196" s="220"/>
      <c r="P196"/>
      <c r="Q196"/>
      <c r="R196" s="220"/>
      <c r="S196" s="220"/>
      <c r="Z196" s="223"/>
      <c r="AA196" s="218"/>
      <c r="AB196" s="520"/>
      <c r="AC196" s="521"/>
    </row>
    <row r="197" spans="1:29" s="167" customFormat="1">
      <c r="A197" s="163"/>
      <c r="B197" s="212" t="s">
        <v>130</v>
      </c>
      <c r="C197" s="558">
        <f>SUM(C164:C196)</f>
        <v>920736.90999999992</v>
      </c>
      <c r="D197" s="558">
        <f>SUM(D164:D196)</f>
        <v>-74818.100000000006</v>
      </c>
      <c r="E197" s="171">
        <f t="shared" ref="E197:F197" si="49">SUM(E164:E196)</f>
        <v>845918.81</v>
      </c>
      <c r="F197" s="171">
        <f t="shared" si="49"/>
        <v>0</v>
      </c>
      <c r="G197" s="171">
        <f>SUM(G164:G196)</f>
        <v>845918.81</v>
      </c>
      <c r="H197" s="172">
        <f>IF($G$208=0,0,G197/$G$208)</f>
        <v>0.17186848698010368</v>
      </c>
      <c r="I197" s="336"/>
      <c r="J197" s="168"/>
      <c r="K197" s="168"/>
      <c r="M197" s="364">
        <f>G197/G$228</f>
        <v>43.579352429035083</v>
      </c>
      <c r="N197" s="359">
        <f>SUMMARY!J200</f>
        <v>37.406784978272242</v>
      </c>
      <c r="O197" s="354"/>
      <c r="P197"/>
      <c r="Q197"/>
      <c r="Z197" s="168"/>
      <c r="AA197" s="168"/>
      <c r="AB197" s="513"/>
      <c r="AC197" s="513"/>
    </row>
    <row r="198" spans="1:2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  <c r="Z198" s="168"/>
      <c r="AA198" s="168"/>
      <c r="AB198" s="513"/>
      <c r="AC198" s="513"/>
    </row>
    <row r="199" spans="1:2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  <c r="Z199" s="168"/>
      <c r="AA199" s="168"/>
      <c r="AB199" s="513"/>
      <c r="AC199" s="513"/>
    </row>
    <row r="200" spans="1:29" s="167" customFormat="1">
      <c r="A200" s="169" t="s">
        <v>85</v>
      </c>
      <c r="B200" s="170" t="s">
        <v>69</v>
      </c>
      <c r="C200" s="558">
        <f>'[60]Sch C'!D211</f>
        <v>94019.520000000004</v>
      </c>
      <c r="D200" s="558">
        <f>'[60]Sch C'!F211</f>
        <v>0</v>
      </c>
      <c r="E200" s="171">
        <f t="shared" ref="E200:E205" si="50">C200+D200</f>
        <v>94019.520000000004</v>
      </c>
      <c r="F200" s="484"/>
      <c r="G200" s="171">
        <f t="shared" ref="G200:G205" si="51">E200+F200</f>
        <v>94019.520000000004</v>
      </c>
      <c r="H200" s="172">
        <f t="shared" ref="H200:H206" si="52">IF($G$208=0,0,G200/$G$208)</f>
        <v>1.9102297357586357E-2</v>
      </c>
      <c r="I200" s="336"/>
      <c r="J200" s="183">
        <v>5803.28</v>
      </c>
      <c r="K200" s="183">
        <v>7013.56</v>
      </c>
      <c r="M200" s="364">
        <f t="shared" ref="M200:M205" si="53">G200/G$228</f>
        <v>4.8436206274792646</v>
      </c>
      <c r="N200" s="359">
        <f>SUMMARY!J203</f>
        <v>5.2601700809246292</v>
      </c>
      <c r="P200"/>
      <c r="Q200"/>
      <c r="Z200" s="183">
        <v>3989.52</v>
      </c>
      <c r="AA200" s="183">
        <v>4385.8100000000004</v>
      </c>
      <c r="AB200" s="486">
        <v>2297.54</v>
      </c>
      <c r="AC200" s="486">
        <v>2746.2460000000001</v>
      </c>
    </row>
    <row r="201" spans="1:29" s="167" customFormat="1">
      <c r="A201" s="169" t="s">
        <v>86</v>
      </c>
      <c r="B201" s="170" t="s">
        <v>45</v>
      </c>
      <c r="C201" s="558">
        <f>'[60]Sch C'!D212</f>
        <v>18819.59</v>
      </c>
      <c r="D201" s="558">
        <f>'[60]Sch C'!F212</f>
        <v>0</v>
      </c>
      <c r="E201" s="171">
        <f t="shared" si="50"/>
        <v>18819.59</v>
      </c>
      <c r="F201" s="484"/>
      <c r="G201" s="171">
        <f t="shared" si="51"/>
        <v>18819.59</v>
      </c>
      <c r="H201" s="172">
        <f t="shared" si="52"/>
        <v>3.8236464547772488E-3</v>
      </c>
      <c r="I201" s="336"/>
      <c r="J201" s="168"/>
      <c r="K201" s="168"/>
      <c r="M201" s="364">
        <f t="shared" si="53"/>
        <v>0.96953222399670291</v>
      </c>
      <c r="N201" s="359">
        <f>SUMMARY!J204</f>
        <v>1.0692430699343443</v>
      </c>
      <c r="P201"/>
      <c r="Q201"/>
      <c r="Z201" s="168"/>
      <c r="AA201" s="168"/>
      <c r="AB201" s="513"/>
      <c r="AC201" s="513"/>
    </row>
    <row r="202" spans="1:29" s="167" customFormat="1">
      <c r="A202" s="169" t="s">
        <v>140</v>
      </c>
      <c r="B202" s="170" t="s">
        <v>54</v>
      </c>
      <c r="C202" s="558">
        <f>'[60]Sch C'!D213</f>
        <v>19407</v>
      </c>
      <c r="D202" s="558">
        <f>'[60]Sch C'!F213</f>
        <v>0</v>
      </c>
      <c r="E202" s="171">
        <f t="shared" si="50"/>
        <v>19407</v>
      </c>
      <c r="F202" s="484"/>
      <c r="G202" s="171">
        <f t="shared" si="51"/>
        <v>19407</v>
      </c>
      <c r="H202" s="172">
        <f t="shared" si="52"/>
        <v>3.9429927404296301E-3</v>
      </c>
      <c r="I202" s="336"/>
      <c r="J202" s="168"/>
      <c r="K202" s="168"/>
      <c r="M202" s="364">
        <f t="shared" si="53"/>
        <v>0.99979393127608063</v>
      </c>
      <c r="N202" s="359">
        <f>SUMMARY!J205</f>
        <v>0.45326453571252473</v>
      </c>
      <c r="P202"/>
      <c r="Q202"/>
      <c r="Z202" s="168"/>
      <c r="AA202" s="168"/>
      <c r="AB202" s="513"/>
      <c r="AC202" s="513"/>
    </row>
    <row r="203" spans="1:29" s="167" customFormat="1">
      <c r="A203" s="169" t="s">
        <v>141</v>
      </c>
      <c r="B203" s="170" t="s">
        <v>70</v>
      </c>
      <c r="C203" s="558">
        <f>'[60]Sch C'!D214</f>
        <v>0</v>
      </c>
      <c r="D203" s="558">
        <f>'[60]Sch C'!F214</f>
        <v>0</v>
      </c>
      <c r="E203" s="171">
        <f t="shared" si="50"/>
        <v>0</v>
      </c>
      <c r="F203" s="484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  <c r="Z203" s="168"/>
      <c r="AA203" s="168"/>
      <c r="AB203" s="513"/>
      <c r="AC203" s="513"/>
    </row>
    <row r="204" spans="1:29" s="167" customFormat="1">
      <c r="A204" s="169" t="s">
        <v>142</v>
      </c>
      <c r="B204" s="202" t="s">
        <v>71</v>
      </c>
      <c r="C204" s="558">
        <f>'[60]Sch C'!D215</f>
        <v>0</v>
      </c>
      <c r="D204" s="558">
        <f>'[60]Sch C'!F215</f>
        <v>0</v>
      </c>
      <c r="E204" s="171">
        <f t="shared" si="50"/>
        <v>0</v>
      </c>
      <c r="F204" s="484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  <c r="Z204" s="168"/>
      <c r="AA204" s="168"/>
      <c r="AB204" s="513"/>
      <c r="AC204" s="513"/>
    </row>
    <row r="205" spans="1:29" s="167" customFormat="1">
      <c r="A205" s="169" t="s">
        <v>143</v>
      </c>
      <c r="B205" s="170" t="s">
        <v>312</v>
      </c>
      <c r="C205" s="558">
        <f>'[60]Sch C'!D216</f>
        <v>1730.77</v>
      </c>
      <c r="D205" s="558">
        <f>'[60]Sch C'!F216</f>
        <v>0</v>
      </c>
      <c r="E205" s="171">
        <f t="shared" si="50"/>
        <v>1730.77</v>
      </c>
      <c r="F205" s="484"/>
      <c r="G205" s="171">
        <f t="shared" si="51"/>
        <v>1730.77</v>
      </c>
      <c r="H205" s="172">
        <f t="shared" si="52"/>
        <v>3.516470111482141E-4</v>
      </c>
      <c r="I205" s="336"/>
      <c r="J205" s="168"/>
      <c r="K205" s="168"/>
      <c r="M205" s="364">
        <f t="shared" si="53"/>
        <v>8.9164391324506723E-2</v>
      </c>
      <c r="N205" s="359">
        <f>SUMMARY!J208</f>
        <v>0.36243287087155324</v>
      </c>
      <c r="P205"/>
      <c r="Q205"/>
      <c r="Z205" s="168"/>
      <c r="AA205" s="168"/>
    </row>
    <row r="206" spans="1:29" s="167" customFormat="1">
      <c r="A206" s="163"/>
      <c r="B206" s="170" t="s">
        <v>144</v>
      </c>
      <c r="C206" s="558">
        <f>SUM(C200:C205)</f>
        <v>133976.87999999998</v>
      </c>
      <c r="D206" s="558">
        <f>SUM(D200:D205)</f>
        <v>0</v>
      </c>
      <c r="E206" s="171">
        <f t="shared" ref="E206:F206" si="54">SUM(E200:E205)</f>
        <v>133976.87999999998</v>
      </c>
      <c r="F206" s="171">
        <f t="shared" si="54"/>
        <v>0</v>
      </c>
      <c r="G206" s="171">
        <f>SUM(G200:G205)</f>
        <v>133976.87999999998</v>
      </c>
      <c r="H206" s="172">
        <f t="shared" si="52"/>
        <v>2.7220583563941445E-2</v>
      </c>
      <c r="I206" s="336"/>
      <c r="J206" s="168"/>
      <c r="K206" s="168"/>
      <c r="M206" s="364">
        <f>G206/G$228</f>
        <v>6.9021111740765528</v>
      </c>
      <c r="N206" s="359">
        <f>SUMMARY!J209</f>
        <v>7.1515095990067339</v>
      </c>
      <c r="O206" s="354">
        <f>M206/N206-1</f>
        <v>-3.4873535646910092E-2</v>
      </c>
      <c r="P206"/>
      <c r="Q206"/>
      <c r="Z206" s="168"/>
      <c r="AA206" s="168"/>
    </row>
    <row r="207" spans="1:2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29" s="167" customFormat="1">
      <c r="A208" s="227"/>
      <c r="B208" s="228" t="s">
        <v>145</v>
      </c>
      <c r="C208" s="558">
        <f>SUM(C25:C206)/2</f>
        <v>5460393.5700000031</v>
      </c>
      <c r="D208" s="558">
        <f>SUM(D25:D206)/2</f>
        <v>-538497.62</v>
      </c>
      <c r="E208" s="171">
        <f t="shared" ref="E208:F208" si="55">SUM(E25:E206)/2</f>
        <v>4921895.95</v>
      </c>
      <c r="F208" s="171">
        <f t="shared" si="55"/>
        <v>0</v>
      </c>
      <c r="G208" s="171">
        <f>SUM(G25:G206)/2</f>
        <v>4921895.95</v>
      </c>
      <c r="H208" s="172">
        <f>IF($G$208=0,0,G208/$G$208)</f>
        <v>1</v>
      </c>
      <c r="I208" s="336"/>
      <c r="J208" s="183">
        <f>SUM(J25:J200)</f>
        <v>112856.61000000002</v>
      </c>
      <c r="K208" s="183">
        <f>SUM(K25:K200)</f>
        <v>122756.15</v>
      </c>
      <c r="M208" s="364">
        <f>G208/G$228</f>
        <v>253.56220442017414</v>
      </c>
      <c r="N208" s="359">
        <f>SUMMARY!J211</f>
        <v>266.32123907464864</v>
      </c>
      <c r="O208" s="358" t="s">
        <v>466</v>
      </c>
      <c r="P208"/>
      <c r="Q208"/>
      <c r="Z208" s="543">
        <f t="shared" ref="Z208:AC208" si="56">SUM(Z25:Z200)</f>
        <v>66414.33</v>
      </c>
      <c r="AA208" s="543">
        <f t="shared" si="56"/>
        <v>74892.569999999992</v>
      </c>
      <c r="AB208" s="543">
        <f t="shared" si="56"/>
        <v>36109.520000000004</v>
      </c>
      <c r="AC208" s="543">
        <f t="shared" si="56"/>
        <v>40173.338000000003</v>
      </c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0.93426996836523324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'[60]Sch C'!D221</f>
        <v>5460394.0700000003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-0.49999999720603228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48267.379999996163</v>
      </c>
      <c r="D215" s="558">
        <f>D21-D208</f>
        <v>538497.62</v>
      </c>
      <c r="E215" s="171">
        <f t="shared" ref="E215:F215" si="57">E21-E208</f>
        <v>586764.99999999907</v>
      </c>
      <c r="F215" s="171">
        <f t="shared" si="57"/>
        <v>1078470</v>
      </c>
      <c r="G215" s="171">
        <f>G21-G208</f>
        <v>1665234.9999999991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'[60]Sch D'!C9</f>
        <v>11491</v>
      </c>
      <c r="D219" s="592"/>
      <c r="E219" s="235">
        <f t="shared" ref="E219:G227" si="58">C219+D219</f>
        <v>11491</v>
      </c>
      <c r="F219" s="485"/>
      <c r="G219" s="235">
        <f t="shared" si="58"/>
        <v>11491</v>
      </c>
      <c r="H219" s="172">
        <f t="shared" ref="H219:H228" si="59">IF($G$228=0,0,G219/$G$228)</f>
        <v>0.59198392663953425</v>
      </c>
      <c r="I219" s="336"/>
      <c r="J219" s="168"/>
      <c r="K219" s="168"/>
    </row>
    <row r="220" spans="1:17">
      <c r="A220" s="163"/>
      <c r="B220" s="170" t="s">
        <v>217</v>
      </c>
      <c r="C220" s="592">
        <f>'[60]Sch D'!D9</f>
        <v>0</v>
      </c>
      <c r="D220" s="592"/>
      <c r="E220" s="235">
        <f t="shared" ref="E220:E227" si="60">C220+D220</f>
        <v>0</v>
      </c>
      <c r="F220" s="485"/>
      <c r="G220" s="235">
        <f t="shared" si="58"/>
        <v>0</v>
      </c>
      <c r="H220" s="172">
        <f t="shared" si="59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'[60]Sch D'!E9</f>
        <v>3823</v>
      </c>
      <c r="D221" s="592"/>
      <c r="E221" s="235">
        <f t="shared" si="60"/>
        <v>3823</v>
      </c>
      <c r="F221" s="485"/>
      <c r="G221" s="235">
        <f t="shared" si="58"/>
        <v>3823</v>
      </c>
      <c r="H221" s="172">
        <f t="shared" si="59"/>
        <v>0.19695018288599248</v>
      </c>
      <c r="I221" s="336"/>
      <c r="J221" s="168"/>
      <c r="K221" s="168"/>
    </row>
    <row r="222" spans="1:17">
      <c r="A222" s="163"/>
      <c r="B222" s="202" t="s">
        <v>334</v>
      </c>
      <c r="C222" s="592">
        <f>'[60]Sch D'!F9</f>
        <v>657</v>
      </c>
      <c r="D222" s="592"/>
      <c r="E222" s="235">
        <f>C222+D222</f>
        <v>657</v>
      </c>
      <c r="F222" s="485"/>
      <c r="G222" s="235">
        <f>E222+F222</f>
        <v>657</v>
      </c>
      <c r="H222" s="172">
        <f t="shared" si="59"/>
        <v>3.3846787903765906E-2</v>
      </c>
      <c r="I222" s="336"/>
      <c r="J222" s="168"/>
      <c r="K222" s="168"/>
    </row>
    <row r="223" spans="1:17">
      <c r="A223" s="163"/>
      <c r="B223" s="170" t="s">
        <v>73</v>
      </c>
      <c r="C223" s="592">
        <f>'[60]Sch D'!G9</f>
        <v>0</v>
      </c>
      <c r="D223" s="592"/>
      <c r="E223" s="235">
        <f t="shared" si="60"/>
        <v>0</v>
      </c>
      <c r="F223" s="485"/>
      <c r="G223" s="235">
        <f t="shared" si="58"/>
        <v>0</v>
      </c>
      <c r="H223" s="172">
        <f t="shared" si="59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'[60]Sch D'!H9</f>
        <v>2745</v>
      </c>
      <c r="D224" s="592"/>
      <c r="E224" s="235">
        <f t="shared" si="60"/>
        <v>2745</v>
      </c>
      <c r="F224" s="485"/>
      <c r="G224" s="235">
        <f t="shared" si="58"/>
        <v>2745</v>
      </c>
      <c r="H224" s="172">
        <f t="shared" si="59"/>
        <v>0.14141466178970688</v>
      </c>
      <c r="I224" s="336"/>
      <c r="J224" s="168"/>
      <c r="K224" s="168"/>
    </row>
    <row r="225" spans="1:11">
      <c r="A225" s="163"/>
      <c r="B225" s="170" t="s">
        <v>236</v>
      </c>
      <c r="C225" s="592">
        <f>'[60]Sch D'!I9</f>
        <v>478</v>
      </c>
      <c r="D225" s="592"/>
      <c r="E225" s="235">
        <f t="shared" si="60"/>
        <v>478</v>
      </c>
      <c r="F225" s="485"/>
      <c r="G225" s="235">
        <f t="shared" si="58"/>
        <v>478</v>
      </c>
      <c r="H225" s="172">
        <f t="shared" si="59"/>
        <v>2.4625212508371543E-2</v>
      </c>
      <c r="I225" s="336"/>
      <c r="J225" s="168"/>
      <c r="K225" s="168"/>
    </row>
    <row r="226" spans="1:11">
      <c r="A226" s="163"/>
      <c r="B226" s="170" t="s">
        <v>235</v>
      </c>
      <c r="C226" s="592">
        <f>'[60]Sch D'!J9</f>
        <v>217</v>
      </c>
      <c r="D226" s="592"/>
      <c r="E226" s="235">
        <f>C226+D226</f>
        <v>217</v>
      </c>
      <c r="F226" s="485"/>
      <c r="G226" s="235">
        <f>E226+F226</f>
        <v>217</v>
      </c>
      <c r="H226" s="172">
        <f t="shared" si="59"/>
        <v>1.1179228272628922E-2</v>
      </c>
      <c r="I226" s="336"/>
      <c r="J226" s="168"/>
      <c r="K226" s="168"/>
    </row>
    <row r="227" spans="1:11">
      <c r="A227" s="163"/>
      <c r="B227" s="170" t="s">
        <v>179</v>
      </c>
      <c r="C227" s="592">
        <f>'[60]Sch D'!K9</f>
        <v>0</v>
      </c>
      <c r="D227" s="592"/>
      <c r="E227" s="235">
        <f t="shared" si="60"/>
        <v>0</v>
      </c>
      <c r="F227" s="485"/>
      <c r="G227" s="235">
        <f t="shared" si="58"/>
        <v>0</v>
      </c>
      <c r="H227" s="172">
        <f t="shared" si="59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19411</v>
      </c>
      <c r="D228" s="592">
        <f>SUM(D219:D227)</f>
        <v>0</v>
      </c>
      <c r="E228" s="237">
        <f>SUM(E219:E227)</f>
        <v>19411</v>
      </c>
      <c r="F228" s="237">
        <f>SUM(F219:F227)</f>
        <v>0</v>
      </c>
      <c r="G228" s="237">
        <f>SUM(G219:G227)</f>
        <v>19411</v>
      </c>
      <c r="H228" s="172">
        <f t="shared" si="59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'[60]Sch D'!N22</f>
        <v>84</v>
      </c>
      <c r="D231" s="559"/>
      <c r="E231" s="235">
        <f>C231+D231</f>
        <v>84</v>
      </c>
      <c r="F231" s="235"/>
      <c r="G231" s="235">
        <f>E231+F231</f>
        <v>84</v>
      </c>
      <c r="H231" s="167"/>
      <c r="J231" s="168"/>
      <c r="K231" s="168"/>
    </row>
    <row r="232" spans="1:11">
      <c r="A232" s="163"/>
      <c r="B232" s="202" t="s">
        <v>290</v>
      </c>
      <c r="C232" s="593">
        <f>'[60]Sch D'!N24</f>
        <v>84</v>
      </c>
      <c r="D232" s="559"/>
      <c r="E232" s="235">
        <f>C232+D232</f>
        <v>84</v>
      </c>
      <c r="F232" s="235"/>
      <c r="G232" s="235">
        <f>E232+F232</f>
        <v>84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'[60]Sch D'!N28</f>
        <v>30744</v>
      </c>
      <c r="D235" s="483"/>
      <c r="E235" s="234">
        <f>E231*E233</f>
        <v>30744</v>
      </c>
      <c r="F235" s="239"/>
      <c r="G235" s="234">
        <f>G231*G233</f>
        <v>30744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'[60]Sch D'!N30</f>
        <v>0.63137522768670307</v>
      </c>
      <c r="D236" s="239"/>
      <c r="E236" s="244">
        <f>E228/E235</f>
        <v>0.63137522768670307</v>
      </c>
      <c r="F236" s="245"/>
      <c r="G236" s="244">
        <f>G228/G235</f>
        <v>0.63137522768670307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'[60]Sch D'!N32</f>
        <v>0.37376398646890452</v>
      </c>
      <c r="D237" s="239"/>
      <c r="E237" s="244">
        <f>(E219+E220)/E235</f>
        <v>0.37376398646890452</v>
      </c>
      <c r="F237" s="245"/>
      <c r="G237" s="244">
        <f>(G219+G220)/G235</f>
        <v>0.37376398646890452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'[60]Sch D'!N34</f>
        <v>0.59198392663953436</v>
      </c>
      <c r="D238" s="239"/>
      <c r="E238" s="244">
        <f>(E237/E236)</f>
        <v>0.59198392663953436</v>
      </c>
      <c r="F238" s="245"/>
      <c r="G238" s="244">
        <f>(G237/G236)</f>
        <v>0.59198392663953436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'[60]Sch B'!C85</f>
        <v>199.47266263237518</v>
      </c>
    </row>
    <row r="242" spans="2:7">
      <c r="F242" s="142" t="s">
        <v>341</v>
      </c>
      <c r="G242" s="558">
        <f>'[60]Sch B'!E85</f>
        <v>236.76842553191491</v>
      </c>
    </row>
    <row r="243" spans="2:7">
      <c r="F243" s="142" t="s">
        <v>342</v>
      </c>
      <c r="G243" s="558">
        <f>'[60]Sch B'!G85</f>
        <v>90.100667938931295</v>
      </c>
    </row>
    <row r="244" spans="2:7">
      <c r="F244" s="142" t="s">
        <v>343</v>
      </c>
      <c r="G244" s="558">
        <f>'[60]Sch B'!I85</f>
        <v>197.11951612903226</v>
      </c>
    </row>
    <row r="245" spans="2:7">
      <c r="F245" s="142"/>
    </row>
    <row r="246" spans="2:7">
      <c r="G246" s="460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27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4"/>
      <c r="G1" s="475"/>
      <c r="H1" s="475"/>
      <c r="I1" s="473"/>
    </row>
    <row r="2" spans="1:17" ht="23">
      <c r="B2" s="143" t="s">
        <v>189</v>
      </c>
      <c r="C2" s="246" t="s">
        <v>558</v>
      </c>
      <c r="D2" s="246"/>
      <c r="E2" s="144"/>
      <c r="F2" s="447"/>
      <c r="G2"/>
      <c r="H2"/>
    </row>
    <row r="3" spans="1:17" ht="13.25" customHeight="1">
      <c r="A3" s="145"/>
      <c r="B3" s="140" t="s">
        <v>79</v>
      </c>
      <c r="C3" s="489">
        <v>42186</v>
      </c>
      <c r="D3"/>
      <c r="E3" s="147"/>
      <c r="F3" s="447"/>
      <c r="G3"/>
      <c r="H3"/>
    </row>
    <row r="4" spans="1:17" ht="13.25" customHeight="1">
      <c r="A4" s="145"/>
      <c r="B4" s="148" t="s">
        <v>80</v>
      </c>
      <c r="C4" s="489">
        <v>42551</v>
      </c>
      <c r="D4"/>
      <c r="E4" s="149"/>
      <c r="F4"/>
      <c r="G4"/>
      <c r="H4"/>
    </row>
    <row r="5" spans="1:17" ht="13.25" customHeight="1">
      <c r="A5" s="145"/>
      <c r="B5" s="148"/>
      <c r="C5" s="151"/>
      <c r="D5" s="144"/>
      <c r="F5"/>
      <c r="G5"/>
      <c r="H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416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417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418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 ht="13.25" customHeight="1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'[61]Sch B'!E10</f>
        <v>6600701.8399999999</v>
      </c>
      <c r="D11" s="558">
        <f>'[61]Sch B'!G10</f>
        <v>0</v>
      </c>
      <c r="E11" s="171">
        <f>C11+D11</f>
        <v>6600701.8399999999</v>
      </c>
      <c r="F11" s="415"/>
      <c r="G11" s="171">
        <f t="shared" ref="G11:G20" si="0">E11+F11</f>
        <v>6600701.8399999999</v>
      </c>
      <c r="H11" s="172">
        <f t="shared" ref="H11:H21" si="1">IF($G$21=0,0,G11/$G$21)</f>
        <v>0.47753508489052088</v>
      </c>
      <c r="I11" s="336"/>
      <c r="J11" s="368" t="s">
        <v>344</v>
      </c>
      <c r="K11" s="369">
        <f>G21</f>
        <v>13822443.730000004</v>
      </c>
      <c r="M11" s="359">
        <f>IFERROR(G11/G219,0)</f>
        <v>295.05618166376109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'[61]Sch B'!E15</f>
        <v>0</v>
      </c>
      <c r="D12" s="558">
        <f>'[61]Sch B'!G15</f>
        <v>0</v>
      </c>
      <c r="E12" s="171">
        <f t="shared" ref="E12:E20" si="2">C12+D12</f>
        <v>0</v>
      </c>
      <c r="F12" s="415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11272459.119999997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'[61]Sch B'!E21</f>
        <v>3100842.72</v>
      </c>
      <c r="D13" s="558">
        <f>'[61]Sch B'!G21</f>
        <v>0</v>
      </c>
      <c r="E13" s="171">
        <f t="shared" si="2"/>
        <v>3100842.72</v>
      </c>
      <c r="F13" s="415"/>
      <c r="G13" s="171">
        <f t="shared" si="0"/>
        <v>3100842.72</v>
      </c>
      <c r="H13" s="172">
        <f t="shared" si="1"/>
        <v>0.22433390076097631</v>
      </c>
      <c r="I13" s="336"/>
      <c r="J13" s="370" t="s">
        <v>346</v>
      </c>
      <c r="K13" s="371">
        <f>G228</f>
        <v>43269</v>
      </c>
      <c r="M13" s="359">
        <f t="shared" si="3"/>
        <v>554.71247227191418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'[61]Sch B'!E27</f>
        <v>1386179.1599999997</v>
      </c>
      <c r="D14" s="558">
        <f>'[61]Sch B'!G27</f>
        <v>0</v>
      </c>
      <c r="E14" s="171">
        <f t="shared" si="2"/>
        <v>1386179.1599999997</v>
      </c>
      <c r="F14" s="415"/>
      <c r="G14" s="175">
        <f>E14+F14</f>
        <v>1386179.1599999997</v>
      </c>
      <c r="H14" s="176">
        <f t="shared" si="1"/>
        <v>0.10028466652329061</v>
      </c>
      <c r="I14" s="337"/>
      <c r="J14" s="370" t="s">
        <v>347</v>
      </c>
      <c r="K14" s="371">
        <f>G231</f>
        <v>154</v>
      </c>
      <c r="M14" s="359">
        <f t="shared" si="3"/>
        <v>417.77551537070514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'[61]Sch B'!E32</f>
        <v>889209.15</v>
      </c>
      <c r="D15" s="558">
        <f>'[61]Sch B'!G32</f>
        <v>0</v>
      </c>
      <c r="E15" s="171">
        <f t="shared" si="2"/>
        <v>889209.15</v>
      </c>
      <c r="F15" s="415"/>
      <c r="G15" s="171">
        <f t="shared" si="0"/>
        <v>889209.15</v>
      </c>
      <c r="H15" s="172">
        <f t="shared" si="1"/>
        <v>6.4330820755672535E-2</v>
      </c>
      <c r="I15" s="336"/>
      <c r="J15" s="370" t="s">
        <v>348</v>
      </c>
      <c r="K15" s="371">
        <f>G235</f>
        <v>56364</v>
      </c>
      <c r="M15" s="359">
        <f t="shared" si="3"/>
        <v>247.34607788595272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'[61]Sch B'!E37</f>
        <v>1199955.1200000001</v>
      </c>
      <c r="D16" s="558">
        <f>'[61]Sch B'!G37</f>
        <v>0</v>
      </c>
      <c r="E16" s="171">
        <f t="shared" si="2"/>
        <v>1199955.1200000001</v>
      </c>
      <c r="F16" s="415"/>
      <c r="G16" s="171">
        <f t="shared" si="0"/>
        <v>1199955.1200000001</v>
      </c>
      <c r="H16" s="172">
        <f t="shared" si="1"/>
        <v>8.681208210641056E-2</v>
      </c>
      <c r="I16" s="336"/>
      <c r="J16" s="372"/>
      <c r="K16" s="371"/>
      <c r="M16" s="359">
        <f t="shared" si="3"/>
        <v>222.13164013328398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'[61]Sch B'!E42</f>
        <v>567465.48</v>
      </c>
      <c r="D17" s="558">
        <f>'[61]Sch B'!G42</f>
        <v>0</v>
      </c>
      <c r="E17" s="171">
        <f t="shared" si="2"/>
        <v>567465.48</v>
      </c>
      <c r="F17" s="415"/>
      <c r="G17" s="171">
        <f>E17+F17</f>
        <v>567465.48</v>
      </c>
      <c r="H17" s="172">
        <f t="shared" si="1"/>
        <v>4.105391861848439E-2</v>
      </c>
      <c r="I17" s="336"/>
      <c r="J17" s="370" t="s">
        <v>156</v>
      </c>
      <c r="K17" s="371">
        <f>J208</f>
        <v>275772.05999999994</v>
      </c>
      <c r="M17" s="359">
        <f t="shared" si="3"/>
        <v>198.83163279607567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'[61]Sch B'!E47</f>
        <v>28749.13</v>
      </c>
      <c r="D18" s="558">
        <f>'[61]Sch B'!G47</f>
        <v>0</v>
      </c>
      <c r="E18" s="171">
        <f t="shared" si="2"/>
        <v>28749.13</v>
      </c>
      <c r="F18" s="415"/>
      <c r="G18" s="171">
        <f>E18+F18</f>
        <v>28749.13</v>
      </c>
      <c r="H18" s="172">
        <f t="shared" si="1"/>
        <v>2.0798876495046505E-3</v>
      </c>
      <c r="I18" s="336"/>
      <c r="J18" s="373" t="s">
        <v>252</v>
      </c>
      <c r="K18" s="374">
        <f>K208</f>
        <v>287764.9499999999</v>
      </c>
      <c r="M18" s="359">
        <f t="shared" si="3"/>
        <v>206.82827338129496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'[61]Sch B'!E52</f>
        <v>0</v>
      </c>
      <c r="D19" s="558">
        <f>'[61]Sch B'!G52</f>
        <v>0</v>
      </c>
      <c r="E19" s="171">
        <f t="shared" si="2"/>
        <v>0</v>
      </c>
      <c r="F19" s="415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'[61]Sch B'!E67</f>
        <v>51644.789999999994</v>
      </c>
      <c r="D20" s="558">
        <f>'[61]Sch B'!G67</f>
        <v>-2303.66</v>
      </c>
      <c r="E20" s="171">
        <f t="shared" si="2"/>
        <v>49341.12999999999</v>
      </c>
      <c r="F20" s="415"/>
      <c r="G20" s="171">
        <f t="shared" si="0"/>
        <v>49341.12999999999</v>
      </c>
      <c r="H20" s="172">
        <f t="shared" si="1"/>
        <v>3.5696386951397613E-3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13824747.390000002</v>
      </c>
      <c r="D21" s="558">
        <f>SUM(D11:D20)</f>
        <v>-2303.66</v>
      </c>
      <c r="E21" s="171">
        <f>SUM(E11:E20)</f>
        <v>13822443.730000004</v>
      </c>
      <c r="F21" s="415">
        <f>SUM(F11:F20)</f>
        <v>0</v>
      </c>
      <c r="G21" s="171">
        <f>SUM(G11:G20)</f>
        <v>13822443.730000004</v>
      </c>
      <c r="H21" s="172">
        <f t="shared" si="1"/>
        <v>1</v>
      </c>
      <c r="I21" s="336"/>
      <c r="J21" s="168"/>
      <c r="K21" s="168"/>
      <c r="M21" s="359">
        <f>IFERROR(G21/G228,0)</f>
        <v>319.45373662437322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431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'[61]Sch C'!D10</f>
        <v>443592.91</v>
      </c>
      <c r="D25" s="558">
        <f>'[61]Sch C'!F10</f>
        <v>0</v>
      </c>
      <c r="E25" s="171">
        <f t="shared" ref="E25:E60" si="4">C25+D25</f>
        <v>443592.91</v>
      </c>
      <c r="F25" s="415"/>
      <c r="G25" s="182">
        <f>E25+F25</f>
        <v>443592.91</v>
      </c>
      <c r="H25" s="172">
        <f>IF($G$208=0,0,G25/$G$208)</f>
        <v>3.9351920044931606E-2</v>
      </c>
      <c r="I25" s="336"/>
      <c r="J25" s="183">
        <v>2088.08</v>
      </c>
      <c r="K25" s="183">
        <v>2088.08</v>
      </c>
      <c r="M25" s="359">
        <f>G25/G$228</f>
        <v>10.251979708336222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'[61]Sch C'!D11</f>
        <v>0</v>
      </c>
      <c r="D26" s="558">
        <f>'[61]Sch C'!F11</f>
        <v>0</v>
      </c>
      <c r="E26" s="171">
        <f t="shared" si="4"/>
        <v>0</v>
      </c>
      <c r="F26" s="415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'[61]Sch C'!D12</f>
        <v>350654.42</v>
      </c>
      <c r="D27" s="558">
        <f>'[61]Sch C'!F12</f>
        <v>-109964</v>
      </c>
      <c r="E27" s="171">
        <f t="shared" si="4"/>
        <v>240690.41999999998</v>
      </c>
      <c r="F27" s="415"/>
      <c r="G27" s="171">
        <f t="shared" si="5"/>
        <v>240690.41999999998</v>
      </c>
      <c r="H27" s="172">
        <f t="shared" si="6"/>
        <v>2.1352077433836818E-2</v>
      </c>
      <c r="I27" s="336"/>
      <c r="J27" s="185">
        <v>16562.23</v>
      </c>
      <c r="K27" s="185">
        <v>17426</v>
      </c>
      <c r="M27" s="359">
        <f t="shared" si="7"/>
        <v>5.5626527074811065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'[61]Sch C'!D13</f>
        <v>129394.27</v>
      </c>
      <c r="D28" s="558">
        <f>'[61]Sch C'!F13</f>
        <v>-35094</v>
      </c>
      <c r="E28" s="171">
        <f t="shared" si="4"/>
        <v>94300.27</v>
      </c>
      <c r="F28" s="415"/>
      <c r="G28" s="171">
        <f t="shared" si="5"/>
        <v>94300.27</v>
      </c>
      <c r="H28" s="172">
        <f t="shared" si="6"/>
        <v>8.3655455296962767E-3</v>
      </c>
      <c r="I28" s="336"/>
      <c r="J28" s="168"/>
      <c r="K28" s="168"/>
      <c r="M28" s="359">
        <f t="shared" si="7"/>
        <v>2.1793956412211979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'[61]Sch C'!D14</f>
        <v>0</v>
      </c>
      <c r="D29" s="558">
        <f>'[61]Sch C'!F14</f>
        <v>0</v>
      </c>
      <c r="E29" s="171">
        <f t="shared" si="4"/>
        <v>0</v>
      </c>
      <c r="F29" s="415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'[61]Sch C'!D15</f>
        <v>1295957.7</v>
      </c>
      <c r="D30" s="558">
        <f>'[61]Sch C'!F15</f>
        <v>-1295958</v>
      </c>
      <c r="E30" s="171">
        <f t="shared" si="4"/>
        <v>-0.30000000004656613</v>
      </c>
      <c r="F30" s="415"/>
      <c r="G30" s="171">
        <f t="shared" si="5"/>
        <v>-0.30000000004656613</v>
      </c>
      <c r="H30" s="172">
        <f t="shared" si="6"/>
        <v>-2.6613536305870959E-8</v>
      </c>
      <c r="I30" s="336"/>
      <c r="J30" s="168"/>
      <c r="K30" s="168"/>
      <c r="M30" s="359">
        <f t="shared" si="7"/>
        <v>-6.9333703123845278E-6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'[61]Sch C'!D16</f>
        <v>0</v>
      </c>
      <c r="D31" s="558">
        <f>'[61]Sch C'!F16</f>
        <v>455336</v>
      </c>
      <c r="E31" s="171">
        <f t="shared" si="4"/>
        <v>455336</v>
      </c>
      <c r="F31" s="415"/>
      <c r="G31" s="171">
        <f t="shared" si="5"/>
        <v>455336</v>
      </c>
      <c r="H31" s="172">
        <f t="shared" si="6"/>
        <v>4.0393670551630276E-2</v>
      </c>
      <c r="I31" s="336"/>
      <c r="J31" s="168"/>
      <c r="K31" s="168"/>
      <c r="M31" s="359">
        <f t="shared" si="7"/>
        <v>10.523377013566295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'[61]Sch C'!D17</f>
        <v>0</v>
      </c>
      <c r="D32" s="558">
        <f>'[61]Sch C'!F17</f>
        <v>0</v>
      </c>
      <c r="E32" s="171">
        <f t="shared" si="4"/>
        <v>0</v>
      </c>
      <c r="F32" s="415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'[61]Sch C'!D18</f>
        <v>25680.48</v>
      </c>
      <c r="D33" s="558">
        <f>'[61]Sch C'!F18</f>
        <v>0</v>
      </c>
      <c r="E33" s="171">
        <f t="shared" si="4"/>
        <v>25680.48</v>
      </c>
      <c r="F33" s="415"/>
      <c r="G33" s="171">
        <f t="shared" si="5"/>
        <v>25680.48</v>
      </c>
      <c r="H33" s="172">
        <f t="shared" si="6"/>
        <v>2.2781612890870264E-3</v>
      </c>
      <c r="I33" s="336"/>
      <c r="J33" s="168"/>
      <c r="K33" s="168"/>
      <c r="M33" s="359">
        <f t="shared" si="7"/>
        <v>0.59350759204049086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'[61]Sch C'!D19</f>
        <v>27956.44</v>
      </c>
      <c r="D34" s="558">
        <f>'[61]Sch C'!F19</f>
        <v>0</v>
      </c>
      <c r="E34" s="171">
        <f t="shared" si="4"/>
        <v>27956.44</v>
      </c>
      <c r="F34" s="415"/>
      <c r="G34" s="171">
        <f t="shared" si="5"/>
        <v>27956.44</v>
      </c>
      <c r="H34" s="172">
        <f t="shared" si="6"/>
        <v>2.4800657693580534E-3</v>
      </c>
      <c r="I34" s="336"/>
      <c r="J34" s="168"/>
      <c r="K34" s="168"/>
      <c r="M34" s="359">
        <f t="shared" si="7"/>
        <v>0.64610783701957519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'[61]Sch C'!D20</f>
        <v>28065.97</v>
      </c>
      <c r="D35" s="558">
        <f>'[61]Sch C'!F20</f>
        <v>-15</v>
      </c>
      <c r="E35" s="171">
        <f t="shared" si="4"/>
        <v>28050.97</v>
      </c>
      <c r="F35" s="415"/>
      <c r="G35" s="171">
        <f t="shared" si="5"/>
        <v>28050.97</v>
      </c>
      <c r="H35" s="172">
        <f t="shared" si="6"/>
        <v>2.4884516946467317E-3</v>
      </c>
      <c r="I35" s="336"/>
      <c r="J35" s="168"/>
      <c r="K35" s="168"/>
      <c r="M35" s="359">
        <f t="shared" si="7"/>
        <v>0.64829254200466846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'[61]Sch C'!D21</f>
        <v>106416.9</v>
      </c>
      <c r="D36" s="558">
        <f>'[61]Sch C'!F21</f>
        <v>85367</v>
      </c>
      <c r="E36" s="171">
        <f t="shared" si="4"/>
        <v>191783.9</v>
      </c>
      <c r="F36" s="415"/>
      <c r="G36" s="171">
        <f t="shared" si="5"/>
        <v>191783.9</v>
      </c>
      <c r="H36" s="172">
        <f t="shared" si="6"/>
        <v>1.7013492615797574E-2</v>
      </c>
      <c r="I36" s="336"/>
      <c r="J36" s="168"/>
      <c r="K36" s="168"/>
      <c r="M36" s="359">
        <f t="shared" si="7"/>
        <v>4.4323626614897504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'[61]Sch C'!D22</f>
        <v>0</v>
      </c>
      <c r="D37" s="558">
        <f>'[61]Sch C'!F22</f>
        <v>0</v>
      </c>
      <c r="E37" s="171">
        <f t="shared" si="4"/>
        <v>0</v>
      </c>
      <c r="F37" s="415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'[61]Sch C'!D23</f>
        <v>40428.879999999997</v>
      </c>
      <c r="D38" s="558">
        <f>'[61]Sch C'!F23</f>
        <v>71561</v>
      </c>
      <c r="E38" s="171">
        <f t="shared" si="4"/>
        <v>111989.88</v>
      </c>
      <c r="F38" s="415"/>
      <c r="G38" s="171">
        <f t="shared" si="5"/>
        <v>111989.88</v>
      </c>
      <c r="H38" s="172">
        <f t="shared" si="6"/>
        <v>9.9348224560250192E-3</v>
      </c>
      <c r="I38" s="336"/>
      <c r="J38" s="168"/>
      <c r="K38" s="168"/>
      <c r="M38" s="359">
        <f t="shared" si="7"/>
        <v>2.588224363863274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'[61]Sch C'!D24</f>
        <v>78616.22</v>
      </c>
      <c r="D39" s="558">
        <f>'[61]Sch C'!F24</f>
        <v>0</v>
      </c>
      <c r="E39" s="171">
        <f t="shared" si="4"/>
        <v>78616.22</v>
      </c>
      <c r="F39" s="415"/>
      <c r="G39" s="171">
        <f t="shared" si="5"/>
        <v>78616.22</v>
      </c>
      <c r="H39" s="172">
        <f t="shared" si="6"/>
        <v>6.9741854162519261E-3</v>
      </c>
      <c r="I39" s="336"/>
      <c r="J39" s="168"/>
      <c r="K39" s="168"/>
      <c r="M39" s="359">
        <f t="shared" si="7"/>
        <v>1.8169178857842798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'[61]Sch C'!D25</f>
        <v>0</v>
      </c>
      <c r="D40" s="558">
        <f>'[61]Sch C'!F25</f>
        <v>0</v>
      </c>
      <c r="E40" s="171">
        <f t="shared" si="4"/>
        <v>0</v>
      </c>
      <c r="F40" s="415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'[61]Sch C'!D26</f>
        <v>628874.07999999996</v>
      </c>
      <c r="D41" s="558">
        <f>'[61]Sch C'!F26</f>
        <v>-7496.32</v>
      </c>
      <c r="E41" s="171">
        <f t="shared" si="4"/>
        <v>621377.76</v>
      </c>
      <c r="F41" s="415"/>
      <c r="G41" s="171">
        <f t="shared" si="5"/>
        <v>621377.76</v>
      </c>
      <c r="H41" s="172">
        <f t="shared" si="6"/>
        <v>5.5123531909512941E-2</v>
      </c>
      <c r="I41" s="336"/>
      <c r="J41" s="168"/>
      <c r="K41" s="168"/>
      <c r="M41" s="359">
        <f t="shared" si="7"/>
        <v>14.360807044304236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'[61]Sch C'!D27</f>
        <v>7962.42</v>
      </c>
      <c r="D42" s="558">
        <f>'[61]Sch C'!F27</f>
        <v>18464</v>
      </c>
      <c r="E42" s="171">
        <f t="shared" si="4"/>
        <v>26426.42</v>
      </c>
      <c r="F42" s="415"/>
      <c r="G42" s="171">
        <f t="shared" si="5"/>
        <v>26426.42</v>
      </c>
      <c r="H42" s="172">
        <f t="shared" si="6"/>
        <v>2.3443349599834261E-3</v>
      </c>
      <c r="I42" s="336"/>
      <c r="J42" s="168"/>
      <c r="K42" s="168"/>
      <c r="M42" s="359">
        <f t="shared" si="7"/>
        <v>0.61074718620721524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'[61]Sch C'!D28</f>
        <v>0</v>
      </c>
      <c r="D43" s="558">
        <f>'[61]Sch C'!F28</f>
        <v>0</v>
      </c>
      <c r="E43" s="171">
        <f t="shared" si="4"/>
        <v>0</v>
      </c>
      <c r="F43" s="415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'[61]Sch C'!D29</f>
        <v>241445.66</v>
      </c>
      <c r="D44" s="558">
        <f>'[61]Sch C'!F29</f>
        <v>-241445.66</v>
      </c>
      <c r="E44" s="171">
        <f t="shared" si="4"/>
        <v>0</v>
      </c>
      <c r="F44" s="415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'[61]Sch C'!D30</f>
        <v>250</v>
      </c>
      <c r="D45" s="558">
        <f>'[61]Sch C'!F30</f>
        <v>-250</v>
      </c>
      <c r="E45" s="171">
        <f t="shared" si="4"/>
        <v>0</v>
      </c>
      <c r="F45" s="415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'[61]Sch C'!D31</f>
        <v>8060.52</v>
      </c>
      <c r="D46" s="558">
        <f>'[61]Sch C'!F31</f>
        <v>0</v>
      </c>
      <c r="E46" s="171">
        <f t="shared" si="4"/>
        <v>8060.52</v>
      </c>
      <c r="F46" s="415"/>
      <c r="G46" s="171">
        <f t="shared" si="5"/>
        <v>8060.52</v>
      </c>
      <c r="H46" s="172">
        <f t="shared" si="6"/>
        <v>7.1506313876967093E-4</v>
      </c>
      <c r="I46" s="336"/>
      <c r="J46" s="168"/>
      <c r="K46" s="168"/>
      <c r="M46" s="359">
        <f t="shared" si="7"/>
        <v>0.18628856687235668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'[61]Sch C'!D32</f>
        <v>213246.34</v>
      </c>
      <c r="D47" s="558">
        <f>'[61]Sch C'!F32</f>
        <v>0</v>
      </c>
      <c r="E47" s="171">
        <f t="shared" si="4"/>
        <v>213246.34</v>
      </c>
      <c r="F47" s="415"/>
      <c r="G47" s="171">
        <f t="shared" si="5"/>
        <v>213246.34</v>
      </c>
      <c r="H47" s="172">
        <f t="shared" si="6"/>
        <v>1.891746403601063E-2</v>
      </c>
      <c r="I47" s="336"/>
      <c r="J47" s="168"/>
      <c r="K47" s="168"/>
      <c r="M47" s="359">
        <f t="shared" si="7"/>
        <v>4.9283861425038706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'[61]Sch C'!D33</f>
        <v>0</v>
      </c>
      <c r="D48" s="558">
        <f>'[61]Sch C'!F33</f>
        <v>0</v>
      </c>
      <c r="E48" s="171">
        <f t="shared" si="4"/>
        <v>0</v>
      </c>
      <c r="F48" s="415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'[61]Sch C'!D34</f>
        <v>0</v>
      </c>
      <c r="D49" s="558">
        <f>'[61]Sch C'!F34</f>
        <v>2606</v>
      </c>
      <c r="E49" s="171">
        <f t="shared" si="4"/>
        <v>2606</v>
      </c>
      <c r="F49" s="415"/>
      <c r="G49" s="171">
        <f t="shared" si="5"/>
        <v>2606</v>
      </c>
      <c r="H49" s="172">
        <f t="shared" si="6"/>
        <v>2.3118291867444809E-4</v>
      </c>
      <c r="I49" s="336"/>
      <c r="J49" s="168"/>
      <c r="K49" s="168"/>
      <c r="M49" s="359">
        <f t="shared" si="7"/>
        <v>6.0227876770898331E-2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'[61]Sch C'!D35</f>
        <v>1727.79</v>
      </c>
      <c r="D50" s="558">
        <f>'[61]Sch C'!F35</f>
        <v>-1727.79</v>
      </c>
      <c r="E50" s="171">
        <f t="shared" si="4"/>
        <v>0</v>
      </c>
      <c r="F50" s="415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'[61]Sch C'!D36</f>
        <v>0</v>
      </c>
      <c r="D51" s="558">
        <f>'[61]Sch C'!F36</f>
        <v>0</v>
      </c>
      <c r="E51" s="171">
        <f t="shared" si="4"/>
        <v>0</v>
      </c>
      <c r="F51" s="415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'[61]Sch C'!D37</f>
        <v>0</v>
      </c>
      <c r="D52" s="558">
        <f>'[61]Sch C'!F37</f>
        <v>0</v>
      </c>
      <c r="E52" s="171">
        <f t="shared" si="4"/>
        <v>0</v>
      </c>
      <c r="F52" s="415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'[61]Sch C'!D38</f>
        <v>0</v>
      </c>
      <c r="D53" s="558">
        <f>'[61]Sch C'!F38</f>
        <v>0</v>
      </c>
      <c r="E53" s="171">
        <f t="shared" si="4"/>
        <v>0</v>
      </c>
      <c r="F53" s="415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'[61]Sch C'!D39</f>
        <v>29685.49</v>
      </c>
      <c r="D54" s="558">
        <f>'[61]Sch C'!F39</f>
        <v>8579</v>
      </c>
      <c r="E54" s="171">
        <f t="shared" si="4"/>
        <v>38264.490000000005</v>
      </c>
      <c r="F54" s="415"/>
      <c r="G54" s="171">
        <f t="shared" si="5"/>
        <v>38264.490000000005</v>
      </c>
      <c r="H54" s="172">
        <f t="shared" si="6"/>
        <v>3.3945113122752237E-3</v>
      </c>
      <c r="I54" s="336"/>
      <c r="J54" s="168"/>
      <c r="K54" s="168"/>
      <c r="M54" s="359">
        <f t="shared" si="7"/>
        <v>0.88433959647784799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'[61]Sch C'!D40</f>
        <v>48278.8</v>
      </c>
      <c r="D55" s="558">
        <f>'[61]Sch C'!F40</f>
        <v>-48279</v>
      </c>
      <c r="E55" s="171">
        <f t="shared" si="4"/>
        <v>-0.19999999999708962</v>
      </c>
      <c r="F55" s="415"/>
      <c r="G55" s="171">
        <f t="shared" si="5"/>
        <v>-0.19999999999708962</v>
      </c>
      <c r="H55" s="172">
        <f t="shared" si="6"/>
        <v>-1.7742357534235144E-8</v>
      </c>
      <c r="I55" s="336"/>
      <c r="J55" s="168"/>
      <c r="K55" s="168"/>
      <c r="M55" s="359">
        <f t="shared" si="7"/>
        <v>-4.6222468741382891E-6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'[61]Sch C'!D41</f>
        <v>26979.33</v>
      </c>
      <c r="D56" s="558">
        <f>'[61]Sch C'!F41</f>
        <v>0</v>
      </c>
      <c r="E56" s="171">
        <f t="shared" si="4"/>
        <v>26979.33</v>
      </c>
      <c r="F56" s="415"/>
      <c r="G56" s="171">
        <f t="shared" si="5"/>
        <v>26979.33</v>
      </c>
      <c r="H56" s="172">
        <f t="shared" si="6"/>
        <v>2.3933845945054099E-3</v>
      </c>
      <c r="I56" s="336"/>
      <c r="J56" s="168"/>
      <c r="K56" s="168"/>
      <c r="M56" s="359">
        <f t="shared" si="7"/>
        <v>0.62352561880330037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'[61]Sch C'!D42</f>
        <v>710.39</v>
      </c>
      <c r="D57" s="558">
        <f>'[61]Sch C'!F42</f>
        <v>7646</v>
      </c>
      <c r="E57" s="171">
        <f t="shared" si="4"/>
        <v>8356.39</v>
      </c>
      <c r="F57" s="415"/>
      <c r="G57" s="171">
        <f t="shared" si="5"/>
        <v>8356.39</v>
      </c>
      <c r="H57" s="172">
        <f t="shared" si="6"/>
        <v>7.4131029538832352E-4</v>
      </c>
      <c r="I57" s="336"/>
      <c r="J57" s="168"/>
      <c r="K57" s="168"/>
      <c r="M57" s="359">
        <f t="shared" si="7"/>
        <v>0.19312648778571262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'[61]Sch C'!D43</f>
        <v>0</v>
      </c>
      <c r="D58" s="558">
        <f>'[61]Sch C'!F43</f>
        <v>0</v>
      </c>
      <c r="E58" s="171">
        <f t="shared" si="4"/>
        <v>0</v>
      </c>
      <c r="F58" s="415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'[61]Sch C'!D44</f>
        <v>40</v>
      </c>
      <c r="D59" s="558">
        <f>'[61]Sch C'!F44</f>
        <v>0</v>
      </c>
      <c r="E59" s="171">
        <f t="shared" si="4"/>
        <v>40</v>
      </c>
      <c r="F59" s="415"/>
      <c r="G59" s="171">
        <f t="shared" si="5"/>
        <v>40</v>
      </c>
      <c r="H59" s="172">
        <f t="shared" si="6"/>
        <v>3.5484715068986657E-6</v>
      </c>
      <c r="I59" s="336"/>
      <c r="J59" s="168"/>
      <c r="K59" s="168"/>
      <c r="M59" s="359">
        <f t="shared" si="7"/>
        <v>9.2444937484111023E-4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'[61]Sch C'!D45</f>
        <v>6088.04</v>
      </c>
      <c r="D60" s="558">
        <f>'[61]Sch C'!F45</f>
        <v>9365</v>
      </c>
      <c r="E60" s="171">
        <f t="shared" si="4"/>
        <v>15453.04</v>
      </c>
      <c r="F60" s="415"/>
      <c r="G60" s="171">
        <f t="shared" si="5"/>
        <v>15453.04</v>
      </c>
      <c r="H60" s="172">
        <f t="shared" si="6"/>
        <v>1.370866803374134E-3</v>
      </c>
      <c r="I60" s="336"/>
      <c r="J60" s="168"/>
      <c r="K60" s="168"/>
      <c r="M60" s="359">
        <f t="shared" si="7"/>
        <v>0.35713882918486678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3740113.0500000003</v>
      </c>
      <c r="D61" s="558">
        <f>SUM(D25:D60)</f>
        <v>-1081305.77</v>
      </c>
      <c r="E61" s="171">
        <f t="shared" ref="E61:F61" si="8">SUM(E25:E60)</f>
        <v>2658807.2799999998</v>
      </c>
      <c r="F61" s="171">
        <f t="shared" si="8"/>
        <v>0</v>
      </c>
      <c r="G61" s="171">
        <f>SUM(G25:G60)</f>
        <v>2658807.2799999998</v>
      </c>
      <c r="H61" s="186">
        <f t="shared" si="6"/>
        <v>0.23586754688536857</v>
      </c>
      <c r="I61" s="338"/>
      <c r="J61" s="168"/>
      <c r="K61" s="168"/>
      <c r="M61" s="364">
        <f>G61/G$228</f>
        <v>61.448318195474819</v>
      </c>
      <c r="N61" s="359">
        <f>SUMMARY!J64</f>
        <v>53.728790309602623</v>
      </c>
      <c r="O61" s="354">
        <f>M61/N61-1</f>
        <v>0.14367581777646188</v>
      </c>
      <c r="P61"/>
      <c r="Q61"/>
    </row>
    <row r="62" spans="1:17" s="167" customFormat="1">
      <c r="A62" s="163"/>
      <c r="C62" s="165"/>
      <c r="D62" s="165"/>
      <c r="E62" s="165"/>
      <c r="F62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'[61]Sch C'!D57</f>
        <v>1405250.04</v>
      </c>
      <c r="D64" s="558">
        <f>'[61]Sch C'!F57</f>
        <v>-1405250</v>
      </c>
      <c r="E64" s="171">
        <f t="shared" ref="E64:E78" si="9">C64+D64</f>
        <v>4.0000000037252903E-2</v>
      </c>
      <c r="F64" s="415"/>
      <c r="G64" s="171">
        <f t="shared" ref="G64:G78" si="10">E64+F64</f>
        <v>4.0000000037252903E-2</v>
      </c>
      <c r="H64" s="172">
        <f t="shared" ref="H64:H79" si="11">IF($G$208=0,0,G64/$G$208)</f>
        <v>3.5484715102034374E-9</v>
      </c>
      <c r="I64" s="336"/>
      <c r="J64" s="190"/>
      <c r="K64" s="168"/>
      <c r="M64" s="359">
        <f t="shared" ref="M64:M79" si="12">G64/G$228</f>
        <v>9.2444937570207083E-7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'[61]Sch C'!D58</f>
        <v>1644.05</v>
      </c>
      <c r="D65" s="558">
        <f>'[61]Sch C'!F58</f>
        <v>160378.57999999999</v>
      </c>
      <c r="E65" s="171">
        <f t="shared" si="9"/>
        <v>162022.62999999998</v>
      </c>
      <c r="F65" s="415"/>
      <c r="G65" s="171">
        <f t="shared" si="10"/>
        <v>162022.62999999998</v>
      </c>
      <c r="H65" s="172">
        <f t="shared" si="11"/>
        <v>1.4373317150694623E-2</v>
      </c>
      <c r="I65" s="336"/>
      <c r="J65" s="190"/>
      <c r="K65" s="168"/>
      <c r="M65" s="359">
        <f t="shared" si="12"/>
        <v>3.7445429753403126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'[61]Sch C'!D59</f>
        <v>0</v>
      </c>
      <c r="D66" s="558">
        <f>'[61]Sch C'!F59</f>
        <v>397308</v>
      </c>
      <c r="E66" s="171">
        <f t="shared" si="9"/>
        <v>397308</v>
      </c>
      <c r="F66" s="415"/>
      <c r="G66" s="171">
        <f t="shared" si="10"/>
        <v>397308</v>
      </c>
      <c r="H66" s="172">
        <f t="shared" si="11"/>
        <v>3.5245902936572378E-2</v>
      </c>
      <c r="I66" s="336"/>
      <c r="J66" s="190"/>
      <c r="K66" s="168"/>
      <c r="M66" s="359">
        <f t="shared" si="12"/>
        <v>9.1822783054842958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'[61]Sch C'!D60</f>
        <v>103617.36</v>
      </c>
      <c r="D67" s="558">
        <f>'[61]Sch C'!F60</f>
        <v>-4123.49</v>
      </c>
      <c r="E67" s="171">
        <f t="shared" si="9"/>
        <v>99493.87</v>
      </c>
      <c r="F67" s="415"/>
      <c r="G67" s="171">
        <f t="shared" si="10"/>
        <v>99493.87</v>
      </c>
      <c r="H67" s="172">
        <f t="shared" si="11"/>
        <v>8.8262790701519982E-3</v>
      </c>
      <c r="I67" s="336"/>
      <c r="J67" s="193"/>
      <c r="K67" s="168"/>
      <c r="M67" s="359">
        <f t="shared" si="12"/>
        <v>2.2994261480505673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'[61]Sch C'!D61</f>
        <v>24760.44</v>
      </c>
      <c r="D68" s="558">
        <f>'[61]Sch C'!F61</f>
        <v>1438</v>
      </c>
      <c r="E68" s="171">
        <f t="shared" si="9"/>
        <v>26198.44</v>
      </c>
      <c r="F68" s="415"/>
      <c r="G68" s="171">
        <f t="shared" si="10"/>
        <v>26198.44</v>
      </c>
      <c r="H68" s="172">
        <f t="shared" si="11"/>
        <v>2.3241104466298571E-3</v>
      </c>
      <c r="I68" s="336"/>
      <c r="J68" s="193"/>
      <c r="K68" s="168"/>
      <c r="M68" s="359">
        <f t="shared" si="12"/>
        <v>0.60547828699530837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'[61]Sch C'!D62</f>
        <v>11041.7</v>
      </c>
      <c r="D69" s="558">
        <f>'[61]Sch C'!F62</f>
        <v>0</v>
      </c>
      <c r="E69" s="171">
        <f t="shared" si="9"/>
        <v>11041.7</v>
      </c>
      <c r="F69" s="415"/>
      <c r="G69" s="171">
        <f t="shared" si="10"/>
        <v>11041.7</v>
      </c>
      <c r="H69" s="172">
        <f t="shared" si="11"/>
        <v>9.7952894594307508E-4</v>
      </c>
      <c r="I69" s="336"/>
      <c r="J69" s="195"/>
      <c r="K69" s="168"/>
      <c r="M69" s="359">
        <f t="shared" si="12"/>
        <v>0.25518731655457721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'[61]Sch C'!D63</f>
        <v>0</v>
      </c>
      <c r="D70" s="558">
        <f>'[61]Sch C'!F63</f>
        <v>0</v>
      </c>
      <c r="E70" s="171">
        <f t="shared" si="9"/>
        <v>0</v>
      </c>
      <c r="F70" s="415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'[61]Sch C'!D64</f>
        <v>0</v>
      </c>
      <c r="D71" s="558">
        <f>'[61]Sch C'!F64</f>
        <v>0</v>
      </c>
      <c r="E71" s="171">
        <f t="shared" si="9"/>
        <v>0</v>
      </c>
      <c r="F71" s="415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'[61]Sch C'!D65</f>
        <v>0</v>
      </c>
      <c r="D72" s="558">
        <f>'[61]Sch C'!F65</f>
        <v>0</v>
      </c>
      <c r="E72" s="171">
        <f t="shared" si="9"/>
        <v>0</v>
      </c>
      <c r="F72" s="415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'[61]Sch C'!D66</f>
        <v>0</v>
      </c>
      <c r="D73" s="558">
        <f>'[61]Sch C'!F66</f>
        <v>0</v>
      </c>
      <c r="E73" s="171">
        <f t="shared" si="9"/>
        <v>0</v>
      </c>
      <c r="F73" s="415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'[61]Sch C'!D67</f>
        <v>10561.26</v>
      </c>
      <c r="D74" s="558">
        <f>'[61]Sch C'!F67</f>
        <v>25889.11</v>
      </c>
      <c r="E74" s="171">
        <f t="shared" si="9"/>
        <v>36450.370000000003</v>
      </c>
      <c r="F74" s="415"/>
      <c r="G74" s="171">
        <f t="shared" si="10"/>
        <v>36450.370000000003</v>
      </c>
      <c r="H74" s="172">
        <f t="shared" si="11"/>
        <v>3.2335774840228483E-3</v>
      </c>
      <c r="I74" s="336"/>
      <c r="J74" s="195"/>
      <c r="K74" s="168"/>
      <c r="M74" s="359">
        <f t="shared" si="12"/>
        <v>0.84241304398067907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'[61]Sch C'!D68</f>
        <v>0</v>
      </c>
      <c r="D75" s="558">
        <f>'[61]Sch C'!F68</f>
        <v>0</v>
      </c>
      <c r="E75" s="171">
        <f t="shared" si="9"/>
        <v>0</v>
      </c>
      <c r="F75" s="415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'[61]Sch C'!D69</f>
        <v>0</v>
      </c>
      <c r="D76" s="558">
        <f>'[61]Sch C'!F69</f>
        <v>4098</v>
      </c>
      <c r="E76" s="171">
        <f t="shared" si="9"/>
        <v>4098</v>
      </c>
      <c r="F76" s="415"/>
      <c r="G76" s="171">
        <f t="shared" si="10"/>
        <v>4098</v>
      </c>
      <c r="H76" s="172">
        <f t="shared" si="11"/>
        <v>3.6354090588176834E-4</v>
      </c>
      <c r="I76" s="336"/>
      <c r="J76" s="195"/>
      <c r="K76" s="168"/>
      <c r="M76" s="359">
        <f t="shared" si="12"/>
        <v>9.4709838452471745E-2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'[61]Sch C'!D70</f>
        <v>0</v>
      </c>
      <c r="D77" s="558">
        <f>'[61]Sch C'!F70</f>
        <v>0</v>
      </c>
      <c r="E77" s="171">
        <f t="shared" si="9"/>
        <v>0</v>
      </c>
      <c r="F77" s="415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'[61]Sch C'!D71</f>
        <v>0</v>
      </c>
      <c r="D78" s="558">
        <f>'[61]Sch C'!F71</f>
        <v>0</v>
      </c>
      <c r="E78" s="171">
        <f t="shared" si="9"/>
        <v>0</v>
      </c>
      <c r="F78" s="415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1556874.85</v>
      </c>
      <c r="D79" s="558">
        <f>SUM(D64:D78)</f>
        <v>-820261.79999999993</v>
      </c>
      <c r="E79" s="171">
        <f t="shared" ref="E79:F79" si="13">SUM(E64:E78)</f>
        <v>736613.04999999993</v>
      </c>
      <c r="F79" s="171">
        <f t="shared" si="13"/>
        <v>0</v>
      </c>
      <c r="G79" s="171">
        <f>SUM(G64:G78)</f>
        <v>736613.04999999993</v>
      </c>
      <c r="H79" s="172">
        <f t="shared" si="11"/>
        <v>6.5346260488368058E-2</v>
      </c>
      <c r="I79" s="336"/>
      <c r="J79" s="195"/>
      <c r="K79" s="168"/>
      <c r="M79" s="359">
        <f t="shared" si="12"/>
        <v>17.024036839307584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419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422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'[61]Sch C'!D75</f>
        <v>83589.2</v>
      </c>
      <c r="D82" s="558">
        <f>'[61]Sch C'!F75</f>
        <v>0</v>
      </c>
      <c r="E82" s="171">
        <f t="shared" ref="E82:E92" si="14">C82+D82</f>
        <v>83589.2</v>
      </c>
      <c r="F82" s="415"/>
      <c r="G82" s="171">
        <f t="shared" ref="G82:G92" si="15">E82+F82</f>
        <v>83589.2</v>
      </c>
      <c r="H82" s="172">
        <f t="shared" ref="H82:H93" si="16">IF($G$208=0,0,G82/$G$208)</f>
        <v>7.4153473621113488E-3</v>
      </c>
      <c r="I82" s="336"/>
      <c r="J82" s="183">
        <v>4154.33</v>
      </c>
      <c r="K82" s="183">
        <v>4450.33</v>
      </c>
      <c r="M82" s="359">
        <f t="shared" ref="M82:M92" si="17">G82/G$228</f>
        <v>1.9318495920867134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'[61]Sch C'!D76</f>
        <v>22804.19</v>
      </c>
      <c r="D83" s="558">
        <f>'[61]Sch C'!F76</f>
        <v>0</v>
      </c>
      <c r="E83" s="171">
        <f t="shared" si="14"/>
        <v>22804.19</v>
      </c>
      <c r="F83" s="415"/>
      <c r="G83" s="171">
        <f t="shared" si="15"/>
        <v>22804.19</v>
      </c>
      <c r="H83" s="172">
        <f t="shared" si="16"/>
        <v>2.023000461322587E-3</v>
      </c>
      <c r="I83" s="336"/>
      <c r="J83" s="168"/>
      <c r="K83" s="168"/>
      <c r="M83" s="359">
        <f t="shared" si="17"/>
        <v>0.52703297973144747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'[61]Sch C'!D77</f>
        <v>63155.28</v>
      </c>
      <c r="D84" s="558">
        <f>'[61]Sch C'!F77</f>
        <v>0</v>
      </c>
      <c r="E84" s="171">
        <f t="shared" si="14"/>
        <v>63155.28</v>
      </c>
      <c r="F84" s="415"/>
      <c r="G84" s="171">
        <f t="shared" si="15"/>
        <v>63155.28</v>
      </c>
      <c r="H84" s="172">
        <f t="shared" si="16"/>
        <v>5.6026177897551795E-3</v>
      </c>
      <c r="I84" s="336"/>
      <c r="J84" s="168"/>
      <c r="K84" s="168"/>
      <c r="M84" s="359">
        <f t="shared" si="17"/>
        <v>1.4595964778478818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'[61]Sch C'!D78</f>
        <v>62246.54</v>
      </c>
      <c r="D85" s="558">
        <f>'[61]Sch C'!F78</f>
        <v>3723</v>
      </c>
      <c r="E85" s="171">
        <f t="shared" si="14"/>
        <v>65969.540000000008</v>
      </c>
      <c r="F85" s="415"/>
      <c r="G85" s="171">
        <f t="shared" si="15"/>
        <v>65969.540000000008</v>
      </c>
      <c r="H85" s="172">
        <f t="shared" si="16"/>
        <v>5.852275825330296E-3</v>
      </c>
      <c r="I85" s="336"/>
      <c r="J85" s="168"/>
      <c r="K85" s="168"/>
      <c r="M85" s="359">
        <f t="shared" si="17"/>
        <v>1.5246375002888906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'[61]Sch C'!D79</f>
        <v>46862.46</v>
      </c>
      <c r="D86" s="558">
        <f>'[61]Sch C'!F79</f>
        <v>0</v>
      </c>
      <c r="E86" s="171">
        <f t="shared" si="14"/>
        <v>46862.46</v>
      </c>
      <c r="F86" s="415"/>
      <c r="G86" s="171">
        <f>E86+F86</f>
        <v>46862.46</v>
      </c>
      <c r="H86" s="172">
        <f t="shared" si="16"/>
        <v>4.1572526013294612E-3</v>
      </c>
      <c r="I86" s="336"/>
      <c r="J86" s="168"/>
      <c r="K86" s="168"/>
      <c r="M86" s="359">
        <f t="shared" si="17"/>
        <v>1.0830492962629135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'[61]Sch C'!D80</f>
        <v>85671.44</v>
      </c>
      <c r="D87" s="558">
        <f>'[61]Sch C'!F80</f>
        <v>-30</v>
      </c>
      <c r="E87" s="171">
        <f t="shared" si="14"/>
        <v>85641.44</v>
      </c>
      <c r="F87" s="415"/>
      <c r="G87" s="171">
        <f t="shared" si="15"/>
        <v>85641.44</v>
      </c>
      <c r="H87" s="172">
        <f t="shared" si="16"/>
        <v>7.5974052412442926E-3</v>
      </c>
      <c r="I87" s="336"/>
      <c r="J87" s="168"/>
      <c r="K87" s="168"/>
      <c r="M87" s="359">
        <f t="shared" si="17"/>
        <v>1.9792793917123115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'[61]Sch C'!D81</f>
        <v>0</v>
      </c>
      <c r="D88" s="558">
        <f>'[61]Sch C'!F81</f>
        <v>0</v>
      </c>
      <c r="E88" s="171">
        <f t="shared" si="14"/>
        <v>0</v>
      </c>
      <c r="F88" s="415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'[61]Sch C'!D82</f>
        <v>1556.69</v>
      </c>
      <c r="D89" s="558">
        <f>'[61]Sch C'!F82</f>
        <v>0</v>
      </c>
      <c r="E89" s="171">
        <f t="shared" si="14"/>
        <v>1556.69</v>
      </c>
      <c r="F89" s="415"/>
      <c r="G89" s="171">
        <f t="shared" si="15"/>
        <v>1556.69</v>
      </c>
      <c r="H89" s="172">
        <f t="shared" si="16"/>
        <v>1.380967527518521E-4</v>
      </c>
      <c r="I89" s="336"/>
      <c r="J89" s="168"/>
      <c r="K89" s="168"/>
      <c r="M89" s="359">
        <f t="shared" si="17"/>
        <v>3.59770274330352E-2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'[61]Sch C'!D83</f>
        <v>0</v>
      </c>
      <c r="D90" s="558">
        <f>'[61]Sch C'!F83</f>
        <v>0</v>
      </c>
      <c r="E90" s="171">
        <f t="shared" si="14"/>
        <v>0</v>
      </c>
      <c r="F90" s="415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'[61]Sch C'!D84</f>
        <v>257593.81</v>
      </c>
      <c r="D91" s="558">
        <f>'[61]Sch C'!F84</f>
        <v>1548</v>
      </c>
      <c r="E91" s="171">
        <f t="shared" si="14"/>
        <v>259141.81</v>
      </c>
      <c r="F91" s="415"/>
      <c r="G91" s="171">
        <f t="shared" si="15"/>
        <v>259141.81</v>
      </c>
      <c r="H91" s="172">
        <f t="shared" si="16"/>
        <v>2.2988933225778694E-2</v>
      </c>
      <c r="I91" s="336"/>
      <c r="J91" s="168"/>
      <c r="K91" s="168"/>
      <c r="M91" s="359">
        <f t="shared" si="17"/>
        <v>5.9890871062423443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'[61]Sch C'!D85</f>
        <v>1685.88</v>
      </c>
      <c r="D92" s="558">
        <f>'[61]Sch C'!F85</f>
        <v>0</v>
      </c>
      <c r="E92" s="171">
        <f t="shared" si="14"/>
        <v>1685.88</v>
      </c>
      <c r="F92" s="415"/>
      <c r="G92" s="171">
        <f t="shared" si="15"/>
        <v>1685.88</v>
      </c>
      <c r="H92" s="172">
        <f t="shared" si="16"/>
        <v>1.4955742860125809E-4</v>
      </c>
      <c r="I92" s="336"/>
      <c r="J92" s="168"/>
      <c r="K92" s="168"/>
      <c r="M92" s="359">
        <f t="shared" si="17"/>
        <v>3.896276780142828E-2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625165.49</v>
      </c>
      <c r="D93" s="558">
        <f>SUM(D82:D92)</f>
        <v>5241</v>
      </c>
      <c r="E93" s="171">
        <f t="shared" ref="E93:F93" si="18">SUM(E82:E92)</f>
        <v>630406.49</v>
      </c>
      <c r="F93" s="171">
        <f t="shared" si="18"/>
        <v>0</v>
      </c>
      <c r="G93" s="171">
        <f>SUM(G82:G92)</f>
        <v>630406.49</v>
      </c>
      <c r="H93" s="172">
        <f t="shared" si="16"/>
        <v>5.5924486688224966E-2</v>
      </c>
      <c r="I93" s="336"/>
      <c r="J93" s="168"/>
      <c r="K93" s="168"/>
      <c r="M93" s="364">
        <f>G93/G$228</f>
        <v>14.569472139406965</v>
      </c>
      <c r="N93" s="359">
        <f>SUMMARY!J96</f>
        <v>11.458724454710746</v>
      </c>
      <c r="O93" s="354">
        <f>M93/N93-1</f>
        <v>0.27147416773927002</v>
      </c>
      <c r="P93"/>
      <c r="Q93"/>
    </row>
    <row r="94" spans="1:17" s="167" customFormat="1">
      <c r="A94" s="163"/>
      <c r="C94" s="165"/>
      <c r="D94" s="165"/>
      <c r="E94" s="165"/>
      <c r="F94" s="422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422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'[61]Sch C'!D89</f>
        <v>358876</v>
      </c>
      <c r="D96" s="558">
        <f>'[61]Sch C'!F89</f>
        <v>0</v>
      </c>
      <c r="E96" s="171">
        <f t="shared" ref="E96:E101" si="19">C96+D96</f>
        <v>358876</v>
      </c>
      <c r="F96" s="415"/>
      <c r="G96" s="171">
        <f t="shared" ref="G96:G101" si="20">E96+F96</f>
        <v>358876</v>
      </c>
      <c r="H96" s="172">
        <f t="shared" ref="H96:H102" si="21">IF($G$208=0,0,G96/$G$208)</f>
        <v>3.183653151274414E-2</v>
      </c>
      <c r="I96" s="336"/>
      <c r="J96" s="183">
        <v>24939</v>
      </c>
      <c r="K96" s="183">
        <v>25999</v>
      </c>
      <c r="M96" s="364">
        <f t="shared" ref="M96:M101" si="22">G96/G$228</f>
        <v>8.2940673461369574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'[61]Sch C'!D90</f>
        <v>79930.41</v>
      </c>
      <c r="D97" s="558">
        <f>'[61]Sch C'!F90</f>
        <v>0</v>
      </c>
      <c r="E97" s="171">
        <f t="shared" si="19"/>
        <v>79930.41</v>
      </c>
      <c r="F97" s="415"/>
      <c r="G97" s="171">
        <f t="shared" si="20"/>
        <v>79930.41</v>
      </c>
      <c r="H97" s="172">
        <f t="shared" si="21"/>
        <v>7.090769560493205E-3</v>
      </c>
      <c r="I97" s="336"/>
      <c r="J97" s="168"/>
      <c r="K97" s="168"/>
      <c r="M97" s="364">
        <f t="shared" si="22"/>
        <v>1.8472904388823408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'[61]Sch C'!D91</f>
        <v>5254</v>
      </c>
      <c r="D98" s="558">
        <f>'[61]Sch C'!F91</f>
        <v>0</v>
      </c>
      <c r="E98" s="171">
        <f t="shared" si="19"/>
        <v>5254</v>
      </c>
      <c r="F98" s="415"/>
      <c r="G98" s="171">
        <f t="shared" si="20"/>
        <v>5254</v>
      </c>
      <c r="H98" s="172">
        <f t="shared" si="21"/>
        <v>4.6609173243113979E-4</v>
      </c>
      <c r="I98" s="336"/>
      <c r="J98" s="168"/>
      <c r="K98" s="168"/>
      <c r="M98" s="364">
        <f t="shared" si="22"/>
        <v>0.12142642538537983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'[61]Sch C'!D92</f>
        <v>348991.15</v>
      </c>
      <c r="D99" s="558">
        <f>'[61]Sch C'!F92</f>
        <v>-1219</v>
      </c>
      <c r="E99" s="171">
        <f t="shared" si="19"/>
        <v>347772.15</v>
      </c>
      <c r="F99" s="415"/>
      <c r="G99" s="171">
        <f t="shared" si="20"/>
        <v>347772.15</v>
      </c>
      <c r="H99" s="172">
        <f t="shared" si="21"/>
        <v>3.0851489129197225E-2</v>
      </c>
      <c r="I99" s="336"/>
      <c r="J99" s="168"/>
      <c r="K99" s="168"/>
      <c r="M99" s="364">
        <f t="shared" si="22"/>
        <v>8.0374436663662205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'[61]Sch C'!D93</f>
        <v>6242.31</v>
      </c>
      <c r="D100" s="558">
        <f>'[61]Sch C'!F93</f>
        <v>0</v>
      </c>
      <c r="E100" s="171">
        <f t="shared" si="19"/>
        <v>6242.31</v>
      </c>
      <c r="F100" s="415"/>
      <c r="G100" s="171">
        <f t="shared" si="20"/>
        <v>6242.31</v>
      </c>
      <c r="H100" s="172">
        <f t="shared" si="21"/>
        <v>5.5376647930571537E-4</v>
      </c>
      <c r="I100" s="336"/>
      <c r="J100" s="168"/>
      <c r="K100" s="168"/>
      <c r="M100" s="364">
        <f t="shared" si="22"/>
        <v>0.14426748942661027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'[61]Sch C'!D94</f>
        <v>30177.279999999999</v>
      </c>
      <c r="D101" s="558">
        <f>'[61]Sch C'!F94</f>
        <v>0</v>
      </c>
      <c r="E101" s="171">
        <f t="shared" si="19"/>
        <v>30177.279999999999</v>
      </c>
      <c r="F101" s="415"/>
      <c r="G101" s="171">
        <f t="shared" si="20"/>
        <v>30177.279999999999</v>
      </c>
      <c r="H101" s="172">
        <f t="shared" si="21"/>
        <v>2.6770804558925742E-3</v>
      </c>
      <c r="I101" s="336"/>
      <c r="J101" s="168"/>
      <c r="K101" s="168"/>
      <c r="M101" s="364">
        <f t="shared" si="22"/>
        <v>0.69743419076012847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829471.15000000014</v>
      </c>
      <c r="D102" s="558">
        <f>SUM(D96:D101)</f>
        <v>-1219</v>
      </c>
      <c r="E102" s="171">
        <f t="shared" ref="E102:F102" si="23">SUM(E96:E101)</f>
        <v>828252.15000000014</v>
      </c>
      <c r="F102" s="171">
        <f t="shared" si="23"/>
        <v>0</v>
      </c>
      <c r="G102" s="171">
        <f>SUM(G96:G101)</f>
        <v>828252.15000000014</v>
      </c>
      <c r="H102" s="172">
        <f t="shared" si="21"/>
        <v>7.3475728870064011E-2</v>
      </c>
      <c r="I102" s="336"/>
      <c r="J102" s="168"/>
      <c r="K102" s="168"/>
      <c r="M102" s="364">
        <f>G102/G$228</f>
        <v>19.141929556957642</v>
      </c>
      <c r="N102" s="359">
        <f>SUMMARY!J105</f>
        <v>19.901077037785338</v>
      </c>
      <c r="O102" s="354">
        <f>M102/N102-1</f>
        <v>-3.8146050054795322E-2</v>
      </c>
      <c r="P102"/>
      <c r="Q102"/>
    </row>
    <row r="103" spans="1:17" s="167" customFormat="1">
      <c r="A103" s="163"/>
      <c r="C103" s="165"/>
      <c r="D103" s="165"/>
      <c r="E103" s="165"/>
      <c r="F103" s="422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422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'[61]Sch C'!D98</f>
        <v>96049.82</v>
      </c>
      <c r="D105" s="558">
        <f>'[61]Sch C'!F98</f>
        <v>0</v>
      </c>
      <c r="E105" s="171">
        <f t="shared" ref="E105:E110" si="24">C105+D105</f>
        <v>96049.82</v>
      </c>
      <c r="F105" s="415"/>
      <c r="G105" s="171">
        <f t="shared" ref="G105:G110" si="25">E105+F105</f>
        <v>96049.82</v>
      </c>
      <c r="H105" s="172">
        <f t="shared" ref="H105:H111" si="26">IF($G$208=0,0,G105/$G$208)</f>
        <v>8.5207512378186415E-3</v>
      </c>
      <c r="I105" s="336"/>
      <c r="J105" s="183">
        <v>9692.99</v>
      </c>
      <c r="K105" s="183">
        <v>10176.52</v>
      </c>
      <c r="M105" s="364">
        <f t="shared" ref="M105:M110" si="27">G105/G$228</f>
        <v>2.2198299013150296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'[61]Sch C'!D99</f>
        <v>24677.31</v>
      </c>
      <c r="D106" s="558">
        <f>'[61]Sch C'!F99</f>
        <v>0</v>
      </c>
      <c r="E106" s="171">
        <f t="shared" si="24"/>
        <v>24677.31</v>
      </c>
      <c r="F106" s="415"/>
      <c r="G106" s="171">
        <f t="shared" si="25"/>
        <v>24677.31</v>
      </c>
      <c r="H106" s="172">
        <f t="shared" si="26"/>
        <v>2.1891682850476379E-3</v>
      </c>
      <c r="I106" s="336"/>
      <c r="J106" s="168"/>
      <c r="K106" s="168"/>
      <c r="M106" s="364">
        <f t="shared" si="27"/>
        <v>0.57032309505650702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'[61]Sch C'!D100</f>
        <v>9524.7099999999991</v>
      </c>
      <c r="D107" s="558">
        <f>'[61]Sch C'!F100</f>
        <v>0</v>
      </c>
      <c r="E107" s="171">
        <f t="shared" si="24"/>
        <v>9524.7099999999991</v>
      </c>
      <c r="F107" s="415"/>
      <c r="G107" s="171">
        <f t="shared" si="25"/>
        <v>9524.7099999999991</v>
      </c>
      <c r="H107" s="172">
        <f t="shared" si="26"/>
        <v>8.4495405116181976E-4</v>
      </c>
      <c r="I107" s="336"/>
      <c r="J107" s="168"/>
      <c r="K107" s="168"/>
      <c r="M107" s="364">
        <f t="shared" si="27"/>
        <v>0.22012780512607177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'[61]Sch C'!D101</f>
        <v>0</v>
      </c>
      <c r="D108" s="558">
        <f>'[61]Sch C'!F101</f>
        <v>0</v>
      </c>
      <c r="E108" s="171">
        <f t="shared" si="24"/>
        <v>0</v>
      </c>
      <c r="F108" s="415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'[61]Sch C'!D102</f>
        <v>17011.7</v>
      </c>
      <c r="D109" s="558">
        <f>'[61]Sch C'!F102</f>
        <v>0</v>
      </c>
      <c r="E109" s="171">
        <f t="shared" si="24"/>
        <v>17011.7</v>
      </c>
      <c r="F109" s="415"/>
      <c r="G109" s="171">
        <f t="shared" si="25"/>
        <v>17011.7</v>
      </c>
      <c r="H109" s="172">
        <f t="shared" si="26"/>
        <v>1.509138318347701E-3</v>
      </c>
      <c r="I109" s="336"/>
      <c r="J109" s="168"/>
      <c r="K109" s="168"/>
      <c r="M109" s="364">
        <f t="shared" si="27"/>
        <v>0.3931613857496129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'[61]Sch C'!D103</f>
        <v>284.75</v>
      </c>
      <c r="D110" s="558">
        <f>'[61]Sch C'!F103</f>
        <v>0</v>
      </c>
      <c r="E110" s="171">
        <f t="shared" si="24"/>
        <v>284.75</v>
      </c>
      <c r="F110" s="415"/>
      <c r="G110" s="171">
        <f t="shared" si="25"/>
        <v>284.75</v>
      </c>
      <c r="H110" s="172">
        <f t="shared" si="26"/>
        <v>2.5260681539734878E-5</v>
      </c>
      <c r="I110" s="336"/>
      <c r="J110" s="168"/>
      <c r="K110" s="168"/>
      <c r="M110" s="364">
        <f t="shared" si="27"/>
        <v>6.580923987150154E-3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147548.29</v>
      </c>
      <c r="D111" s="558">
        <f>SUM(D105:D110)</f>
        <v>0</v>
      </c>
      <c r="E111" s="171">
        <f t="shared" ref="E111:F111" si="28">SUM(E105:E110)</f>
        <v>147548.29</v>
      </c>
      <c r="F111" s="171">
        <f t="shared" si="28"/>
        <v>0</v>
      </c>
      <c r="G111" s="171">
        <f>SUM(G105:G110)</f>
        <v>147548.29</v>
      </c>
      <c r="H111" s="172">
        <f t="shared" si="26"/>
        <v>1.3089272573915534E-2</v>
      </c>
      <c r="I111" s="336"/>
      <c r="J111" s="168"/>
      <c r="K111" s="168"/>
      <c r="M111" s="364">
        <f>G111/G$228</f>
        <v>3.4100231112343713</v>
      </c>
      <c r="N111" s="359">
        <f>SUMMARY!J114</f>
        <v>2.4242384372309496</v>
      </c>
      <c r="O111" s="354">
        <f>M111/N111-1</f>
        <v>0.40663684679854328</v>
      </c>
      <c r="P111"/>
      <c r="Q111"/>
    </row>
    <row r="112" spans="1:17" s="167" customFormat="1">
      <c r="A112" s="163"/>
      <c r="C112" s="165"/>
      <c r="D112" s="165"/>
      <c r="E112" s="165"/>
      <c r="F112" s="422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422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'[61]Sch C'!D115</f>
        <v>102901.48</v>
      </c>
      <c r="D114" s="558">
        <f>'[61]Sch C'!F115</f>
        <v>0</v>
      </c>
      <c r="E114" s="171">
        <f t="shared" ref="E114:E118" si="29">C114+D114</f>
        <v>102901.48</v>
      </c>
      <c r="F114" s="415"/>
      <c r="G114" s="171">
        <f>E114+F114</f>
        <v>102901.48</v>
      </c>
      <c r="H114" s="172">
        <f t="shared" ref="H114:H119" si="30">IF($G$208=0,0,G114/$G$208)</f>
        <v>9.1285742449425736E-3</v>
      </c>
      <c r="I114" s="336"/>
      <c r="J114" s="183">
        <v>10732.12</v>
      </c>
      <c r="K114" s="183">
        <v>11435.04</v>
      </c>
      <c r="M114" s="364">
        <f t="shared" ref="M114:M119" si="31">G114/G$228</f>
        <v>2.3781802214056253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'[61]Sch C'!D116</f>
        <v>26658.2</v>
      </c>
      <c r="D115" s="558">
        <f>'[61]Sch C'!F116</f>
        <v>0</v>
      </c>
      <c r="E115" s="171">
        <f t="shared" si="29"/>
        <v>26658.2</v>
      </c>
      <c r="F115" s="415"/>
      <c r="G115" s="171">
        <f>E115+F115</f>
        <v>26658.2</v>
      </c>
      <c r="H115" s="172">
        <f t="shared" si="30"/>
        <v>2.3648965781301505E-3</v>
      </c>
      <c r="I115" s="336"/>
      <c r="J115" s="168"/>
      <c r="K115" s="168"/>
      <c r="M115" s="364">
        <f t="shared" si="31"/>
        <v>0.61610390810973215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'[61]Sch C'!D117</f>
        <v>44907.5</v>
      </c>
      <c r="D116" s="558">
        <f>'[61]Sch C'!F117</f>
        <v>0</v>
      </c>
      <c r="E116" s="171">
        <f t="shared" si="29"/>
        <v>44907.5</v>
      </c>
      <c r="F116" s="415"/>
      <c r="G116" s="171">
        <f>E116+F116</f>
        <v>44907.5</v>
      </c>
      <c r="H116" s="172">
        <f t="shared" si="30"/>
        <v>3.9838246049012961E-3</v>
      </c>
      <c r="I116" s="336"/>
      <c r="J116" s="168"/>
      <c r="K116" s="168"/>
      <c r="M116" s="364">
        <f t="shared" si="31"/>
        <v>1.0378677575169291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'[61]Sch C'!D118</f>
        <v>1295</v>
      </c>
      <c r="D117" s="558">
        <f>'[61]Sch C'!F118</f>
        <v>0</v>
      </c>
      <c r="E117" s="171">
        <f t="shared" si="29"/>
        <v>1295</v>
      </c>
      <c r="F117" s="415"/>
      <c r="G117" s="171">
        <f>E117+F117</f>
        <v>1295</v>
      </c>
      <c r="H117" s="172">
        <f t="shared" si="30"/>
        <v>1.1488176503584431E-4</v>
      </c>
      <c r="I117" s="336"/>
      <c r="J117" s="168"/>
      <c r="K117" s="168"/>
      <c r="M117" s="364">
        <f t="shared" si="31"/>
        <v>2.9929048510480945E-2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'[61]Sch C'!D119</f>
        <v>404.5</v>
      </c>
      <c r="D118" s="558">
        <f>'[61]Sch C'!F119</f>
        <v>0</v>
      </c>
      <c r="E118" s="171">
        <f t="shared" si="29"/>
        <v>404.5</v>
      </c>
      <c r="F118" s="415"/>
      <c r="G118" s="171">
        <f>E118+F118</f>
        <v>404.5</v>
      </c>
      <c r="H118" s="172">
        <f t="shared" si="30"/>
        <v>3.5883918113512762E-5</v>
      </c>
      <c r="I118" s="336"/>
      <c r="J118" s="168"/>
      <c r="K118" s="168"/>
      <c r="M118" s="364">
        <f t="shared" si="31"/>
        <v>9.3484943030807278E-3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176166.68</v>
      </c>
      <c r="D119" s="558">
        <f>SUM(D114:D118)</f>
        <v>0</v>
      </c>
      <c r="E119" s="171">
        <f t="shared" ref="E119:F119" si="32">SUM(E114:E118)</f>
        <v>176166.68</v>
      </c>
      <c r="F119" s="171">
        <f t="shared" si="32"/>
        <v>0</v>
      </c>
      <c r="G119" s="171">
        <f>SUM(G114:G118)</f>
        <v>176166.68</v>
      </c>
      <c r="H119" s="172">
        <f t="shared" si="30"/>
        <v>1.5628061111123377E-2</v>
      </c>
      <c r="I119" s="336"/>
      <c r="J119" s="168"/>
      <c r="K119" s="168"/>
      <c r="M119" s="364">
        <f t="shared" si="31"/>
        <v>4.071429429845848</v>
      </c>
      <c r="N119" s="359">
        <f>SUMMARY!J122</f>
        <v>6.0247597205909562</v>
      </c>
      <c r="O119" s="354">
        <f>M119/N119-1</f>
        <v>-0.32421712754272469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419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'[61]Sch C'!D124</f>
        <v>233071.18</v>
      </c>
      <c r="D123" s="558">
        <f>'[61]Sch C'!F124</f>
        <v>0</v>
      </c>
      <c r="E123" s="171">
        <f t="shared" ref="E123:E127" si="33">C123+D123</f>
        <v>233071.18</v>
      </c>
      <c r="F123" s="415"/>
      <c r="G123" s="171">
        <f>E123+F123</f>
        <v>233071.18</v>
      </c>
      <c r="H123" s="172">
        <f>IF($G$208=0,0,G123/$G$208)</f>
        <v>2.0676161032731254E-2</v>
      </c>
      <c r="I123" s="336"/>
      <c r="J123" s="183">
        <v>6488.84</v>
      </c>
      <c r="K123" s="183">
        <v>6800.84</v>
      </c>
      <c r="M123" s="364">
        <f t="shared" ref="M123:M160" si="34">G123/G$228</f>
        <v>5.3865626661119972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'[61]Sch C'!D125</f>
        <v>133232.35</v>
      </c>
      <c r="D124" s="558">
        <f>'[61]Sch C'!F125</f>
        <v>0</v>
      </c>
      <c r="E124" s="171">
        <f t="shared" si="33"/>
        <v>133232.35</v>
      </c>
      <c r="F124" s="415"/>
      <c r="G124" s="171">
        <f>E124+F124</f>
        <v>133232.35</v>
      </c>
      <c r="H124" s="172">
        <f>IF($G$208=0,0,G124/$G$208)</f>
        <v>1.1819279944303762E-2</v>
      </c>
      <c r="I124" s="336"/>
      <c r="J124" s="183">
        <v>3498.87</v>
      </c>
      <c r="K124" s="183">
        <v>3666.87</v>
      </c>
      <c r="M124" s="364">
        <f t="shared" si="34"/>
        <v>3.0791640666528002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'[61]Sch C'!D126</f>
        <v>0</v>
      </c>
      <c r="D125" s="558">
        <f>'[61]Sch C'!F126</f>
        <v>0</v>
      </c>
      <c r="E125" s="171">
        <f t="shared" si="33"/>
        <v>0</v>
      </c>
      <c r="F125" s="415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'[61]Sch C'!D127</f>
        <v>0</v>
      </c>
      <c r="D126" s="558">
        <f>'[61]Sch C'!F127</f>
        <v>0</v>
      </c>
      <c r="E126" s="171">
        <f t="shared" si="33"/>
        <v>0</v>
      </c>
      <c r="F126" s="415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'[61]Sch C'!D128</f>
        <v>76328.7</v>
      </c>
      <c r="D127" s="558">
        <f>'[61]Sch C'!F128</f>
        <v>0</v>
      </c>
      <c r="E127" s="171">
        <f t="shared" si="33"/>
        <v>76328.7</v>
      </c>
      <c r="F127" s="415"/>
      <c r="G127" s="171">
        <f>E127+F127</f>
        <v>76328.7</v>
      </c>
      <c r="H127" s="172">
        <f>IF($G$208=0,0,G127/$G$208)</f>
        <v>6.7712554277154051E-3</v>
      </c>
      <c r="I127" s="336"/>
      <c r="J127" s="183">
        <v>4257.34</v>
      </c>
      <c r="K127" s="183">
        <v>4614.34</v>
      </c>
      <c r="M127" s="364">
        <f t="shared" si="34"/>
        <v>1.7640504749358663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419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'[61]Sch C'!D130</f>
        <v>54115.45</v>
      </c>
      <c r="D129" s="558">
        <f>'[61]Sch C'!F130</f>
        <v>0</v>
      </c>
      <c r="E129" s="171">
        <f t="shared" ref="E129:E133" si="35">C129+D129</f>
        <v>54115.45</v>
      </c>
      <c r="F129" s="415"/>
      <c r="G129" s="171">
        <f>E129+F129</f>
        <v>54115.45</v>
      </c>
      <c r="H129" s="172">
        <f>IF($G$208=0,0,G129/$G$208)</f>
        <v>4.8006783101999847E-3</v>
      </c>
      <c r="I129" s="336"/>
      <c r="J129" s="204"/>
      <c r="K129" s="204"/>
      <c r="M129" s="364">
        <f t="shared" si="34"/>
        <v>1.250674848043634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'[61]Sch C'!D131</f>
        <v>30934.45</v>
      </c>
      <c r="D130" s="558">
        <f>'[61]Sch C'!F131</f>
        <v>0</v>
      </c>
      <c r="E130" s="171">
        <f t="shared" si="35"/>
        <v>30934.45</v>
      </c>
      <c r="F130" s="415"/>
      <c r="G130" s="171">
        <f>E130+F130</f>
        <v>30934.45</v>
      </c>
      <c r="H130" s="172">
        <f>IF($G$208=0,0,G130/$G$208)</f>
        <v>2.7442503601645359E-3</v>
      </c>
      <c r="I130" s="336"/>
      <c r="J130" s="204"/>
      <c r="K130" s="204"/>
      <c r="M130" s="364">
        <f t="shared" si="34"/>
        <v>0.71493332408883958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'[61]Sch C'!D132</f>
        <v>0</v>
      </c>
      <c r="D131" s="558">
        <f>'[61]Sch C'!F132</f>
        <v>0</v>
      </c>
      <c r="E131" s="171">
        <f t="shared" si="35"/>
        <v>0</v>
      </c>
      <c r="F131" s="415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'[61]Sch C'!D133</f>
        <v>0</v>
      </c>
      <c r="D132" s="558">
        <f>'[61]Sch C'!F133</f>
        <v>0</v>
      </c>
      <c r="E132" s="171">
        <f t="shared" si="35"/>
        <v>0</v>
      </c>
      <c r="F132" s="415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'[61]Sch C'!D134</f>
        <v>18310.68</v>
      </c>
      <c r="D133" s="558">
        <f>'[61]Sch C'!F134</f>
        <v>0</v>
      </c>
      <c r="E133" s="171">
        <f t="shared" si="35"/>
        <v>18310.68</v>
      </c>
      <c r="F133" s="415"/>
      <c r="G133" s="171">
        <f>E133+F133</f>
        <v>18310.68</v>
      </c>
      <c r="H133" s="172">
        <f>IF($G$208=0,0,G133/$G$208)</f>
        <v>1.6243731562984817E-3</v>
      </c>
      <c r="I133" s="336"/>
      <c r="J133" s="168"/>
      <c r="K133" s="168"/>
      <c r="M133" s="364">
        <f t="shared" si="34"/>
        <v>0.42318241697289055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419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'[61]Sch C'!D136</f>
        <v>642406.82999999996</v>
      </c>
      <c r="D135" s="558">
        <f>'[61]Sch C'!F136</f>
        <v>0</v>
      </c>
      <c r="E135" s="171">
        <f t="shared" ref="E135:E138" si="36">C135+D135</f>
        <v>642406.82999999996</v>
      </c>
      <c r="F135" s="415"/>
      <c r="G135" s="171">
        <f>E135+F135</f>
        <v>642406.82999999996</v>
      </c>
      <c r="H135" s="172">
        <f>IF($G$208=0,0,G135/$G$208)</f>
        <v>5.6989058302302373E-2</v>
      </c>
      <c r="I135" s="336"/>
      <c r="J135" s="183">
        <v>22463.06</v>
      </c>
      <c r="K135" s="183">
        <v>23457.200000000001</v>
      </c>
      <c r="M135" s="364">
        <f t="shared" si="34"/>
        <v>14.846814809678984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'[61]Sch C'!D137</f>
        <v>581215.56999999995</v>
      </c>
      <c r="D136" s="558">
        <f>'[61]Sch C'!F137</f>
        <v>0</v>
      </c>
      <c r="E136" s="171">
        <f t="shared" si="36"/>
        <v>581215.56999999995</v>
      </c>
      <c r="F136" s="415"/>
      <c r="G136" s="171">
        <f>E136+F136</f>
        <v>581215.56999999995</v>
      </c>
      <c r="H136" s="172">
        <f>IF($G$208=0,0,G136/$G$208)</f>
        <v>5.1560672237771672E-2</v>
      </c>
      <c r="I136" s="336"/>
      <c r="J136" s="183">
        <v>21780.87</v>
      </c>
      <c r="K136" s="183">
        <v>22842.78</v>
      </c>
      <c r="M136" s="364">
        <f t="shared" si="34"/>
        <v>13.432609258360488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'[61]Sch C'!D138</f>
        <v>1144181.3400000001</v>
      </c>
      <c r="D137" s="558">
        <f>'[61]Sch C'!F138</f>
        <v>0</v>
      </c>
      <c r="E137" s="171">
        <f t="shared" si="36"/>
        <v>1144181.3400000001</v>
      </c>
      <c r="F137" s="415"/>
      <c r="G137" s="171">
        <f>E137+F137</f>
        <v>1144181.3400000001</v>
      </c>
      <c r="H137" s="172">
        <f>IF($G$208=0,0,G137/$G$208)</f>
        <v>0.10150237209287838</v>
      </c>
      <c r="I137" s="336"/>
      <c r="J137" s="183">
        <v>91083.31</v>
      </c>
      <c r="K137" s="183">
        <v>94093.29</v>
      </c>
      <c r="M137" s="364">
        <f t="shared" si="34"/>
        <v>26.443443111696599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'[61]Sch C'!D139</f>
        <v>203660.97</v>
      </c>
      <c r="D138" s="558">
        <f>'[61]Sch C'!F139</f>
        <v>0</v>
      </c>
      <c r="E138" s="171">
        <f t="shared" si="36"/>
        <v>203660.97</v>
      </c>
      <c r="F138" s="415"/>
      <c r="G138" s="171">
        <f>E138+F138</f>
        <v>203660.97</v>
      </c>
      <c r="H138" s="172">
        <f>IF($G$208=0,0,G138/$G$208)</f>
        <v>1.80671287278086E-2</v>
      </c>
      <c r="I138" s="336"/>
      <c r="J138" s="183">
        <v>15208.11</v>
      </c>
      <c r="K138" s="183">
        <v>15722.46</v>
      </c>
      <c r="M138" s="364">
        <f t="shared" si="34"/>
        <v>4.706856409900853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419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'[61]Sch C'!D141</f>
        <v>149156.73000000001</v>
      </c>
      <c r="D140" s="558">
        <f>'[61]Sch C'!F141</f>
        <v>0</v>
      </c>
      <c r="E140" s="171">
        <f t="shared" ref="E140:E143" si="37">C140+D140</f>
        <v>149156.73000000001</v>
      </c>
      <c r="F140" s="415"/>
      <c r="G140" s="171">
        <f>E140+F140</f>
        <v>149156.73000000001</v>
      </c>
      <c r="H140" s="172">
        <f>IF($G$208=0,0,G140/$G$208)</f>
        <v>1.3231960161679436E-2</v>
      </c>
      <c r="I140" s="336"/>
      <c r="J140" s="168"/>
      <c r="K140" s="168"/>
      <c r="M140" s="364">
        <f t="shared" si="34"/>
        <v>3.4471961450461071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'[61]Sch C'!D142</f>
        <v>134949.09</v>
      </c>
      <c r="D141" s="558">
        <f>'[61]Sch C'!F142</f>
        <v>0</v>
      </c>
      <c r="E141" s="171">
        <f t="shared" si="37"/>
        <v>134949.09</v>
      </c>
      <c r="F141" s="415"/>
      <c r="G141" s="171">
        <f>E141+F141</f>
        <v>134949.09</v>
      </c>
      <c r="H141" s="172">
        <f>IF($G$208=0,0,G141/$G$208)</f>
        <v>1.1971575018672591E-2</v>
      </c>
      <c r="I141" s="336"/>
      <c r="J141" s="168"/>
      <c r="K141" s="168"/>
      <c r="M141" s="364">
        <f t="shared" si="34"/>
        <v>3.118840047146918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'[61]Sch C'!D143</f>
        <v>265660.86</v>
      </c>
      <c r="D142" s="558">
        <f>'[61]Sch C'!F143</f>
        <v>0</v>
      </c>
      <c r="E142" s="171">
        <f t="shared" si="37"/>
        <v>265660.86</v>
      </c>
      <c r="F142" s="415"/>
      <c r="G142" s="171">
        <f>E142+F142</f>
        <v>265660.86</v>
      </c>
      <c r="H142" s="172">
        <f>IF($G$208=0,0,G142/$G$208)</f>
        <v>2.3567249805204887E-2</v>
      </c>
      <c r="I142" s="336"/>
      <c r="J142" s="168"/>
      <c r="K142" s="168"/>
      <c r="M142" s="364">
        <f t="shared" si="34"/>
        <v>6.1397503986687925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'[61]Sch C'!D144</f>
        <v>47286.86</v>
      </c>
      <c r="D143" s="558">
        <f>'[61]Sch C'!F144</f>
        <v>0</v>
      </c>
      <c r="E143" s="171">
        <f t="shared" si="37"/>
        <v>47286.86</v>
      </c>
      <c r="F143" s="415"/>
      <c r="G143" s="171">
        <f>E143+F143</f>
        <v>47286.86</v>
      </c>
      <c r="H143" s="172">
        <f>IF($G$208=0,0,G143/$G$208)</f>
        <v>4.194901884017656E-3</v>
      </c>
      <c r="I143" s="336"/>
      <c r="J143" s="168"/>
      <c r="K143" s="168"/>
      <c r="M143" s="364">
        <f t="shared" si="34"/>
        <v>1.0928577041299776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419"/>
      <c r="G144" s="196"/>
      <c r="H144" s="197"/>
      <c r="I144" s="336"/>
      <c r="J144" s="204"/>
      <c r="K144" s="204"/>
      <c r="M144" s="364"/>
      <c r="N144" s="359"/>
      <c r="O144" s="167" t="s">
        <v>463</v>
      </c>
      <c r="P144"/>
      <c r="Q144"/>
    </row>
    <row r="145" spans="1:17" s="167" customFormat="1">
      <c r="A145" s="169"/>
      <c r="B145" s="163" t="s">
        <v>232</v>
      </c>
      <c r="C145" s="558">
        <f>'[61]Sch C'!D146</f>
        <v>52277.36</v>
      </c>
      <c r="D145" s="558">
        <f>'[61]Sch C'!F146</f>
        <v>0</v>
      </c>
      <c r="E145" s="171">
        <f t="shared" ref="E145:E153" si="38">C145+D145</f>
        <v>52277.36</v>
      </c>
      <c r="F145" s="415"/>
      <c r="G145" s="171">
        <f t="shared" ref="G145:G153" si="39">E145+F145</f>
        <v>52277.36</v>
      </c>
      <c r="H145" s="172">
        <f t="shared" ref="H145:H153" si="40">IF($G$208=0,0,G145/$G$208)</f>
        <v>4.637618060397101E-3</v>
      </c>
      <c r="I145" s="336"/>
      <c r="J145" s="588">
        <v>0</v>
      </c>
      <c r="K145" s="588" t="s">
        <v>559</v>
      </c>
      <c r="M145" s="364">
        <f t="shared" si="34"/>
        <v>1.2081943192585916</v>
      </c>
      <c r="N145" s="359">
        <f>SUMMARY!J148</f>
        <v>1.6451259729597054</v>
      </c>
      <c r="O145" s="183" t="s">
        <v>395</v>
      </c>
      <c r="P145"/>
      <c r="Q145"/>
    </row>
    <row r="146" spans="1:17" s="167" customFormat="1">
      <c r="A146" s="169"/>
      <c r="B146" s="163" t="s">
        <v>194</v>
      </c>
      <c r="C146" s="558">
        <f>'[61]Sch C'!D147</f>
        <v>10429.66</v>
      </c>
      <c r="D146" s="558">
        <f>'[61]Sch C'!F147</f>
        <v>0</v>
      </c>
      <c r="E146" s="171">
        <f t="shared" si="38"/>
        <v>10429.66</v>
      </c>
      <c r="F146" s="415"/>
      <c r="G146" s="171">
        <f t="shared" si="39"/>
        <v>10429.66</v>
      </c>
      <c r="H146" s="172">
        <f t="shared" si="40"/>
        <v>9.252337834160185E-4</v>
      </c>
      <c r="I146" s="336"/>
      <c r="J146" s="588">
        <v>0</v>
      </c>
      <c r="K146" s="588" t="s">
        <v>560</v>
      </c>
      <c r="M146" s="364">
        <f t="shared" si="34"/>
        <v>0.24104231667013334</v>
      </c>
      <c r="N146" s="359">
        <f>SUMMARY!J149</f>
        <v>0.46540336428082985</v>
      </c>
      <c r="O146" s="183">
        <v>0</v>
      </c>
      <c r="P146"/>
      <c r="Q146"/>
    </row>
    <row r="147" spans="1:17" s="167" customFormat="1">
      <c r="A147" s="169"/>
      <c r="B147" s="163" t="s">
        <v>195</v>
      </c>
      <c r="C147" s="558">
        <f>'[61]Sch C'!D148</f>
        <v>1810.55</v>
      </c>
      <c r="D147" s="558">
        <f>'[61]Sch C'!F148</f>
        <v>0</v>
      </c>
      <c r="E147" s="171">
        <f t="shared" si="38"/>
        <v>1810.55</v>
      </c>
      <c r="F147" s="415"/>
      <c r="G147" s="171">
        <f t="shared" si="39"/>
        <v>1810.55</v>
      </c>
      <c r="H147" s="172">
        <f t="shared" si="40"/>
        <v>1.6061712717038449E-4</v>
      </c>
      <c r="I147" s="336"/>
      <c r="J147" s="588">
        <v>0</v>
      </c>
      <c r="K147" s="588" t="s">
        <v>561</v>
      </c>
      <c r="M147" s="364">
        <f t="shared" si="34"/>
        <v>4.1844045390464303E-2</v>
      </c>
      <c r="N147" s="359">
        <f>SUMMARY!J150</f>
        <v>0.21006426087323665</v>
      </c>
      <c r="O147" s="183">
        <v>0</v>
      </c>
      <c r="P147"/>
      <c r="Q147"/>
    </row>
    <row r="148" spans="1:17" s="167" customFormat="1">
      <c r="A148" s="169"/>
      <c r="B148" s="163" t="s">
        <v>196</v>
      </c>
      <c r="C148" s="558">
        <f>'[61]Sch C'!D149</f>
        <v>19375.5</v>
      </c>
      <c r="D148" s="558">
        <f>'[61]Sch C'!F149</f>
        <v>0</v>
      </c>
      <c r="E148" s="171">
        <f t="shared" si="38"/>
        <v>19375.5</v>
      </c>
      <c r="F148" s="415"/>
      <c r="G148" s="171">
        <f t="shared" si="39"/>
        <v>19375.5</v>
      </c>
      <c r="H148" s="172">
        <f t="shared" si="40"/>
        <v>1.7188352420478776E-3</v>
      </c>
      <c r="I148" s="336"/>
      <c r="J148" s="588">
        <v>0</v>
      </c>
      <c r="K148" s="588" t="s">
        <v>562</v>
      </c>
      <c r="M148" s="364">
        <f t="shared" si="34"/>
        <v>0.44779172155584829</v>
      </c>
      <c r="N148" s="359">
        <f>SUMMARY!J151</f>
        <v>0.30946371189888716</v>
      </c>
      <c r="O148" s="183">
        <v>0</v>
      </c>
      <c r="P148"/>
      <c r="Q148"/>
    </row>
    <row r="149" spans="1:17" s="167" customFormat="1">
      <c r="A149" s="169"/>
      <c r="B149" s="163" t="s">
        <v>197</v>
      </c>
      <c r="C149" s="558">
        <f>'[61]Sch C'!D150</f>
        <v>25523.33</v>
      </c>
      <c r="D149" s="558">
        <f>'[61]Sch C'!F150</f>
        <v>71449</v>
      </c>
      <c r="E149" s="171">
        <f t="shared" si="38"/>
        <v>96972.33</v>
      </c>
      <c r="F149" s="415"/>
      <c r="G149" s="171">
        <f t="shared" si="39"/>
        <v>96972.33</v>
      </c>
      <c r="H149" s="172">
        <f t="shared" si="40"/>
        <v>8.6025887490643674E-3</v>
      </c>
      <c r="I149" s="336"/>
      <c r="J149" s="588">
        <v>0</v>
      </c>
      <c r="K149" s="588" t="s">
        <v>499</v>
      </c>
      <c r="M149" s="364">
        <f t="shared" si="34"/>
        <v>2.2411502461346462</v>
      </c>
      <c r="N149" s="359">
        <f>SUMMARY!J152</f>
        <v>0.63962211863516594</v>
      </c>
      <c r="O149" s="183" t="s">
        <v>403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'[61]Sch C'!D151</f>
        <v>167742.6</v>
      </c>
      <c r="D150" s="558">
        <f>'[61]Sch C'!F151</f>
        <v>0</v>
      </c>
      <c r="E150" s="171">
        <f t="shared" si="38"/>
        <v>167742.6</v>
      </c>
      <c r="F150" s="415"/>
      <c r="G150" s="171">
        <f t="shared" si="39"/>
        <v>167742.6</v>
      </c>
      <c r="H150" s="172">
        <f t="shared" si="40"/>
        <v>1.4880745914827504E-2</v>
      </c>
      <c r="I150" s="336"/>
      <c r="J150" s="168"/>
      <c r="K150" s="168"/>
      <c r="M150" s="364">
        <f t="shared" si="34"/>
        <v>3.8767385426055605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'[61]Sch C'!D152</f>
        <v>10229.4</v>
      </c>
      <c r="D151" s="558">
        <f>'[61]Sch C'!F152</f>
        <v>0</v>
      </c>
      <c r="E151" s="171">
        <f t="shared" si="38"/>
        <v>10229.4</v>
      </c>
      <c r="F151" s="415"/>
      <c r="G151" s="171">
        <f t="shared" si="39"/>
        <v>10229.4</v>
      </c>
      <c r="H151" s="172">
        <f t="shared" si="40"/>
        <v>9.0746836081673026E-4</v>
      </c>
      <c r="I151" s="336"/>
      <c r="J151" s="168"/>
      <c r="K151" s="168"/>
      <c r="M151" s="364">
        <f t="shared" si="34"/>
        <v>0.23641406087499134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'[61]Sch C'!D153</f>
        <v>0</v>
      </c>
      <c r="D152" s="558">
        <f>'[61]Sch C'!F153</f>
        <v>0</v>
      </c>
      <c r="E152" s="171">
        <f t="shared" si="38"/>
        <v>0</v>
      </c>
      <c r="F152" s="415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'[61]Sch C'!D154</f>
        <v>0</v>
      </c>
      <c r="D153" s="558">
        <f>'[61]Sch C'!F154</f>
        <v>0</v>
      </c>
      <c r="E153" s="171">
        <f t="shared" si="38"/>
        <v>0</v>
      </c>
      <c r="F153" s="415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42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'[61]Sch C'!D156</f>
        <v>0</v>
      </c>
      <c r="D155" s="558">
        <f>'[61]Sch C'!F156</f>
        <v>0</v>
      </c>
      <c r="E155" s="171">
        <f t="shared" ref="E155:E160" si="41">C155+D155</f>
        <v>0</v>
      </c>
      <c r="F155" s="415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'[61]Sch C'!D157</f>
        <v>0</v>
      </c>
      <c r="D156" s="558">
        <f>'[61]Sch C'!F157</f>
        <v>0</v>
      </c>
      <c r="E156" s="171">
        <f t="shared" si="41"/>
        <v>0</v>
      </c>
      <c r="F156" s="415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'[61]Sch C'!D158</f>
        <v>0</v>
      </c>
      <c r="D157" s="558">
        <f>'[61]Sch C'!F158</f>
        <v>0</v>
      </c>
      <c r="E157" s="171">
        <f t="shared" si="41"/>
        <v>0</v>
      </c>
      <c r="F157" s="415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'[61]Sch C'!D159</f>
        <v>0</v>
      </c>
      <c r="D158" s="558">
        <f>'[61]Sch C'!F159</f>
        <v>0</v>
      </c>
      <c r="E158" s="171">
        <f t="shared" si="41"/>
        <v>0</v>
      </c>
      <c r="F158" s="415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'[61]Sch C'!D160</f>
        <v>3233.54</v>
      </c>
      <c r="D159" s="558">
        <f>'[61]Sch C'!F160</f>
        <v>0</v>
      </c>
      <c r="E159" s="171">
        <f t="shared" si="41"/>
        <v>3233.54</v>
      </c>
      <c r="F159" s="415"/>
      <c r="G159" s="171">
        <f t="shared" si="42"/>
        <v>3233.54</v>
      </c>
      <c r="H159" s="172">
        <f>IF($G$208=0,0,G159/$G$208)</f>
        <v>2.868531139104278E-4</v>
      </c>
      <c r="I159" s="336"/>
      <c r="J159" s="168"/>
      <c r="K159" s="168"/>
      <c r="M159" s="364">
        <f t="shared" si="34"/>
        <v>7.4731100788093086E-2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'[61]Sch C'!D161</f>
        <v>16914.759999999998</v>
      </c>
      <c r="D160" s="558">
        <f>'[61]Sch C'!F161</f>
        <v>0</v>
      </c>
      <c r="E160" s="171">
        <f t="shared" si="41"/>
        <v>16914.759999999998</v>
      </c>
      <c r="F160" s="415"/>
      <c r="G160" s="171">
        <f t="shared" si="42"/>
        <v>16914.759999999998</v>
      </c>
      <c r="H160" s="172">
        <f t="shared" si="43"/>
        <v>1.5005385976507319E-3</v>
      </c>
      <c r="I160" s="336"/>
      <c r="J160" s="168"/>
      <c r="K160" s="168"/>
      <c r="M160" s="364">
        <f t="shared" si="34"/>
        <v>0.39092098268968539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4022047.7599999993</v>
      </c>
      <c r="D161" s="558">
        <f>SUM(D123:D160)</f>
        <v>71449</v>
      </c>
      <c r="E161" s="171">
        <f t="shared" ref="E161:F161" si="44">SUM(E123:E160)</f>
        <v>4093496.7599999993</v>
      </c>
      <c r="F161" s="171">
        <f t="shared" si="44"/>
        <v>0</v>
      </c>
      <c r="G161" s="171">
        <f>SUM(G123:G160)</f>
        <v>4093496.7599999993</v>
      </c>
      <c r="H161" s="172">
        <f t="shared" si="43"/>
        <v>0.36314141541105011</v>
      </c>
      <c r="I161" s="336"/>
      <c r="J161" s="168"/>
      <c r="K161" s="168"/>
      <c r="M161" s="364">
        <f>G161/G$228</f>
        <v>94.605763017402737</v>
      </c>
      <c r="N161" s="359">
        <f>SUMMARY!J164</f>
        <v>105.56901037202306</v>
      </c>
      <c r="O161" s="354">
        <f>M161/N161-1</f>
        <v>-0.10384910605854936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419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432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'[61]Sch C'!D175</f>
        <v>0</v>
      </c>
      <c r="D164" s="558">
        <f>'[61]Sch C'!F175</f>
        <v>0</v>
      </c>
      <c r="E164" s="171">
        <f t="shared" ref="E164:E196" si="45">C164+D164</f>
        <v>0</v>
      </c>
      <c r="F164" s="415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'[61]Sch C'!D176</f>
        <v>0</v>
      </c>
      <c r="D165" s="558">
        <f>'[61]Sch C'!F176</f>
        <v>0</v>
      </c>
      <c r="E165" s="171">
        <f t="shared" si="45"/>
        <v>0</v>
      </c>
      <c r="F165" s="415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'[61]Sch C'!D177</f>
        <v>538283.98</v>
      </c>
      <c r="D166" s="558">
        <f>'[61]Sch C'!F177</f>
        <v>0</v>
      </c>
      <c r="E166" s="171">
        <f t="shared" si="45"/>
        <v>538283.98</v>
      </c>
      <c r="F166" s="415"/>
      <c r="G166" s="171">
        <f t="shared" si="46"/>
        <v>538283.98</v>
      </c>
      <c r="H166" s="172">
        <f t="shared" si="47"/>
        <v>4.7752134141250284E-2</v>
      </c>
      <c r="I166" s="342"/>
      <c r="J166" s="217">
        <v>15182.02</v>
      </c>
      <c r="K166" s="217">
        <v>15854.81</v>
      </c>
      <c r="L166" s="218"/>
      <c r="M166" s="364">
        <f t="shared" si="48"/>
        <v>12.440407219949616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'[61]Sch C'!D178</f>
        <v>116670.42</v>
      </c>
      <c r="D167" s="558">
        <f>'[61]Sch C'!F178</f>
        <v>0</v>
      </c>
      <c r="E167" s="171">
        <f t="shared" si="45"/>
        <v>116670.42</v>
      </c>
      <c r="F167" s="415"/>
      <c r="G167" s="171">
        <f t="shared" si="46"/>
        <v>116670.42</v>
      </c>
      <c r="H167" s="172">
        <f t="shared" si="47"/>
        <v>1.0350041526697506E-2</v>
      </c>
      <c r="I167" s="343"/>
      <c r="J167" s="222"/>
      <c r="K167" s="222"/>
      <c r="L167" s="218"/>
      <c r="M167" s="364">
        <f t="shared" si="48"/>
        <v>2.6963974207862442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'[61]Sch C'!D179</f>
        <v>154973.42000000001</v>
      </c>
      <c r="D168" s="558">
        <f>'[61]Sch C'!F179</f>
        <v>0</v>
      </c>
      <c r="E168" s="171">
        <f t="shared" si="45"/>
        <v>154973.42000000001</v>
      </c>
      <c r="F168" s="415"/>
      <c r="G168" s="171">
        <f t="shared" si="46"/>
        <v>154973.42000000001</v>
      </c>
      <c r="H168" s="172">
        <f t="shared" si="47"/>
        <v>1.3747969129915997E-2</v>
      </c>
      <c r="I168" s="342"/>
      <c r="J168" s="217">
        <v>4473.25</v>
      </c>
      <c r="K168" s="217">
        <v>4697.25</v>
      </c>
      <c r="L168" s="218"/>
      <c r="M168" s="364">
        <f t="shared" si="48"/>
        <v>3.5816270308997207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'[61]Sch C'!D180</f>
        <v>39582.199999999997</v>
      </c>
      <c r="D169" s="558">
        <f>'[61]Sch C'!F180</f>
        <v>0</v>
      </c>
      <c r="E169" s="171">
        <f t="shared" si="45"/>
        <v>39582.199999999997</v>
      </c>
      <c r="F169" s="415"/>
      <c r="G169" s="171">
        <f t="shared" si="46"/>
        <v>39582.199999999997</v>
      </c>
      <c r="H169" s="172">
        <f t="shared" si="47"/>
        <v>3.511407722009109E-3</v>
      </c>
      <c r="I169" s="343"/>
      <c r="J169" s="222"/>
      <c r="K169" s="222"/>
      <c r="L169" s="218"/>
      <c r="M169" s="364">
        <f t="shared" si="48"/>
        <v>0.91479350112089475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'[61]Sch C'!D181</f>
        <v>0</v>
      </c>
      <c r="D170" s="558">
        <f>'[61]Sch C'!F181</f>
        <v>0</v>
      </c>
      <c r="E170" s="171">
        <f t="shared" si="45"/>
        <v>0</v>
      </c>
      <c r="F170" s="415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'[61]Sch C'!D182</f>
        <v>0</v>
      </c>
      <c r="D171" s="558">
        <f>'[61]Sch C'!F182</f>
        <v>0</v>
      </c>
      <c r="E171" s="171">
        <f t="shared" si="45"/>
        <v>0</v>
      </c>
      <c r="F171" s="415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'[61]Sch C'!D183</f>
        <v>235645.37</v>
      </c>
      <c r="D172" s="558">
        <f>'[61]Sch C'!F183</f>
        <v>0</v>
      </c>
      <c r="E172" s="171">
        <f t="shared" si="45"/>
        <v>235645.37</v>
      </c>
      <c r="F172" s="415"/>
      <c r="G172" s="171">
        <f t="shared" si="46"/>
        <v>235645.37</v>
      </c>
      <c r="H172" s="172">
        <f t="shared" si="47"/>
        <v>2.0904522029439841E-2</v>
      </c>
      <c r="I172" s="342"/>
      <c r="J172" s="217">
        <v>8328.23</v>
      </c>
      <c r="K172" s="217">
        <v>8847.73</v>
      </c>
      <c r="L172" s="218"/>
      <c r="M172" s="364">
        <f t="shared" si="48"/>
        <v>5.4460553745175533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'[61]Sch C'!D184</f>
        <v>61549.2</v>
      </c>
      <c r="D173" s="558">
        <f>'[61]Sch C'!F184</f>
        <v>0</v>
      </c>
      <c r="E173" s="171">
        <f t="shared" si="45"/>
        <v>61549.2</v>
      </c>
      <c r="F173" s="415"/>
      <c r="G173" s="171">
        <f t="shared" si="46"/>
        <v>61549.2</v>
      </c>
      <c r="H173" s="172">
        <f t="shared" si="47"/>
        <v>5.4601395618101836E-3</v>
      </c>
      <c r="I173" s="343"/>
      <c r="J173" s="222"/>
      <c r="K173" s="222"/>
      <c r="L173" s="218"/>
      <c r="M173" s="364">
        <f t="shared" si="48"/>
        <v>1.4224779865492616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'[61]Sch C'!D185</f>
        <v>0</v>
      </c>
      <c r="D174" s="558">
        <f>'[61]Sch C'!F185</f>
        <v>0</v>
      </c>
      <c r="E174" s="171">
        <f t="shared" si="45"/>
        <v>0</v>
      </c>
      <c r="F174" s="415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'[61]Sch C'!D186</f>
        <v>0</v>
      </c>
      <c r="D175" s="558">
        <f>'[61]Sch C'!F186</f>
        <v>0</v>
      </c>
      <c r="E175" s="171">
        <f t="shared" si="45"/>
        <v>0</v>
      </c>
      <c r="F175" s="415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'[61]Sch C'!D187</f>
        <v>0</v>
      </c>
      <c r="D176" s="558">
        <f>'[61]Sch C'!F187</f>
        <v>0</v>
      </c>
      <c r="E176" s="171">
        <f t="shared" si="45"/>
        <v>0</v>
      </c>
      <c r="F176" s="415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'[61]Sch C'!D188</f>
        <v>1013.08</v>
      </c>
      <c r="D177" s="558">
        <f>'[61]Sch C'!F188</f>
        <v>0</v>
      </c>
      <c r="E177" s="171">
        <f t="shared" si="45"/>
        <v>1013.08</v>
      </c>
      <c r="F177" s="415"/>
      <c r="G177" s="171">
        <f t="shared" si="46"/>
        <v>1013.08</v>
      </c>
      <c r="H177" s="172">
        <f t="shared" si="47"/>
        <v>8.9872137855222513E-5</v>
      </c>
      <c r="I177" s="336"/>
      <c r="J177" s="223"/>
      <c r="K177" s="218"/>
      <c r="L177" s="220"/>
      <c r="M177" s="364">
        <f t="shared" si="48"/>
        <v>2.34135293166008E-2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'[61]Sch C'!D189</f>
        <v>15134.03</v>
      </c>
      <c r="D178" s="558">
        <f>'[61]Sch C'!F189</f>
        <v>0</v>
      </c>
      <c r="E178" s="171">
        <f t="shared" si="45"/>
        <v>15134.03</v>
      </c>
      <c r="F178" s="415"/>
      <c r="G178" s="171">
        <f t="shared" si="46"/>
        <v>15134.03</v>
      </c>
      <c r="H178" s="172">
        <f t="shared" si="47"/>
        <v>1.3425668559887405E-3</v>
      </c>
      <c r="I178" s="336"/>
      <c r="J178" s="223"/>
      <c r="K178" s="218"/>
      <c r="L178" s="220"/>
      <c r="M178" s="364">
        <f t="shared" si="48"/>
        <v>0.34976611430816523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'[61]Sch C'!D190</f>
        <v>0</v>
      </c>
      <c r="D179" s="558">
        <f>'[61]Sch C'!F190</f>
        <v>0</v>
      </c>
      <c r="E179" s="171">
        <f t="shared" si="45"/>
        <v>0</v>
      </c>
      <c r="F179" s="415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'[61]Sch C'!D191</f>
        <v>4125.13</v>
      </c>
      <c r="D180" s="558">
        <f>'[61]Sch C'!F191</f>
        <v>0</v>
      </c>
      <c r="E180" s="171">
        <f t="shared" si="45"/>
        <v>4125.13</v>
      </c>
      <c r="F180" s="415"/>
      <c r="G180" s="171">
        <f t="shared" si="46"/>
        <v>4125.13</v>
      </c>
      <c r="H180" s="172">
        <f t="shared" si="47"/>
        <v>3.6594765668132237E-4</v>
      </c>
      <c r="I180" s="336"/>
      <c r="J180" s="223"/>
      <c r="K180" s="218"/>
      <c r="L180" s="220"/>
      <c r="M180" s="364">
        <f t="shared" si="48"/>
        <v>9.5336846240957729E-2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'[61]Sch C'!D192</f>
        <v>66985.960000000006</v>
      </c>
      <c r="D181" s="558">
        <f>'[61]Sch C'!F192</f>
        <v>0</v>
      </c>
      <c r="E181" s="171">
        <f t="shared" si="45"/>
        <v>66985.960000000006</v>
      </c>
      <c r="F181" s="415"/>
      <c r="G181" s="171">
        <f t="shared" si="46"/>
        <v>66985.960000000006</v>
      </c>
      <c r="H181" s="172">
        <f t="shared" si="47"/>
        <v>5.9424442605563446E-3</v>
      </c>
      <c r="I181" s="336"/>
      <c r="J181" s="223"/>
      <c r="K181" s="218"/>
      <c r="L181" s="220"/>
      <c r="M181" s="364">
        <f t="shared" si="48"/>
        <v>1.5481282211282905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'[61]Sch C'!D193</f>
        <v>0</v>
      </c>
      <c r="D182" s="558">
        <f>'[61]Sch C'!F193</f>
        <v>0</v>
      </c>
      <c r="E182" s="171">
        <f t="shared" si="45"/>
        <v>0</v>
      </c>
      <c r="F182" s="415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'[61]Sch C'!D194</f>
        <v>0</v>
      </c>
      <c r="D183" s="558">
        <f>'[61]Sch C'!F194</f>
        <v>23227</v>
      </c>
      <c r="E183" s="171">
        <f t="shared" si="45"/>
        <v>23227</v>
      </c>
      <c r="F183" s="415"/>
      <c r="G183" s="171">
        <f t="shared" si="46"/>
        <v>23227</v>
      </c>
      <c r="H183" s="172">
        <f t="shared" si="47"/>
        <v>2.0605086922683828E-3</v>
      </c>
      <c r="I183" s="336"/>
      <c r="J183" s="223"/>
      <c r="K183" s="218"/>
      <c r="M183" s="364">
        <f t="shared" si="48"/>
        <v>0.53680464073586165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'[61]Sch C'!D195</f>
        <v>0</v>
      </c>
      <c r="D184" s="558">
        <f>'[61]Sch C'!F195</f>
        <v>0</v>
      </c>
      <c r="E184" s="171">
        <f t="shared" si="45"/>
        <v>0</v>
      </c>
      <c r="F184" s="415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'[61]Sch C'!D196</f>
        <v>0</v>
      </c>
      <c r="D185" s="558">
        <f>'[61]Sch C'!F196</f>
        <v>0</v>
      </c>
      <c r="E185" s="171">
        <f t="shared" si="45"/>
        <v>0</v>
      </c>
      <c r="F185" s="415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'[61]Sch C'!D197</f>
        <v>0</v>
      </c>
      <c r="D186" s="558">
        <f>'[61]Sch C'!F197</f>
        <v>0</v>
      </c>
      <c r="E186" s="171">
        <f t="shared" si="45"/>
        <v>0</v>
      </c>
      <c r="F186" s="415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'[61]Sch C'!D198</f>
        <v>0</v>
      </c>
      <c r="D187" s="558">
        <f>'[61]Sch C'!F198</f>
        <v>0</v>
      </c>
      <c r="E187" s="171">
        <f t="shared" si="45"/>
        <v>0</v>
      </c>
      <c r="F187" s="415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'[61]Sch C'!D199</f>
        <v>0</v>
      </c>
      <c r="D188" s="558">
        <f>'[61]Sch C'!F199</f>
        <v>0</v>
      </c>
      <c r="E188" s="171">
        <f t="shared" si="45"/>
        <v>0</v>
      </c>
      <c r="F188" s="415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'[61]Sch C'!D200</f>
        <v>0</v>
      </c>
      <c r="D189" s="558">
        <f>'[61]Sch C'!F200</f>
        <v>0</v>
      </c>
      <c r="E189" s="171">
        <f t="shared" si="45"/>
        <v>0</v>
      </c>
      <c r="F189" s="415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'[61]Sch C'!D201</f>
        <v>0</v>
      </c>
      <c r="D190" s="558">
        <f>'[61]Sch C'!F201</f>
        <v>0</v>
      </c>
      <c r="E190" s="171">
        <f t="shared" si="45"/>
        <v>0</v>
      </c>
      <c r="F190" s="415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'[61]Sch C'!D202</f>
        <v>0</v>
      </c>
      <c r="D191" s="558">
        <f>'[61]Sch C'!F202</f>
        <v>0</v>
      </c>
      <c r="E191" s="171">
        <f t="shared" si="45"/>
        <v>0</v>
      </c>
      <c r="F191" s="415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'[61]Sch C'!D203</f>
        <v>35644.839999999997</v>
      </c>
      <c r="D192" s="558">
        <f>'[61]Sch C'!F203</f>
        <v>0</v>
      </c>
      <c r="E192" s="171">
        <f t="shared" si="45"/>
        <v>35644.839999999997</v>
      </c>
      <c r="F192" s="415"/>
      <c r="G192" s="171">
        <f t="shared" si="46"/>
        <v>35644.839999999997</v>
      </c>
      <c r="H192" s="172">
        <f t="shared" si="47"/>
        <v>3.1621174776990456E-3</v>
      </c>
      <c r="I192" s="336"/>
      <c r="J192" s="223"/>
      <c r="K192" s="218"/>
      <c r="M192" s="364">
        <f t="shared" si="48"/>
        <v>0.82379625135778489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'[61]Sch C'!D204</f>
        <v>0</v>
      </c>
      <c r="D193" s="558">
        <f>'[61]Sch C'!F204</f>
        <v>0</v>
      </c>
      <c r="E193" s="171">
        <f t="shared" si="45"/>
        <v>0</v>
      </c>
      <c r="F193" s="415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'[61]Sch C'!D205</f>
        <v>339746.27</v>
      </c>
      <c r="D194" s="558">
        <f>'[61]Sch C'!F205</f>
        <v>0</v>
      </c>
      <c r="E194" s="171">
        <f t="shared" si="45"/>
        <v>339746.27</v>
      </c>
      <c r="F194" s="415"/>
      <c r="G194" s="171">
        <f t="shared" si="46"/>
        <v>339746.27</v>
      </c>
      <c r="H194" s="172">
        <f t="shared" si="47"/>
        <v>3.0139498966752526E-2</v>
      </c>
      <c r="I194" s="336"/>
      <c r="J194" s="223"/>
      <c r="K194" s="218"/>
      <c r="M194" s="364">
        <f t="shared" si="48"/>
        <v>7.8519556726524771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'[61]Sch C'!D206</f>
        <v>10471.59</v>
      </c>
      <c r="D195" s="558">
        <f>'[61]Sch C'!F206</f>
        <v>0</v>
      </c>
      <c r="E195" s="171">
        <f t="shared" si="45"/>
        <v>10471.59</v>
      </c>
      <c r="F195" s="415"/>
      <c r="G195" s="171">
        <f t="shared" si="46"/>
        <v>10471.59</v>
      </c>
      <c r="H195" s="172">
        <f t="shared" si="47"/>
        <v>9.2895346867312499E-4</v>
      </c>
      <c r="I195" s="336"/>
      <c r="J195" s="223"/>
      <c r="K195" s="218"/>
      <c r="M195" s="364">
        <f t="shared" si="48"/>
        <v>0.24201137072731055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'[61]Sch C'!D207</f>
        <v>27236</v>
      </c>
      <c r="D196" s="558">
        <f>'[61]Sch C'!F207</f>
        <v>0</v>
      </c>
      <c r="E196" s="171">
        <f t="shared" si="45"/>
        <v>27236</v>
      </c>
      <c r="F196" s="415"/>
      <c r="G196" s="171">
        <f t="shared" si="46"/>
        <v>27236</v>
      </c>
      <c r="H196" s="172">
        <f t="shared" si="47"/>
        <v>2.4161542490473017E-3</v>
      </c>
      <c r="I196" s="336"/>
      <c r="J196" s="223"/>
      <c r="K196" s="218"/>
      <c r="M196" s="364">
        <f t="shared" si="48"/>
        <v>0.62945757932931201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1647061.4900000002</v>
      </c>
      <c r="D197" s="558">
        <f>SUM(D164:D196)</f>
        <v>23227</v>
      </c>
      <c r="E197" s="171">
        <f t="shared" ref="E197:F197" si="49">SUM(E164:E196)</f>
        <v>1670288.4900000002</v>
      </c>
      <c r="F197" s="171">
        <f t="shared" si="49"/>
        <v>0</v>
      </c>
      <c r="G197" s="171">
        <f>SUM(G164:G196)</f>
        <v>1670288.4900000002</v>
      </c>
      <c r="H197" s="172">
        <f>IF($G$208=0,0,G197/$G$208)</f>
        <v>0.14817427787664494</v>
      </c>
      <c r="I197" s="336"/>
      <c r="J197" s="168"/>
      <c r="K197" s="168"/>
      <c r="M197" s="364">
        <f>G197/G$228</f>
        <v>38.602428759620054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422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422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'[61]Sch C'!D211</f>
        <v>217402.32</v>
      </c>
      <c r="D200" s="558">
        <f>'[61]Sch C'!F211</f>
        <v>0</v>
      </c>
      <c r="E200" s="171">
        <f t="shared" ref="E200:E205" si="50">C200+D200</f>
        <v>217402.32</v>
      </c>
      <c r="F200" s="415"/>
      <c r="G200" s="171">
        <f t="shared" ref="G200:G205" si="51">E200+F200</f>
        <v>217402.32</v>
      </c>
      <c r="H200" s="172">
        <f t="shared" ref="H200:H206" si="52">IF($G$208=0,0,G200/$G$208)</f>
        <v>1.9286148451341651E-2</v>
      </c>
      <c r="I200" s="336"/>
      <c r="J200" s="183">
        <v>14839.41</v>
      </c>
      <c r="K200" s="183">
        <v>15592.41</v>
      </c>
      <c r="M200" s="364">
        <f t="shared" ref="M200:M205" si="53">G200/G$228</f>
        <v>5.0244359703251753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'[61]Sch C'!D212</f>
        <v>54462.87</v>
      </c>
      <c r="D201" s="558">
        <f>'[61]Sch C'!F212</f>
        <v>0</v>
      </c>
      <c r="E201" s="171">
        <f t="shared" si="50"/>
        <v>54462.87</v>
      </c>
      <c r="F201" s="415"/>
      <c r="G201" s="171">
        <f t="shared" si="51"/>
        <v>54462.87</v>
      </c>
      <c r="H201" s="172">
        <f t="shared" si="52"/>
        <v>4.8314985594731536E-3</v>
      </c>
      <c r="I201" s="336"/>
      <c r="J201" s="168"/>
      <c r="K201" s="168"/>
      <c r="M201" s="364">
        <f t="shared" si="53"/>
        <v>1.2587041530888166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'[61]Sch C'!D213</f>
        <v>4533.08</v>
      </c>
      <c r="D202" s="558">
        <f>'[61]Sch C'!F213</f>
        <v>0</v>
      </c>
      <c r="E202" s="171">
        <f t="shared" si="50"/>
        <v>4533.08</v>
      </c>
      <c r="F202" s="415"/>
      <c r="G202" s="171">
        <f t="shared" si="51"/>
        <v>4533.08</v>
      </c>
      <c r="H202" s="172">
        <f t="shared" si="52"/>
        <v>4.0213763046230509E-4</v>
      </c>
      <c r="I202" s="336"/>
      <c r="J202" s="168"/>
      <c r="K202" s="168"/>
      <c r="M202" s="364">
        <f t="shared" si="53"/>
        <v>0.1047650743026185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'[61]Sch C'!D214</f>
        <v>0</v>
      </c>
      <c r="D203" s="558">
        <f>'[61]Sch C'!F214</f>
        <v>0</v>
      </c>
      <c r="E203" s="171">
        <f t="shared" si="50"/>
        <v>0</v>
      </c>
      <c r="F203" s="415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'[61]Sch C'!D215</f>
        <v>0</v>
      </c>
      <c r="D204" s="558">
        <f>'[61]Sch C'!F215</f>
        <v>0</v>
      </c>
      <c r="E204" s="171">
        <f t="shared" si="50"/>
        <v>0</v>
      </c>
      <c r="F204" s="415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'[61]Sch C'!D216</f>
        <v>54481.66</v>
      </c>
      <c r="D205" s="558">
        <f>'[61]Sch C'!F216</f>
        <v>0</v>
      </c>
      <c r="E205" s="171">
        <f t="shared" si="50"/>
        <v>54481.66</v>
      </c>
      <c r="F205" s="415"/>
      <c r="G205" s="171">
        <f t="shared" si="51"/>
        <v>54481.66</v>
      </c>
      <c r="H205" s="172">
        <f t="shared" si="52"/>
        <v>4.8331654539635199E-3</v>
      </c>
      <c r="I205" s="336"/>
      <c r="J205" s="168"/>
      <c r="K205" s="168"/>
      <c r="M205" s="364">
        <f t="shared" si="53"/>
        <v>1.2591384131826482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330879.93000000005</v>
      </c>
      <c r="D206" s="558">
        <f>SUM(D200:D205)</f>
        <v>0</v>
      </c>
      <c r="E206" s="171">
        <f t="shared" ref="E206:F206" si="54">SUM(E200:E205)</f>
        <v>330879.93000000005</v>
      </c>
      <c r="F206" s="171">
        <f t="shared" si="54"/>
        <v>0</v>
      </c>
      <c r="G206" s="171">
        <f>SUM(G200:G205)</f>
        <v>330879.93000000005</v>
      </c>
      <c r="H206" s="172">
        <f t="shared" si="52"/>
        <v>2.9352950095240631E-2</v>
      </c>
      <c r="I206" s="336"/>
      <c r="J206" s="168"/>
      <c r="K206" s="168"/>
      <c r="M206" s="364">
        <f>G206/G$228</f>
        <v>7.6470436108992592</v>
      </c>
      <c r="N206" s="359">
        <f>SUMMARY!J209</f>
        <v>7.1515095990067339</v>
      </c>
      <c r="O206" s="354">
        <f>M206/N206-1</f>
        <v>6.9290826647474546E-2</v>
      </c>
      <c r="P206"/>
      <c r="Q206"/>
    </row>
    <row r="207" spans="1:19" s="167" customFormat="1">
      <c r="A207" s="163"/>
      <c r="C207" s="165"/>
      <c r="D207" s="165"/>
      <c r="E207" s="165"/>
      <c r="F207" s="422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13075328.689999998</v>
      </c>
      <c r="D208" s="558">
        <f>SUM(D25:D206)/2</f>
        <v>-1802869.57</v>
      </c>
      <c r="E208" s="171">
        <f t="shared" ref="E208:F208" si="55">SUM(E25:E206)/2</f>
        <v>11272459.119999997</v>
      </c>
      <c r="F208" s="171">
        <f t="shared" si="55"/>
        <v>0</v>
      </c>
      <c r="G208" s="171">
        <f>SUM(G25:G206)/2</f>
        <v>11272459.119999997</v>
      </c>
      <c r="H208" s="172">
        <f>IF($G$208=0,0,G208/$G$208)</f>
        <v>1</v>
      </c>
      <c r="I208" s="336"/>
      <c r="J208" s="183">
        <f>SUM(J25:J200)</f>
        <v>275772.05999999994</v>
      </c>
      <c r="K208" s="183">
        <f>SUM(K25:K200)</f>
        <v>287764.9499999999</v>
      </c>
      <c r="M208" s="364">
        <f>G208/G$228</f>
        <v>260.52044466014922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0.42486537530568036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'[61]Sch C'!D221</f>
        <v>13075328.800000001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-0.11000000312924385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 ht="14" customHeight="1">
      <c r="A213" s="163"/>
      <c r="B213" s="230"/>
      <c r="C213" s="576"/>
      <c r="D213" s="232"/>
      <c r="E213" s="232"/>
      <c r="F213" s="587"/>
      <c r="G213" s="232"/>
      <c r="H213" s="166"/>
      <c r="I213" s="335"/>
      <c r="J213" s="168"/>
      <c r="K213" s="168"/>
      <c r="P213"/>
      <c r="Q213"/>
    </row>
    <row r="214" spans="1:17" s="167" customFormat="1" ht="13.25" customHeight="1">
      <c r="A214" s="169"/>
      <c r="B214" s="228"/>
      <c r="C214" s="165"/>
      <c r="D214" s="165"/>
      <c r="E214" s="165"/>
      <c r="F214" s="587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749418.70000000484</v>
      </c>
      <c r="D215" s="558">
        <f>D21-D208</f>
        <v>1800565.9100000001</v>
      </c>
      <c r="E215" s="171">
        <f t="shared" ref="E215:F215" si="56">E21-E208</f>
        <v>2549984.6100000069</v>
      </c>
      <c r="F215" s="171">
        <f t="shared" si="56"/>
        <v>0</v>
      </c>
      <c r="G215" s="171">
        <f>G21-G208</f>
        <v>2549984.6100000069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419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'[61]Sch D'!C9</f>
        <v>22371</v>
      </c>
      <c r="D219" s="592"/>
      <c r="E219" s="235">
        <f t="shared" ref="E219:G227" si="57">C219+D219</f>
        <v>22371</v>
      </c>
      <c r="F219" s="429"/>
      <c r="G219" s="235">
        <f t="shared" si="57"/>
        <v>22371</v>
      </c>
      <c r="H219" s="172">
        <f t="shared" ref="H219:H228" si="58">IF($G$228=0,0,G219/$G$228)</f>
        <v>0.517021424114262</v>
      </c>
      <c r="I219" s="336"/>
      <c r="J219" s="168"/>
      <c r="K219" s="168"/>
    </row>
    <row r="220" spans="1:17">
      <c r="A220" s="163"/>
      <c r="B220" s="170" t="s">
        <v>217</v>
      </c>
      <c r="C220" s="592">
        <f>'[61]Sch D'!D9</f>
        <v>0</v>
      </c>
      <c r="D220" s="592"/>
      <c r="E220" s="235">
        <f t="shared" ref="E220:E227" si="59">C220+D220</f>
        <v>0</v>
      </c>
      <c r="F220" s="429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'[61]Sch D'!E9</f>
        <v>5590</v>
      </c>
      <c r="D221" s="592"/>
      <c r="E221" s="235">
        <f t="shared" si="59"/>
        <v>5590</v>
      </c>
      <c r="F221" s="429"/>
      <c r="G221" s="235">
        <f t="shared" si="57"/>
        <v>5590</v>
      </c>
      <c r="H221" s="172">
        <f t="shared" si="58"/>
        <v>0.12919180013404516</v>
      </c>
      <c r="I221" s="336"/>
      <c r="J221" s="168"/>
      <c r="K221" s="168"/>
    </row>
    <row r="222" spans="1:17">
      <c r="A222" s="163"/>
      <c r="B222" s="202" t="s">
        <v>334</v>
      </c>
      <c r="C222" s="592">
        <f>'[61]Sch D'!F9</f>
        <v>3318</v>
      </c>
      <c r="D222" s="592"/>
      <c r="E222" s="235">
        <f>C222+D222</f>
        <v>3318</v>
      </c>
      <c r="F222" s="429"/>
      <c r="G222" s="235">
        <f>E222+F222</f>
        <v>3318</v>
      </c>
      <c r="H222" s="172">
        <f t="shared" si="58"/>
        <v>7.66830756430701E-2</v>
      </c>
      <c r="I222" s="336"/>
      <c r="J222" s="168"/>
      <c r="K222" s="168"/>
    </row>
    <row r="223" spans="1:17">
      <c r="A223" s="163"/>
      <c r="B223" s="170" t="s">
        <v>73</v>
      </c>
      <c r="C223" s="592">
        <f>'[61]Sch D'!G9</f>
        <v>3595</v>
      </c>
      <c r="D223" s="592"/>
      <c r="E223" s="235">
        <f t="shared" si="59"/>
        <v>3595</v>
      </c>
      <c r="F223" s="429"/>
      <c r="G223" s="235">
        <f t="shared" si="57"/>
        <v>3595</v>
      </c>
      <c r="H223" s="172">
        <f t="shared" si="58"/>
        <v>8.3084887563844786E-2</v>
      </c>
      <c r="I223" s="336"/>
      <c r="J223" s="168"/>
      <c r="K223" s="168"/>
    </row>
    <row r="224" spans="1:17">
      <c r="A224" s="163"/>
      <c r="B224" s="170" t="s">
        <v>74</v>
      </c>
      <c r="C224" s="592">
        <f>'[61]Sch D'!H9</f>
        <v>5402</v>
      </c>
      <c r="D224" s="592"/>
      <c r="E224" s="235">
        <f t="shared" si="59"/>
        <v>5402</v>
      </c>
      <c r="F224" s="429"/>
      <c r="G224" s="235">
        <f t="shared" si="57"/>
        <v>5402</v>
      </c>
      <c r="H224" s="172">
        <f t="shared" si="58"/>
        <v>0.12484688807229194</v>
      </c>
      <c r="I224" s="336"/>
      <c r="J224" s="168"/>
      <c r="K224" s="168"/>
    </row>
    <row r="225" spans="1:11">
      <c r="A225" s="163"/>
      <c r="B225" s="170" t="s">
        <v>389</v>
      </c>
      <c r="C225" s="592">
        <f>'[61]Sch D'!I9</f>
        <v>2854</v>
      </c>
      <c r="D225" s="592"/>
      <c r="E225" s="235">
        <f t="shared" si="59"/>
        <v>2854</v>
      </c>
      <c r="F225" s="234"/>
      <c r="G225" s="235">
        <f t="shared" si="57"/>
        <v>2854</v>
      </c>
      <c r="H225" s="172">
        <f t="shared" si="58"/>
        <v>6.5959462894913223E-2</v>
      </c>
      <c r="I225" s="336"/>
      <c r="J225" s="168"/>
      <c r="K225" s="168"/>
    </row>
    <row r="226" spans="1:11">
      <c r="A226" s="163"/>
      <c r="B226" s="170" t="s">
        <v>390</v>
      </c>
      <c r="C226" s="592">
        <f>'[61]Sch D'!J9</f>
        <v>139</v>
      </c>
      <c r="D226" s="592"/>
      <c r="E226" s="235">
        <f>C226+D226</f>
        <v>139</v>
      </c>
      <c r="F226" s="234"/>
      <c r="G226" s="235">
        <f>E226+F226</f>
        <v>139</v>
      </c>
      <c r="H226" s="172">
        <f t="shared" si="58"/>
        <v>3.2124615775728583E-3</v>
      </c>
      <c r="I226" s="336"/>
      <c r="J226" s="168"/>
      <c r="K226" s="168"/>
    </row>
    <row r="227" spans="1:11">
      <c r="A227" s="163"/>
      <c r="B227" s="170" t="s">
        <v>179</v>
      </c>
      <c r="C227" s="592">
        <f>'[61]Sch D'!K9</f>
        <v>0</v>
      </c>
      <c r="D227" s="592"/>
      <c r="E227" s="235">
        <f t="shared" si="59"/>
        <v>0</v>
      </c>
      <c r="F227" s="429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43269</v>
      </c>
      <c r="D228" s="592">
        <f>SUM(D219:D227)</f>
        <v>0</v>
      </c>
      <c r="E228" s="237">
        <f>SUM(E219:E227)</f>
        <v>43269</v>
      </c>
      <c r="F228" s="425">
        <f>SUM(F219:F227)</f>
        <v>0</v>
      </c>
      <c r="G228" s="237">
        <f>SUM(G219:G227)</f>
        <v>43269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42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423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'[61]Sch D'!N22</f>
        <v>154</v>
      </c>
      <c r="D231" s="559"/>
      <c r="E231" s="235">
        <f>C231+D231</f>
        <v>154</v>
      </c>
      <c r="F231" s="429"/>
      <c r="G231" s="235">
        <f>E231</f>
        <v>154</v>
      </c>
      <c r="H231" s="167"/>
      <c r="J231" s="168"/>
      <c r="K231" s="168"/>
    </row>
    <row r="232" spans="1:11">
      <c r="A232" s="163"/>
      <c r="B232" s="202" t="s">
        <v>290</v>
      </c>
      <c r="C232" s="593">
        <f>'[61]Sch D'!N24</f>
        <v>154</v>
      </c>
      <c r="D232" s="559"/>
      <c r="E232" s="235">
        <f>C232+D232</f>
        <v>154</v>
      </c>
      <c r="F232" s="429"/>
      <c r="G232" s="235">
        <f>E232</f>
        <v>154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426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426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'[61]Sch D'!N28</f>
        <v>56364</v>
      </c>
      <c r="D235" s="483"/>
      <c r="E235" s="234">
        <f>E231*E233</f>
        <v>56364</v>
      </c>
      <c r="F235" s="426"/>
      <c r="G235" s="234">
        <f>G231*G233</f>
        <v>56364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'[61]Sch D'!N30</f>
        <v>0.76767085373642752</v>
      </c>
      <c r="D236" s="239"/>
      <c r="E236" s="244">
        <f>E228/E235</f>
        <v>0.76767085373642752</v>
      </c>
      <c r="F236" s="430"/>
      <c r="G236" s="244">
        <f>G228/G235</f>
        <v>0.76767085373642752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'[61]Sch D'!N32</f>
        <v>0.39690227804981904</v>
      </c>
      <c r="D237" s="239"/>
      <c r="E237" s="244">
        <f>(E219+E220)/E235</f>
        <v>0.39690227804981904</v>
      </c>
      <c r="F237" s="430"/>
      <c r="G237" s="244">
        <f>(G219+G220)/G235</f>
        <v>0.39690227804981904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'[61]Sch D'!N34</f>
        <v>0.51702142411426188</v>
      </c>
      <c r="D238" s="239"/>
      <c r="E238" s="244">
        <f>(E237/E236)</f>
        <v>0.51702142411426188</v>
      </c>
      <c r="F238" s="430"/>
      <c r="G238" s="244">
        <f>(G237/G236)</f>
        <v>0.51702142411426188</v>
      </c>
      <c r="H238" s="167"/>
      <c r="J238" s="168"/>
      <c r="K238" s="168"/>
    </row>
    <row r="241" spans="2:7">
      <c r="B241" s="148" t="s">
        <v>339</v>
      </c>
      <c r="F241" s="410" t="s">
        <v>340</v>
      </c>
      <c r="G241" s="558">
        <f>'[61]Sch B'!C85</f>
        <v>223.08751206064781</v>
      </c>
    </row>
    <row r="242" spans="2:7">
      <c r="F242" s="410" t="s">
        <v>341</v>
      </c>
      <c r="G242" s="558">
        <f>'[61]Sch B'!E85</f>
        <v>227.36609555189457</v>
      </c>
    </row>
    <row r="243" spans="2:7">
      <c r="F243" s="410" t="s">
        <v>342</v>
      </c>
      <c r="G243" s="558">
        <f>'[61]Sch B'!G85</f>
        <v>223.10885784716515</v>
      </c>
    </row>
    <row r="244" spans="2:7">
      <c r="F244" s="410" t="s">
        <v>343</v>
      </c>
      <c r="G244" s="558">
        <f>'[61]Sch B'!I85</f>
        <v>216.25632894736842</v>
      </c>
    </row>
    <row r="245" spans="2:7">
      <c r="F245" s="410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6">
    <tabColor rgb="FFE28CAB"/>
  </sheetPr>
  <dimension ref="A1:T245"/>
  <sheetViews>
    <sheetView showGridLines="0" zoomScale="107" zoomScaleNormal="107" workbookViewId="0">
      <pane xSplit="2" ySplit="8" topLeftCell="C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9140625" style="427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77" customHeight="1">
      <c r="A1" s="138" t="str">
        <f>'ALPINE VALLEY'!A1</f>
        <v>schedules revised 7/2016</v>
      </c>
      <c r="B1" s="139" t="s">
        <v>304</v>
      </c>
      <c r="C1" s="470"/>
      <c r="D1" s="469"/>
      <c r="E1" s="469"/>
      <c r="F1" s="474"/>
      <c r="G1" s="469"/>
      <c r="H1" s="469"/>
      <c r="I1" s="469"/>
    </row>
    <row r="2" spans="1:17" ht="23">
      <c r="B2" s="143" t="s">
        <v>189</v>
      </c>
      <c r="C2" s="246" t="s">
        <v>405</v>
      </c>
      <c r="D2" s="246"/>
      <c r="E2"/>
    </row>
    <row r="3" spans="1:17">
      <c r="A3" s="145"/>
      <c r="B3" s="140" t="s">
        <v>79</v>
      </c>
      <c r="C3" s="489">
        <v>42186</v>
      </c>
      <c r="D3" s="399"/>
      <c r="E3" s="147"/>
    </row>
    <row r="4" spans="1:17">
      <c r="A4" s="145"/>
      <c r="B4" s="148" t="s">
        <v>80</v>
      </c>
      <c r="C4" s="489">
        <v>42551</v>
      </c>
      <c r="D4" s="399"/>
      <c r="E4" s="149"/>
      <c r="G4" s="150"/>
    </row>
    <row r="5" spans="1:17" ht="69" customHeight="1">
      <c r="A5" s="145"/>
      <c r="B5" s="448"/>
      <c r="D5" s="144"/>
      <c r="F5" s="412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416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417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418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431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422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'[62]Sch B'!E10</f>
        <v>1636244.1400000001</v>
      </c>
      <c r="D11" s="558">
        <f>'[62]Sch B'!G10</f>
        <v>0</v>
      </c>
      <c r="E11" s="171">
        <f>C11+D11</f>
        <v>1636244.1400000001</v>
      </c>
      <c r="F11" s="415"/>
      <c r="G11" s="171">
        <f t="shared" ref="G11:G20" si="0">E11+F11</f>
        <v>1636244.1400000001</v>
      </c>
      <c r="H11" s="172">
        <f t="shared" ref="H11:H21" si="1">IF($G$21=0,0,G11/$G$21)</f>
        <v>0.50042465676181869</v>
      </c>
      <c r="I11" s="336"/>
      <c r="J11" s="368" t="s">
        <v>344</v>
      </c>
      <c r="K11" s="369">
        <f>G21</f>
        <v>3269711.27</v>
      </c>
      <c r="M11" s="359">
        <f>IFERROR(G11/G219,0)</f>
        <v>159.36925489432161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'[62]Sch B'!E15</f>
        <v>0</v>
      </c>
      <c r="D12" s="558">
        <f>'[62]Sch B'!G15</f>
        <v>0</v>
      </c>
      <c r="E12" s="171">
        <f t="shared" ref="E12:E20" si="2">C12+D12</f>
        <v>0</v>
      </c>
      <c r="F12" s="415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3583275.5999999996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'[62]Sch B'!E21</f>
        <v>715439.00999999989</v>
      </c>
      <c r="D13" s="558">
        <f>'[62]Sch B'!G21</f>
        <v>0</v>
      </c>
      <c r="E13" s="171">
        <f t="shared" si="2"/>
        <v>715439.00999999989</v>
      </c>
      <c r="F13" s="415"/>
      <c r="G13" s="171">
        <f t="shared" si="0"/>
        <v>715439.00999999989</v>
      </c>
      <c r="H13" s="172">
        <f t="shared" si="1"/>
        <v>0.21880800808445691</v>
      </c>
      <c r="I13" s="336"/>
      <c r="J13" s="370" t="s">
        <v>346</v>
      </c>
      <c r="K13" s="371">
        <f>G228</f>
        <v>17009</v>
      </c>
      <c r="M13" s="359">
        <f t="shared" si="3"/>
        <v>452.80949999999996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'[62]Sch B'!E27</f>
        <v>43579.8</v>
      </c>
      <c r="D14" s="558">
        <f>'[62]Sch B'!G27</f>
        <v>0</v>
      </c>
      <c r="E14" s="171">
        <f t="shared" si="2"/>
        <v>43579.8</v>
      </c>
      <c r="F14" s="415"/>
      <c r="G14" s="175">
        <f>E14+F14</f>
        <v>43579.8</v>
      </c>
      <c r="H14" s="176">
        <f t="shared" si="1"/>
        <v>1.3328332810254528E-2</v>
      </c>
      <c r="I14" s="337"/>
      <c r="J14" s="370" t="s">
        <v>347</v>
      </c>
      <c r="K14" s="371">
        <f>G231</f>
        <v>53</v>
      </c>
      <c r="M14" s="359">
        <f t="shared" si="3"/>
        <v>419.0365384615385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'[62]Sch B'!E32</f>
        <v>0</v>
      </c>
      <c r="D15" s="558">
        <f>'[62]Sch B'!G32</f>
        <v>0</v>
      </c>
      <c r="E15" s="171">
        <f t="shared" si="2"/>
        <v>0</v>
      </c>
      <c r="F15" s="415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19398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'[62]Sch B'!E37</f>
        <v>617249.61</v>
      </c>
      <c r="D16" s="558">
        <f>'[62]Sch B'!G37</f>
        <v>0</v>
      </c>
      <c r="E16" s="171">
        <f t="shared" si="2"/>
        <v>617249.61</v>
      </c>
      <c r="F16" s="415"/>
      <c r="G16" s="171">
        <f t="shared" si="0"/>
        <v>617249.61</v>
      </c>
      <c r="H16" s="172">
        <f t="shared" si="1"/>
        <v>0.18877801708772896</v>
      </c>
      <c r="I16" s="336"/>
      <c r="J16" s="372"/>
      <c r="K16" s="371"/>
      <c r="M16" s="359">
        <f t="shared" si="3"/>
        <v>176.10545221112696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'[62]Sch B'!E42</f>
        <v>202937.93</v>
      </c>
      <c r="D17" s="558">
        <f>'[62]Sch B'!G42</f>
        <v>0</v>
      </c>
      <c r="E17" s="171">
        <f t="shared" si="2"/>
        <v>202937.93</v>
      </c>
      <c r="F17" s="415"/>
      <c r="G17" s="171">
        <f>E17+F17</f>
        <v>202937.93</v>
      </c>
      <c r="H17" s="172">
        <f t="shared" si="1"/>
        <v>6.2066009271821723E-2</v>
      </c>
      <c r="I17" s="336"/>
      <c r="J17" s="370" t="s">
        <v>156</v>
      </c>
      <c r="K17" s="371">
        <f>J208</f>
        <v>99204.09</v>
      </c>
      <c r="M17" s="359">
        <f t="shared" si="3"/>
        <v>173.5995979469632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'[62]Sch B'!E47</f>
        <v>42525.120000000003</v>
      </c>
      <c r="D18" s="558">
        <f>'[62]Sch B'!G47</f>
        <v>0</v>
      </c>
      <c r="E18" s="171">
        <f t="shared" si="2"/>
        <v>42525.120000000003</v>
      </c>
      <c r="F18" s="415"/>
      <c r="G18" s="171">
        <f>E18+F18</f>
        <v>42525.120000000003</v>
      </c>
      <c r="H18" s="172">
        <f t="shared" si="1"/>
        <v>1.3005772219147657E-2</v>
      </c>
      <c r="I18" s="336"/>
      <c r="J18" s="373" t="s">
        <v>252</v>
      </c>
      <c r="K18" s="374">
        <f>K208</f>
        <v>105306.12000000001</v>
      </c>
      <c r="M18" s="359">
        <f t="shared" si="3"/>
        <v>110.74250000000001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'[62]Sch B'!E52</f>
        <v>0</v>
      </c>
      <c r="D19" s="558">
        <f>'[62]Sch B'!G52</f>
        <v>0</v>
      </c>
      <c r="E19" s="171">
        <f t="shared" si="2"/>
        <v>0</v>
      </c>
      <c r="F19" s="415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'[62]Sch B'!E67</f>
        <v>11735.66</v>
      </c>
      <c r="D20" s="558">
        <f>'[62]Sch B'!G67</f>
        <v>0</v>
      </c>
      <c r="E20" s="171">
        <f t="shared" si="2"/>
        <v>11735.66</v>
      </c>
      <c r="F20" s="415"/>
      <c r="G20" s="171">
        <f t="shared" si="0"/>
        <v>11735.66</v>
      </c>
      <c r="H20" s="172">
        <f t="shared" si="1"/>
        <v>3.5892037647715603E-3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3269711.27</v>
      </c>
      <c r="D21" s="558">
        <f>SUM(D11:D20)</f>
        <v>0</v>
      </c>
      <c r="E21" s="171">
        <f>SUM(E11:E20)</f>
        <v>3269711.27</v>
      </c>
      <c r="F21" s="415">
        <f>SUM(F11:F20)</f>
        <v>0</v>
      </c>
      <c r="G21" s="171">
        <f>SUM(G11:G20)</f>
        <v>3269711.27</v>
      </c>
      <c r="H21" s="172">
        <f t="shared" si="1"/>
        <v>1</v>
      </c>
      <c r="I21" s="336"/>
      <c r="J21" s="168"/>
      <c r="K21" s="168"/>
      <c r="M21" s="359">
        <f>IFERROR(G21/G228,0)</f>
        <v>192.23418601916632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431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431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'[62]Sch C'!D10</f>
        <v>68073.19</v>
      </c>
      <c r="D25" s="558">
        <f>'[62]Sch C'!F10</f>
        <v>0</v>
      </c>
      <c r="E25" s="171">
        <f t="shared" ref="E25:E60" si="4">C25+D25</f>
        <v>68073.19</v>
      </c>
      <c r="F25" s="415"/>
      <c r="G25" s="182">
        <f>E25+F25</f>
        <v>68073.19</v>
      </c>
      <c r="H25" s="172">
        <f>IF($G$208=0,0,G25/$G$208)</f>
        <v>1.899747538258012E-2</v>
      </c>
      <c r="I25" s="336"/>
      <c r="J25" s="183">
        <v>2080.08</v>
      </c>
      <c r="K25" s="183">
        <v>2206.08</v>
      </c>
      <c r="M25" s="359">
        <f>G25/G$228</f>
        <v>4.0021864895055561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'[62]Sch C'!D11</f>
        <v>0</v>
      </c>
      <c r="D26" s="558">
        <f>'[62]Sch C'!F11</f>
        <v>0</v>
      </c>
      <c r="E26" s="171">
        <f t="shared" si="4"/>
        <v>0</v>
      </c>
      <c r="F26" s="415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'[62]Sch C'!D12</f>
        <v>52154.03</v>
      </c>
      <c r="D27" s="558">
        <f>'[62]Sch C'!F12</f>
        <v>0</v>
      </c>
      <c r="E27" s="171">
        <f t="shared" si="4"/>
        <v>52154.03</v>
      </c>
      <c r="F27" s="415"/>
      <c r="G27" s="171">
        <f t="shared" si="5"/>
        <v>52154.03</v>
      </c>
      <c r="H27" s="172">
        <f t="shared" si="6"/>
        <v>1.4554847525543389E-2</v>
      </c>
      <c r="I27" s="336"/>
      <c r="J27" s="185">
        <v>2062.12</v>
      </c>
      <c r="K27" s="185">
        <v>2228.3000000000002</v>
      </c>
      <c r="M27" s="359">
        <f t="shared" si="7"/>
        <v>3.0662608031042389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'[62]Sch C'!D13</f>
        <v>189751.73</v>
      </c>
      <c r="D28" s="558">
        <f>'[62]Sch C'!F13</f>
        <v>-175189.99704893492</v>
      </c>
      <c r="E28" s="171">
        <f t="shared" si="4"/>
        <v>14561.732951065089</v>
      </c>
      <c r="F28" s="415"/>
      <c r="G28" s="171">
        <f t="shared" si="5"/>
        <v>14561.732951065089</v>
      </c>
      <c r="H28" s="172">
        <f t="shared" si="6"/>
        <v>4.0638049027166903E-3</v>
      </c>
      <c r="I28" s="336"/>
      <c r="J28" s="168"/>
      <c r="K28" s="168"/>
      <c r="M28" s="359">
        <f t="shared" si="7"/>
        <v>0.85611928691075834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'[62]Sch C'!D14</f>
        <v>0</v>
      </c>
      <c r="D29" s="558">
        <f>'[62]Sch C'!F14</f>
        <v>0</v>
      </c>
      <c r="E29" s="171">
        <f t="shared" si="4"/>
        <v>0</v>
      </c>
      <c r="F29" s="415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'[62]Sch C'!D15</f>
        <v>105229.93</v>
      </c>
      <c r="D30" s="558">
        <f>'[62]Sch C'!F15</f>
        <v>-105229.93</v>
      </c>
      <c r="E30" s="171">
        <f t="shared" si="4"/>
        <v>0</v>
      </c>
      <c r="F30" s="415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'[62]Sch C'!D16</f>
        <v>0</v>
      </c>
      <c r="D31" s="558">
        <f>'[62]Sch C'!F16</f>
        <v>117070</v>
      </c>
      <c r="E31" s="171">
        <f t="shared" si="4"/>
        <v>117070</v>
      </c>
      <c r="F31" s="415"/>
      <c r="G31" s="171">
        <f t="shared" si="5"/>
        <v>117070</v>
      </c>
      <c r="H31" s="172">
        <f t="shared" si="6"/>
        <v>3.2671224061023942E-2</v>
      </c>
      <c r="I31" s="336"/>
      <c r="J31" s="168"/>
      <c r="K31" s="168"/>
      <c r="M31" s="359">
        <f t="shared" si="7"/>
        <v>6.882826738785349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'[62]Sch C'!D17</f>
        <v>1055</v>
      </c>
      <c r="D32" s="558">
        <f>'[62]Sch C'!F17</f>
        <v>-1055</v>
      </c>
      <c r="E32" s="171">
        <f t="shared" si="4"/>
        <v>0</v>
      </c>
      <c r="F32" s="415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'[62]Sch C'!D18</f>
        <v>6491.04</v>
      </c>
      <c r="D33" s="558">
        <f>'[62]Sch C'!F18</f>
        <v>0</v>
      </c>
      <c r="E33" s="171">
        <f t="shared" si="4"/>
        <v>6491.04</v>
      </c>
      <c r="F33" s="415"/>
      <c r="G33" s="171">
        <f t="shared" si="5"/>
        <v>6491.04</v>
      </c>
      <c r="H33" s="172">
        <f t="shared" si="6"/>
        <v>1.8114822091831286E-3</v>
      </c>
      <c r="I33" s="336"/>
      <c r="J33" s="168"/>
      <c r="K33" s="168"/>
      <c r="M33" s="359">
        <f t="shared" si="7"/>
        <v>0.38162384619907108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'[62]Sch C'!D19</f>
        <v>6297.64</v>
      </c>
      <c r="D34" s="558">
        <f>'[62]Sch C'!F19</f>
        <v>0</v>
      </c>
      <c r="E34" s="171">
        <f t="shared" si="4"/>
        <v>6297.64</v>
      </c>
      <c r="F34" s="415"/>
      <c r="G34" s="171">
        <f t="shared" si="5"/>
        <v>6297.64</v>
      </c>
      <c r="H34" s="172">
        <f t="shared" si="6"/>
        <v>1.7575092465675821E-3</v>
      </c>
      <c r="I34" s="336"/>
      <c r="J34" s="168"/>
      <c r="K34" s="168"/>
      <c r="M34" s="359">
        <f t="shared" si="7"/>
        <v>0.37025339526133227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'[62]Sch C'!D20</f>
        <v>10823.9</v>
      </c>
      <c r="D35" s="558">
        <f>'[62]Sch C'!F20</f>
        <v>0</v>
      </c>
      <c r="E35" s="171">
        <f t="shared" si="4"/>
        <v>10823.9</v>
      </c>
      <c r="F35" s="415"/>
      <c r="G35" s="171">
        <f t="shared" si="5"/>
        <v>10823.9</v>
      </c>
      <c r="H35" s="172">
        <f t="shared" si="6"/>
        <v>3.0206719237560182E-3</v>
      </c>
      <c r="I35" s="336"/>
      <c r="J35" s="168"/>
      <c r="K35" s="168"/>
      <c r="M35" s="359">
        <f t="shared" si="7"/>
        <v>0.6363631018872361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'[62]Sch C'!D21</f>
        <v>7293.07</v>
      </c>
      <c r="D36" s="558">
        <f>'[62]Sch C'!F21</f>
        <v>0</v>
      </c>
      <c r="E36" s="171">
        <f t="shared" si="4"/>
        <v>7293.07</v>
      </c>
      <c r="F36" s="415"/>
      <c r="G36" s="171">
        <f t="shared" si="5"/>
        <v>7293.07</v>
      </c>
      <c r="H36" s="172">
        <f t="shared" si="6"/>
        <v>2.0353081409646527E-3</v>
      </c>
      <c r="I36" s="336"/>
      <c r="J36" s="168"/>
      <c r="K36" s="168"/>
      <c r="M36" s="359">
        <f t="shared" si="7"/>
        <v>0.42877711799635487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'[62]Sch C'!D22</f>
        <v>0</v>
      </c>
      <c r="D37" s="558">
        <f>'[62]Sch C'!F22</f>
        <v>0</v>
      </c>
      <c r="E37" s="171">
        <f t="shared" si="4"/>
        <v>0</v>
      </c>
      <c r="F37" s="415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'[62]Sch C'!D23</f>
        <v>6502.38</v>
      </c>
      <c r="D38" s="558">
        <f>'[62]Sch C'!F23</f>
        <v>0</v>
      </c>
      <c r="E38" s="171">
        <f t="shared" si="4"/>
        <v>6502.38</v>
      </c>
      <c r="F38" s="415"/>
      <c r="G38" s="171">
        <f t="shared" si="5"/>
        <v>6502.38</v>
      </c>
      <c r="H38" s="172">
        <f t="shared" si="6"/>
        <v>1.8146469113344229E-3</v>
      </c>
      <c r="I38" s="336"/>
      <c r="J38" s="168"/>
      <c r="K38" s="168"/>
      <c r="M38" s="359">
        <f t="shared" si="7"/>
        <v>0.38229055206067375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'[62]Sch C'!D24</f>
        <v>47625.4</v>
      </c>
      <c r="D39" s="558">
        <f>'[62]Sch C'!F24</f>
        <v>0</v>
      </c>
      <c r="E39" s="171">
        <f t="shared" si="4"/>
        <v>47625.4</v>
      </c>
      <c r="F39" s="415"/>
      <c r="G39" s="171">
        <f t="shared" si="5"/>
        <v>47625.4</v>
      </c>
      <c r="H39" s="172">
        <f t="shared" si="6"/>
        <v>1.329102344234979E-2</v>
      </c>
      <c r="I39" s="336"/>
      <c r="J39" s="168"/>
      <c r="K39" s="168"/>
      <c r="M39" s="359">
        <f t="shared" si="7"/>
        <v>2.8000117584808044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'[62]Sch C'!D25</f>
        <v>0</v>
      </c>
      <c r="D40" s="558">
        <f>'[62]Sch C'!F25</f>
        <v>0</v>
      </c>
      <c r="E40" s="171">
        <f t="shared" si="4"/>
        <v>0</v>
      </c>
      <c r="F40" s="415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'[62]Sch C'!D26</f>
        <v>288865.64</v>
      </c>
      <c r="D41" s="558">
        <f>'[62]Sch C'!F26</f>
        <v>0</v>
      </c>
      <c r="E41" s="171">
        <f t="shared" si="4"/>
        <v>288865.64</v>
      </c>
      <c r="F41" s="415"/>
      <c r="G41" s="171">
        <f t="shared" si="5"/>
        <v>288865.64</v>
      </c>
      <c r="H41" s="172">
        <f t="shared" si="6"/>
        <v>8.0614965815077141E-2</v>
      </c>
      <c r="I41" s="336"/>
      <c r="J41" s="168"/>
      <c r="K41" s="168"/>
      <c r="M41" s="359">
        <f t="shared" si="7"/>
        <v>16.983105414780411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'[62]Sch C'!D27</f>
        <v>940.12</v>
      </c>
      <c r="D42" s="558">
        <f>'[62]Sch C'!F27</f>
        <v>0</v>
      </c>
      <c r="E42" s="171">
        <f t="shared" si="4"/>
        <v>940.12</v>
      </c>
      <c r="F42" s="415"/>
      <c r="G42" s="171">
        <f t="shared" si="5"/>
        <v>940.12</v>
      </c>
      <c r="H42" s="172">
        <f t="shared" si="6"/>
        <v>2.6236329686725744E-4</v>
      </c>
      <c r="I42" s="336"/>
      <c r="J42" s="168"/>
      <c r="K42" s="168"/>
      <c r="M42" s="359">
        <f t="shared" si="7"/>
        <v>5.5271914868598976E-2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'[62]Sch C'!D28</f>
        <v>0</v>
      </c>
      <c r="D43" s="558">
        <f>'[62]Sch C'!F28</f>
        <v>0</v>
      </c>
      <c r="E43" s="171">
        <f t="shared" si="4"/>
        <v>0</v>
      </c>
      <c r="F43" s="415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'[62]Sch C'!D29</f>
        <v>85861.08</v>
      </c>
      <c r="D44" s="558">
        <f>'[62]Sch C'!F29</f>
        <v>-85861.08</v>
      </c>
      <c r="E44" s="171">
        <f t="shared" si="4"/>
        <v>0</v>
      </c>
      <c r="F44" s="415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'[62]Sch C'!D30</f>
        <v>0</v>
      </c>
      <c r="D45" s="558">
        <f>'[62]Sch C'!F30</f>
        <v>0</v>
      </c>
      <c r="E45" s="171">
        <f t="shared" si="4"/>
        <v>0</v>
      </c>
      <c r="F45" s="415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'[62]Sch C'!D31</f>
        <v>45532.02</v>
      </c>
      <c r="D46" s="558">
        <f>'[62]Sch C'!F31</f>
        <v>0</v>
      </c>
      <c r="E46" s="171">
        <f t="shared" si="4"/>
        <v>45532.02</v>
      </c>
      <c r="F46" s="415"/>
      <c r="G46" s="171">
        <f t="shared" si="5"/>
        <v>45532.02</v>
      </c>
      <c r="H46" s="172">
        <f t="shared" si="6"/>
        <v>1.270681496003266E-2</v>
      </c>
      <c r="I46" s="336"/>
      <c r="J46" s="168"/>
      <c r="K46" s="168"/>
      <c r="M46" s="359">
        <f t="shared" si="7"/>
        <v>2.6769369157504848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'[62]Sch C'!D32</f>
        <v>18589.310000000001</v>
      </c>
      <c r="D47" s="558">
        <f>'[62]Sch C'!F32</f>
        <v>0</v>
      </c>
      <c r="E47" s="171">
        <f t="shared" si="4"/>
        <v>18589.310000000001</v>
      </c>
      <c r="F47" s="415"/>
      <c r="G47" s="171">
        <f t="shared" si="5"/>
        <v>18589.310000000001</v>
      </c>
      <c r="H47" s="172">
        <f t="shared" si="6"/>
        <v>5.1877980024757249E-3</v>
      </c>
      <c r="I47" s="336"/>
      <c r="J47" s="168"/>
      <c r="K47" s="168"/>
      <c r="M47" s="359">
        <f t="shared" si="7"/>
        <v>1.0929102239990593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'[62]Sch C'!D33</f>
        <v>0</v>
      </c>
      <c r="D48" s="558">
        <f>'[62]Sch C'!F33</f>
        <v>0</v>
      </c>
      <c r="E48" s="171">
        <f t="shared" si="4"/>
        <v>0</v>
      </c>
      <c r="F48" s="415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'[62]Sch C'!D34</f>
        <v>0</v>
      </c>
      <c r="D49" s="558">
        <f>'[62]Sch C'!F34</f>
        <v>0</v>
      </c>
      <c r="E49" s="171">
        <f t="shared" si="4"/>
        <v>0</v>
      </c>
      <c r="F49" s="415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'[62]Sch C'!D35</f>
        <v>0</v>
      </c>
      <c r="D50" s="558">
        <f>'[62]Sch C'!F35</f>
        <v>0</v>
      </c>
      <c r="E50" s="171">
        <f t="shared" si="4"/>
        <v>0</v>
      </c>
      <c r="F50" s="415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'[62]Sch C'!D36</f>
        <v>20047.45</v>
      </c>
      <c r="D51" s="558">
        <f>'[62]Sch C'!F36</f>
        <v>0</v>
      </c>
      <c r="E51" s="171">
        <f t="shared" si="4"/>
        <v>20047.45</v>
      </c>
      <c r="F51" s="415"/>
      <c r="G51" s="171">
        <f t="shared" si="5"/>
        <v>20047.45</v>
      </c>
      <c r="H51" s="172">
        <f t="shared" si="6"/>
        <v>5.5947273494676222E-3</v>
      </c>
      <c r="I51" s="336"/>
      <c r="J51" s="183">
        <v>1679.96</v>
      </c>
      <c r="K51" s="183">
        <v>1787.81</v>
      </c>
      <c r="M51" s="359">
        <f t="shared" si="7"/>
        <v>1.1786377799988241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'[62]Sch C'!D37</f>
        <v>0</v>
      </c>
      <c r="D52" s="558">
        <f>'[62]Sch C'!F37</f>
        <v>2428.1158064690303</v>
      </c>
      <c r="E52" s="171">
        <f t="shared" si="4"/>
        <v>2428.1158064690303</v>
      </c>
      <c r="F52" s="415"/>
      <c r="G52" s="171">
        <f t="shared" si="5"/>
        <v>2428.1158064690303</v>
      </c>
      <c r="H52" s="172">
        <f t="shared" si="6"/>
        <v>6.7762463106913417E-4</v>
      </c>
      <c r="I52" s="336"/>
      <c r="J52" s="168"/>
      <c r="K52" s="168"/>
      <c r="M52" s="359">
        <f t="shared" si="7"/>
        <v>0.14275476550467578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'[62]Sch C'!D38</f>
        <v>57.97</v>
      </c>
      <c r="D53" s="558">
        <f>'[62]Sch C'!F38</f>
        <v>0</v>
      </c>
      <c r="E53" s="171">
        <f t="shared" si="4"/>
        <v>57.97</v>
      </c>
      <c r="F53" s="415"/>
      <c r="G53" s="171">
        <f t="shared" si="5"/>
        <v>57.97</v>
      </c>
      <c r="H53" s="172">
        <f t="shared" si="6"/>
        <v>1.6177935071474828E-5</v>
      </c>
      <c r="I53" s="336"/>
      <c r="J53" s="168"/>
      <c r="K53" s="168"/>
      <c r="M53" s="359">
        <f t="shared" si="7"/>
        <v>3.4081956611205833E-3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'[62]Sch C'!D39</f>
        <v>5322.19</v>
      </c>
      <c r="D54" s="558">
        <f>'[62]Sch C'!F39</f>
        <v>0</v>
      </c>
      <c r="E54" s="171">
        <f t="shared" si="4"/>
        <v>5322.19</v>
      </c>
      <c r="F54" s="415"/>
      <c r="G54" s="171">
        <f t="shared" si="5"/>
        <v>5322.19</v>
      </c>
      <c r="H54" s="172">
        <f t="shared" si="6"/>
        <v>1.4852862559608868E-3</v>
      </c>
      <c r="I54" s="336"/>
      <c r="J54" s="168"/>
      <c r="K54" s="168"/>
      <c r="M54" s="359">
        <f t="shared" si="7"/>
        <v>0.31290434475865714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'[62]Sch C'!D40</f>
        <v>4718.93</v>
      </c>
      <c r="D55" s="558">
        <f>'[62]Sch C'!F40</f>
        <v>-4718.93</v>
      </c>
      <c r="E55" s="171">
        <f t="shared" si="4"/>
        <v>0</v>
      </c>
      <c r="F55" s="415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'[62]Sch C'!D41</f>
        <v>46.07</v>
      </c>
      <c r="D56" s="558">
        <f>'[62]Sch C'!F41</f>
        <v>0</v>
      </c>
      <c r="E56" s="171">
        <f t="shared" si="4"/>
        <v>46.07</v>
      </c>
      <c r="F56" s="415"/>
      <c r="G56" s="171">
        <f t="shared" si="5"/>
        <v>46.07</v>
      </c>
      <c r="H56" s="172">
        <f t="shared" si="6"/>
        <v>1.28569513324624E-5</v>
      </c>
      <c r="I56" s="336"/>
      <c r="J56" s="168"/>
      <c r="K56" s="168"/>
      <c r="M56" s="359">
        <f t="shared" si="7"/>
        <v>2.7085660532659181E-3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'[62]Sch C'!D42</f>
        <v>1764.94</v>
      </c>
      <c r="D57" s="558">
        <f>'[62]Sch C'!F42</f>
        <v>0</v>
      </c>
      <c r="E57" s="171">
        <f t="shared" si="4"/>
        <v>1764.94</v>
      </c>
      <c r="F57" s="415"/>
      <c r="G57" s="171">
        <f t="shared" si="5"/>
        <v>1764.94</v>
      </c>
      <c r="H57" s="172">
        <f t="shared" si="6"/>
        <v>4.925493311203861E-4</v>
      </c>
      <c r="I57" s="336"/>
      <c r="J57" s="168"/>
      <c r="K57" s="168"/>
      <c r="M57" s="359">
        <f t="shared" si="7"/>
        <v>0.10376506555353049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'[62]Sch C'!D43</f>
        <v>10629.34</v>
      </c>
      <c r="D58" s="558">
        <f>'[62]Sch C'!F43</f>
        <v>0</v>
      </c>
      <c r="E58" s="171">
        <f t="shared" si="4"/>
        <v>10629.34</v>
      </c>
      <c r="F58" s="415"/>
      <c r="G58" s="171">
        <f t="shared" si="5"/>
        <v>10629.34</v>
      </c>
      <c r="H58" s="172">
        <f t="shared" si="6"/>
        <v>2.9663752349944842E-3</v>
      </c>
      <c r="I58" s="336"/>
      <c r="J58" s="168"/>
      <c r="K58" s="168"/>
      <c r="M58" s="359">
        <f t="shared" si="7"/>
        <v>0.62492445176083256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'[62]Sch C'!D44</f>
        <v>4545.6499999999996</v>
      </c>
      <c r="D59" s="558">
        <f>'[62]Sch C'!F44</f>
        <v>0</v>
      </c>
      <c r="E59" s="171">
        <f t="shared" si="4"/>
        <v>4545.6499999999996</v>
      </c>
      <c r="F59" s="415"/>
      <c r="G59" s="171">
        <f t="shared" si="5"/>
        <v>4545.6499999999996</v>
      </c>
      <c r="H59" s="172">
        <f t="shared" si="6"/>
        <v>1.2685739271631801E-3</v>
      </c>
      <c r="I59" s="336"/>
      <c r="J59" s="168"/>
      <c r="K59" s="168"/>
      <c r="M59" s="359">
        <f t="shared" si="7"/>
        <v>0.26724969133987886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'[62]Sch C'!D45</f>
        <v>-22776.47</v>
      </c>
      <c r="D60" s="558">
        <f>'[62]Sch C'!F45</f>
        <v>22776.47</v>
      </c>
      <c r="E60" s="171">
        <f t="shared" si="4"/>
        <v>0</v>
      </c>
      <c r="F60" s="415"/>
      <c r="G60" s="171">
        <f t="shared" si="5"/>
        <v>0</v>
      </c>
      <c r="H60" s="172">
        <f t="shared" si="6"/>
        <v>0</v>
      </c>
      <c r="I60" s="336"/>
      <c r="J60" s="168"/>
      <c r="K60" s="168"/>
      <c r="M60" s="359">
        <f t="shared" si="7"/>
        <v>0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965441.54999999993</v>
      </c>
      <c r="D61" s="558">
        <f>SUM(D25:D60)</f>
        <v>-229780.3512424659</v>
      </c>
      <c r="E61" s="171">
        <f t="shared" ref="E61:F61" si="8">SUM(E25:E60)</f>
        <v>735661.19875753392</v>
      </c>
      <c r="F61" s="171">
        <f t="shared" si="8"/>
        <v>0</v>
      </c>
      <c r="G61" s="171">
        <f>SUM(G25:G60)</f>
        <v>735661.19875753392</v>
      </c>
      <c r="H61" s="186">
        <f t="shared" si="6"/>
        <v>0.20530410743665209</v>
      </c>
      <c r="I61" s="338"/>
      <c r="J61" s="168"/>
      <c r="K61" s="168"/>
      <c r="M61" s="364">
        <f>G61/G$228</f>
        <v>43.251290420220698</v>
      </c>
      <c r="N61" s="359">
        <f>SUMMARY!J64</f>
        <v>53.728790309602623</v>
      </c>
      <c r="O61" s="354">
        <f>M61/N61-1</f>
        <v>-0.19500718011716234</v>
      </c>
      <c r="P61"/>
      <c r="Q61"/>
    </row>
    <row r="62" spans="1:17" s="167" customFormat="1">
      <c r="A62" s="163"/>
      <c r="C62" s="165"/>
      <c r="D62" s="165"/>
      <c r="E62" s="165"/>
      <c r="F62" s="422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422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'[62]Sch C'!D57</f>
        <v>528000</v>
      </c>
      <c r="D64" s="558">
        <f>'[62]Sch C'!F57</f>
        <v>0</v>
      </c>
      <c r="E64" s="171">
        <f t="shared" ref="E64:E78" si="9">C64+D64</f>
        <v>528000</v>
      </c>
      <c r="F64" s="415"/>
      <c r="G64" s="171">
        <f t="shared" ref="G64:G78" si="10">E64+F64</f>
        <v>528000</v>
      </c>
      <c r="H64" s="172">
        <f t="shared" ref="H64:H79" si="11">IF($G$208=0,0,G64/$G$208)</f>
        <v>0.14735121127719009</v>
      </c>
      <c r="I64" s="336"/>
      <c r="J64" s="190"/>
      <c r="K64" s="168"/>
      <c r="M64" s="359">
        <f t="shared" ref="M64:M79" si="12">G64/G$228</f>
        <v>31.042389323299428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'[62]Sch C'!D58</f>
        <v>2364.84</v>
      </c>
      <c r="D65" s="558">
        <f>'[62]Sch C'!F58</f>
        <v>0</v>
      </c>
      <c r="E65" s="171">
        <f t="shared" si="9"/>
        <v>2364.84</v>
      </c>
      <c r="F65" s="415"/>
      <c r="G65" s="171">
        <f t="shared" si="10"/>
        <v>2364.84</v>
      </c>
      <c r="H65" s="172">
        <f t="shared" si="11"/>
        <v>6.5996598196354204E-4</v>
      </c>
      <c r="I65" s="336"/>
      <c r="J65" s="190"/>
      <c r="K65" s="168"/>
      <c r="M65" s="359">
        <f t="shared" si="12"/>
        <v>0.13903462872596861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'[62]Sch C'!D59</f>
        <v>0</v>
      </c>
      <c r="D66" s="558">
        <f>'[62]Sch C'!F59</f>
        <v>0</v>
      </c>
      <c r="E66" s="171">
        <f t="shared" si="9"/>
        <v>0</v>
      </c>
      <c r="F66" s="415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'[62]Sch C'!D60</f>
        <v>0</v>
      </c>
      <c r="D67" s="558">
        <f>'[62]Sch C'!F60</f>
        <v>0</v>
      </c>
      <c r="E67" s="171">
        <f t="shared" si="9"/>
        <v>0</v>
      </c>
      <c r="F67" s="415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'[62]Sch C'!D61</f>
        <v>15700</v>
      </c>
      <c r="D68" s="558">
        <f>'[62]Sch C'!F61</f>
        <v>2932</v>
      </c>
      <c r="E68" s="171">
        <f t="shared" si="9"/>
        <v>18632</v>
      </c>
      <c r="F68" s="415"/>
      <c r="G68" s="171">
        <f t="shared" si="10"/>
        <v>18632</v>
      </c>
      <c r="H68" s="172">
        <f t="shared" si="11"/>
        <v>5.1997116827966015E-3</v>
      </c>
      <c r="I68" s="336"/>
      <c r="J68" s="193"/>
      <c r="K68" s="168"/>
      <c r="M68" s="359">
        <f t="shared" si="12"/>
        <v>1.0954200717267328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'[62]Sch C'!D62</f>
        <v>0</v>
      </c>
      <c r="D69" s="558">
        <f>'[62]Sch C'!F62</f>
        <v>0</v>
      </c>
      <c r="E69" s="171">
        <f t="shared" si="9"/>
        <v>0</v>
      </c>
      <c r="F69" s="415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'[62]Sch C'!D63</f>
        <v>1856</v>
      </c>
      <c r="D70" s="558">
        <f>'[62]Sch C'!F63</f>
        <v>0</v>
      </c>
      <c r="E70" s="171">
        <f t="shared" si="9"/>
        <v>1856</v>
      </c>
      <c r="F70" s="490">
        <v>-1856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'[62]Sch C'!D64</f>
        <v>0</v>
      </c>
      <c r="D71" s="558">
        <f>'[62]Sch C'!F64</f>
        <v>0</v>
      </c>
      <c r="E71" s="171">
        <f t="shared" si="9"/>
        <v>0</v>
      </c>
      <c r="F71" s="415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'[62]Sch C'!D65</f>
        <v>0</v>
      </c>
      <c r="D72" s="558">
        <f>'[62]Sch C'!F65</f>
        <v>0</v>
      </c>
      <c r="E72" s="171">
        <f t="shared" si="9"/>
        <v>0</v>
      </c>
      <c r="F72" s="490">
        <v>1856</v>
      </c>
      <c r="G72" s="171">
        <f t="shared" si="10"/>
        <v>1856</v>
      </c>
      <c r="H72" s="172">
        <f t="shared" si="11"/>
        <v>5.1796183358042576E-4</v>
      </c>
      <c r="I72" s="336"/>
      <c r="J72" s="195"/>
      <c r="K72" s="168"/>
      <c r="M72" s="359">
        <f t="shared" si="12"/>
        <v>0.10911870186371921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'[62]Sch C'!D66</f>
        <v>14773.38</v>
      </c>
      <c r="D73" s="558">
        <f>'[62]Sch C'!F66</f>
        <v>0</v>
      </c>
      <c r="E73" s="171">
        <f t="shared" si="9"/>
        <v>14773.38</v>
      </c>
      <c r="F73" s="415"/>
      <c r="G73" s="171">
        <f t="shared" si="10"/>
        <v>14773.38</v>
      </c>
      <c r="H73" s="172">
        <f t="shared" si="11"/>
        <v>4.1228701470799514E-3</v>
      </c>
      <c r="I73" s="336"/>
      <c r="J73" s="195"/>
      <c r="K73" s="168"/>
      <c r="M73" s="359">
        <f t="shared" si="12"/>
        <v>0.86856252572167669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'[62]Sch C'!D67</f>
        <v>4116</v>
      </c>
      <c r="D74" s="558">
        <f>'[62]Sch C'!F67</f>
        <v>0</v>
      </c>
      <c r="E74" s="171">
        <f t="shared" si="9"/>
        <v>4116</v>
      </c>
      <c r="F74" s="415"/>
      <c r="G74" s="171">
        <f t="shared" si="10"/>
        <v>4116</v>
      </c>
      <c r="H74" s="172">
        <f t="shared" si="11"/>
        <v>1.1486696697290044E-3</v>
      </c>
      <c r="I74" s="336"/>
      <c r="J74" s="195"/>
      <c r="K74" s="168"/>
      <c r="M74" s="359">
        <f t="shared" si="12"/>
        <v>0.2419895349520842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'[62]Sch C'!D68</f>
        <v>0</v>
      </c>
      <c r="D75" s="558">
        <f>'[62]Sch C'!F68</f>
        <v>0</v>
      </c>
      <c r="E75" s="171">
        <f t="shared" si="9"/>
        <v>0</v>
      </c>
      <c r="F75" s="415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'[62]Sch C'!D69</f>
        <v>3292.35</v>
      </c>
      <c r="D76" s="558">
        <f>'[62]Sch C'!F69</f>
        <v>0</v>
      </c>
      <c r="E76" s="171">
        <f t="shared" si="9"/>
        <v>3292.35</v>
      </c>
      <c r="F76" s="415"/>
      <c r="G76" s="171">
        <f t="shared" si="10"/>
        <v>3292.35</v>
      </c>
      <c r="H76" s="172">
        <f t="shared" si="11"/>
        <v>9.1881015236450138E-4</v>
      </c>
      <c r="I76" s="336"/>
      <c r="J76" s="195"/>
      <c r="K76" s="168"/>
      <c r="M76" s="359">
        <f t="shared" si="12"/>
        <v>0.19356517137985771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'[62]Sch C'!D70</f>
        <v>0</v>
      </c>
      <c r="D77" s="558">
        <f>'[62]Sch C'!F70</f>
        <v>0</v>
      </c>
      <c r="E77" s="171">
        <f t="shared" si="9"/>
        <v>0</v>
      </c>
      <c r="F77" s="415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'[62]Sch C'!D71</f>
        <v>0</v>
      </c>
      <c r="D78" s="558">
        <f>'[62]Sch C'!F71</f>
        <v>0</v>
      </c>
      <c r="E78" s="171">
        <f t="shared" si="9"/>
        <v>0</v>
      </c>
      <c r="F78" s="415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570102.56999999995</v>
      </c>
      <c r="D79" s="558">
        <f>SUM(D64:D78)</f>
        <v>2932</v>
      </c>
      <c r="E79" s="171">
        <f t="shared" ref="E79:F79" si="13">SUM(E64:E78)</f>
        <v>573034.56999999995</v>
      </c>
      <c r="F79" s="171">
        <f t="shared" si="13"/>
        <v>0</v>
      </c>
      <c r="G79" s="171">
        <f>SUM(G64:G78)</f>
        <v>573034.56999999995</v>
      </c>
      <c r="H79" s="172">
        <f t="shared" si="11"/>
        <v>0.15991920074470409</v>
      </c>
      <c r="I79" s="336"/>
      <c r="J79" s="195"/>
      <c r="K79" s="168"/>
      <c r="M79" s="359">
        <f t="shared" si="12"/>
        <v>33.690079957669468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419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422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'[62]Sch C'!D75</f>
        <v>25639.86</v>
      </c>
      <c r="D82" s="558">
        <f>'[62]Sch C'!F75</f>
        <v>0</v>
      </c>
      <c r="E82" s="171">
        <f t="shared" ref="E82:E92" si="14">C82+D82</f>
        <v>25639.86</v>
      </c>
      <c r="F82" s="415"/>
      <c r="G82" s="171">
        <f t="shared" ref="G82:G92" si="15">E82+F82</f>
        <v>25639.86</v>
      </c>
      <c r="H82" s="172">
        <f t="shared" ref="H82:H93" si="16">IF($G$208=0,0,G82/$G$208)</f>
        <v>7.1554250529878311E-3</v>
      </c>
      <c r="I82" s="336"/>
      <c r="J82" s="183">
        <v>1756.61</v>
      </c>
      <c r="K82" s="183">
        <v>1914.61</v>
      </c>
      <c r="M82" s="359">
        <f t="shared" ref="M82:M92" si="17">G82/G$228</f>
        <v>1.5074290081721442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'[62]Sch C'!D76</f>
        <v>0</v>
      </c>
      <c r="D83" s="558">
        <f>'[62]Sch C'!F76</f>
        <v>3105.4597637930524</v>
      </c>
      <c r="E83" s="171">
        <f t="shared" si="14"/>
        <v>3105.4597637930524</v>
      </c>
      <c r="F83" s="415"/>
      <c r="G83" s="171">
        <f t="shared" si="15"/>
        <v>3105.4597637930524</v>
      </c>
      <c r="H83" s="172">
        <f t="shared" si="16"/>
        <v>8.666538972868994E-4</v>
      </c>
      <c r="I83" s="336"/>
      <c r="J83" s="168"/>
      <c r="K83" s="168"/>
      <c r="M83" s="359">
        <f t="shared" si="17"/>
        <v>0.18257744510512389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'[62]Sch C'!D77</f>
        <v>424.76</v>
      </c>
      <c r="D84" s="558">
        <f>'[62]Sch C'!F77</f>
        <v>0</v>
      </c>
      <c r="E84" s="171">
        <f t="shared" si="14"/>
        <v>424.76</v>
      </c>
      <c r="F84" s="415"/>
      <c r="G84" s="171">
        <f t="shared" si="15"/>
        <v>424.76</v>
      </c>
      <c r="H84" s="172">
        <f t="shared" si="16"/>
        <v>1.185395842842789E-4</v>
      </c>
      <c r="I84" s="336"/>
      <c r="J84" s="168"/>
      <c r="K84" s="168"/>
      <c r="M84" s="359">
        <f t="shared" si="17"/>
        <v>2.4972661532130049E-2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'[62]Sch C'!D78</f>
        <v>1834.55</v>
      </c>
      <c r="D85" s="558">
        <f>'[62]Sch C'!F78</f>
        <v>0</v>
      </c>
      <c r="E85" s="171">
        <f t="shared" si="14"/>
        <v>1834.55</v>
      </c>
      <c r="F85" s="415"/>
      <c r="G85" s="171">
        <f t="shared" si="15"/>
        <v>1834.55</v>
      </c>
      <c r="H85" s="172">
        <f t="shared" si="16"/>
        <v>5.1197569062228984E-4</v>
      </c>
      <c r="I85" s="336"/>
      <c r="J85" s="168"/>
      <c r="K85" s="168"/>
      <c r="M85" s="359">
        <f t="shared" si="17"/>
        <v>0.10785760479746016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'[62]Sch C'!D79</f>
        <v>6690.48</v>
      </c>
      <c r="D86" s="558">
        <f>'[62]Sch C'!F79</f>
        <v>0</v>
      </c>
      <c r="E86" s="171">
        <f t="shared" si="14"/>
        <v>6690.48</v>
      </c>
      <c r="F86" s="415"/>
      <c r="G86" s="171">
        <f>E86+F86</f>
        <v>6690.48</v>
      </c>
      <c r="H86" s="172">
        <f t="shared" si="16"/>
        <v>1.8671407803519217E-3</v>
      </c>
      <c r="I86" s="336"/>
      <c r="J86" s="168"/>
      <c r="K86" s="168"/>
      <c r="M86" s="359">
        <f t="shared" si="17"/>
        <v>0.39334940325709916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'[62]Sch C'!D80</f>
        <v>3867.56</v>
      </c>
      <c r="D87" s="558">
        <f>'[62]Sch C'!F80</f>
        <v>0</v>
      </c>
      <c r="E87" s="171">
        <f t="shared" si="14"/>
        <v>3867.56</v>
      </c>
      <c r="F87" s="415"/>
      <c r="G87" s="171">
        <f t="shared" si="15"/>
        <v>3867.56</v>
      </c>
      <c r="H87" s="172">
        <f t="shared" si="16"/>
        <v>1.0793364596348659E-3</v>
      </c>
      <c r="I87" s="336"/>
      <c r="J87" s="168"/>
      <c r="K87" s="168"/>
      <c r="M87" s="359">
        <f t="shared" si="17"/>
        <v>0.22738315009700746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'[62]Sch C'!D81</f>
        <v>12226.49</v>
      </c>
      <c r="D88" s="558">
        <f>'[62]Sch C'!F81</f>
        <v>0</v>
      </c>
      <c r="E88" s="171">
        <f t="shared" si="14"/>
        <v>12226.49</v>
      </c>
      <c r="F88" s="415"/>
      <c r="G88" s="171">
        <f t="shared" si="15"/>
        <v>12226.49</v>
      </c>
      <c r="H88" s="172">
        <f t="shared" si="16"/>
        <v>3.4120986953947948E-3</v>
      </c>
      <c r="I88" s="336"/>
      <c r="J88" s="168"/>
      <c r="K88" s="168"/>
      <c r="M88" s="359">
        <f t="shared" si="17"/>
        <v>0.71882473984361217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'[62]Sch C'!D82</f>
        <v>6190.44</v>
      </c>
      <c r="D89" s="558">
        <f>'[62]Sch C'!F82</f>
        <v>0</v>
      </c>
      <c r="E89" s="171">
        <f t="shared" si="14"/>
        <v>6190.44</v>
      </c>
      <c r="F89" s="415"/>
      <c r="G89" s="171">
        <f t="shared" si="15"/>
        <v>6190.44</v>
      </c>
      <c r="H89" s="172">
        <f t="shared" si="16"/>
        <v>1.7275924854900919E-3</v>
      </c>
      <c r="I89" s="336"/>
      <c r="J89" s="168"/>
      <c r="K89" s="168"/>
      <c r="M89" s="359">
        <f t="shared" si="17"/>
        <v>0.3639508495502381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'[62]Sch C'!D83</f>
        <v>11948.84</v>
      </c>
      <c r="D90" s="558">
        <f>'[62]Sch C'!F83</f>
        <v>0</v>
      </c>
      <c r="E90" s="171">
        <f t="shared" si="14"/>
        <v>11948.84</v>
      </c>
      <c r="F90" s="415"/>
      <c r="G90" s="171">
        <f t="shared" si="15"/>
        <v>11948.84</v>
      </c>
      <c r="H90" s="172">
        <f t="shared" si="16"/>
        <v>3.3346137260555683E-3</v>
      </c>
      <c r="I90" s="336"/>
      <c r="J90" s="168"/>
      <c r="K90" s="168"/>
      <c r="M90" s="359">
        <f t="shared" si="17"/>
        <v>0.70250102886707033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'[62]Sch C'!D84</f>
        <v>71325.759999999995</v>
      </c>
      <c r="D91" s="558">
        <f>'[62]Sch C'!F84</f>
        <v>0</v>
      </c>
      <c r="E91" s="171">
        <f t="shared" si="14"/>
        <v>71325.759999999995</v>
      </c>
      <c r="F91" s="415"/>
      <c r="G91" s="171">
        <f t="shared" si="15"/>
        <v>71325.759999999995</v>
      </c>
      <c r="H91" s="172">
        <f t="shared" si="16"/>
        <v>1.9905183960731349E-2</v>
      </c>
      <c r="I91" s="336"/>
      <c r="J91" s="168"/>
      <c r="K91" s="168"/>
      <c r="M91" s="359">
        <f t="shared" si="17"/>
        <v>4.1934128990534418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'[62]Sch C'!D85</f>
        <v>0</v>
      </c>
      <c r="D92" s="558">
        <f>'[62]Sch C'!F85</f>
        <v>0</v>
      </c>
      <c r="E92" s="171">
        <f t="shared" si="14"/>
        <v>0</v>
      </c>
      <c r="F92" s="415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140148.74</v>
      </c>
      <c r="D93" s="558">
        <f>SUM(D82:D92)</f>
        <v>3105.4597637930524</v>
      </c>
      <c r="E93" s="171">
        <f t="shared" ref="E93:F93" si="18">SUM(E82:E92)</f>
        <v>143254.19976379303</v>
      </c>
      <c r="F93" s="171">
        <f t="shared" si="18"/>
        <v>0</v>
      </c>
      <c r="G93" s="171">
        <f>SUM(G82:G92)</f>
        <v>143254.19976379303</v>
      </c>
      <c r="H93" s="172">
        <f t="shared" si="16"/>
        <v>3.9978560332839891E-2</v>
      </c>
      <c r="I93" s="336"/>
      <c r="J93" s="168"/>
      <c r="K93" s="168"/>
      <c r="M93" s="364">
        <f>G93/G$228</f>
        <v>8.4222587902753272</v>
      </c>
      <c r="N93" s="359">
        <f>SUMMARY!J96</f>
        <v>11.458724454710746</v>
      </c>
      <c r="O93" s="354">
        <f>M93/N93-1</f>
        <v>-0.26499159452142251</v>
      </c>
      <c r="P93"/>
      <c r="Q93"/>
    </row>
    <row r="94" spans="1:17" s="167" customFormat="1">
      <c r="A94" s="163"/>
      <c r="C94" s="165"/>
      <c r="D94" s="165"/>
      <c r="E94" s="165"/>
      <c r="F94" s="422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422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'[62]Sch C'!D89</f>
        <v>143276.28</v>
      </c>
      <c r="D96" s="558">
        <f>'[62]Sch C'!F89</f>
        <v>0</v>
      </c>
      <c r="E96" s="171">
        <f t="shared" ref="E96:E101" si="19">C96+D96</f>
        <v>143276.28</v>
      </c>
      <c r="F96" s="415"/>
      <c r="G96" s="171">
        <f t="shared" ref="G96:G101" si="20">E96+F96</f>
        <v>143276.28</v>
      </c>
      <c r="H96" s="172">
        <f t="shared" ref="H96:H102" si="21">IF($G$208=0,0,G96/$G$208)</f>
        <v>3.9984722358503491E-2</v>
      </c>
      <c r="I96" s="336"/>
      <c r="J96" s="183">
        <v>12343.37</v>
      </c>
      <c r="K96" s="183">
        <v>13309.61</v>
      </c>
      <c r="M96" s="364">
        <f t="shared" ref="M96:M101" si="22">G96/G$228</f>
        <v>8.4235569404432944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'[62]Sch C'!D90</f>
        <v>0</v>
      </c>
      <c r="D97" s="558">
        <f>'[62]Sch C'!F90</f>
        <v>17353.399068713607</v>
      </c>
      <c r="E97" s="171">
        <f t="shared" si="19"/>
        <v>17353.399068713607</v>
      </c>
      <c r="F97" s="415"/>
      <c r="G97" s="171">
        <f t="shared" si="20"/>
        <v>17353.399068713607</v>
      </c>
      <c r="H97" s="172">
        <f t="shared" si="21"/>
        <v>4.8428870692261592E-3</v>
      </c>
      <c r="I97" s="336"/>
      <c r="J97" s="168"/>
      <c r="K97" s="168"/>
      <c r="M97" s="364">
        <f t="shared" si="22"/>
        <v>1.0202480491924044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'[62]Sch C'!D91</f>
        <v>6419.67</v>
      </c>
      <c r="D98" s="558">
        <f>'[62]Sch C'!F91</f>
        <v>0</v>
      </c>
      <c r="E98" s="171">
        <f t="shared" si="19"/>
        <v>6419.67</v>
      </c>
      <c r="F98" s="415"/>
      <c r="G98" s="171">
        <f t="shared" si="20"/>
        <v>6419.67</v>
      </c>
      <c r="H98" s="172">
        <f t="shared" si="21"/>
        <v>1.7915646789769676E-3</v>
      </c>
      <c r="I98" s="336"/>
      <c r="J98" s="168"/>
      <c r="K98" s="168"/>
      <c r="M98" s="364">
        <f t="shared" si="22"/>
        <v>0.37742783232406374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'[62]Sch C'!D92</f>
        <v>148016.54999999999</v>
      </c>
      <c r="D99" s="558">
        <f>'[62]Sch C'!F92</f>
        <v>0</v>
      </c>
      <c r="E99" s="171">
        <f t="shared" si="19"/>
        <v>148016.54999999999</v>
      </c>
      <c r="F99" s="415"/>
      <c r="G99" s="171">
        <f t="shared" si="20"/>
        <v>148016.54999999999</v>
      </c>
      <c r="H99" s="172">
        <f t="shared" si="21"/>
        <v>4.1307609718884031E-2</v>
      </c>
      <c r="I99" s="336"/>
      <c r="J99" s="168"/>
      <c r="K99" s="168"/>
      <c r="M99" s="364">
        <f t="shared" si="22"/>
        <v>8.7022488094538186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'[62]Sch C'!D93</f>
        <v>20503.2</v>
      </c>
      <c r="D100" s="558">
        <f>'[62]Sch C'!F93</f>
        <v>0</v>
      </c>
      <c r="E100" s="171">
        <f t="shared" si="19"/>
        <v>20503.2</v>
      </c>
      <c r="F100" s="415"/>
      <c r="G100" s="171">
        <f t="shared" si="20"/>
        <v>20503.2</v>
      </c>
      <c r="H100" s="172">
        <f t="shared" si="21"/>
        <v>5.7219154451865224E-3</v>
      </c>
      <c r="I100" s="336"/>
      <c r="J100" s="168"/>
      <c r="K100" s="168"/>
      <c r="M100" s="364">
        <f t="shared" si="22"/>
        <v>1.2054324181315774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'[62]Sch C'!D94</f>
        <v>0</v>
      </c>
      <c r="D101" s="558">
        <f>'[62]Sch C'!F94</f>
        <v>0</v>
      </c>
      <c r="E101" s="171">
        <f t="shared" si="19"/>
        <v>0</v>
      </c>
      <c r="F101" s="415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318215.7</v>
      </c>
      <c r="D102" s="558">
        <f>SUM(D96:D101)</f>
        <v>17353.399068713607</v>
      </c>
      <c r="E102" s="171">
        <f t="shared" ref="E102:F102" si="23">SUM(E96:E101)</f>
        <v>335569.09906871361</v>
      </c>
      <c r="F102" s="171">
        <f t="shared" si="23"/>
        <v>0</v>
      </c>
      <c r="G102" s="171">
        <f>SUM(G96:G101)</f>
        <v>335569.09906871361</v>
      </c>
      <c r="H102" s="172">
        <f t="shared" si="21"/>
        <v>9.364869927077718E-2</v>
      </c>
      <c r="I102" s="336"/>
      <c r="J102" s="168"/>
      <c r="K102" s="168"/>
      <c r="M102" s="364">
        <f>G102/G$228</f>
        <v>19.72891404954516</v>
      </c>
      <c r="N102" s="359">
        <f>SUMMARY!J105</f>
        <v>19.901077037785338</v>
      </c>
      <c r="O102" s="354">
        <f>M102/N102-1</f>
        <v>-8.6509382338101348E-3</v>
      </c>
      <c r="P102"/>
      <c r="Q102"/>
    </row>
    <row r="103" spans="1:17" s="167" customFormat="1">
      <c r="A103" s="163"/>
      <c r="C103" s="165"/>
      <c r="D103" s="165"/>
      <c r="E103" s="165"/>
      <c r="F103" s="422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422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'[62]Sch C'!D98</f>
        <v>6323.97</v>
      </c>
      <c r="D105" s="558">
        <f>'[62]Sch C'!F98</f>
        <v>0</v>
      </c>
      <c r="E105" s="171">
        <f t="shared" ref="E105:E110" si="24">C105+D105</f>
        <v>6323.97</v>
      </c>
      <c r="F105" s="415"/>
      <c r="G105" s="171">
        <f t="shared" ref="G105:G110" si="25">E105+F105</f>
        <v>6323.97</v>
      </c>
      <c r="H105" s="172">
        <f t="shared" ref="H105:H111" si="26">IF($G$208=0,0,G105/$G$208)</f>
        <v>1.7648572719329769E-3</v>
      </c>
      <c r="I105" s="336"/>
      <c r="J105" s="183">
        <v>741.05</v>
      </c>
      <c r="K105" s="183">
        <v>764.85</v>
      </c>
      <c r="M105" s="364">
        <f t="shared" ref="M105:M110" si="27">G105/G$228</f>
        <v>0.37180139925921574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'[62]Sch C'!D99</f>
        <v>0</v>
      </c>
      <c r="D106" s="558">
        <f>'[62]Sch C'!F99</f>
        <v>765.94936097288951</v>
      </c>
      <c r="E106" s="171">
        <f t="shared" si="24"/>
        <v>765.94936097288951</v>
      </c>
      <c r="F106" s="415"/>
      <c r="G106" s="171">
        <f t="shared" si="25"/>
        <v>765.94936097288951</v>
      </c>
      <c r="H106" s="172">
        <f t="shared" si="26"/>
        <v>2.1375675400822912E-4</v>
      </c>
      <c r="I106" s="336"/>
      <c r="J106" s="168"/>
      <c r="K106" s="168"/>
      <c r="M106" s="364">
        <f t="shared" si="27"/>
        <v>4.5032004290251601E-2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'[62]Sch C'!D100</f>
        <v>3025.87</v>
      </c>
      <c r="D107" s="558">
        <f>'[62]Sch C'!F100</f>
        <v>0</v>
      </c>
      <c r="E107" s="171">
        <f t="shared" si="24"/>
        <v>3025.87</v>
      </c>
      <c r="F107" s="415"/>
      <c r="G107" s="171">
        <f t="shared" si="25"/>
        <v>3025.87</v>
      </c>
      <c r="H107" s="172">
        <f t="shared" si="26"/>
        <v>8.4444244255172567E-4</v>
      </c>
      <c r="I107" s="336"/>
      <c r="J107" s="168"/>
      <c r="K107" s="168"/>
      <c r="M107" s="364">
        <f t="shared" si="27"/>
        <v>0.17789817155623494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'[62]Sch C'!D101</f>
        <v>15225.64</v>
      </c>
      <c r="D108" s="558">
        <f>'[62]Sch C'!F101</f>
        <v>0</v>
      </c>
      <c r="E108" s="171">
        <f t="shared" si="24"/>
        <v>15225.64</v>
      </c>
      <c r="F108" s="415"/>
      <c r="G108" s="171">
        <f t="shared" si="25"/>
        <v>15225.64</v>
      </c>
      <c r="H108" s="172">
        <f t="shared" si="26"/>
        <v>4.2490842736182506E-3</v>
      </c>
      <c r="I108" s="336"/>
      <c r="J108" s="168"/>
      <c r="K108" s="168"/>
      <c r="M108" s="364">
        <f t="shared" si="27"/>
        <v>0.89515197836439531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'[62]Sch C'!D102</f>
        <v>3854.93</v>
      </c>
      <c r="D109" s="558">
        <f>'[62]Sch C'!F102</f>
        <v>0</v>
      </c>
      <c r="E109" s="171">
        <f t="shared" si="24"/>
        <v>3854.93</v>
      </c>
      <c r="F109" s="415"/>
      <c r="G109" s="171">
        <f t="shared" si="25"/>
        <v>3854.93</v>
      </c>
      <c r="H109" s="172">
        <f t="shared" si="26"/>
        <v>1.0758117516832923E-3</v>
      </c>
      <c r="I109" s="336"/>
      <c r="J109" s="168"/>
      <c r="K109" s="168"/>
      <c r="M109" s="364">
        <f t="shared" si="27"/>
        <v>0.22664060203421718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'[62]Sch C'!D103</f>
        <v>0</v>
      </c>
      <c r="D110" s="558">
        <f>'[62]Sch C'!F103</f>
        <v>0</v>
      </c>
      <c r="E110" s="171">
        <f t="shared" si="24"/>
        <v>0</v>
      </c>
      <c r="F110" s="415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28430.41</v>
      </c>
      <c r="D111" s="558">
        <f>SUM(D105:D110)</f>
        <v>765.94936097288951</v>
      </c>
      <c r="E111" s="171">
        <f t="shared" ref="E111:F111" si="28">SUM(E105:E110)</f>
        <v>29196.359360972889</v>
      </c>
      <c r="F111" s="171">
        <f t="shared" si="28"/>
        <v>0</v>
      </c>
      <c r="G111" s="171">
        <f>SUM(G105:G110)</f>
        <v>29196.359360972889</v>
      </c>
      <c r="H111" s="172">
        <f t="shared" si="26"/>
        <v>8.147952493794474E-3</v>
      </c>
      <c r="I111" s="336"/>
      <c r="J111" s="168"/>
      <c r="K111" s="168"/>
      <c r="M111" s="364">
        <f>G111/G$228</f>
        <v>1.7165241555043147</v>
      </c>
      <c r="N111" s="359">
        <f>SUMMARY!J114</f>
        <v>2.4242384372309496</v>
      </c>
      <c r="O111" s="354">
        <f>M111/N111-1</f>
        <v>-0.29193262133695519</v>
      </c>
      <c r="P111"/>
      <c r="Q111"/>
    </row>
    <row r="112" spans="1:17" s="167" customFormat="1">
      <c r="A112" s="163"/>
      <c r="C112" s="165"/>
      <c r="D112" s="165"/>
      <c r="E112" s="165"/>
      <c r="F112" s="422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422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'[62]Sch C'!D115</f>
        <v>67672.710000000006</v>
      </c>
      <c r="D114" s="558">
        <f>'[62]Sch C'!F115</f>
        <v>0</v>
      </c>
      <c r="E114" s="171">
        <f t="shared" ref="E114:E118" si="29">C114+D114</f>
        <v>67672.710000000006</v>
      </c>
      <c r="F114" s="415"/>
      <c r="G114" s="171">
        <f>E114+F114</f>
        <v>67672.710000000006</v>
      </c>
      <c r="H114" s="172">
        <f t="shared" ref="H114:H119" si="30">IF($G$208=0,0,G114/$G$208)</f>
        <v>1.8885711721420482E-2</v>
      </c>
      <c r="I114" s="336"/>
      <c r="J114" s="183">
        <v>6969.47</v>
      </c>
      <c r="K114" s="183">
        <v>7134.67</v>
      </c>
      <c r="M114" s="364">
        <f t="shared" ref="M114:M119" si="31">G114/G$228</f>
        <v>3.9786413075430658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'[62]Sch C'!D116</f>
        <v>0</v>
      </c>
      <c r="D115" s="558">
        <f>'[62]Sch C'!F116</f>
        <v>8196.4128513898177</v>
      </c>
      <c r="E115" s="171">
        <f t="shared" si="29"/>
        <v>8196.4128513898177</v>
      </c>
      <c r="F115" s="415"/>
      <c r="G115" s="171">
        <f>E115+F115</f>
        <v>8196.4128513898177</v>
      </c>
      <c r="H115" s="172">
        <f t="shared" si="30"/>
        <v>2.2874078821595021E-3</v>
      </c>
      <c r="I115" s="336"/>
      <c r="J115" s="168"/>
      <c r="K115" s="168"/>
      <c r="M115" s="364">
        <f t="shared" si="31"/>
        <v>0.4818868158851089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'[62]Sch C'!D117</f>
        <v>14399.21</v>
      </c>
      <c r="D116" s="558">
        <f>'[62]Sch C'!F117</f>
        <v>0</v>
      </c>
      <c r="E116" s="171">
        <f t="shared" si="29"/>
        <v>14399.21</v>
      </c>
      <c r="F116" s="415"/>
      <c r="G116" s="171">
        <f>E116+F116</f>
        <v>14399.21</v>
      </c>
      <c r="H116" s="172">
        <f t="shared" si="30"/>
        <v>4.0184489298004319E-3</v>
      </c>
      <c r="I116" s="336"/>
      <c r="J116" s="168"/>
      <c r="K116" s="168"/>
      <c r="M116" s="364">
        <f t="shared" si="31"/>
        <v>0.84656417190898936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'[62]Sch C'!D118</f>
        <v>28046.28</v>
      </c>
      <c r="D117" s="558">
        <f>'[62]Sch C'!F118</f>
        <v>0</v>
      </c>
      <c r="E117" s="171">
        <f t="shared" si="29"/>
        <v>28046.28</v>
      </c>
      <c r="F117" s="415"/>
      <c r="G117" s="171">
        <f>E117+F117</f>
        <v>28046.28</v>
      </c>
      <c r="H117" s="172">
        <f t="shared" si="30"/>
        <v>7.8269949428394509E-3</v>
      </c>
      <c r="I117" s="336"/>
      <c r="J117" s="168"/>
      <c r="K117" s="168"/>
      <c r="M117" s="364">
        <f t="shared" si="31"/>
        <v>1.6489082250573226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'[62]Sch C'!D119</f>
        <v>0</v>
      </c>
      <c r="D118" s="558">
        <f>'[62]Sch C'!F119</f>
        <v>0</v>
      </c>
      <c r="E118" s="171">
        <f t="shared" si="29"/>
        <v>0</v>
      </c>
      <c r="F118" s="415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110118.20000000001</v>
      </c>
      <c r="D119" s="558">
        <f>SUM(D114:D118)</f>
        <v>8196.4128513898177</v>
      </c>
      <c r="E119" s="171">
        <f t="shared" ref="E119:F119" si="32">SUM(E114:E118)</f>
        <v>118314.61285138983</v>
      </c>
      <c r="F119" s="171">
        <f t="shared" si="32"/>
        <v>0</v>
      </c>
      <c r="G119" s="171">
        <f>SUM(G114:G118)</f>
        <v>118314.61285138983</v>
      </c>
      <c r="H119" s="172">
        <f t="shared" si="30"/>
        <v>3.301856347621987E-2</v>
      </c>
      <c r="I119" s="336"/>
      <c r="J119" s="168"/>
      <c r="K119" s="168"/>
      <c r="M119" s="364">
        <f t="shared" si="31"/>
        <v>6.956000520394487</v>
      </c>
      <c r="N119" s="359">
        <f>SUMMARY!J122</f>
        <v>6.0247597205909562</v>
      </c>
      <c r="O119" s="354">
        <f>M119/N119-1</f>
        <v>0.15456895262076742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419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422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422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'[62]Sch C'!D124</f>
        <v>0</v>
      </c>
      <c r="D123" s="558">
        <f>'[62]Sch C'!F124</f>
        <v>0</v>
      </c>
      <c r="E123" s="171">
        <f t="shared" ref="E123:E127" si="33">C123+D123</f>
        <v>0</v>
      </c>
      <c r="F123" s="415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'[62]Sch C'!D125</f>
        <v>61654.49</v>
      </c>
      <c r="D124" s="558">
        <f>'[62]Sch C'!F125</f>
        <v>0</v>
      </c>
      <c r="E124" s="171">
        <f t="shared" si="33"/>
        <v>61654.49</v>
      </c>
      <c r="F124" s="415"/>
      <c r="G124" s="171">
        <f>E124+F124</f>
        <v>61654.49</v>
      </c>
      <c r="H124" s="172">
        <f>IF($G$208=0,0,G124/$G$208)</f>
        <v>1.720618140563902E-2</v>
      </c>
      <c r="I124" s="336"/>
      <c r="J124" s="183">
        <v>2000.08</v>
      </c>
      <c r="K124" s="183">
        <v>2080.08</v>
      </c>
      <c r="M124" s="364">
        <f t="shared" si="34"/>
        <v>3.6248156858133926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'[62]Sch C'!D126</f>
        <v>0</v>
      </c>
      <c r="D125" s="558">
        <f>'[62]Sch C'!F126</f>
        <v>0</v>
      </c>
      <c r="E125" s="171">
        <f t="shared" si="33"/>
        <v>0</v>
      </c>
      <c r="F125" s="415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'[62]Sch C'!D127</f>
        <v>0</v>
      </c>
      <c r="D126" s="558">
        <f>'[62]Sch C'!F127</f>
        <v>0</v>
      </c>
      <c r="E126" s="171">
        <f t="shared" si="33"/>
        <v>0</v>
      </c>
      <c r="F126" s="415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'[62]Sch C'!D128</f>
        <v>35589.120000000003</v>
      </c>
      <c r="D127" s="558">
        <f>'[62]Sch C'!F128</f>
        <v>0</v>
      </c>
      <c r="E127" s="171">
        <f t="shared" si="33"/>
        <v>35589.120000000003</v>
      </c>
      <c r="F127" s="415"/>
      <c r="G127" s="171">
        <f>E127+F127</f>
        <v>35589.120000000003</v>
      </c>
      <c r="H127" s="172">
        <f>IF($G$208=0,0,G127/$G$208)</f>
        <v>9.9320074626690746E-3</v>
      </c>
      <c r="I127" s="336"/>
      <c r="J127" s="183">
        <v>2109.1</v>
      </c>
      <c r="K127" s="183">
        <v>2260.54</v>
      </c>
      <c r="M127" s="364">
        <f t="shared" si="34"/>
        <v>2.0923699218061027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419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'[62]Sch C'!D130</f>
        <v>0</v>
      </c>
      <c r="D129" s="558">
        <f>'[62]Sch C'!F130</f>
        <v>0</v>
      </c>
      <c r="E129" s="171">
        <f t="shared" ref="E129:E133" si="35">C129+D129</f>
        <v>0</v>
      </c>
      <c r="F129" s="415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'[62]Sch C'!D131</f>
        <v>0</v>
      </c>
      <c r="D130" s="558">
        <f>'[62]Sch C'!F131</f>
        <v>7467.4954524783325</v>
      </c>
      <c r="E130" s="171">
        <f t="shared" si="35"/>
        <v>7467.4954524783325</v>
      </c>
      <c r="F130" s="415"/>
      <c r="G130" s="171">
        <f>E130+F130</f>
        <v>7467.4954524783325</v>
      </c>
      <c r="H130" s="172">
        <f>IF($G$208=0,0,G130/$G$208)</f>
        <v>2.0839857956999829E-3</v>
      </c>
      <c r="I130" s="336"/>
      <c r="J130" s="204"/>
      <c r="K130" s="204"/>
      <c r="M130" s="364">
        <f t="shared" si="34"/>
        <v>0.43903200967007655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'[62]Sch C'!D132</f>
        <v>0</v>
      </c>
      <c r="D131" s="558">
        <f>'[62]Sch C'!F132</f>
        <v>0</v>
      </c>
      <c r="E131" s="171">
        <f t="shared" si="35"/>
        <v>0</v>
      </c>
      <c r="F131" s="415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'[62]Sch C'!D133</f>
        <v>0</v>
      </c>
      <c r="D132" s="558">
        <f>'[62]Sch C'!F133</f>
        <v>0</v>
      </c>
      <c r="E132" s="171">
        <f t="shared" si="35"/>
        <v>0</v>
      </c>
      <c r="F132" s="415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'[62]Sch C'!D134</f>
        <v>0</v>
      </c>
      <c r="D133" s="558">
        <f>'[62]Sch C'!F134</f>
        <v>4310.4985826288676</v>
      </c>
      <c r="E133" s="171">
        <f t="shared" si="35"/>
        <v>4310.4985826288676</v>
      </c>
      <c r="F133" s="415"/>
      <c r="G133" s="171">
        <f>E133+F133</f>
        <v>4310.4985826288676</v>
      </c>
      <c r="H133" s="172">
        <f>IF($G$208=0,0,G133/$G$208)</f>
        <v>1.2029492184829065E-3</v>
      </c>
      <c r="I133" s="336"/>
      <c r="J133" s="168"/>
      <c r="K133" s="168"/>
      <c r="M133" s="364">
        <f t="shared" si="34"/>
        <v>0.25342457420359032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419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'[62]Sch C'!D136</f>
        <v>334138.69</v>
      </c>
      <c r="D135" s="558">
        <f>'[62]Sch C'!F136</f>
        <v>0</v>
      </c>
      <c r="E135" s="171">
        <f t="shared" ref="E135:E138" si="36">C135+D135</f>
        <v>334138.69</v>
      </c>
      <c r="F135" s="415"/>
      <c r="G135" s="171">
        <f>E135+F135</f>
        <v>334138.69</v>
      </c>
      <c r="H135" s="172">
        <f>IF($G$208=0,0,G135/$G$208)</f>
        <v>9.3249508913018031E-2</v>
      </c>
      <c r="I135" s="336"/>
      <c r="J135" s="183">
        <v>11744.32</v>
      </c>
      <c r="K135" s="183">
        <v>12470.03</v>
      </c>
      <c r="M135" s="364">
        <f t="shared" si="34"/>
        <v>19.644816861661475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'[62]Sch C'!D137</f>
        <v>113920.25</v>
      </c>
      <c r="D136" s="558">
        <f>'[62]Sch C'!F137</f>
        <v>0</v>
      </c>
      <c r="E136" s="171">
        <f t="shared" si="36"/>
        <v>113920.25</v>
      </c>
      <c r="F136" s="415"/>
      <c r="G136" s="171">
        <f>E136+F136</f>
        <v>113920.25</v>
      </c>
      <c r="H136" s="172">
        <f>IF($G$208=0,0,G136/$G$208)</f>
        <v>3.1792209898674838E-2</v>
      </c>
      <c r="I136" s="336"/>
      <c r="J136" s="183">
        <v>4136.7700000000004</v>
      </c>
      <c r="K136" s="183">
        <v>4398.91</v>
      </c>
      <c r="M136" s="364">
        <f t="shared" si="34"/>
        <v>6.6976453642189426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'[62]Sch C'!D138</f>
        <v>562759.5</v>
      </c>
      <c r="D137" s="558">
        <f>'[62]Sch C'!F138</f>
        <v>0</v>
      </c>
      <c r="E137" s="171">
        <f t="shared" si="36"/>
        <v>562759.5</v>
      </c>
      <c r="F137" s="415"/>
      <c r="G137" s="171">
        <f>E137+F137</f>
        <v>562759.5</v>
      </c>
      <c r="H137" s="172">
        <f>IF($G$208=0,0,G137/$G$208)</f>
        <v>0.15705169314913986</v>
      </c>
      <c r="I137" s="336"/>
      <c r="J137" s="183">
        <v>46227.360000000001</v>
      </c>
      <c r="K137" s="183">
        <v>49101.86</v>
      </c>
      <c r="M137" s="364">
        <f t="shared" si="34"/>
        <v>33.085983890881295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'[62]Sch C'!D139</f>
        <v>0</v>
      </c>
      <c r="D138" s="558">
        <f>'[62]Sch C'!F139</f>
        <v>0</v>
      </c>
      <c r="E138" s="171">
        <f t="shared" si="36"/>
        <v>0</v>
      </c>
      <c r="F138" s="415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419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'[62]Sch C'!D141</f>
        <v>0</v>
      </c>
      <c r="D140" s="558">
        <f>'[62]Sch C'!F141</f>
        <v>40470.355817914766</v>
      </c>
      <c r="E140" s="171">
        <f t="shared" ref="E140:E143" si="37">C140+D140</f>
        <v>40470.355817914766</v>
      </c>
      <c r="F140" s="415"/>
      <c r="G140" s="171">
        <f>E140+F140</f>
        <v>40470.355817914766</v>
      </c>
      <c r="H140" s="172">
        <f>IF($G$208=0,0,G140/$G$208)</f>
        <v>1.1294234754902684E-2</v>
      </c>
      <c r="I140" s="336"/>
      <c r="J140" s="168"/>
      <c r="K140" s="168"/>
      <c r="M140" s="364">
        <f t="shared" si="34"/>
        <v>2.3793495101366786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'[62]Sch C'!D142</f>
        <v>0</v>
      </c>
      <c r="D141" s="558">
        <f>'[62]Sch C'!F142</f>
        <v>13797.842603518329</v>
      </c>
      <c r="E141" s="171">
        <f t="shared" si="37"/>
        <v>13797.842603518329</v>
      </c>
      <c r="F141" s="415"/>
      <c r="G141" s="171">
        <f>E141+F141</f>
        <v>13797.842603518329</v>
      </c>
      <c r="H141" s="172">
        <f>IF($G$208=0,0,G141/$G$208)</f>
        <v>3.8506227663644768E-3</v>
      </c>
      <c r="I141" s="336"/>
      <c r="J141" s="168"/>
      <c r="K141" s="168"/>
      <c r="M141" s="364">
        <f t="shared" si="34"/>
        <v>0.81120833696974126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'[62]Sch C'!D143</f>
        <v>0</v>
      </c>
      <c r="D142" s="558">
        <f>'[62]Sch C'!F143</f>
        <v>68160.550952395846</v>
      </c>
      <c r="E142" s="171">
        <f t="shared" si="37"/>
        <v>68160.550952395846</v>
      </c>
      <c r="F142" s="415"/>
      <c r="G142" s="171">
        <f>E142+F142</f>
        <v>68160.550952395846</v>
      </c>
      <c r="H142" s="172">
        <f>IF($G$208=0,0,G142/$G$208)</f>
        <v>1.9021855576053334E-2</v>
      </c>
      <c r="I142" s="336"/>
      <c r="J142" s="168"/>
      <c r="K142" s="168"/>
      <c r="M142" s="364">
        <f t="shared" si="34"/>
        <v>4.0073226499145065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'[62]Sch C'!D144</f>
        <v>0</v>
      </c>
      <c r="D143" s="558">
        <f>'[62]Sch C'!F144</f>
        <v>0</v>
      </c>
      <c r="E143" s="171">
        <f t="shared" si="37"/>
        <v>0</v>
      </c>
      <c r="F143" s="415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419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'[62]Sch C'!D146</f>
        <v>12472.1</v>
      </c>
      <c r="D145" s="558">
        <f>'[62]Sch C'!F146</f>
        <v>0</v>
      </c>
      <c r="E145" s="171">
        <f t="shared" ref="E145:E153" si="38">C145+D145</f>
        <v>12472.1</v>
      </c>
      <c r="F145" s="415"/>
      <c r="G145" s="171">
        <f t="shared" ref="G145:G153" si="39">E145+F145</f>
        <v>12472.1</v>
      </c>
      <c r="H145" s="172">
        <f t="shared" ref="H145:H153" si="40">IF($G$208=0,0,G145/$G$208)</f>
        <v>3.480642125322429E-3</v>
      </c>
      <c r="I145" s="336"/>
      <c r="J145" s="183">
        <v>0</v>
      </c>
      <c r="K145" s="183">
        <v>0</v>
      </c>
      <c r="M145" s="364">
        <f t="shared" si="34"/>
        <v>0.73326474219530835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'[62]Sch C'!D147</f>
        <v>0</v>
      </c>
      <c r="D146" s="558">
        <f>'[62]Sch C'!F147</f>
        <v>0</v>
      </c>
      <c r="E146" s="171">
        <f t="shared" si="38"/>
        <v>0</v>
      </c>
      <c r="F146" s="415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'[62]Sch C'!D148</f>
        <v>0</v>
      </c>
      <c r="D147" s="558">
        <f>'[62]Sch C'!F148</f>
        <v>0</v>
      </c>
      <c r="E147" s="171">
        <f t="shared" si="38"/>
        <v>0</v>
      </c>
      <c r="F147" s="415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'[62]Sch C'!D149</f>
        <v>0</v>
      </c>
      <c r="D148" s="558">
        <f>'[62]Sch C'!F149</f>
        <v>0</v>
      </c>
      <c r="E148" s="171">
        <f t="shared" si="38"/>
        <v>0</v>
      </c>
      <c r="F148" s="415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'[62]Sch C'!D150</f>
        <v>7239.38</v>
      </c>
      <c r="D149" s="558">
        <f>'[62]Sch C'!F150</f>
        <v>0</v>
      </c>
      <c r="E149" s="171">
        <f t="shared" si="38"/>
        <v>7239.38</v>
      </c>
      <c r="F149" s="415"/>
      <c r="G149" s="171">
        <f t="shared" si="39"/>
        <v>7239.38</v>
      </c>
      <c r="H149" s="172">
        <f t="shared" si="40"/>
        <v>2.0203246437421672E-3</v>
      </c>
      <c r="I149" s="336"/>
      <c r="J149" s="183">
        <v>0</v>
      </c>
      <c r="K149" s="183">
        <v>0</v>
      </c>
      <c r="M149" s="364">
        <f t="shared" si="34"/>
        <v>0.42562055382444591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'[62]Sch C'!D151</f>
        <v>88836.15</v>
      </c>
      <c r="D150" s="558">
        <f>'[62]Sch C'!F151</f>
        <v>0</v>
      </c>
      <c r="E150" s="171">
        <f t="shared" si="38"/>
        <v>88836.15</v>
      </c>
      <c r="F150" s="415"/>
      <c r="G150" s="171">
        <f t="shared" si="39"/>
        <v>88836.15</v>
      </c>
      <c r="H150" s="172">
        <f t="shared" si="40"/>
        <v>2.4791883158526797E-2</v>
      </c>
      <c r="I150" s="525"/>
      <c r="J150" s="168"/>
      <c r="K150" s="168"/>
      <c r="M150" s="364">
        <f t="shared" si="34"/>
        <v>5.2228908225057316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'[62]Sch C'!D152</f>
        <v>230.05</v>
      </c>
      <c r="D151" s="558">
        <f>'[62]Sch C'!F152</f>
        <v>0</v>
      </c>
      <c r="E151" s="171">
        <f t="shared" si="38"/>
        <v>230.05</v>
      </c>
      <c r="F151" s="415"/>
      <c r="G151" s="171">
        <f t="shared" si="39"/>
        <v>230.05</v>
      </c>
      <c r="H151" s="172">
        <f t="shared" si="40"/>
        <v>6.4201034383177231E-5</v>
      </c>
      <c r="I151" s="336"/>
      <c r="J151" s="168"/>
      <c r="K151" s="168"/>
      <c r="M151" s="364">
        <f t="shared" si="34"/>
        <v>1.3525192545123171E-2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'[62]Sch C'!D153</f>
        <v>8654.2000000000007</v>
      </c>
      <c r="D152" s="558">
        <f>'[62]Sch C'!F153</f>
        <v>0</v>
      </c>
      <c r="E152" s="171">
        <f t="shared" si="38"/>
        <v>8654.2000000000007</v>
      </c>
      <c r="F152" s="415"/>
      <c r="G152" s="171">
        <f t="shared" si="39"/>
        <v>8654.2000000000007</v>
      </c>
      <c r="H152" s="172">
        <f t="shared" si="40"/>
        <v>2.4151644936270047E-3</v>
      </c>
      <c r="I152" s="336"/>
      <c r="J152" s="168"/>
      <c r="K152" s="168"/>
      <c r="M152" s="364">
        <f t="shared" si="34"/>
        <v>0.50880122288200369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'[62]Sch C'!D154</f>
        <v>0</v>
      </c>
      <c r="D153" s="558">
        <f>'[62]Sch C'!F154</f>
        <v>0</v>
      </c>
      <c r="E153" s="171">
        <f t="shared" si="38"/>
        <v>0</v>
      </c>
      <c r="F153" s="415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42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'[62]Sch C'!D156</f>
        <v>0</v>
      </c>
      <c r="D155" s="558">
        <f>'[62]Sch C'!F156</f>
        <v>0</v>
      </c>
      <c r="E155" s="171">
        <f t="shared" ref="E155:E160" si="41">C155+D155</f>
        <v>0</v>
      </c>
      <c r="F155" s="415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'[62]Sch C'!D157</f>
        <v>1454</v>
      </c>
      <c r="D156" s="558">
        <f>'[62]Sch C'!F157</f>
        <v>0</v>
      </c>
      <c r="E156" s="171">
        <f t="shared" si="41"/>
        <v>1454</v>
      </c>
      <c r="F156" s="415"/>
      <c r="G156" s="171">
        <f t="shared" si="42"/>
        <v>1454</v>
      </c>
      <c r="H156" s="172">
        <f t="shared" si="43"/>
        <v>4.0577397953983781E-4</v>
      </c>
      <c r="I156" s="336"/>
      <c r="J156" s="168"/>
      <c r="K156" s="168"/>
      <c r="M156" s="364">
        <f t="shared" si="34"/>
        <v>8.5484155447116239E-2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'[62]Sch C'!D158</f>
        <v>540</v>
      </c>
      <c r="D157" s="558">
        <f>'[62]Sch C'!F158</f>
        <v>0</v>
      </c>
      <c r="E157" s="171">
        <f t="shared" si="41"/>
        <v>540</v>
      </c>
      <c r="F157" s="415"/>
      <c r="G157" s="171">
        <f t="shared" si="42"/>
        <v>540</v>
      </c>
      <c r="H157" s="172">
        <f t="shared" si="43"/>
        <v>1.5070010244258076E-4</v>
      </c>
      <c r="I157" s="336"/>
      <c r="J157" s="168"/>
      <c r="K157" s="168"/>
      <c r="M157" s="364">
        <f t="shared" si="34"/>
        <v>3.1747898171556238E-2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'[62]Sch C'!D159</f>
        <v>0</v>
      </c>
      <c r="D158" s="558">
        <f>'[62]Sch C'!F159</f>
        <v>0</v>
      </c>
      <c r="E158" s="171">
        <f t="shared" si="41"/>
        <v>0</v>
      </c>
      <c r="F158" s="415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'[62]Sch C'!D160</f>
        <v>0</v>
      </c>
      <c r="D159" s="558">
        <f>'[62]Sch C'!F160</f>
        <v>0</v>
      </c>
      <c r="E159" s="171">
        <f t="shared" si="41"/>
        <v>0</v>
      </c>
      <c r="F159" s="415"/>
      <c r="G159" s="171">
        <f t="shared" si="42"/>
        <v>0</v>
      </c>
      <c r="H159" s="172">
        <f>IF($G$208=0,0,G159/$G$208)</f>
        <v>0</v>
      </c>
      <c r="I159" s="525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'[62]Sch C'!D161</f>
        <v>0</v>
      </c>
      <c r="D160" s="558">
        <f>'[62]Sch C'!F161</f>
        <v>0</v>
      </c>
      <c r="E160" s="171">
        <f t="shared" si="41"/>
        <v>0</v>
      </c>
      <c r="F160" s="415"/>
      <c r="G160" s="171">
        <f t="shared" si="42"/>
        <v>0</v>
      </c>
      <c r="H160" s="172">
        <f t="shared" si="43"/>
        <v>0</v>
      </c>
      <c r="I160" s="33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1227487.93</v>
      </c>
      <c r="D161" s="558">
        <f>SUM(D123:D160)</f>
        <v>134206.74340893613</v>
      </c>
      <c r="E161" s="171">
        <f t="shared" ref="E161:F161" si="44">SUM(E123:E160)</f>
        <v>1361694.673408936</v>
      </c>
      <c r="F161" s="171">
        <f t="shared" si="44"/>
        <v>0</v>
      </c>
      <c r="G161" s="171">
        <f>SUM(G123:G160)</f>
        <v>1361694.673408936</v>
      </c>
      <c r="H161" s="172">
        <f t="shared" si="43"/>
        <v>0.38001393847822817</v>
      </c>
      <c r="I161" s="336"/>
      <c r="J161" s="168"/>
      <c r="K161" s="168"/>
      <c r="M161" s="364">
        <f>G161/G$228</f>
        <v>80.057303392847075</v>
      </c>
      <c r="N161" s="359">
        <f>SUMMARY!J164</f>
        <v>105.56901037202306</v>
      </c>
      <c r="O161" s="354">
        <f>M161/N161-1</f>
        <v>-0.24165905211456695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419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432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'[62]Sch C'!D175</f>
        <v>0</v>
      </c>
      <c r="D164" s="558">
        <f>'[62]Sch C'!F175</f>
        <v>0</v>
      </c>
      <c r="E164" s="171">
        <f t="shared" ref="E164:E196" si="45">C164+D164</f>
        <v>0</v>
      </c>
      <c r="F164" s="421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'[62]Sch C'!D176</f>
        <v>0</v>
      </c>
      <c r="D165" s="558">
        <f>'[62]Sch C'!F176</f>
        <v>0</v>
      </c>
      <c r="E165" s="171">
        <f t="shared" si="45"/>
        <v>0</v>
      </c>
      <c r="F165" s="421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'[62]Sch C'!D177</f>
        <v>0</v>
      </c>
      <c r="D166" s="558">
        <f>'[62]Sch C'!F177</f>
        <v>0</v>
      </c>
      <c r="E166" s="171">
        <f t="shared" si="45"/>
        <v>0</v>
      </c>
      <c r="F166" s="421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'[62]Sch C'!D178</f>
        <v>0</v>
      </c>
      <c r="D167" s="558">
        <f>'[62]Sch C'!F178</f>
        <v>0</v>
      </c>
      <c r="E167" s="171">
        <f t="shared" si="45"/>
        <v>0</v>
      </c>
      <c r="F167" s="421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'[62]Sch C'!D179</f>
        <v>0</v>
      </c>
      <c r="D168" s="558">
        <f>'[62]Sch C'!F179</f>
        <v>0</v>
      </c>
      <c r="E168" s="171">
        <f t="shared" si="45"/>
        <v>0</v>
      </c>
      <c r="F168" s="421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'[62]Sch C'!D180</f>
        <v>0</v>
      </c>
      <c r="D169" s="558">
        <f>'[62]Sch C'!F180</f>
        <v>0</v>
      </c>
      <c r="E169" s="171">
        <f t="shared" si="45"/>
        <v>0</v>
      </c>
      <c r="F169" s="421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'[62]Sch C'!D181</f>
        <v>0</v>
      </c>
      <c r="D170" s="558">
        <f>'[62]Sch C'!F181</f>
        <v>0</v>
      </c>
      <c r="E170" s="171">
        <f t="shared" si="45"/>
        <v>0</v>
      </c>
      <c r="F170" s="421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'[62]Sch C'!D182</f>
        <v>0</v>
      </c>
      <c r="D171" s="558">
        <f>'[62]Sch C'!F182</f>
        <v>0</v>
      </c>
      <c r="E171" s="171">
        <f t="shared" si="45"/>
        <v>0</v>
      </c>
      <c r="F171" s="421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'[62]Sch C'!D183</f>
        <v>0</v>
      </c>
      <c r="D172" s="558">
        <f>'[62]Sch C'!F183</f>
        <v>0</v>
      </c>
      <c r="E172" s="171">
        <f t="shared" si="45"/>
        <v>0</v>
      </c>
      <c r="F172" s="421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'[62]Sch C'!D184</f>
        <v>0</v>
      </c>
      <c r="D173" s="558">
        <f>'[62]Sch C'!F184</f>
        <v>0</v>
      </c>
      <c r="E173" s="171">
        <f t="shared" si="45"/>
        <v>0</v>
      </c>
      <c r="F173" s="421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'[62]Sch C'!D185</f>
        <v>0</v>
      </c>
      <c r="D174" s="558">
        <f>'[62]Sch C'!F185</f>
        <v>0</v>
      </c>
      <c r="E174" s="171">
        <f t="shared" si="45"/>
        <v>0</v>
      </c>
      <c r="F174" s="421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'[62]Sch C'!D186</f>
        <v>0</v>
      </c>
      <c r="D175" s="558">
        <f>'[62]Sch C'!F186</f>
        <v>0</v>
      </c>
      <c r="E175" s="171">
        <f t="shared" si="45"/>
        <v>0</v>
      </c>
      <c r="F175" s="421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'[62]Sch C'!D187</f>
        <v>0</v>
      </c>
      <c r="D176" s="558">
        <f>'[62]Sch C'!F187</f>
        <v>0</v>
      </c>
      <c r="E176" s="171">
        <f t="shared" si="45"/>
        <v>0</v>
      </c>
      <c r="F176" s="421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'[62]Sch C'!D188</f>
        <v>0</v>
      </c>
      <c r="D177" s="558">
        <f>'[62]Sch C'!F188</f>
        <v>0</v>
      </c>
      <c r="E177" s="171">
        <f t="shared" si="45"/>
        <v>0</v>
      </c>
      <c r="F177" s="421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'[62]Sch C'!D189</f>
        <v>0</v>
      </c>
      <c r="D178" s="558">
        <f>'[62]Sch C'!F189</f>
        <v>0</v>
      </c>
      <c r="E178" s="171">
        <f t="shared" si="45"/>
        <v>0</v>
      </c>
      <c r="F178" s="421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'[62]Sch C'!D190</f>
        <v>0</v>
      </c>
      <c r="D179" s="558">
        <f>'[62]Sch C'!F190</f>
        <v>0</v>
      </c>
      <c r="E179" s="171">
        <f t="shared" si="45"/>
        <v>0</v>
      </c>
      <c r="F179" s="421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'[62]Sch C'!D191</f>
        <v>0</v>
      </c>
      <c r="D180" s="558">
        <f>'[62]Sch C'!F191</f>
        <v>0</v>
      </c>
      <c r="E180" s="171">
        <f t="shared" si="45"/>
        <v>0</v>
      </c>
      <c r="F180" s="421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'[62]Sch C'!D192</f>
        <v>0</v>
      </c>
      <c r="D181" s="558">
        <f>'[62]Sch C'!F192</f>
        <v>0</v>
      </c>
      <c r="E181" s="171">
        <f t="shared" si="45"/>
        <v>0</v>
      </c>
      <c r="F181" s="421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'[62]Sch C'!D193</f>
        <v>2924.56</v>
      </c>
      <c r="D182" s="558">
        <f>'[62]Sch C'!F193</f>
        <v>0</v>
      </c>
      <c r="E182" s="171">
        <f t="shared" si="45"/>
        <v>2924.56</v>
      </c>
      <c r="F182" s="421"/>
      <c r="G182" s="171">
        <f t="shared" si="46"/>
        <v>2924.56</v>
      </c>
      <c r="H182" s="172">
        <f t="shared" si="47"/>
        <v>8.1616942888791482E-4</v>
      </c>
      <c r="I182" s="336"/>
      <c r="J182" s="223"/>
      <c r="K182" s="218"/>
      <c r="L182" s="220"/>
      <c r="M182" s="364">
        <f t="shared" si="48"/>
        <v>0.17194191310482684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'[62]Sch C'!D194</f>
        <v>107451.29</v>
      </c>
      <c r="D183" s="558">
        <f>'[62]Sch C'!F194</f>
        <v>-53725.65</v>
      </c>
      <c r="E183" s="171">
        <f t="shared" si="45"/>
        <v>53725.639999999992</v>
      </c>
      <c r="F183" s="421"/>
      <c r="G183" s="171">
        <f t="shared" si="46"/>
        <v>53725.639999999992</v>
      </c>
      <c r="H183" s="172">
        <f t="shared" si="47"/>
        <v>1.4993443429246692E-2</v>
      </c>
      <c r="I183" s="336"/>
      <c r="J183" s="223"/>
      <c r="K183" s="218"/>
      <c r="M183" s="364">
        <f t="shared" si="48"/>
        <v>3.1586595331883118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'[62]Sch C'!D195</f>
        <v>2791.06</v>
      </c>
      <c r="D184" s="558">
        <f>'[62]Sch C'!F195</f>
        <v>-1395.53</v>
      </c>
      <c r="E184" s="171">
        <f t="shared" si="45"/>
        <v>1395.53</v>
      </c>
      <c r="F184" s="421"/>
      <c r="G184" s="171">
        <f t="shared" si="46"/>
        <v>1395.53</v>
      </c>
      <c r="H184" s="172">
        <f t="shared" si="47"/>
        <v>3.8945650733647171E-4</v>
      </c>
      <c r="I184" s="336"/>
      <c r="J184" s="223"/>
      <c r="K184" s="218"/>
      <c r="M184" s="364">
        <f t="shared" si="48"/>
        <v>8.2046563583984947E-2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'[62]Sch C'!D196</f>
        <v>0</v>
      </c>
      <c r="D185" s="558">
        <f>'[62]Sch C'!F196</f>
        <v>0</v>
      </c>
      <c r="E185" s="171">
        <f t="shared" si="45"/>
        <v>0</v>
      </c>
      <c r="F185" s="421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'[62]Sch C'!D197</f>
        <v>60940.75</v>
      </c>
      <c r="D186" s="558">
        <f>'[62]Sch C'!F197</f>
        <v>-30470.38</v>
      </c>
      <c r="E186" s="171">
        <f t="shared" si="45"/>
        <v>30470.37</v>
      </c>
      <c r="F186" s="421"/>
      <c r="G186" s="171">
        <f t="shared" si="46"/>
        <v>30470.37</v>
      </c>
      <c r="H186" s="172">
        <f t="shared" si="47"/>
        <v>8.5034960749321101E-3</v>
      </c>
      <c r="I186" s="336"/>
      <c r="J186" s="223"/>
      <c r="K186" s="218"/>
      <c r="M186" s="364">
        <f t="shared" si="48"/>
        <v>1.7914263037215592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'[62]Sch C'!D198</f>
        <v>20178.830000000002</v>
      </c>
      <c r="D187" s="558">
        <f>'[62]Sch C'!F198</f>
        <v>0</v>
      </c>
      <c r="E187" s="171">
        <f t="shared" si="45"/>
        <v>20178.830000000002</v>
      </c>
      <c r="F187" s="421"/>
      <c r="G187" s="171">
        <f t="shared" si="46"/>
        <v>20178.830000000002</v>
      </c>
      <c r="H187" s="172">
        <f t="shared" si="47"/>
        <v>5.631392126243375E-3</v>
      </c>
      <c r="I187" s="336"/>
      <c r="J187" s="223"/>
      <c r="K187" s="218"/>
      <c r="M187" s="364">
        <f t="shared" si="48"/>
        <v>1.1863619260391558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'[62]Sch C'!D199</f>
        <v>0</v>
      </c>
      <c r="D188" s="558">
        <f>'[62]Sch C'!F199</f>
        <v>0</v>
      </c>
      <c r="E188" s="171">
        <f t="shared" si="45"/>
        <v>0</v>
      </c>
      <c r="F188" s="421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'[62]Sch C'!D200</f>
        <v>1700</v>
      </c>
      <c r="D189" s="558">
        <f>'[62]Sch C'!F200</f>
        <v>0</v>
      </c>
      <c r="E189" s="171">
        <f t="shared" si="45"/>
        <v>1700</v>
      </c>
      <c r="F189" s="421"/>
      <c r="G189" s="171">
        <f t="shared" si="46"/>
        <v>1700</v>
      </c>
      <c r="H189" s="172">
        <f t="shared" si="47"/>
        <v>4.7442624843034684E-4</v>
      </c>
      <c r="I189" s="336"/>
      <c r="J189" s="223"/>
      <c r="K189" s="218"/>
      <c r="M189" s="364">
        <f t="shared" si="48"/>
        <v>9.9947086836380733E-2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'[62]Sch C'!D201</f>
        <v>0</v>
      </c>
      <c r="D190" s="558">
        <f>'[62]Sch C'!F201</f>
        <v>0</v>
      </c>
      <c r="E190" s="171">
        <f t="shared" si="45"/>
        <v>0</v>
      </c>
      <c r="F190" s="421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'[62]Sch C'!D202</f>
        <v>0</v>
      </c>
      <c r="D191" s="558">
        <f>'[62]Sch C'!F202</f>
        <v>0</v>
      </c>
      <c r="E191" s="171">
        <f t="shared" si="45"/>
        <v>0</v>
      </c>
      <c r="F191" s="421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'[62]Sch C'!D203</f>
        <v>0</v>
      </c>
      <c r="D192" s="558">
        <f>'[62]Sch C'!F203</f>
        <v>0</v>
      </c>
      <c r="E192" s="171">
        <f t="shared" si="45"/>
        <v>0</v>
      </c>
      <c r="F192" s="421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'[62]Sch C'!D204</f>
        <v>0</v>
      </c>
      <c r="D193" s="558">
        <f>'[62]Sch C'!F204</f>
        <v>0</v>
      </c>
      <c r="E193" s="171">
        <f t="shared" si="45"/>
        <v>0</v>
      </c>
      <c r="F193" s="421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'[62]Sch C'!D205</f>
        <v>81653.440000000002</v>
      </c>
      <c r="D194" s="558">
        <f>'[62]Sch C'!F205</f>
        <v>0</v>
      </c>
      <c r="E194" s="171">
        <f t="shared" si="45"/>
        <v>81653.440000000002</v>
      </c>
      <c r="F194" s="421"/>
      <c r="G194" s="171">
        <f t="shared" si="46"/>
        <v>81653.440000000002</v>
      </c>
      <c r="H194" s="172">
        <f t="shared" si="47"/>
        <v>2.2787373653313188E-2</v>
      </c>
      <c r="I194" s="336"/>
      <c r="J194" s="223"/>
      <c r="K194" s="218"/>
      <c r="M194" s="364">
        <f t="shared" si="48"/>
        <v>4.8006020342171789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'[62]Sch C'!D206</f>
        <v>1508</v>
      </c>
      <c r="D195" s="558">
        <f>'[62]Sch C'!F206</f>
        <v>0</v>
      </c>
      <c r="E195" s="171">
        <f t="shared" si="45"/>
        <v>1508</v>
      </c>
      <c r="F195" s="421"/>
      <c r="G195" s="171">
        <f t="shared" si="46"/>
        <v>1508</v>
      </c>
      <c r="H195" s="172">
        <f t="shared" si="47"/>
        <v>4.2084398978409589E-4</v>
      </c>
      <c r="I195" s="336"/>
      <c r="J195" s="223"/>
      <c r="K195" s="218"/>
      <c r="M195" s="364">
        <f t="shared" si="48"/>
        <v>8.8658945264271857E-2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'[62]Sch C'!D207</f>
        <v>0</v>
      </c>
      <c r="D196" s="558">
        <f>'[62]Sch C'!F207</f>
        <v>0</v>
      </c>
      <c r="E196" s="171">
        <f t="shared" si="45"/>
        <v>0</v>
      </c>
      <c r="F196" s="421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279147.93</v>
      </c>
      <c r="D197" s="558">
        <f>SUM(D164:D196)</f>
        <v>-85591.56</v>
      </c>
      <c r="E197" s="171">
        <f t="shared" ref="E197:F197" si="49">SUM(E164:E196)</f>
        <v>193556.37</v>
      </c>
      <c r="F197" s="171">
        <f t="shared" si="49"/>
        <v>0</v>
      </c>
      <c r="G197" s="171">
        <f>SUM(G164:G196)</f>
        <v>193556.37</v>
      </c>
      <c r="H197" s="172">
        <f>IF($G$208=0,0,G197/$G$208)</f>
        <v>5.4016601458174197E-2</v>
      </c>
      <c r="I197" s="336"/>
      <c r="J197" s="168"/>
      <c r="K197" s="168"/>
      <c r="M197" s="364">
        <f>G197/G$228</f>
        <v>11.37964430595567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422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422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'[62]Sch C'!D211</f>
        <v>75413.100000000006</v>
      </c>
      <c r="D200" s="558">
        <f>'[62]Sch C'!F211</f>
        <v>0</v>
      </c>
      <c r="E200" s="171">
        <f t="shared" ref="E200:E205" si="50">C200+D200</f>
        <v>75413.100000000006</v>
      </c>
      <c r="F200" s="415"/>
      <c r="G200" s="171">
        <f t="shared" ref="G200:G205" si="51">E200+F200</f>
        <v>75413.100000000006</v>
      </c>
      <c r="H200" s="172">
        <f t="shared" ref="H200:H206" si="52">IF($G$208=0,0,G200/$G$208)</f>
        <v>2.1045855362060349E-2</v>
      </c>
      <c r="I200" s="336"/>
      <c r="J200" s="183">
        <v>5353.8</v>
      </c>
      <c r="K200" s="183">
        <v>5648.77</v>
      </c>
      <c r="M200" s="364">
        <f t="shared" ref="M200:M205" si="53">G200/G$228</f>
        <v>4.4337174437062732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'[62]Sch C'!D212</f>
        <v>0</v>
      </c>
      <c r="D201" s="558">
        <f>'[62]Sch C'!F212</f>
        <v>9133.9167886603846</v>
      </c>
      <c r="E201" s="171">
        <f t="shared" si="50"/>
        <v>9133.9167886603846</v>
      </c>
      <c r="F201" s="415"/>
      <c r="G201" s="171">
        <f t="shared" si="51"/>
        <v>9133.9167886603846</v>
      </c>
      <c r="H201" s="172">
        <f t="shared" si="52"/>
        <v>2.5490411032465339E-3</v>
      </c>
      <c r="I201" s="336"/>
      <c r="J201" s="168"/>
      <c r="K201" s="168"/>
      <c r="M201" s="364">
        <f t="shared" si="53"/>
        <v>0.53700492613677375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'[62]Sch C'!D213</f>
        <v>8272.5</v>
      </c>
      <c r="D202" s="558">
        <f>'[62]Sch C'!F213</f>
        <v>0</v>
      </c>
      <c r="E202" s="171">
        <f t="shared" si="50"/>
        <v>8272.5</v>
      </c>
      <c r="F202" s="415"/>
      <c r="G202" s="171">
        <f t="shared" si="51"/>
        <v>8272.5</v>
      </c>
      <c r="H202" s="172">
        <f t="shared" si="52"/>
        <v>2.3086418471412024E-3</v>
      </c>
      <c r="I202" s="336"/>
      <c r="J202" s="168"/>
      <c r="K202" s="168"/>
      <c r="M202" s="364">
        <f t="shared" si="53"/>
        <v>0.4863601622670351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'[62]Sch C'!D214</f>
        <v>0</v>
      </c>
      <c r="D203" s="558">
        <f>'[62]Sch C'!F214</f>
        <v>0</v>
      </c>
      <c r="E203" s="171">
        <f t="shared" si="50"/>
        <v>0</v>
      </c>
      <c r="F203" s="415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'[62]Sch C'!D215</f>
        <v>0</v>
      </c>
      <c r="D204" s="558">
        <f>'[62]Sch C'!F215</f>
        <v>0</v>
      </c>
      <c r="E204" s="171">
        <f t="shared" si="50"/>
        <v>0</v>
      </c>
      <c r="F204" s="415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'[62]Sch C'!D216</f>
        <v>175</v>
      </c>
      <c r="D205" s="558">
        <f>'[62]Sch C'!F216</f>
        <v>0</v>
      </c>
      <c r="E205" s="171">
        <f t="shared" si="50"/>
        <v>175</v>
      </c>
      <c r="F205" s="415"/>
      <c r="G205" s="171">
        <f t="shared" si="51"/>
        <v>175</v>
      </c>
      <c r="H205" s="172">
        <f t="shared" si="52"/>
        <v>4.8837996161947473E-5</v>
      </c>
      <c r="I205" s="525"/>
      <c r="J205" s="168"/>
      <c r="K205" s="168"/>
      <c r="M205" s="364">
        <f t="shared" si="53"/>
        <v>1.0288670703745076E-2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83860.600000000006</v>
      </c>
      <c r="D206" s="558">
        <f>SUM(D200:D205)</f>
        <v>9133.9167886603846</v>
      </c>
      <c r="E206" s="171">
        <f t="shared" ref="E206:F206" si="54">SUM(E200:E205)</f>
        <v>92994.516788660389</v>
      </c>
      <c r="F206" s="171">
        <f t="shared" si="54"/>
        <v>0</v>
      </c>
      <c r="G206" s="171">
        <f>SUM(G200:G205)</f>
        <v>92994.516788660389</v>
      </c>
      <c r="H206" s="172">
        <f t="shared" si="52"/>
        <v>2.5952376308610033E-2</v>
      </c>
      <c r="I206" s="336"/>
      <c r="J206" s="168"/>
      <c r="K206" s="168"/>
      <c r="M206" s="364">
        <f>G206/G$228</f>
        <v>5.467371202813827</v>
      </c>
      <c r="N206" s="359">
        <f>SUMMARY!J209</f>
        <v>7.1515095990067339</v>
      </c>
      <c r="O206" s="354">
        <f>M206/N206-1</f>
        <v>-0.2354941111212121</v>
      </c>
      <c r="P206"/>
      <c r="Q206"/>
    </row>
    <row r="207" spans="1:19" s="167" customFormat="1">
      <c r="A207" s="163"/>
      <c r="C207" s="165"/>
      <c r="D207" s="165"/>
      <c r="E207" s="165"/>
      <c r="F207" s="422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3722953.629999999</v>
      </c>
      <c r="D208" s="558">
        <f>SUM(D25:D206)/2</f>
        <v>-139678.02999999997</v>
      </c>
      <c r="E208" s="171">
        <f t="shared" ref="E208:F208" si="55">SUM(E25:E206)/2</f>
        <v>3583275.5999999996</v>
      </c>
      <c r="F208" s="171">
        <f t="shared" si="55"/>
        <v>0</v>
      </c>
      <c r="G208" s="171">
        <f>SUM(G25:G206)/2</f>
        <v>3583275.5999999996</v>
      </c>
      <c r="H208" s="172">
        <f>IF($G$208=0,0,G208/$G$208)</f>
        <v>1</v>
      </c>
      <c r="I208" s="336"/>
      <c r="J208" s="183">
        <f>SUM(J25:J200)</f>
        <v>99204.09</v>
      </c>
      <c r="K208" s="183">
        <f>SUM(K25:K200)</f>
        <v>105306.12000000001</v>
      </c>
      <c r="M208" s="364">
        <f>G208/G$228</f>
        <v>210.66938679522605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-1.0831665448243619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'[62]Sch C'!D221</f>
        <v>3722953.63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423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422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-453242.35999999894</v>
      </c>
      <c r="D215" s="558">
        <f>D21-D208</f>
        <v>139678.02999999997</v>
      </c>
      <c r="E215" s="171">
        <f t="shared" ref="E215:F215" si="56">E21-E208</f>
        <v>-313564.32999999961</v>
      </c>
      <c r="F215" s="171">
        <f t="shared" si="56"/>
        <v>0</v>
      </c>
      <c r="G215" s="171">
        <f>G21-G208</f>
        <v>-313564.32999999961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419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419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422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'[62]Sch D'!C9</f>
        <v>10267</v>
      </c>
      <c r="D219" s="592"/>
      <c r="E219" s="235">
        <f t="shared" ref="E219:G227" si="57">C219+D219</f>
        <v>10267</v>
      </c>
      <c r="F219" s="424"/>
      <c r="G219" s="235">
        <f t="shared" si="57"/>
        <v>10267</v>
      </c>
      <c r="H219" s="172">
        <f t="shared" ref="H219:H228" si="58">IF($G$228=0,0,G219/$G$228)</f>
        <v>0.60362161208771825</v>
      </c>
      <c r="I219" s="336"/>
      <c r="J219" s="168"/>
      <c r="K219" s="168"/>
    </row>
    <row r="220" spans="1:17">
      <c r="A220" s="163"/>
      <c r="B220" s="170" t="s">
        <v>217</v>
      </c>
      <c r="C220" s="592">
        <f>'[62]Sch D'!D9</f>
        <v>0</v>
      </c>
      <c r="D220" s="592"/>
      <c r="E220" s="235">
        <f t="shared" ref="E220:E227" si="59">C220+D220</f>
        <v>0</v>
      </c>
      <c r="F220" s="42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'[62]Sch D'!E9</f>
        <v>1580</v>
      </c>
      <c r="D221" s="592"/>
      <c r="E221" s="235">
        <f t="shared" si="59"/>
        <v>1580</v>
      </c>
      <c r="F221" s="424"/>
      <c r="G221" s="235">
        <f t="shared" si="57"/>
        <v>1580</v>
      </c>
      <c r="H221" s="172">
        <f t="shared" si="58"/>
        <v>9.2891998353812691E-2</v>
      </c>
      <c r="I221" s="336"/>
      <c r="J221" s="168"/>
      <c r="K221" s="168"/>
    </row>
    <row r="222" spans="1:17">
      <c r="A222" s="163"/>
      <c r="B222" s="202" t="s">
        <v>334</v>
      </c>
      <c r="C222" s="592">
        <f>'[62]Sch D'!F9</f>
        <v>104</v>
      </c>
      <c r="D222" s="592"/>
      <c r="E222" s="235">
        <f>C222+D222</f>
        <v>104</v>
      </c>
      <c r="F222" s="424"/>
      <c r="G222" s="235">
        <f>E222+F222</f>
        <v>104</v>
      </c>
      <c r="H222" s="172">
        <f t="shared" si="58"/>
        <v>6.1144100182256456E-3</v>
      </c>
      <c r="I222" s="336"/>
      <c r="J222" s="168"/>
      <c r="K222" s="168"/>
    </row>
    <row r="223" spans="1:17">
      <c r="A223" s="163"/>
      <c r="B223" s="170" t="s">
        <v>73</v>
      </c>
      <c r="C223" s="592">
        <f>'[62]Sch D'!G9</f>
        <v>0</v>
      </c>
      <c r="D223" s="592"/>
      <c r="E223" s="235">
        <f t="shared" si="59"/>
        <v>0</v>
      </c>
      <c r="F223" s="42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'[62]Sch D'!H9</f>
        <v>3505</v>
      </c>
      <c r="D224" s="592"/>
      <c r="E224" s="235">
        <f t="shared" si="59"/>
        <v>3505</v>
      </c>
      <c r="F224" s="424"/>
      <c r="G224" s="235">
        <f t="shared" si="57"/>
        <v>3505</v>
      </c>
      <c r="H224" s="172">
        <f t="shared" si="58"/>
        <v>0.20606737609500853</v>
      </c>
      <c r="I224" s="336"/>
      <c r="J224" s="168"/>
      <c r="K224" s="168"/>
    </row>
    <row r="225" spans="1:11">
      <c r="A225" s="163"/>
      <c r="B225" s="170" t="s">
        <v>236</v>
      </c>
      <c r="C225" s="592">
        <f>'[62]Sch D'!I9</f>
        <v>1169</v>
      </c>
      <c r="D225" s="592"/>
      <c r="E225" s="235">
        <f t="shared" si="59"/>
        <v>1169</v>
      </c>
      <c r="F225" s="424"/>
      <c r="G225" s="235">
        <f t="shared" si="57"/>
        <v>1169</v>
      </c>
      <c r="H225" s="172">
        <f t="shared" si="58"/>
        <v>6.872832030101711E-2</v>
      </c>
      <c r="I225" s="336"/>
      <c r="J225" s="168"/>
      <c r="K225" s="168"/>
    </row>
    <row r="226" spans="1:11">
      <c r="A226" s="163"/>
      <c r="B226" s="170" t="s">
        <v>235</v>
      </c>
      <c r="C226" s="592">
        <f>'[62]Sch D'!J9</f>
        <v>384</v>
      </c>
      <c r="D226" s="592"/>
      <c r="E226" s="235">
        <f>C226+D226</f>
        <v>384</v>
      </c>
      <c r="F226" s="424"/>
      <c r="G226" s="235">
        <f>E226+F226</f>
        <v>384</v>
      </c>
      <c r="H226" s="172">
        <f t="shared" si="58"/>
        <v>2.2576283144217769E-2</v>
      </c>
      <c r="I226" s="336"/>
      <c r="J226" s="168"/>
      <c r="K226" s="168"/>
    </row>
    <row r="227" spans="1:11">
      <c r="A227" s="163"/>
      <c r="B227" s="170" t="s">
        <v>179</v>
      </c>
      <c r="C227" s="592">
        <f>'[62]Sch D'!K9</f>
        <v>0</v>
      </c>
      <c r="D227" s="592"/>
      <c r="E227" s="235">
        <f t="shared" si="59"/>
        <v>0</v>
      </c>
      <c r="F227" s="42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17009</v>
      </c>
      <c r="D228" s="592">
        <f>SUM(D219:D227)</f>
        <v>0</v>
      </c>
      <c r="E228" s="237">
        <f>SUM(E219:E227)</f>
        <v>17009</v>
      </c>
      <c r="F228" s="425">
        <f>SUM(F219:F227)</f>
        <v>0</v>
      </c>
      <c r="G228" s="237">
        <f>SUM(G219:G227)</f>
        <v>17009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42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423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'[62]Sch D'!N22</f>
        <v>53</v>
      </c>
      <c r="D231" s="559"/>
      <c r="E231" s="235">
        <f>C231+D231</f>
        <v>53</v>
      </c>
      <c r="F231" s="429"/>
      <c r="G231" s="235">
        <f>E231+F231</f>
        <v>53</v>
      </c>
      <c r="H231" s="167"/>
      <c r="J231" s="168"/>
      <c r="K231" s="168"/>
    </row>
    <row r="232" spans="1:11">
      <c r="A232" s="163"/>
      <c r="B232" s="202" t="s">
        <v>290</v>
      </c>
      <c r="C232" s="593">
        <f>'[62]Sch D'!N24</f>
        <v>53</v>
      </c>
      <c r="D232" s="559"/>
      <c r="E232" s="235">
        <f>C232+D232</f>
        <v>53</v>
      </c>
      <c r="F232" s="429"/>
      <c r="G232" s="235">
        <f>E232+F232</f>
        <v>53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426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426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'[62]Sch D'!N28</f>
        <v>19398</v>
      </c>
      <c r="D235" s="483"/>
      <c r="E235" s="234">
        <f>E231*E233</f>
        <v>19398</v>
      </c>
      <c r="F235" s="426"/>
      <c r="G235" s="234">
        <f>G231*G233</f>
        <v>19398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'[62]Sch D'!N30</f>
        <v>0.87684297350242291</v>
      </c>
      <c r="D236" s="239"/>
      <c r="E236" s="244">
        <f>E228/E235</f>
        <v>0.87684297350242291</v>
      </c>
      <c r="F236" s="430"/>
      <c r="G236" s="244">
        <f>G228/G235</f>
        <v>0.87684297350242291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'[62]Sch D'!N32</f>
        <v>0.52928136921332092</v>
      </c>
      <c r="D237" s="239"/>
      <c r="E237" s="244">
        <f>(E219+E220)/E235</f>
        <v>0.52928136921332092</v>
      </c>
      <c r="F237" s="430"/>
      <c r="G237" s="244">
        <f>(G219+G220)/G235</f>
        <v>0.52928136921332092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'[62]Sch D'!N34</f>
        <v>0.60362161208771825</v>
      </c>
      <c r="D238" s="239"/>
      <c r="E238" s="244">
        <f>(E237/E236)</f>
        <v>0.60362161208771825</v>
      </c>
      <c r="F238" s="430"/>
      <c r="G238" s="244">
        <f>(G237/G236)</f>
        <v>0.60362161208771825</v>
      </c>
      <c r="H238" s="167"/>
      <c r="J238" s="168"/>
      <c r="K238" s="168"/>
    </row>
    <row r="241" spans="2:7">
      <c r="B241" s="148" t="s">
        <v>339</v>
      </c>
      <c r="F241" s="410" t="s">
        <v>340</v>
      </c>
      <c r="G241" s="558">
        <v>229.13893503727371</v>
      </c>
    </row>
    <row r="242" spans="2:7">
      <c r="F242" s="410" t="s">
        <v>341</v>
      </c>
      <c r="G242" s="558">
        <v>119.30619528619528</v>
      </c>
    </row>
    <row r="243" spans="2:7">
      <c r="B243"/>
      <c r="F243" s="410" t="s">
        <v>342</v>
      </c>
      <c r="G243" s="558">
        <v>200.93602393617019</v>
      </c>
    </row>
    <row r="244" spans="2:7">
      <c r="B244"/>
      <c r="F244" s="410" t="s">
        <v>343</v>
      </c>
      <c r="G244" s="558">
        <v>156.75237269772481</v>
      </c>
    </row>
    <row r="245" spans="2:7">
      <c r="B245"/>
      <c r="F245" s="410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80">
    <tabColor rgb="FFE28CAB"/>
    <pageSetUpPr fitToPage="1"/>
  </sheetPr>
  <dimension ref="A1:T245"/>
  <sheetViews>
    <sheetView showGridLines="0" topLeftCell="A222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563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445" t="s">
        <v>524</v>
      </c>
    </row>
    <row r="4" spans="1:17">
      <c r="A4" s="145"/>
      <c r="B4" s="148" t="s">
        <v>80</v>
      </c>
      <c r="C4" s="489">
        <v>42551</v>
      </c>
      <c r="D4" s="144"/>
      <c r="E4" s="149"/>
      <c r="F4" s="445" t="s">
        <v>566</v>
      </c>
      <c r="G4" s="150"/>
    </row>
    <row r="5" spans="1:17">
      <c r="A5" s="145"/>
      <c r="B5" s="148"/>
      <c r="C5" s="151"/>
      <c r="D5" s="144"/>
      <c r="F5" s="460" t="s">
        <v>565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06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579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484">
        <v>8835157</v>
      </c>
      <c r="D11" s="484">
        <v>-286545</v>
      </c>
      <c r="E11" s="171">
        <f>C11+D11</f>
        <v>8548612</v>
      </c>
      <c r="F11" s="171">
        <v>749411</v>
      </c>
      <c r="G11" s="171">
        <f t="shared" ref="G11:G20" si="0">E11+F11</f>
        <v>9298023</v>
      </c>
      <c r="H11" s="172">
        <f t="shared" ref="H11:H21" si="1">IF($G$21=0,0,G11/$G$21)</f>
        <v>0.54062503961065789</v>
      </c>
      <c r="J11" s="368" t="s">
        <v>344</v>
      </c>
      <c r="K11" s="369">
        <f>G21</f>
        <v>17198654</v>
      </c>
      <c r="M11" s="359">
        <f>IFERROR(G11/G219,0)</f>
        <v>370.61635044642856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484">
        <v>0</v>
      </c>
      <c r="D12" s="484">
        <v>270058</v>
      </c>
      <c r="E12" s="171">
        <f t="shared" ref="E12:E20" si="2">C12+D12</f>
        <v>270058</v>
      </c>
      <c r="F12" s="171">
        <v>47869</v>
      </c>
      <c r="G12" s="171">
        <f>E12+F12</f>
        <v>317927</v>
      </c>
      <c r="H12" s="172">
        <f t="shared" si="1"/>
        <v>1.8485574510656473E-2</v>
      </c>
      <c r="J12" s="370" t="s">
        <v>345</v>
      </c>
      <c r="K12" s="371">
        <f>G208</f>
        <v>19810529</v>
      </c>
      <c r="M12" s="359">
        <f t="shared" ref="M12:M19" si="3">IFERROR(G12/G220,0)</f>
        <v>211.81012658227849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484">
        <v>3532231</v>
      </c>
      <c r="D13" s="484">
        <v>0</v>
      </c>
      <c r="E13" s="171">
        <f t="shared" si="2"/>
        <v>3532231</v>
      </c>
      <c r="F13" s="171">
        <v>359837</v>
      </c>
      <c r="G13" s="171">
        <f t="shared" si="0"/>
        <v>3892068</v>
      </c>
      <c r="H13" s="172">
        <f t="shared" si="1"/>
        <v>0.22630073260384215</v>
      </c>
      <c r="J13" s="370" t="s">
        <v>346</v>
      </c>
      <c r="K13" s="371">
        <f>G228</f>
        <v>47957</v>
      </c>
      <c r="M13" s="359">
        <f t="shared" si="3"/>
        <v>422.91296316418561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484">
        <v>0</v>
      </c>
      <c r="D14" s="484">
        <v>1590460</v>
      </c>
      <c r="E14" s="171">
        <f t="shared" si="2"/>
        <v>1590460</v>
      </c>
      <c r="F14" s="644">
        <f>337818-16718</f>
        <v>321100</v>
      </c>
      <c r="G14" s="175">
        <f>E14+F14</f>
        <v>1911560</v>
      </c>
      <c r="H14" s="176">
        <f t="shared" si="1"/>
        <v>0.11114590711575452</v>
      </c>
      <c r="J14" s="370" t="s">
        <v>347</v>
      </c>
      <c r="K14" s="371">
        <f>G231</f>
        <v>160</v>
      </c>
      <c r="M14" s="359">
        <f t="shared" si="3"/>
        <v>234.48969578017665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484">
        <v>0</v>
      </c>
      <c r="D15" s="484"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J15" s="370" t="s">
        <v>348</v>
      </c>
      <c r="K15" s="371">
        <f>G235</f>
        <v>58560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484">
        <v>3023653</v>
      </c>
      <c r="D16" s="484">
        <v>-1590460</v>
      </c>
      <c r="E16" s="171">
        <f t="shared" si="2"/>
        <v>1433193</v>
      </c>
      <c r="F16" s="490">
        <f>19466+16718</f>
        <v>36184</v>
      </c>
      <c r="G16" s="171">
        <f t="shared" si="0"/>
        <v>1469377</v>
      </c>
      <c r="H16" s="172">
        <f t="shared" si="1"/>
        <v>8.5435581179783018E-2</v>
      </c>
      <c r="J16" s="372"/>
      <c r="K16" s="371"/>
      <c r="M16" s="359">
        <f t="shared" si="3"/>
        <v>367.34424999999999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484">
        <v>-13672</v>
      </c>
      <c r="D17" s="484">
        <v>16487</v>
      </c>
      <c r="E17" s="171">
        <f t="shared" si="2"/>
        <v>2815</v>
      </c>
      <c r="F17" s="171">
        <v>0</v>
      </c>
      <c r="G17" s="171">
        <f>E17+F17</f>
        <v>2815</v>
      </c>
      <c r="H17" s="172">
        <f t="shared" si="1"/>
        <v>1.6367559926491922E-4</v>
      </c>
      <c r="J17" s="370" t="s">
        <v>156</v>
      </c>
      <c r="K17" s="371">
        <f>J208</f>
        <v>511605.92</v>
      </c>
      <c r="M17" s="359">
        <f t="shared" si="3"/>
        <v>216.53846153846155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484">
        <v>0</v>
      </c>
      <c r="D18" s="484"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J18" s="373" t="s">
        <v>252</v>
      </c>
      <c r="K18" s="374">
        <f>K208</f>
        <v>548944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484">
        <v>0</v>
      </c>
      <c r="D19" s="484"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484">
        <v>167165</v>
      </c>
      <c r="D20" s="484">
        <v>0</v>
      </c>
      <c r="E20" s="171">
        <f t="shared" si="2"/>
        <v>167165</v>
      </c>
      <c r="F20" s="171">
        <v>139719</v>
      </c>
      <c r="G20" s="171">
        <f t="shared" si="0"/>
        <v>306884</v>
      </c>
      <c r="H20" s="172">
        <f t="shared" si="1"/>
        <v>1.784348938004102E-2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484">
        <v>15544534</v>
      </c>
      <c r="D21" s="484">
        <v>0</v>
      </c>
      <c r="E21" s="171">
        <f>SUM(E11:E20)</f>
        <v>15544534</v>
      </c>
      <c r="F21" s="171">
        <f>SUM(F11:F20)</f>
        <v>1654120</v>
      </c>
      <c r="G21" s="171">
        <f>SUM(G11:G20)</f>
        <v>17198654</v>
      </c>
      <c r="H21" s="172">
        <f t="shared" si="1"/>
        <v>1</v>
      </c>
      <c r="J21" s="168"/>
      <c r="K21" s="168"/>
      <c r="M21" s="359">
        <f>IFERROR(G21/G228,0)</f>
        <v>358.626561294493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I22" s="140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06" t="s">
        <v>479</v>
      </c>
      <c r="G23" s="144"/>
      <c r="I23" s="140"/>
      <c r="M23" s="363"/>
      <c r="N23" s="363"/>
    </row>
    <row r="24" spans="1:17">
      <c r="A24" s="181" t="s">
        <v>161</v>
      </c>
      <c r="B24" s="148" t="s">
        <v>12</v>
      </c>
      <c r="F24" s="579" t="s">
        <v>530</v>
      </c>
      <c r="I24" s="140"/>
      <c r="M24" s="363"/>
      <c r="N24" s="363"/>
    </row>
    <row r="25" spans="1:17" s="167" customFormat="1">
      <c r="A25" s="169" t="s">
        <v>83</v>
      </c>
      <c r="B25" s="170" t="s">
        <v>14</v>
      </c>
      <c r="C25" s="484">
        <v>0</v>
      </c>
      <c r="D25" s="484">
        <v>161065</v>
      </c>
      <c r="E25" s="171">
        <f t="shared" ref="E25:E60" si="4">C25+D25</f>
        <v>161065</v>
      </c>
      <c r="F25" s="171">
        <v>19212</v>
      </c>
      <c r="G25" s="182">
        <f>E25+F25</f>
        <v>180277</v>
      </c>
      <c r="H25" s="172">
        <f>IF($G$208=0,0,G25/$G$208)</f>
        <v>9.1000598722023023E-3</v>
      </c>
      <c r="J25" s="183">
        <f>878+440</f>
        <v>1318</v>
      </c>
      <c r="K25" s="183">
        <f>878+440</f>
        <v>1318</v>
      </c>
      <c r="M25" s="359">
        <f>G25/G$228</f>
        <v>3.7591383948120192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484">
        <v>0</v>
      </c>
      <c r="D26" s="484"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484">
        <v>961798</v>
      </c>
      <c r="D27" s="484">
        <v>-161065</v>
      </c>
      <c r="E27" s="171">
        <f t="shared" si="4"/>
        <v>800733</v>
      </c>
      <c r="F27" s="171">
        <v>75282</v>
      </c>
      <c r="G27" s="171">
        <f t="shared" si="5"/>
        <v>876015</v>
      </c>
      <c r="H27" s="172">
        <f t="shared" si="6"/>
        <v>4.4219667228472294E-2</v>
      </c>
      <c r="J27" s="185">
        <f>18899+6165</f>
        <v>25064</v>
      </c>
      <c r="K27" s="185">
        <f>20594+6610</f>
        <v>27204</v>
      </c>
      <c r="M27" s="359">
        <f t="shared" si="7"/>
        <v>18.26667639760619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484">
        <v>146896</v>
      </c>
      <c r="D28" s="484">
        <v>0</v>
      </c>
      <c r="E28" s="171">
        <f t="shared" si="4"/>
        <v>146896</v>
      </c>
      <c r="F28" s="171">
        <v>15569</v>
      </c>
      <c r="G28" s="171">
        <f t="shared" si="5"/>
        <v>162465</v>
      </c>
      <c r="H28" s="172">
        <f t="shared" si="6"/>
        <v>8.2009420344100852E-3</v>
      </c>
      <c r="J28" s="168"/>
      <c r="K28" s="168"/>
      <c r="M28" s="359">
        <f t="shared" si="7"/>
        <v>3.3877223345914049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484">
        <v>751</v>
      </c>
      <c r="D29" s="484">
        <v>0</v>
      </c>
      <c r="E29" s="171">
        <f t="shared" si="4"/>
        <v>751</v>
      </c>
      <c r="F29" s="171">
        <v>227</v>
      </c>
      <c r="G29" s="171">
        <f t="shared" si="5"/>
        <v>978</v>
      </c>
      <c r="H29" s="172">
        <f t="shared" si="6"/>
        <v>4.9367687253581162E-5</v>
      </c>
      <c r="J29" s="168"/>
      <c r="K29" s="168"/>
      <c r="M29" s="359">
        <f t="shared" si="7"/>
        <v>2.0393268970119064E-2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484">
        <v>0</v>
      </c>
      <c r="D30" s="484"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484">
        <v>0</v>
      </c>
      <c r="D31" s="484">
        <v>0</v>
      </c>
      <c r="E31" s="171">
        <f t="shared" si="4"/>
        <v>0</v>
      </c>
      <c r="F31" s="171">
        <v>0</v>
      </c>
      <c r="G31" s="171">
        <f t="shared" si="5"/>
        <v>0</v>
      </c>
      <c r="H31" s="172">
        <f t="shared" si="6"/>
        <v>0</v>
      </c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484">
        <v>63158</v>
      </c>
      <c r="D32" s="484">
        <v>0</v>
      </c>
      <c r="E32" s="171">
        <f t="shared" si="4"/>
        <v>63158</v>
      </c>
      <c r="F32" s="490">
        <f>(5544-65291-5062)</f>
        <v>-64809</v>
      </c>
      <c r="G32" s="171">
        <f t="shared" si="5"/>
        <v>-1651</v>
      </c>
      <c r="H32" s="172">
        <f t="shared" si="6"/>
        <v>-8.3339521120309309E-5</v>
      </c>
      <c r="J32" s="168"/>
      <c r="K32" s="168"/>
      <c r="M32" s="359">
        <f t="shared" si="7"/>
        <v>-3.44266738953646E-2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484">
        <v>50148</v>
      </c>
      <c r="D33" s="484">
        <v>0</v>
      </c>
      <c r="E33" s="171">
        <f t="shared" si="4"/>
        <v>50148</v>
      </c>
      <c r="F33" s="171">
        <v>3057</v>
      </c>
      <c r="G33" s="171">
        <f t="shared" si="5"/>
        <v>53205</v>
      </c>
      <c r="H33" s="172">
        <f t="shared" si="6"/>
        <v>2.6856930473689016E-3</v>
      </c>
      <c r="J33" s="168"/>
      <c r="K33" s="168"/>
      <c r="M33" s="359">
        <f t="shared" si="7"/>
        <v>1.1094313655983485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484">
        <v>15664</v>
      </c>
      <c r="D34" s="484">
        <v>0</v>
      </c>
      <c r="E34" s="171">
        <f t="shared" si="4"/>
        <v>15664</v>
      </c>
      <c r="F34" s="171">
        <v>47</v>
      </c>
      <c r="G34" s="171">
        <f t="shared" si="5"/>
        <v>15711</v>
      </c>
      <c r="H34" s="172">
        <f t="shared" si="6"/>
        <v>7.9306312315032077E-4</v>
      </c>
      <c r="J34" s="168"/>
      <c r="K34" s="168"/>
      <c r="M34" s="359">
        <f t="shared" si="7"/>
        <v>0.32760598035740351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484">
        <v>59954</v>
      </c>
      <c r="D35" s="484">
        <v>0</v>
      </c>
      <c r="E35" s="171">
        <f t="shared" si="4"/>
        <v>59954</v>
      </c>
      <c r="F35" s="171">
        <v>6545</v>
      </c>
      <c r="G35" s="171">
        <f t="shared" si="5"/>
        <v>66499</v>
      </c>
      <c r="H35" s="172">
        <f t="shared" si="6"/>
        <v>3.3567503422043906E-3</v>
      </c>
      <c r="J35" s="168"/>
      <c r="K35" s="168"/>
      <c r="M35" s="359">
        <f t="shared" si="7"/>
        <v>1.3866380299017871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484">
        <v>70162</v>
      </c>
      <c r="D36" s="484">
        <v>8279</v>
      </c>
      <c r="E36" s="171">
        <f t="shared" si="4"/>
        <v>78441</v>
      </c>
      <c r="F36" s="490">
        <f>(15228-23974-5693)</f>
        <v>-14439</v>
      </c>
      <c r="G36" s="171">
        <f t="shared" si="5"/>
        <v>64002</v>
      </c>
      <c r="H36" s="172">
        <f t="shared" si="6"/>
        <v>3.2307062572634986E-3</v>
      </c>
      <c r="J36" s="168"/>
      <c r="K36" s="168"/>
      <c r="M36" s="359">
        <f t="shared" si="7"/>
        <v>1.3345705527868716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484">
        <v>0</v>
      </c>
      <c r="D37" s="484"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484">
        <v>41251</v>
      </c>
      <c r="D38" s="484">
        <v>0</v>
      </c>
      <c r="E38" s="171">
        <f t="shared" si="4"/>
        <v>41251</v>
      </c>
      <c r="F38" s="171">
        <v>2281</v>
      </c>
      <c r="G38" s="171">
        <f t="shared" si="5"/>
        <v>43532</v>
      </c>
      <c r="H38" s="172">
        <f t="shared" si="6"/>
        <v>2.197417343070445E-3</v>
      </c>
      <c r="J38" s="168"/>
      <c r="K38" s="168"/>
      <c r="M38" s="359">
        <f t="shared" si="7"/>
        <v>0.90772984131617906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484">
        <v>0</v>
      </c>
      <c r="D39" s="484">
        <v>0</v>
      </c>
      <c r="E39" s="171">
        <f t="shared" si="4"/>
        <v>0</v>
      </c>
      <c r="F39" s="171">
        <v>0</v>
      </c>
      <c r="G39" s="171">
        <f t="shared" si="5"/>
        <v>0</v>
      </c>
      <c r="H39" s="172">
        <f t="shared" si="6"/>
        <v>0</v>
      </c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484">
        <v>0</v>
      </c>
      <c r="D40" s="484"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484">
        <v>458170</v>
      </c>
      <c r="D41" s="484">
        <v>0</v>
      </c>
      <c r="E41" s="171">
        <f t="shared" si="4"/>
        <v>458170</v>
      </c>
      <c r="F41" s="171">
        <v>46991</v>
      </c>
      <c r="G41" s="171">
        <f t="shared" si="5"/>
        <v>505161</v>
      </c>
      <c r="H41" s="172">
        <f t="shared" si="6"/>
        <v>2.5499621943462489E-2</v>
      </c>
      <c r="J41" s="168"/>
      <c r="K41" s="168"/>
      <c r="M41" s="359">
        <f t="shared" si="7"/>
        <v>10.533623871384782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484">
        <v>5446</v>
      </c>
      <c r="D42" s="484">
        <v>-2791</v>
      </c>
      <c r="E42" s="171">
        <f t="shared" si="4"/>
        <v>2655</v>
      </c>
      <c r="F42" s="171">
        <v>439</v>
      </c>
      <c r="G42" s="171">
        <f t="shared" si="5"/>
        <v>3094</v>
      </c>
      <c r="H42" s="172">
        <f t="shared" si="6"/>
        <v>1.5617957501286311E-4</v>
      </c>
      <c r="J42" s="168"/>
      <c r="K42" s="168"/>
      <c r="M42" s="359">
        <f t="shared" si="7"/>
        <v>6.4516129032258063E-2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484">
        <v>0</v>
      </c>
      <c r="D43" s="484"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484">
        <v>121031</v>
      </c>
      <c r="D44" s="484">
        <v>-121031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484">
        <v>0</v>
      </c>
      <c r="D45" s="484"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484">
        <v>60190</v>
      </c>
      <c r="D46" s="484">
        <v>0</v>
      </c>
      <c r="E46" s="171">
        <f t="shared" si="4"/>
        <v>60190</v>
      </c>
      <c r="F46" s="171">
        <v>7946</v>
      </c>
      <c r="G46" s="171">
        <f t="shared" si="5"/>
        <v>68136</v>
      </c>
      <c r="H46" s="172">
        <f t="shared" si="6"/>
        <v>3.4393831684151393E-3</v>
      </c>
      <c r="J46" s="168"/>
      <c r="K46" s="168"/>
      <c r="M46" s="359">
        <f t="shared" si="7"/>
        <v>1.4207727756114852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484">
        <v>92642</v>
      </c>
      <c r="D47" s="484">
        <v>0</v>
      </c>
      <c r="E47" s="171">
        <f t="shared" si="4"/>
        <v>92642</v>
      </c>
      <c r="F47" s="171">
        <v>7977</v>
      </c>
      <c r="G47" s="171">
        <f t="shared" si="5"/>
        <v>100619</v>
      </c>
      <c r="H47" s="172">
        <f t="shared" si="6"/>
        <v>5.0790667932188987E-3</v>
      </c>
      <c r="J47" s="168"/>
      <c r="K47" s="168"/>
      <c r="M47" s="359">
        <f t="shared" si="7"/>
        <v>2.0981087223971473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484">
        <v>0</v>
      </c>
      <c r="D48" s="484"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484">
        <v>0</v>
      </c>
      <c r="D49" s="484"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484">
        <v>0</v>
      </c>
      <c r="D50" s="484"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484">
        <v>101919</v>
      </c>
      <c r="D51" s="484">
        <v>0</v>
      </c>
      <c r="E51" s="171">
        <f t="shared" si="4"/>
        <v>101919</v>
      </c>
      <c r="F51" s="171">
        <v>9464</v>
      </c>
      <c r="G51" s="171">
        <f t="shared" si="5"/>
        <v>111383</v>
      </c>
      <c r="H51" s="172">
        <f t="shared" si="6"/>
        <v>5.6224142222552464E-3</v>
      </c>
      <c r="J51" s="183">
        <f>7527.92+1184</f>
        <v>8711.92</v>
      </c>
      <c r="K51" s="183">
        <f>8007+1237</f>
        <v>9244</v>
      </c>
      <c r="M51" s="359">
        <f t="shared" si="7"/>
        <v>2.3225597931480286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484">
        <v>15566</v>
      </c>
      <c r="D52" s="484">
        <v>0</v>
      </c>
      <c r="E52" s="171">
        <f t="shared" si="4"/>
        <v>15566</v>
      </c>
      <c r="F52" s="171">
        <v>1559</v>
      </c>
      <c r="G52" s="171">
        <f t="shared" si="5"/>
        <v>17125</v>
      </c>
      <c r="H52" s="172">
        <f t="shared" si="6"/>
        <v>8.644393090159278E-4</v>
      </c>
      <c r="J52" s="168"/>
      <c r="K52" s="168"/>
      <c r="M52" s="359">
        <f t="shared" si="7"/>
        <v>0.35709072710970247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484">
        <v>0</v>
      </c>
      <c r="D53" s="484"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484">
        <v>7939</v>
      </c>
      <c r="D54" s="484">
        <v>0</v>
      </c>
      <c r="E54" s="171">
        <f t="shared" si="4"/>
        <v>7939</v>
      </c>
      <c r="F54" s="171">
        <v>965</v>
      </c>
      <c r="G54" s="171">
        <f t="shared" si="5"/>
        <v>8904</v>
      </c>
      <c r="H54" s="172">
        <f t="shared" si="6"/>
        <v>4.4945796248045672E-4</v>
      </c>
      <c r="J54" s="168"/>
      <c r="K54" s="168"/>
      <c r="M54" s="359">
        <f t="shared" si="7"/>
        <v>0.18566632608378339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484">
        <v>0</v>
      </c>
      <c r="D55" s="484">
        <v>0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484">
        <v>71085</v>
      </c>
      <c r="D56" s="484">
        <v>0</v>
      </c>
      <c r="E56" s="171">
        <f t="shared" si="4"/>
        <v>71085</v>
      </c>
      <c r="F56" s="171">
        <v>10579</v>
      </c>
      <c r="G56" s="171">
        <f t="shared" si="5"/>
        <v>81664</v>
      </c>
      <c r="H56" s="172">
        <f t="shared" si="6"/>
        <v>4.1222523638818533E-3</v>
      </c>
      <c r="J56" s="168"/>
      <c r="K56" s="168"/>
      <c r="M56" s="359">
        <f t="shared" si="7"/>
        <v>1.7028588110182039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484">
        <v>29762</v>
      </c>
      <c r="D57" s="484">
        <v>0</v>
      </c>
      <c r="E57" s="171">
        <f t="shared" si="4"/>
        <v>29762</v>
      </c>
      <c r="F57" s="171">
        <v>7184</v>
      </c>
      <c r="G57" s="171">
        <f t="shared" si="5"/>
        <v>36946</v>
      </c>
      <c r="H57" s="172">
        <f t="shared" si="6"/>
        <v>1.8649678663300712E-3</v>
      </c>
      <c r="J57" s="168"/>
      <c r="K57" s="168"/>
      <c r="M57" s="359">
        <f t="shared" si="7"/>
        <v>0.77039848197343452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484">
        <v>0</v>
      </c>
      <c r="D58" s="484">
        <v>0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484">
        <v>0</v>
      </c>
      <c r="D59" s="484"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484">
        <v>3133</v>
      </c>
      <c r="D60" s="484">
        <v>-85650</v>
      </c>
      <c r="E60" s="171">
        <f t="shared" si="4"/>
        <v>-82517</v>
      </c>
      <c r="F60" s="171">
        <v>-305</v>
      </c>
      <c r="G60" s="171">
        <f t="shared" si="5"/>
        <v>-82822</v>
      </c>
      <c r="H60" s="172">
        <f t="shared" si="6"/>
        <v>-4.1807061285440688E-3</v>
      </c>
      <c r="J60" s="168"/>
      <c r="K60" s="168"/>
      <c r="M60" s="359">
        <f t="shared" si="7"/>
        <v>-1.7270054423754613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484">
        <v>2376665</v>
      </c>
      <c r="D61" s="484">
        <v>-201193</v>
      </c>
      <c r="E61" s="171">
        <f t="shared" ref="E61:F61" si="8">SUM(E25:E60)</f>
        <v>2175472</v>
      </c>
      <c r="F61" s="171">
        <f t="shared" si="8"/>
        <v>135771</v>
      </c>
      <c r="G61" s="171">
        <f>SUM(G25:G60)</f>
        <v>2311243</v>
      </c>
      <c r="H61" s="186">
        <f t="shared" si="6"/>
        <v>0.11666740448980438</v>
      </c>
      <c r="J61" s="168"/>
      <c r="K61" s="168"/>
      <c r="M61" s="364">
        <f>G61/G$228</f>
        <v>48.194069687428325</v>
      </c>
      <c r="N61" s="359">
        <f>SUMMARY!J64</f>
        <v>53.728790309602623</v>
      </c>
      <c r="O61" s="354">
        <f>M61/N61-1</f>
        <v>-0.1030121949569579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484">
        <v>285344</v>
      </c>
      <c r="D64" s="484">
        <v>-285344</v>
      </c>
      <c r="E64" s="171">
        <f t="shared" ref="E64:E78" si="9">C64+D64</f>
        <v>0</v>
      </c>
      <c r="F64" s="644">
        <f>(29600-29600)</f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484">
        <v>155162</v>
      </c>
      <c r="D65" s="484">
        <v>106411</v>
      </c>
      <c r="E65" s="171">
        <f t="shared" si="9"/>
        <v>261573</v>
      </c>
      <c r="F65" s="644">
        <f>(17019+35470)</f>
        <v>52489</v>
      </c>
      <c r="G65" s="171">
        <f t="shared" si="10"/>
        <v>314062</v>
      </c>
      <c r="H65" s="172">
        <f t="shared" si="11"/>
        <v>1.5853286906169946E-2</v>
      </c>
      <c r="J65" s="190"/>
      <c r="K65" s="168"/>
      <c r="M65" s="359">
        <f t="shared" si="12"/>
        <v>6.5488249890526928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484">
        <v>239062</v>
      </c>
      <c r="D66" s="484">
        <v>217880</v>
      </c>
      <c r="E66" s="171">
        <f t="shared" si="9"/>
        <v>456942</v>
      </c>
      <c r="F66" s="644">
        <f>(28902+72627)</f>
        <v>101529</v>
      </c>
      <c r="G66" s="171">
        <f t="shared" si="10"/>
        <v>558471</v>
      </c>
      <c r="H66" s="172">
        <f t="shared" si="11"/>
        <v>2.8190615202653094E-2</v>
      </c>
      <c r="J66" s="190"/>
      <c r="K66" s="168"/>
      <c r="M66" s="359">
        <f t="shared" si="12"/>
        <v>11.645244698375627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484">
        <v>4339</v>
      </c>
      <c r="D67" s="484">
        <v>0</v>
      </c>
      <c r="E67" s="171">
        <f t="shared" si="9"/>
        <v>4339</v>
      </c>
      <c r="F67" s="171">
        <v>59</v>
      </c>
      <c r="G67" s="171">
        <f t="shared" si="10"/>
        <v>4398</v>
      </c>
      <c r="H67" s="172">
        <f t="shared" si="11"/>
        <v>2.2200315801763801E-4</v>
      </c>
      <c r="J67" s="193"/>
      <c r="K67" s="168"/>
      <c r="M67" s="359">
        <f t="shared" si="12"/>
        <v>9.1707154325750148E-2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484">
        <v>34770</v>
      </c>
      <c r="D68" s="484">
        <v>0</v>
      </c>
      <c r="E68" s="171">
        <f t="shared" si="9"/>
        <v>34770</v>
      </c>
      <c r="F68" s="171">
        <v>3312</v>
      </c>
      <c r="G68" s="171">
        <f t="shared" si="10"/>
        <v>38082</v>
      </c>
      <c r="H68" s="172">
        <f t="shared" si="11"/>
        <v>1.9223111104201204E-3</v>
      </c>
      <c r="J68" s="193"/>
      <c r="K68" s="168"/>
      <c r="M68" s="359">
        <f t="shared" si="12"/>
        <v>0.79408636903893071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484">
        <v>0</v>
      </c>
      <c r="D69" s="484"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484">
        <v>0</v>
      </c>
      <c r="D70" s="484"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484">
        <v>0</v>
      </c>
      <c r="D71" s="484"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484">
        <v>0</v>
      </c>
      <c r="D72" s="484">
        <v>0</v>
      </c>
      <c r="E72" s="171">
        <f t="shared" si="9"/>
        <v>0</v>
      </c>
      <c r="F72" s="171">
        <v>0</v>
      </c>
      <c r="G72" s="171">
        <f t="shared" si="10"/>
        <v>0</v>
      </c>
      <c r="H72" s="172">
        <f t="shared" si="11"/>
        <v>0</v>
      </c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484">
        <v>45210</v>
      </c>
      <c r="D73" s="484">
        <v>0</v>
      </c>
      <c r="E73" s="171">
        <f t="shared" si="9"/>
        <v>45210</v>
      </c>
      <c r="F73" s="171">
        <v>5962</v>
      </c>
      <c r="G73" s="171">
        <f t="shared" si="10"/>
        <v>51172</v>
      </c>
      <c r="H73" s="172">
        <f t="shared" si="11"/>
        <v>2.5830708508591568E-3</v>
      </c>
      <c r="J73" s="195"/>
      <c r="K73" s="168"/>
      <c r="M73" s="359">
        <f t="shared" si="12"/>
        <v>1.0670392226369456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484">
        <v>221271</v>
      </c>
      <c r="D74" s="484">
        <v>0</v>
      </c>
      <c r="E74" s="171">
        <f t="shared" si="9"/>
        <v>221271</v>
      </c>
      <c r="F74" s="171">
        <v>27029</v>
      </c>
      <c r="G74" s="171">
        <f t="shared" si="10"/>
        <v>248300</v>
      </c>
      <c r="H74" s="172">
        <f t="shared" si="11"/>
        <v>1.2533739003133131E-2</v>
      </c>
      <c r="J74" s="195"/>
      <c r="K74" s="168"/>
      <c r="M74" s="359">
        <f t="shared" si="12"/>
        <v>5.1775548929249116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484">
        <v>0</v>
      </c>
      <c r="D75" s="484"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484">
        <v>0</v>
      </c>
      <c r="D76" s="484">
        <v>0</v>
      </c>
      <c r="E76" s="171">
        <f t="shared" si="9"/>
        <v>0</v>
      </c>
      <c r="F76" s="171">
        <v>0</v>
      </c>
      <c r="G76" s="171">
        <f t="shared" si="10"/>
        <v>0</v>
      </c>
      <c r="H76" s="172">
        <f t="shared" si="11"/>
        <v>0</v>
      </c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484">
        <v>0</v>
      </c>
      <c r="D77" s="484"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484">
        <v>0</v>
      </c>
      <c r="D78" s="484"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484">
        <v>985158</v>
      </c>
      <c r="D79" s="484">
        <v>38947</v>
      </c>
      <c r="E79" s="171">
        <f t="shared" ref="E79:F79" si="13">SUM(E64:E78)</f>
        <v>1024105</v>
      </c>
      <c r="F79" s="171">
        <f t="shared" si="13"/>
        <v>190380</v>
      </c>
      <c r="G79" s="171">
        <f>SUM(G64:G78)</f>
        <v>1214485</v>
      </c>
      <c r="H79" s="172">
        <f t="shared" si="11"/>
        <v>6.1305026231253085E-2</v>
      </c>
      <c r="J79" s="195"/>
      <c r="K79" s="168"/>
      <c r="M79" s="359">
        <f t="shared" si="12"/>
        <v>25.32445732635486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484">
        <v>157782</v>
      </c>
      <c r="D82" s="484">
        <v>0</v>
      </c>
      <c r="E82" s="171">
        <f t="shared" ref="E82:E92" si="14">C82+D82</f>
        <v>157782</v>
      </c>
      <c r="F82" s="171">
        <v>16678</v>
      </c>
      <c r="G82" s="171">
        <f t="shared" ref="G82:G92" si="15">E82+F82</f>
        <v>174460</v>
      </c>
      <c r="H82" s="172">
        <f t="shared" ref="H82:H93" si="16">IF($G$208=0,0,G82/$G$208)</f>
        <v>8.8064281372799286E-3</v>
      </c>
      <c r="J82" s="183">
        <f>5694+1790</f>
        <v>7484</v>
      </c>
      <c r="K82" s="183">
        <f>6329+1908</f>
        <v>8237</v>
      </c>
      <c r="M82" s="359">
        <f t="shared" ref="M82:M92" si="17">G82/G$228</f>
        <v>3.6378422336676608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484">
        <v>24098</v>
      </c>
      <c r="D83" s="484">
        <v>0</v>
      </c>
      <c r="E83" s="171">
        <f t="shared" si="14"/>
        <v>24098</v>
      </c>
      <c r="F83" s="171">
        <v>2748</v>
      </c>
      <c r="G83" s="171">
        <f t="shared" si="15"/>
        <v>26846</v>
      </c>
      <c r="H83" s="172">
        <f t="shared" si="16"/>
        <v>1.3551379672900204E-3</v>
      </c>
      <c r="J83" s="168"/>
      <c r="K83" s="168"/>
      <c r="M83" s="359">
        <f t="shared" si="17"/>
        <v>0.55979314802844216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484">
        <v>55464</v>
      </c>
      <c r="D84" s="484">
        <v>0</v>
      </c>
      <c r="E84" s="171">
        <f t="shared" si="14"/>
        <v>55464</v>
      </c>
      <c r="F84" s="171">
        <v>5323</v>
      </c>
      <c r="G84" s="171">
        <f t="shared" si="15"/>
        <v>60787</v>
      </c>
      <c r="H84" s="172">
        <f t="shared" si="16"/>
        <v>3.06841881910372E-3</v>
      </c>
      <c r="J84" s="168"/>
      <c r="K84" s="168"/>
      <c r="M84" s="359">
        <f t="shared" si="17"/>
        <v>1.267531330149926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484">
        <v>21890</v>
      </c>
      <c r="D85" s="484">
        <v>0</v>
      </c>
      <c r="E85" s="171">
        <f t="shared" si="14"/>
        <v>21890</v>
      </c>
      <c r="F85" s="171">
        <v>2167</v>
      </c>
      <c r="G85" s="171">
        <f t="shared" si="15"/>
        <v>24057</v>
      </c>
      <c r="H85" s="172">
        <f t="shared" si="16"/>
        <v>1.2143542456640104E-3</v>
      </c>
      <c r="J85" s="168"/>
      <c r="K85" s="168"/>
      <c r="M85" s="359">
        <f t="shared" si="17"/>
        <v>0.50163688304105758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484">
        <v>34250</v>
      </c>
      <c r="D86" s="484">
        <v>0</v>
      </c>
      <c r="E86" s="171">
        <f t="shared" si="14"/>
        <v>34250</v>
      </c>
      <c r="F86" s="171">
        <v>3731</v>
      </c>
      <c r="G86" s="171">
        <f>E86+F86</f>
        <v>37981</v>
      </c>
      <c r="H86" s="172">
        <f t="shared" si="16"/>
        <v>1.91721281142972E-3</v>
      </c>
      <c r="J86" s="168"/>
      <c r="K86" s="168"/>
      <c r="M86" s="359">
        <f t="shared" si="17"/>
        <v>0.7919803156994808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484">
        <v>65463</v>
      </c>
      <c r="D87" s="484">
        <v>0</v>
      </c>
      <c r="E87" s="171">
        <f t="shared" si="14"/>
        <v>65463</v>
      </c>
      <c r="F87" s="171">
        <v>12900</v>
      </c>
      <c r="G87" s="171">
        <f t="shared" si="15"/>
        <v>78363</v>
      </c>
      <c r="H87" s="172">
        <f t="shared" si="16"/>
        <v>3.9556237998490604E-3</v>
      </c>
      <c r="J87" s="168"/>
      <c r="K87" s="168"/>
      <c r="M87" s="359">
        <f t="shared" si="17"/>
        <v>1.6340263152407364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484">
        <v>39995</v>
      </c>
      <c r="D88" s="484">
        <v>2437</v>
      </c>
      <c r="E88" s="171">
        <f t="shared" si="14"/>
        <v>42432</v>
      </c>
      <c r="F88" s="644">
        <f>(1841+813)</f>
        <v>2654</v>
      </c>
      <c r="G88" s="171">
        <f t="shared" si="15"/>
        <v>45086</v>
      </c>
      <c r="H88" s="172">
        <f t="shared" si="16"/>
        <v>2.275860478031657E-3</v>
      </c>
      <c r="J88" s="168"/>
      <c r="K88" s="168"/>
      <c r="M88" s="359">
        <f t="shared" si="17"/>
        <v>0.94013386992514125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484">
        <v>74218</v>
      </c>
      <c r="D89" s="484">
        <v>0</v>
      </c>
      <c r="E89" s="171">
        <f t="shared" si="14"/>
        <v>74218</v>
      </c>
      <c r="F89" s="171">
        <v>12225</v>
      </c>
      <c r="G89" s="171">
        <f t="shared" si="15"/>
        <v>86443</v>
      </c>
      <c r="H89" s="172">
        <f t="shared" si="16"/>
        <v>4.3634877190811012E-3</v>
      </c>
      <c r="J89" s="168"/>
      <c r="K89" s="168"/>
      <c r="M89" s="359">
        <f t="shared" si="17"/>
        <v>1.8025105823967305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484">
        <v>16781</v>
      </c>
      <c r="D90" s="484">
        <v>0</v>
      </c>
      <c r="E90" s="171">
        <f t="shared" si="14"/>
        <v>16781</v>
      </c>
      <c r="F90" s="171">
        <v>1202</v>
      </c>
      <c r="G90" s="171">
        <f t="shared" si="15"/>
        <v>17983</v>
      </c>
      <c r="H90" s="172">
        <f t="shared" si="16"/>
        <v>9.0774961133041924E-4</v>
      </c>
      <c r="J90" s="168"/>
      <c r="K90" s="168"/>
      <c r="M90" s="359">
        <f t="shared" si="17"/>
        <v>0.37498175448839588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484">
        <v>223116</v>
      </c>
      <c r="D91" s="484">
        <v>0</v>
      </c>
      <c r="E91" s="171">
        <f t="shared" si="14"/>
        <v>223116</v>
      </c>
      <c r="F91" s="171">
        <v>17839</v>
      </c>
      <c r="G91" s="171">
        <f t="shared" si="15"/>
        <v>240955</v>
      </c>
      <c r="H91" s="172">
        <f t="shared" si="16"/>
        <v>1.2162976566653015E-2</v>
      </c>
      <c r="J91" s="168"/>
      <c r="K91" s="168"/>
      <c r="M91" s="359">
        <f t="shared" si="17"/>
        <v>5.0243968555164003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484">
        <v>11680</v>
      </c>
      <c r="D92" s="484">
        <v>0</v>
      </c>
      <c r="E92" s="171">
        <f t="shared" si="14"/>
        <v>11680</v>
      </c>
      <c r="F92" s="171">
        <v>659</v>
      </c>
      <c r="G92" s="171">
        <f t="shared" si="15"/>
        <v>12339</v>
      </c>
      <c r="H92" s="172">
        <f t="shared" si="16"/>
        <v>6.2285060636189981E-4</v>
      </c>
      <c r="J92" s="168"/>
      <c r="K92" s="168"/>
      <c r="M92" s="359">
        <f t="shared" si="17"/>
        <v>0.25729299163834268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484">
        <v>724737</v>
      </c>
      <c r="D93" s="484">
        <v>2437</v>
      </c>
      <c r="E93" s="171">
        <f t="shared" ref="E93:F93" si="18">SUM(E82:E92)</f>
        <v>727174</v>
      </c>
      <c r="F93" s="171">
        <f t="shared" si="18"/>
        <v>78126</v>
      </c>
      <c r="G93" s="171">
        <f>SUM(G82:G92)</f>
        <v>805300</v>
      </c>
      <c r="H93" s="172">
        <f t="shared" si="16"/>
        <v>4.0650100762074551E-2</v>
      </c>
      <c r="J93" s="168"/>
      <c r="K93" s="168"/>
      <c r="M93" s="364">
        <f>G93/G$228</f>
        <v>16.792126279792313</v>
      </c>
      <c r="N93" s="359">
        <f>SUMMARY!J96</f>
        <v>11.458724454710746</v>
      </c>
      <c r="O93" s="354">
        <f>M93/N93-1</f>
        <v>0.46544463532230029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484">
        <v>435903</v>
      </c>
      <c r="D96" s="484">
        <v>0</v>
      </c>
      <c r="E96" s="171">
        <f t="shared" ref="E96:E101" si="19">C96+D96</f>
        <v>435903</v>
      </c>
      <c r="F96" s="171">
        <v>48180</v>
      </c>
      <c r="G96" s="171">
        <f t="shared" ref="G96:G101" si="20">E96+F96</f>
        <v>484083</v>
      </c>
      <c r="H96" s="172">
        <f t="shared" ref="H96:H102" si="21">IF($G$208=0,0,G96/$G$208)</f>
        <v>2.4435642278911381E-2</v>
      </c>
      <c r="J96" s="183">
        <f>32020+8447</f>
        <v>40467</v>
      </c>
      <c r="K96" s="183">
        <f>33638+8805</f>
        <v>42443</v>
      </c>
      <c r="M96" s="364">
        <f t="shared" ref="M96:M101" si="22">G96/G$228</f>
        <v>10.094105135850866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484">
        <v>66576</v>
      </c>
      <c r="D97" s="484">
        <v>0</v>
      </c>
      <c r="E97" s="171">
        <f t="shared" si="19"/>
        <v>66576</v>
      </c>
      <c r="F97" s="171">
        <v>7938</v>
      </c>
      <c r="G97" s="171">
        <f t="shared" si="20"/>
        <v>74514</v>
      </c>
      <c r="H97" s="172">
        <f t="shared" si="21"/>
        <v>3.7613331779277575E-3</v>
      </c>
      <c r="J97" s="168"/>
      <c r="K97" s="168"/>
      <c r="M97" s="364">
        <f t="shared" si="22"/>
        <v>1.5537669161957588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484">
        <v>0</v>
      </c>
      <c r="D98" s="484">
        <v>0</v>
      </c>
      <c r="E98" s="171">
        <f t="shared" si="19"/>
        <v>0</v>
      </c>
      <c r="F98" s="171">
        <v>0</v>
      </c>
      <c r="G98" s="171">
        <f t="shared" si="20"/>
        <v>0</v>
      </c>
      <c r="H98" s="172">
        <f t="shared" si="21"/>
        <v>0</v>
      </c>
      <c r="J98" s="168"/>
      <c r="K98" s="168"/>
      <c r="M98" s="364">
        <f t="shared" si="22"/>
        <v>0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484">
        <v>364343</v>
      </c>
      <c r="D99" s="484">
        <v>-71972</v>
      </c>
      <c r="E99" s="171">
        <f t="shared" si="19"/>
        <v>292371</v>
      </c>
      <c r="F99" s="171">
        <v>32141</v>
      </c>
      <c r="G99" s="171">
        <f t="shared" si="20"/>
        <v>324512</v>
      </c>
      <c r="H99" s="172">
        <f t="shared" si="21"/>
        <v>1.6380784177949009E-2</v>
      </c>
      <c r="J99" s="168"/>
      <c r="K99" s="168"/>
      <c r="M99" s="364">
        <f t="shared" si="22"/>
        <v>6.7667285276393434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484">
        <v>55767</v>
      </c>
      <c r="D100" s="484">
        <v>0</v>
      </c>
      <c r="E100" s="171">
        <f t="shared" si="19"/>
        <v>55767</v>
      </c>
      <c r="F100" s="171">
        <v>4406</v>
      </c>
      <c r="G100" s="171">
        <f t="shared" si="20"/>
        <v>60173</v>
      </c>
      <c r="H100" s="172">
        <f t="shared" si="21"/>
        <v>3.0374251994987108E-3</v>
      </c>
      <c r="J100" s="168"/>
      <c r="K100" s="168"/>
      <c r="M100" s="364">
        <f t="shared" si="22"/>
        <v>1.2547281940071313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484">
        <v>19</v>
      </c>
      <c r="D101" s="484">
        <v>0</v>
      </c>
      <c r="E101" s="171">
        <f t="shared" si="19"/>
        <v>19</v>
      </c>
      <c r="F101" s="171">
        <v>50</v>
      </c>
      <c r="G101" s="171">
        <f t="shared" si="20"/>
        <v>69</v>
      </c>
      <c r="H101" s="172">
        <f t="shared" si="21"/>
        <v>3.4829963399765853E-6</v>
      </c>
      <c r="J101" s="168"/>
      <c r="K101" s="168"/>
      <c r="M101" s="364">
        <f t="shared" si="22"/>
        <v>1.4387889150697499E-3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484">
        <v>922608</v>
      </c>
      <c r="D102" s="484">
        <v>-71972</v>
      </c>
      <c r="E102" s="171">
        <f t="shared" ref="E102:F102" si="23">SUM(E96:E101)</f>
        <v>850636</v>
      </c>
      <c r="F102" s="171">
        <f t="shared" si="23"/>
        <v>92715</v>
      </c>
      <c r="G102" s="171">
        <f>SUM(G96:G101)</f>
        <v>943351</v>
      </c>
      <c r="H102" s="172">
        <f t="shared" si="21"/>
        <v>4.7618667830626835E-2</v>
      </c>
      <c r="J102" s="168"/>
      <c r="K102" s="168"/>
      <c r="M102" s="364">
        <f>G102/G$228</f>
        <v>19.670767562608169</v>
      </c>
      <c r="N102" s="359">
        <f>SUMMARY!J105</f>
        <v>19.901077037785338</v>
      </c>
      <c r="O102" s="354">
        <f>M102/N102-1</f>
        <v>-1.1572714116923954E-2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484">
        <v>86561</v>
      </c>
      <c r="D105" s="484">
        <v>0</v>
      </c>
      <c r="E105" s="171">
        <f t="shared" ref="E105:E110" si="24">C105+D105</f>
        <v>86561</v>
      </c>
      <c r="F105" s="171">
        <v>7607</v>
      </c>
      <c r="G105" s="171">
        <f t="shared" ref="G105:G110" si="25">E105+F105</f>
        <v>94168</v>
      </c>
      <c r="H105" s="172">
        <f t="shared" ref="H105:H111" si="26">IF($G$208=0,0,G105/$G$208)</f>
        <v>4.7534318745350006E-3</v>
      </c>
      <c r="J105" s="183">
        <f>6069+1498</f>
        <v>7567</v>
      </c>
      <c r="K105" s="183">
        <f>6582+1789</f>
        <v>8371</v>
      </c>
      <c r="M105" s="364">
        <f t="shared" ref="M105:M110" si="27">G105/G$228</f>
        <v>1.9635923848447567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484">
        <v>13220</v>
      </c>
      <c r="D106" s="484">
        <v>0</v>
      </c>
      <c r="E106" s="171">
        <f t="shared" si="24"/>
        <v>13220</v>
      </c>
      <c r="F106" s="171">
        <v>1253</v>
      </c>
      <c r="G106" s="171">
        <f t="shared" si="25"/>
        <v>14473</v>
      </c>
      <c r="H106" s="172">
        <f t="shared" si="26"/>
        <v>7.3057110186204523E-4</v>
      </c>
      <c r="J106" s="168"/>
      <c r="K106" s="168"/>
      <c r="M106" s="364">
        <f t="shared" si="27"/>
        <v>0.30179118793919552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484">
        <v>8781</v>
      </c>
      <c r="D107" s="484">
        <v>0</v>
      </c>
      <c r="E107" s="171">
        <f t="shared" si="24"/>
        <v>8781</v>
      </c>
      <c r="F107" s="171">
        <v>1250</v>
      </c>
      <c r="G107" s="171">
        <f t="shared" si="25"/>
        <v>10031</v>
      </c>
      <c r="H107" s="172">
        <f t="shared" si="26"/>
        <v>5.0634690270007427E-4</v>
      </c>
      <c r="J107" s="168"/>
      <c r="K107" s="168"/>
      <c r="M107" s="364">
        <f t="shared" si="27"/>
        <v>0.20916654502992263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484">
        <v>0</v>
      </c>
      <c r="D108" s="484">
        <v>0</v>
      </c>
      <c r="E108" s="171">
        <f t="shared" si="24"/>
        <v>0</v>
      </c>
      <c r="F108" s="171">
        <v>0</v>
      </c>
      <c r="G108" s="171">
        <f t="shared" si="25"/>
        <v>0</v>
      </c>
      <c r="H108" s="172">
        <f t="shared" si="26"/>
        <v>0</v>
      </c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484">
        <v>15525</v>
      </c>
      <c r="D109" s="484">
        <v>0</v>
      </c>
      <c r="E109" s="171">
        <f t="shared" si="24"/>
        <v>15525</v>
      </c>
      <c r="F109" s="171">
        <v>1135</v>
      </c>
      <c r="G109" s="171">
        <f t="shared" si="25"/>
        <v>16660</v>
      </c>
      <c r="H109" s="172">
        <f t="shared" si="26"/>
        <v>8.4096694237695518E-4</v>
      </c>
      <c r="J109" s="168"/>
      <c r="K109" s="168"/>
      <c r="M109" s="364">
        <f t="shared" si="27"/>
        <v>0.34739454094292804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484">
        <v>0</v>
      </c>
      <c r="D110" s="484"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484">
        <v>124087</v>
      </c>
      <c r="D111" s="484">
        <v>0</v>
      </c>
      <c r="E111" s="171">
        <f t="shared" ref="E111:F111" si="28">SUM(E105:E110)</f>
        <v>124087</v>
      </c>
      <c r="F111" s="171">
        <f t="shared" si="28"/>
        <v>11245</v>
      </c>
      <c r="G111" s="171">
        <f>SUM(G105:G110)</f>
        <v>135332</v>
      </c>
      <c r="H111" s="172">
        <f t="shared" si="26"/>
        <v>6.8313168214740759E-3</v>
      </c>
      <c r="J111" s="168"/>
      <c r="K111" s="168"/>
      <c r="M111" s="364">
        <f>G111/G$228</f>
        <v>2.8219446587568031</v>
      </c>
      <c r="N111" s="359">
        <f>SUMMARY!J114</f>
        <v>2.4242384372309496</v>
      </c>
      <c r="O111" s="354">
        <f>M111/N111-1</f>
        <v>0.1640540861896933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484">
        <v>251645</v>
      </c>
      <c r="D114" s="484">
        <v>0</v>
      </c>
      <c r="E114" s="171">
        <f t="shared" ref="E114:E118" si="29">C114+D114</f>
        <v>251645</v>
      </c>
      <c r="F114" s="171">
        <v>27169</v>
      </c>
      <c r="G114" s="171">
        <f>E114+F114</f>
        <v>278814</v>
      </c>
      <c r="H114" s="172">
        <f t="shared" ref="H114:H119" si="30">IF($G$208=0,0,G114/$G$208)</f>
        <v>1.4074031036727995E-2</v>
      </c>
      <c r="J114" s="183">
        <f>20902+4726</f>
        <v>25628</v>
      </c>
      <c r="K114" s="183">
        <f>22295+5046</f>
        <v>27341</v>
      </c>
      <c r="M114" s="364">
        <f t="shared" ref="M114:M119" si="31">G114/G$228</f>
        <v>5.8138332255979313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484">
        <v>38434</v>
      </c>
      <c r="D115" s="484">
        <v>0</v>
      </c>
      <c r="E115" s="171">
        <f t="shared" si="29"/>
        <v>38434</v>
      </c>
      <c r="F115" s="171">
        <v>4477</v>
      </c>
      <c r="G115" s="171">
        <f>E115+F115</f>
        <v>42911</v>
      </c>
      <c r="H115" s="172">
        <f t="shared" si="30"/>
        <v>2.1660703760106557E-3</v>
      </c>
      <c r="J115" s="168"/>
      <c r="K115" s="168"/>
      <c r="M115" s="364">
        <f t="shared" si="31"/>
        <v>0.89478074108055128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484">
        <v>66755</v>
      </c>
      <c r="D116" s="484">
        <v>0</v>
      </c>
      <c r="E116" s="171">
        <f t="shared" si="29"/>
        <v>66755</v>
      </c>
      <c r="F116" s="171">
        <v>4704</v>
      </c>
      <c r="G116" s="171">
        <f>E116+F116</f>
        <v>71459</v>
      </c>
      <c r="H116" s="172">
        <f t="shared" si="30"/>
        <v>3.6071222530200987E-3</v>
      </c>
      <c r="J116" s="168"/>
      <c r="K116" s="168"/>
      <c r="M116" s="364">
        <f t="shared" si="31"/>
        <v>1.4900640156807139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484">
        <v>3930</v>
      </c>
      <c r="D117" s="484">
        <v>0</v>
      </c>
      <c r="E117" s="171">
        <f t="shared" si="29"/>
        <v>3930</v>
      </c>
      <c r="F117" s="171">
        <v>497</v>
      </c>
      <c r="G117" s="171">
        <f>E117+F117</f>
        <v>4427</v>
      </c>
      <c r="H117" s="172">
        <f t="shared" si="30"/>
        <v>2.2346702604458468E-4</v>
      </c>
      <c r="J117" s="168"/>
      <c r="K117" s="168"/>
      <c r="M117" s="364">
        <f t="shared" si="31"/>
        <v>9.231186271034468E-2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484">
        <v>0</v>
      </c>
      <c r="D118" s="484"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484">
        <v>360764</v>
      </c>
      <c r="D119" s="484">
        <v>0</v>
      </c>
      <c r="E119" s="171">
        <f t="shared" ref="E119:F119" si="32">SUM(E114:E118)</f>
        <v>360764</v>
      </c>
      <c r="F119" s="171">
        <f t="shared" si="32"/>
        <v>36847</v>
      </c>
      <c r="G119" s="171">
        <f>SUM(G114:G118)</f>
        <v>397611</v>
      </c>
      <c r="H119" s="172">
        <f t="shared" si="30"/>
        <v>2.0070690691803332E-2</v>
      </c>
      <c r="J119" s="168"/>
      <c r="K119" s="168"/>
      <c r="M119" s="364">
        <f t="shared" si="31"/>
        <v>8.2909898450695412</v>
      </c>
      <c r="N119" s="359">
        <f>SUMMARY!J122</f>
        <v>6.0247597205909562</v>
      </c>
      <c r="O119" s="354">
        <f>M119/N119-1</f>
        <v>0.37615278111975803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484">
        <v>0</v>
      </c>
      <c r="D123" s="484"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484">
        <v>620886</v>
      </c>
      <c r="D124" s="484">
        <v>0</v>
      </c>
      <c r="E124" s="171">
        <f t="shared" si="33"/>
        <v>620886</v>
      </c>
      <c r="F124" s="171">
        <v>68093</v>
      </c>
      <c r="G124" s="171">
        <f>E124+F124</f>
        <v>688979</v>
      </c>
      <c r="H124" s="172">
        <f>IF($G$208=0,0,G124/$G$208)</f>
        <v>3.4778425149575763E-2</v>
      </c>
      <c r="J124" s="183">
        <f>11163+2709</f>
        <v>13872</v>
      </c>
      <c r="K124" s="183">
        <f>12664+2937</f>
        <v>15601</v>
      </c>
      <c r="M124" s="364">
        <f t="shared" si="34"/>
        <v>14.36659924515712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484">
        <v>0</v>
      </c>
      <c r="D125" s="484"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484">
        <v>0</v>
      </c>
      <c r="D126" s="484"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484">
        <v>438441</v>
      </c>
      <c r="D127" s="484">
        <v>0</v>
      </c>
      <c r="E127" s="171">
        <f t="shared" si="33"/>
        <v>438441</v>
      </c>
      <c r="F127" s="171">
        <v>48020</v>
      </c>
      <c r="G127" s="171">
        <f>E127+F127</f>
        <v>486461</v>
      </c>
      <c r="H127" s="172">
        <f>IF($G$208=0,0,G127/$G$208)</f>
        <v>2.4555679457121008E-2</v>
      </c>
      <c r="J127" s="183">
        <f>22144+6138</f>
        <v>28282</v>
      </c>
      <c r="K127" s="183">
        <f>23839+6497</f>
        <v>30336</v>
      </c>
      <c r="M127" s="364">
        <f t="shared" si="34"/>
        <v>10.143691223387618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40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484">
        <v>0</v>
      </c>
      <c r="D129" s="484"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484">
        <v>94828</v>
      </c>
      <c r="D130" s="484">
        <v>0</v>
      </c>
      <c r="E130" s="171">
        <f t="shared" si="35"/>
        <v>94828</v>
      </c>
      <c r="F130" s="171">
        <v>11219</v>
      </c>
      <c r="G130" s="171">
        <f>E130+F130</f>
        <v>106047</v>
      </c>
      <c r="H130" s="172">
        <f>IF($G$208=0,0,G130/$G$208)</f>
        <v>5.3530625052970572E-3</v>
      </c>
      <c r="J130" s="204"/>
      <c r="K130" s="204"/>
      <c r="M130" s="364">
        <f t="shared" si="34"/>
        <v>2.2112934503826343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484">
        <v>0</v>
      </c>
      <c r="D131" s="484"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484">
        <v>0</v>
      </c>
      <c r="D132" s="484"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484">
        <v>66963</v>
      </c>
      <c r="D133" s="484">
        <v>0</v>
      </c>
      <c r="E133" s="171">
        <f t="shared" si="35"/>
        <v>66963</v>
      </c>
      <c r="F133" s="171">
        <v>7912</v>
      </c>
      <c r="G133" s="171">
        <f>E133+F133</f>
        <v>74875</v>
      </c>
      <c r="H133" s="172">
        <f>IF($G$208=0,0,G133/$G$208)</f>
        <v>3.7795558109528526E-3</v>
      </c>
      <c r="J133" s="168"/>
      <c r="K133" s="168"/>
      <c r="M133" s="364">
        <f t="shared" si="34"/>
        <v>1.5612944929832975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484">
        <v>2367224</v>
      </c>
      <c r="D135" s="484">
        <v>0</v>
      </c>
      <c r="E135" s="171">
        <f t="shared" ref="E135:E138" si="36">C135+D135</f>
        <v>2367224</v>
      </c>
      <c r="F135" s="171">
        <v>234736</v>
      </c>
      <c r="G135" s="171">
        <f>E135+F135</f>
        <v>2601960</v>
      </c>
      <c r="H135" s="172">
        <f>IF($G$208=0,0,G135/$G$208)</f>
        <v>0.13134227763428225</v>
      </c>
      <c r="J135" s="183">
        <f>72037+17139</f>
        <v>89176</v>
      </c>
      <c r="K135" s="183">
        <f>79701+19152</f>
        <v>98853</v>
      </c>
      <c r="M135" s="364">
        <f t="shared" si="34"/>
        <v>54.256104426882416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484">
        <v>665933</v>
      </c>
      <c r="D136" s="484">
        <v>0</v>
      </c>
      <c r="E136" s="171">
        <f t="shared" si="36"/>
        <v>665933</v>
      </c>
      <c r="F136" s="171">
        <v>77049</v>
      </c>
      <c r="G136" s="171">
        <f>E136+F136</f>
        <v>742982</v>
      </c>
      <c r="H136" s="172">
        <f>IF($G$208=0,0,G136/$G$208)</f>
        <v>3.7504399806789615E-2</v>
      </c>
      <c r="J136" s="183">
        <f>28120+7491</f>
        <v>35611</v>
      </c>
      <c r="K136" s="183">
        <f>29332+7935</f>
        <v>37267</v>
      </c>
      <c r="M136" s="364">
        <f t="shared" si="34"/>
        <v>15.49267051733845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484">
        <v>1843788</v>
      </c>
      <c r="D137" s="484">
        <v>0</v>
      </c>
      <c r="E137" s="171">
        <f t="shared" si="36"/>
        <v>1843788</v>
      </c>
      <c r="F137" s="171">
        <v>169556</v>
      </c>
      <c r="G137" s="171">
        <f>E137+F137</f>
        <v>2013344</v>
      </c>
      <c r="H137" s="172">
        <f>IF($G$208=0,0,G137/$G$208)</f>
        <v>0.101629996856722</v>
      </c>
      <c r="J137" s="183">
        <f>135851+28259</f>
        <v>164110</v>
      </c>
      <c r="K137" s="183">
        <f>142531+29919</f>
        <v>172450</v>
      </c>
      <c r="M137" s="364">
        <f t="shared" si="34"/>
        <v>41.982275788727399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484">
        <v>1258434</v>
      </c>
      <c r="D138" s="484">
        <v>0</v>
      </c>
      <c r="E138" s="171">
        <f t="shared" si="36"/>
        <v>1258434</v>
      </c>
      <c r="F138" s="171">
        <v>87620</v>
      </c>
      <c r="G138" s="171">
        <f>E138+F138</f>
        <v>1346054</v>
      </c>
      <c r="H138" s="172">
        <f>IF($G$208=0,0,G138/$G$208)</f>
        <v>6.7946393556678877E-2</v>
      </c>
      <c r="J138" s="183">
        <f>41863+11120</f>
        <v>52983</v>
      </c>
      <c r="K138" s="183">
        <f>45797+12144</f>
        <v>57941</v>
      </c>
      <c r="M138" s="364">
        <f t="shared" si="34"/>
        <v>28.067935859207207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484">
        <v>361546</v>
      </c>
      <c r="D140" s="484">
        <v>0</v>
      </c>
      <c r="E140" s="171">
        <f t="shared" ref="E140:E143" si="37">C140+D140</f>
        <v>361546</v>
      </c>
      <c r="F140" s="171">
        <v>38676</v>
      </c>
      <c r="G140" s="171">
        <f>E140+F140</f>
        <v>400222</v>
      </c>
      <c r="H140" s="172">
        <f>IF($G$208=0,0,G140/$G$208)</f>
        <v>2.020248929243636E-2</v>
      </c>
      <c r="J140" s="168"/>
      <c r="K140" s="168"/>
      <c r="M140" s="364">
        <f t="shared" si="34"/>
        <v>8.3454344516963115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484">
        <v>101708</v>
      </c>
      <c r="D141" s="484">
        <v>0</v>
      </c>
      <c r="E141" s="171">
        <f t="shared" si="37"/>
        <v>101708</v>
      </c>
      <c r="F141" s="171">
        <v>12695</v>
      </c>
      <c r="G141" s="171">
        <f>E141+F141</f>
        <v>114403</v>
      </c>
      <c r="H141" s="172">
        <f>IF($G$208=0,0,G141/$G$208)</f>
        <v>5.7748584098890037E-3</v>
      </c>
      <c r="J141" s="168"/>
      <c r="K141" s="168"/>
      <c r="M141" s="364">
        <f t="shared" si="34"/>
        <v>2.3855328731989074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484">
        <v>281602</v>
      </c>
      <c r="D142" s="484">
        <v>0</v>
      </c>
      <c r="E142" s="171">
        <f t="shared" si="37"/>
        <v>281602</v>
      </c>
      <c r="F142" s="171">
        <v>27937</v>
      </c>
      <c r="G142" s="171">
        <f>E142+F142</f>
        <v>309539</v>
      </c>
      <c r="H142" s="172">
        <f>IF($G$208=0,0,G142/$G$208)</f>
        <v>1.562497397217409E-2</v>
      </c>
      <c r="J142" s="168"/>
      <c r="K142" s="168"/>
      <c r="M142" s="364">
        <f t="shared" si="34"/>
        <v>6.4545113330692079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484">
        <v>192201</v>
      </c>
      <c r="D143" s="484">
        <v>0</v>
      </c>
      <c r="E143" s="171">
        <f t="shared" si="37"/>
        <v>192201</v>
      </c>
      <c r="F143" s="171">
        <v>14437</v>
      </c>
      <c r="G143" s="171">
        <f>E143+F143</f>
        <v>206638</v>
      </c>
      <c r="H143" s="172">
        <f>IF($G$208=0,0,G143/$G$208)</f>
        <v>1.0430715908696835E-2</v>
      </c>
      <c r="J143" s="168"/>
      <c r="K143" s="168"/>
      <c r="M143" s="364">
        <f t="shared" si="34"/>
        <v>4.3088183164084493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484">
        <v>68215</v>
      </c>
      <c r="D145" s="484">
        <v>0</v>
      </c>
      <c r="E145" s="171">
        <f t="shared" ref="E145:E153" si="38">C145+D145</f>
        <v>68215</v>
      </c>
      <c r="F145" s="171">
        <v>7416</v>
      </c>
      <c r="G145" s="171">
        <f t="shared" ref="G145:G153" si="39">E145+F145</f>
        <v>75631</v>
      </c>
      <c r="H145" s="172">
        <f t="shared" ref="H145:H153" si="40">IF($G$208=0,0,G145/$G$208)</f>
        <v>3.8177173360691174E-3</v>
      </c>
      <c r="J145" s="183">
        <v>0</v>
      </c>
      <c r="K145" s="183">
        <v>0</v>
      </c>
      <c r="M145" s="364">
        <f t="shared" si="34"/>
        <v>1.5770586150092791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484">
        <v>30474</v>
      </c>
      <c r="D146" s="484">
        <v>0</v>
      </c>
      <c r="E146" s="171">
        <f t="shared" si="38"/>
        <v>30474</v>
      </c>
      <c r="F146" s="171">
        <v>2199</v>
      </c>
      <c r="G146" s="171">
        <f t="shared" si="39"/>
        <v>32673</v>
      </c>
      <c r="H146" s="172">
        <f t="shared" si="40"/>
        <v>1.6492744842906517E-3</v>
      </c>
      <c r="J146" s="183">
        <v>0</v>
      </c>
      <c r="K146" s="183">
        <v>0</v>
      </c>
      <c r="M146" s="364">
        <f t="shared" si="34"/>
        <v>0.68129782930541949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484">
        <v>0</v>
      </c>
      <c r="D147" s="484"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484">
        <v>0</v>
      </c>
      <c r="D148" s="484"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484">
        <v>17739</v>
      </c>
      <c r="D149" s="484">
        <v>0</v>
      </c>
      <c r="E149" s="171">
        <f t="shared" si="38"/>
        <v>17739</v>
      </c>
      <c r="F149" s="171">
        <v>1924</v>
      </c>
      <c r="G149" s="171">
        <f t="shared" si="39"/>
        <v>19663</v>
      </c>
      <c r="H149" s="172">
        <f t="shared" si="40"/>
        <v>9.9255300047767538E-4</v>
      </c>
      <c r="J149" s="183">
        <v>0</v>
      </c>
      <c r="K149" s="183">
        <v>0</v>
      </c>
      <c r="M149" s="364">
        <f t="shared" si="34"/>
        <v>0.41001313676835499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484">
        <v>1190365</v>
      </c>
      <c r="D150" s="484">
        <v>0</v>
      </c>
      <c r="E150" s="171">
        <f t="shared" si="38"/>
        <v>1190365</v>
      </c>
      <c r="F150" s="171">
        <v>89885</v>
      </c>
      <c r="G150" s="171">
        <f t="shared" si="39"/>
        <v>1280250</v>
      </c>
      <c r="H150" s="172">
        <f t="shared" si="40"/>
        <v>6.4624725568913383E-2</v>
      </c>
      <c r="J150" s="168"/>
      <c r="K150" s="168"/>
      <c r="M150" s="364">
        <f t="shared" si="34"/>
        <v>26.695789978522427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484">
        <v>41250</v>
      </c>
      <c r="D151" s="484">
        <v>0</v>
      </c>
      <c r="E151" s="171">
        <f t="shared" si="38"/>
        <v>41250</v>
      </c>
      <c r="F151" s="171">
        <v>813</v>
      </c>
      <c r="G151" s="171">
        <f t="shared" si="39"/>
        <v>42063</v>
      </c>
      <c r="H151" s="172">
        <f t="shared" si="40"/>
        <v>2.123264855774422E-3</v>
      </c>
      <c r="J151" s="168"/>
      <c r="K151" s="168"/>
      <c r="M151" s="364">
        <f t="shared" si="34"/>
        <v>0.87709823383447671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484">
        <v>119880</v>
      </c>
      <c r="D152" s="484">
        <v>0</v>
      </c>
      <c r="E152" s="171">
        <f t="shared" si="38"/>
        <v>119880</v>
      </c>
      <c r="F152" s="171">
        <v>9026</v>
      </c>
      <c r="G152" s="171">
        <f t="shared" si="39"/>
        <v>128906</v>
      </c>
      <c r="H152" s="172">
        <f t="shared" si="40"/>
        <v>6.5069438579858216E-3</v>
      </c>
      <c r="J152" s="168"/>
      <c r="K152" s="168"/>
      <c r="M152" s="364">
        <f t="shared" si="34"/>
        <v>2.6879496215359593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484">
        <v>0</v>
      </c>
      <c r="D153" s="484">
        <v>0</v>
      </c>
      <c r="E153" s="171">
        <f t="shared" si="38"/>
        <v>0</v>
      </c>
      <c r="F153" s="490">
        <f>3227-214807</f>
        <v>-211580</v>
      </c>
      <c r="G153" s="171">
        <f t="shared" si="39"/>
        <v>-211580</v>
      </c>
      <c r="H153" s="172">
        <f t="shared" si="40"/>
        <v>-1.068017921177168E-2</v>
      </c>
      <c r="J153" s="168"/>
      <c r="K153" s="168"/>
      <c r="M153" s="364">
        <f t="shared" si="34"/>
        <v>-4.4118689659486625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484">
        <v>0</v>
      </c>
      <c r="D155" s="484"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484">
        <v>0</v>
      </c>
      <c r="D156" s="484"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484">
        <v>0</v>
      </c>
      <c r="D157" s="484"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484">
        <v>0</v>
      </c>
      <c r="D158" s="484"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484">
        <v>0</v>
      </c>
      <c r="D159" s="484"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484">
        <v>214817</v>
      </c>
      <c r="D160" s="484">
        <v>0</v>
      </c>
      <c r="E160" s="171">
        <f t="shared" si="41"/>
        <v>214817</v>
      </c>
      <c r="F160" s="490">
        <f>15275+214817</f>
        <v>230092</v>
      </c>
      <c r="G160" s="171">
        <f t="shared" si="42"/>
        <v>444909</v>
      </c>
      <c r="H160" s="172">
        <f t="shared" si="43"/>
        <v>2.2458208965545543E-2</v>
      </c>
      <c r="J160" s="168"/>
      <c r="K160" s="168"/>
      <c r="M160" s="364">
        <f t="shared" si="34"/>
        <v>9.2772483683299622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484">
        <v>9976294</v>
      </c>
      <c r="D161" s="484">
        <v>0</v>
      </c>
      <c r="E161" s="171">
        <f t="shared" ref="E161:F161" si="44">SUM(E123:E160)</f>
        <v>9976294</v>
      </c>
      <c r="F161" s="171">
        <f t="shared" si="44"/>
        <v>927725</v>
      </c>
      <c r="G161" s="171">
        <f>SUM(G123:G160)</f>
        <v>10904019</v>
      </c>
      <c r="H161" s="172">
        <f t="shared" si="43"/>
        <v>0.55041533721790059</v>
      </c>
      <c r="J161" s="168"/>
      <c r="K161" s="168"/>
      <c r="M161" s="364">
        <f>G161/G$228</f>
        <v>227.37074879579623</v>
      </c>
      <c r="N161" s="359">
        <f>SUMMARY!J164</f>
        <v>105.56901037202306</v>
      </c>
      <c r="O161" s="354">
        <f>M161/N161-1</f>
        <v>1.1537641396328935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484">
        <v>0</v>
      </c>
      <c r="D164" s="484"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407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484">
        <v>0</v>
      </c>
      <c r="D165" s="484"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408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484">
        <v>0</v>
      </c>
      <c r="D166" s="484"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407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484">
        <v>0</v>
      </c>
      <c r="D167" s="484"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408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484">
        <v>0</v>
      </c>
      <c r="D168" s="484"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407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484">
        <v>0</v>
      </c>
      <c r="D169" s="484"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408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484">
        <v>0</v>
      </c>
      <c r="D170" s="484"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407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484">
        <v>0</v>
      </c>
      <c r="D171" s="484"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408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484">
        <v>0</v>
      </c>
      <c r="D172" s="484">
        <v>0</v>
      </c>
      <c r="E172" s="171">
        <f t="shared" si="45"/>
        <v>0</v>
      </c>
      <c r="F172" s="216">
        <v>0</v>
      </c>
      <c r="G172" s="171">
        <f t="shared" si="46"/>
        <v>0</v>
      </c>
      <c r="H172" s="172">
        <f t="shared" si="47"/>
        <v>0</v>
      </c>
      <c r="I172" s="407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484">
        <v>0</v>
      </c>
      <c r="D173" s="484">
        <v>0</v>
      </c>
      <c r="E173" s="171">
        <f t="shared" si="45"/>
        <v>0</v>
      </c>
      <c r="F173" s="216">
        <v>0</v>
      </c>
      <c r="G173" s="171">
        <f t="shared" si="46"/>
        <v>0</v>
      </c>
      <c r="H173" s="172">
        <f t="shared" si="47"/>
        <v>0</v>
      </c>
      <c r="I173" s="408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484">
        <v>0</v>
      </c>
      <c r="D174" s="484"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407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484">
        <v>0</v>
      </c>
      <c r="D175" s="484"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484">
        <v>0</v>
      </c>
      <c r="D176" s="484"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484">
        <v>0</v>
      </c>
      <c r="D177" s="484"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223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484">
        <v>0</v>
      </c>
      <c r="D178" s="484"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223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484">
        <v>0</v>
      </c>
      <c r="D179" s="484"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484">
        <v>0</v>
      </c>
      <c r="D180" s="484"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223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484">
        <v>0</v>
      </c>
      <c r="D181" s="484"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223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484">
        <v>0</v>
      </c>
      <c r="D182" s="484"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223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484">
        <v>734892</v>
      </c>
      <c r="D183" s="484">
        <v>0</v>
      </c>
      <c r="E183" s="171">
        <f t="shared" si="45"/>
        <v>734892</v>
      </c>
      <c r="F183" s="216">
        <v>75000</v>
      </c>
      <c r="G183" s="171">
        <f t="shared" si="46"/>
        <v>809892</v>
      </c>
      <c r="H183" s="172">
        <f t="shared" si="47"/>
        <v>4.0881896692410387E-2</v>
      </c>
      <c r="I183" s="223"/>
      <c r="J183" s="223"/>
      <c r="K183" s="218"/>
      <c r="M183" s="364">
        <f t="shared" si="48"/>
        <v>16.887878724690868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484">
        <v>118459</v>
      </c>
      <c r="D184" s="484">
        <v>0</v>
      </c>
      <c r="E184" s="171">
        <f t="shared" si="45"/>
        <v>118459</v>
      </c>
      <c r="F184" s="216">
        <v>10244</v>
      </c>
      <c r="G184" s="171">
        <f t="shared" si="46"/>
        <v>128703</v>
      </c>
      <c r="H184" s="172">
        <f t="shared" si="47"/>
        <v>6.4966967817971944E-3</v>
      </c>
      <c r="I184" s="223"/>
      <c r="J184" s="223"/>
      <c r="K184" s="218"/>
      <c r="M184" s="364">
        <f t="shared" si="48"/>
        <v>2.6837166628437976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484">
        <v>0</v>
      </c>
      <c r="D185" s="484"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484">
        <v>539592</v>
      </c>
      <c r="D186" s="484">
        <v>0</v>
      </c>
      <c r="E186" s="171">
        <f t="shared" si="45"/>
        <v>539592</v>
      </c>
      <c r="F186" s="216">
        <v>58484</v>
      </c>
      <c r="G186" s="171">
        <f t="shared" si="46"/>
        <v>598076</v>
      </c>
      <c r="H186" s="172">
        <f t="shared" si="47"/>
        <v>3.0189804623591828E-2</v>
      </c>
      <c r="I186" s="223"/>
      <c r="J186" s="223"/>
      <c r="K186" s="218"/>
      <c r="M186" s="364">
        <f t="shared" si="48"/>
        <v>12.471088683612402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484">
        <v>153231</v>
      </c>
      <c r="D187" s="484">
        <v>0</v>
      </c>
      <c r="E187" s="171">
        <f t="shared" si="45"/>
        <v>153231</v>
      </c>
      <c r="F187" s="216">
        <v>17481</v>
      </c>
      <c r="G187" s="171">
        <f t="shared" si="46"/>
        <v>170712</v>
      </c>
      <c r="H187" s="172">
        <f t="shared" si="47"/>
        <v>8.6172358143490266E-3</v>
      </c>
      <c r="I187" s="223"/>
      <c r="J187" s="223"/>
      <c r="K187" s="218"/>
      <c r="M187" s="364">
        <f t="shared" si="48"/>
        <v>3.5596888879621327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484">
        <v>0</v>
      </c>
      <c r="D188" s="484"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484">
        <v>0</v>
      </c>
      <c r="D189" s="484"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484">
        <v>0</v>
      </c>
      <c r="D190" s="484"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484">
        <v>0</v>
      </c>
      <c r="D191" s="484"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484">
        <v>0</v>
      </c>
      <c r="D192" s="484"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484">
        <v>0</v>
      </c>
      <c r="D193" s="484"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484">
        <v>867547</v>
      </c>
      <c r="D194" s="484">
        <v>0</v>
      </c>
      <c r="E194" s="171">
        <f t="shared" si="45"/>
        <v>867547</v>
      </c>
      <c r="F194" s="216">
        <v>79170</v>
      </c>
      <c r="G194" s="171">
        <f t="shared" si="46"/>
        <v>946717</v>
      </c>
      <c r="H194" s="172">
        <f t="shared" si="47"/>
        <v>4.7788577478168302E-2</v>
      </c>
      <c r="I194" s="223"/>
      <c r="J194" s="223"/>
      <c r="K194" s="218"/>
      <c r="M194" s="364">
        <f t="shared" si="48"/>
        <v>19.74095543924766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484">
        <v>46267</v>
      </c>
      <c r="D195" s="484">
        <v>0</v>
      </c>
      <c r="E195" s="171">
        <f t="shared" si="45"/>
        <v>46267</v>
      </c>
      <c r="F195" s="216">
        <v>2438</v>
      </c>
      <c r="G195" s="171">
        <f t="shared" si="46"/>
        <v>48705</v>
      </c>
      <c r="H195" s="172">
        <f t="shared" si="47"/>
        <v>2.4585411121530376E-3</v>
      </c>
      <c r="I195" s="223"/>
      <c r="J195" s="223"/>
      <c r="K195" s="218"/>
      <c r="M195" s="364">
        <f t="shared" si="48"/>
        <v>1.0155973059198866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484">
        <v>0</v>
      </c>
      <c r="D196" s="484">
        <v>0</v>
      </c>
      <c r="E196" s="171">
        <f t="shared" si="45"/>
        <v>0</v>
      </c>
      <c r="F196" s="216">
        <v>0</v>
      </c>
      <c r="G196" s="171">
        <f t="shared" si="46"/>
        <v>0</v>
      </c>
      <c r="H196" s="172">
        <f t="shared" si="47"/>
        <v>0</v>
      </c>
      <c r="I196" s="223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484">
        <v>2459988</v>
      </c>
      <c r="D197" s="484">
        <v>0</v>
      </c>
      <c r="E197" s="171">
        <f t="shared" ref="E197:F197" si="49">SUM(E164:E196)</f>
        <v>2459988</v>
      </c>
      <c r="F197" s="171">
        <f t="shared" si="49"/>
        <v>242817</v>
      </c>
      <c r="G197" s="171">
        <f>SUM(G164:G196)</f>
        <v>2702805</v>
      </c>
      <c r="H197" s="172">
        <f>IF($G$208=0,0,G197/$G$208)</f>
        <v>0.13643275250246978</v>
      </c>
      <c r="J197" s="168"/>
      <c r="K197" s="168"/>
      <c r="M197" s="364">
        <f>G197/G$228</f>
        <v>56.35892570427675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484">
        <v>293634</v>
      </c>
      <c r="D200" s="484">
        <v>0</v>
      </c>
      <c r="E200" s="171">
        <f t="shared" ref="E200:E205" si="50">C200+D200</f>
        <v>293634</v>
      </c>
      <c r="F200" s="171">
        <v>32392</v>
      </c>
      <c r="G200" s="171">
        <f t="shared" ref="G200:G205" si="51">E200+F200</f>
        <v>326026</v>
      </c>
      <c r="H200" s="172">
        <f t="shared" ref="H200:H206" si="52">IF($G$208=0,0,G200/$G$208)</f>
        <v>1.6457208184597189E-2</v>
      </c>
      <c r="J200" s="183">
        <f>7553+3779</f>
        <v>11332</v>
      </c>
      <c r="K200" s="183">
        <f>8272+4066</f>
        <v>12338</v>
      </c>
      <c r="M200" s="364">
        <f t="shared" ref="M200:M205" si="53">G200/G$228</f>
        <v>6.7982984757178304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484">
        <v>44847</v>
      </c>
      <c r="D201" s="484">
        <v>0</v>
      </c>
      <c r="E201" s="171">
        <f t="shared" si="50"/>
        <v>44847</v>
      </c>
      <c r="F201" s="171">
        <v>5337</v>
      </c>
      <c r="G201" s="171">
        <f t="shared" si="51"/>
        <v>50184</v>
      </c>
      <c r="H201" s="172">
        <f t="shared" si="52"/>
        <v>2.5331983815273179E-3</v>
      </c>
      <c r="J201" s="168"/>
      <c r="K201" s="168"/>
      <c r="M201" s="364">
        <f t="shared" si="53"/>
        <v>1.0464374335342077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484">
        <v>3353</v>
      </c>
      <c r="D202" s="484">
        <v>0</v>
      </c>
      <c r="E202" s="171">
        <f t="shared" si="50"/>
        <v>3353</v>
      </c>
      <c r="F202" s="171">
        <v>280</v>
      </c>
      <c r="G202" s="171">
        <f t="shared" si="51"/>
        <v>3633</v>
      </c>
      <c r="H202" s="172">
        <f t="shared" si="52"/>
        <v>1.8338732903094108E-4</v>
      </c>
      <c r="J202" s="168"/>
      <c r="K202" s="168"/>
      <c r="M202" s="364">
        <f t="shared" si="53"/>
        <v>7.5755364180411622E-2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484">
        <v>0</v>
      </c>
      <c r="D203" s="484"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484">
        <v>0</v>
      </c>
      <c r="D204" s="484"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484">
        <v>15075</v>
      </c>
      <c r="D205" s="484">
        <v>0</v>
      </c>
      <c r="E205" s="171">
        <f t="shared" si="50"/>
        <v>15075</v>
      </c>
      <c r="F205" s="171">
        <v>1465</v>
      </c>
      <c r="G205" s="171">
        <f t="shared" si="51"/>
        <v>16540</v>
      </c>
      <c r="H205" s="172">
        <f t="shared" si="52"/>
        <v>8.3490955743786551E-4</v>
      </c>
      <c r="J205" s="168"/>
      <c r="K205" s="168"/>
      <c r="M205" s="364">
        <f t="shared" si="53"/>
        <v>0.3448922993515024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484">
        <v>356909</v>
      </c>
      <c r="D206" s="484">
        <v>0</v>
      </c>
      <c r="E206" s="171">
        <f t="shared" ref="E206:F206" si="54">SUM(E200:E205)</f>
        <v>356909</v>
      </c>
      <c r="F206" s="171">
        <f t="shared" si="54"/>
        <v>39474</v>
      </c>
      <c r="G206" s="171">
        <f>SUM(G200:G205)</f>
        <v>396383</v>
      </c>
      <c r="H206" s="172">
        <f t="shared" si="52"/>
        <v>2.0008703452593316E-2</v>
      </c>
      <c r="J206" s="168"/>
      <c r="K206" s="168"/>
      <c r="M206" s="364">
        <f>G206/G$228</f>
        <v>8.2653835727839517</v>
      </c>
      <c r="N206" s="359">
        <f>SUMMARY!J209</f>
        <v>7.1515095990067339</v>
      </c>
      <c r="O206" s="354">
        <f>M206/N206-1</f>
        <v>0.15575368505859566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484">
        <v>18287210</v>
      </c>
      <c r="D208" s="484">
        <v>-231781</v>
      </c>
      <c r="E208" s="171">
        <f t="shared" ref="E208:F208" si="55">SUM(E25:E206)/2</f>
        <v>18055429</v>
      </c>
      <c r="F208" s="171">
        <f t="shared" si="55"/>
        <v>1755100</v>
      </c>
      <c r="G208" s="171">
        <f>SUM(G25:G206)/2</f>
        <v>19810529</v>
      </c>
      <c r="H208" s="172">
        <f>IF($G$208=0,0,G208/$G$208)</f>
        <v>1</v>
      </c>
      <c r="I208" s="336"/>
      <c r="J208" s="183">
        <f>SUM(J25:J200)</f>
        <v>511605.92</v>
      </c>
      <c r="K208" s="183">
        <f>SUM(K25:K200)</f>
        <v>548944</v>
      </c>
      <c r="M208" s="364">
        <f>G208/G$228</f>
        <v>413.08941343286693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2.2005844182493588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/>
      <c r="K210"/>
      <c r="P210"/>
      <c r="Q210"/>
    </row>
    <row r="211" spans="1:17" s="167" customFormat="1">
      <c r="A211" s="163"/>
      <c r="B211" s="228" t="s">
        <v>181</v>
      </c>
      <c r="C211" s="484">
        <v>18287200</v>
      </c>
      <c r="D211" s="196"/>
      <c r="E211" s="165"/>
      <c r="F211" s="445" t="s">
        <v>524</v>
      </c>
      <c r="G211"/>
      <c r="I211" s="332"/>
      <c r="J211"/>
      <c r="K211"/>
      <c r="P211"/>
      <c r="Q211"/>
    </row>
    <row r="212" spans="1:17" s="167" customFormat="1">
      <c r="A212" s="163"/>
      <c r="B212" s="170" t="s">
        <v>147</v>
      </c>
      <c r="C212" s="484">
        <v>10</v>
      </c>
      <c r="D212" s="229"/>
      <c r="E212" s="165"/>
      <c r="F212" s="445" t="s">
        <v>564</v>
      </c>
      <c r="G212"/>
      <c r="I212" s="332"/>
      <c r="J212"/>
      <c r="K212"/>
      <c r="P212"/>
      <c r="Q212"/>
    </row>
    <row r="213" spans="1:17" s="167" customFormat="1">
      <c r="A213" s="163"/>
      <c r="B213" s="230"/>
      <c r="C213" s="576"/>
      <c r="D213" s="232"/>
      <c r="E213" s="232"/>
      <c r="F213" s="460" t="s">
        <v>565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484">
        <v>-2742676</v>
      </c>
      <c r="D215" s="484">
        <v>231781</v>
      </c>
      <c r="E215" s="171">
        <f t="shared" ref="E215:F215" si="56">E21-E208</f>
        <v>-2510895</v>
      </c>
      <c r="F215" s="171">
        <f t="shared" si="56"/>
        <v>-100980</v>
      </c>
      <c r="G215" s="171">
        <f>G21-G208</f>
        <v>-2611875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485">
        <v>20225</v>
      </c>
      <c r="D219" s="485"/>
      <c r="E219" s="235">
        <f t="shared" ref="E219:G227" si="57">C219+D219</f>
        <v>20225</v>
      </c>
      <c r="F219" s="234">
        <v>4863</v>
      </c>
      <c r="G219" s="235">
        <f t="shared" si="57"/>
        <v>25088</v>
      </c>
      <c r="H219" s="172">
        <f t="shared" ref="H219:H228" si="58">IF($G$228=0,0,G219/$G$228)</f>
        <v>0.52313530871405634</v>
      </c>
      <c r="I219" s="336"/>
      <c r="J219" s="168"/>
      <c r="K219" s="168"/>
    </row>
    <row r="220" spans="1:17">
      <c r="A220" s="163"/>
      <c r="B220" s="170" t="s">
        <v>217</v>
      </c>
      <c r="C220" s="485">
        <v>1275</v>
      </c>
      <c r="D220" s="485"/>
      <c r="E220" s="235">
        <f t="shared" ref="E220:E227" si="59">C220+D220</f>
        <v>1275</v>
      </c>
      <c r="F220" s="234">
        <v>226</v>
      </c>
      <c r="G220" s="235">
        <f t="shared" si="57"/>
        <v>1501</v>
      </c>
      <c r="H220" s="172">
        <f t="shared" si="58"/>
        <v>3.1298871906082534E-2</v>
      </c>
      <c r="I220" s="336"/>
      <c r="J220" s="168"/>
      <c r="K220" s="168"/>
    </row>
    <row r="221" spans="1:17">
      <c r="A221" s="163"/>
      <c r="B221" s="170" t="s">
        <v>72</v>
      </c>
      <c r="C221" s="485">
        <v>7444</v>
      </c>
      <c r="D221" s="485"/>
      <c r="E221" s="235">
        <f t="shared" si="59"/>
        <v>7444</v>
      </c>
      <c r="F221" s="234">
        <v>1759</v>
      </c>
      <c r="G221" s="235">
        <f t="shared" si="57"/>
        <v>9203</v>
      </c>
      <c r="H221" s="172">
        <f t="shared" si="58"/>
        <v>0.19190107804908563</v>
      </c>
      <c r="I221" s="336"/>
      <c r="J221" s="168"/>
      <c r="K221" s="168"/>
    </row>
    <row r="222" spans="1:17">
      <c r="A222" s="163"/>
      <c r="B222" s="202" t="s">
        <v>334</v>
      </c>
      <c r="C222" s="485">
        <v>7123</v>
      </c>
      <c r="D222" s="485"/>
      <c r="E222" s="235">
        <f>C222+D222</f>
        <v>7123</v>
      </c>
      <c r="F222" s="234">
        <v>1029</v>
      </c>
      <c r="G222" s="235">
        <f>E222+F222</f>
        <v>8152</v>
      </c>
      <c r="H222" s="172">
        <f t="shared" si="58"/>
        <v>0.16998561211084931</v>
      </c>
      <c r="I222" s="336"/>
      <c r="J222" s="168"/>
      <c r="K222" s="168"/>
    </row>
    <row r="223" spans="1:17">
      <c r="A223" s="163"/>
      <c r="B223" s="170" t="s">
        <v>73</v>
      </c>
      <c r="C223" s="485">
        <v>0</v>
      </c>
      <c r="D223" s="485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485">
        <v>2953</v>
      </c>
      <c r="D224" s="485"/>
      <c r="E224" s="235">
        <f t="shared" si="59"/>
        <v>2953</v>
      </c>
      <c r="F224" s="234">
        <v>1047</v>
      </c>
      <c r="G224" s="235">
        <f t="shared" si="57"/>
        <v>4000</v>
      </c>
      <c r="H224" s="172">
        <f t="shared" si="58"/>
        <v>8.3408053047521732E-2</v>
      </c>
      <c r="I224" s="336"/>
      <c r="J224" s="168"/>
      <c r="K224" s="168"/>
    </row>
    <row r="225" spans="1:11">
      <c r="A225" s="163"/>
      <c r="B225" s="170" t="s">
        <v>236</v>
      </c>
      <c r="C225" s="485">
        <v>13</v>
      </c>
      <c r="D225" s="485"/>
      <c r="E225" s="235">
        <f t="shared" si="59"/>
        <v>13</v>
      </c>
      <c r="F225" s="234">
        <v>0</v>
      </c>
      <c r="G225" s="235">
        <f t="shared" si="57"/>
        <v>13</v>
      </c>
      <c r="H225" s="172">
        <f t="shared" si="58"/>
        <v>2.7107617240444562E-4</v>
      </c>
      <c r="I225" s="336"/>
      <c r="J225" s="168"/>
      <c r="K225" s="168"/>
    </row>
    <row r="226" spans="1:11">
      <c r="A226" s="163"/>
      <c r="B226" s="170" t="s">
        <v>235</v>
      </c>
      <c r="C226" s="485">
        <v>0</v>
      </c>
      <c r="D226" s="485"/>
      <c r="E226" s="235">
        <f>C226+D226</f>
        <v>0</v>
      </c>
      <c r="F226" s="234">
        <v>0</v>
      </c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485">
        <v>0</v>
      </c>
      <c r="D227" s="485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485">
        <v>39033</v>
      </c>
      <c r="D228" s="485">
        <v>0</v>
      </c>
      <c r="E228" s="237">
        <f>SUM(E219:E227)</f>
        <v>39033</v>
      </c>
      <c r="F228" s="237">
        <f>SUM(F219:F227)</f>
        <v>8924</v>
      </c>
      <c r="G228" s="237">
        <f>SUM(G219:G227)</f>
        <v>47957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86">
        <v>160</v>
      </c>
      <c r="D231" s="512"/>
      <c r="E231" s="235">
        <f>C231+D231</f>
        <v>160</v>
      </c>
      <c r="F231" s="235"/>
      <c r="G231" s="235">
        <f>E231+F231</f>
        <v>160</v>
      </c>
      <c r="H231" s="167"/>
      <c r="J231" s="168"/>
      <c r="K231" s="168"/>
    </row>
    <row r="232" spans="1:11">
      <c r="A232" s="163"/>
      <c r="B232" s="202" t="s">
        <v>290</v>
      </c>
      <c r="C232" s="486">
        <v>160</v>
      </c>
      <c r="D232" s="512"/>
      <c r="E232" s="235">
        <f>C232+D232</f>
        <v>160</v>
      </c>
      <c r="F232" s="235"/>
      <c r="G232" s="235">
        <f>E232+F232</f>
        <v>160</v>
      </c>
      <c r="H232" s="167"/>
      <c r="J232" s="168"/>
      <c r="K232" s="168"/>
    </row>
    <row r="233" spans="1:11">
      <c r="A233" s="163"/>
      <c r="B233" s="202" t="s">
        <v>76</v>
      </c>
      <c r="C233" s="486">
        <v>294</v>
      </c>
      <c r="D233" s="483"/>
      <c r="E233" s="235">
        <f>C233+D233</f>
        <v>294</v>
      </c>
      <c r="F233" s="239">
        <v>72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486">
        <v>47040</v>
      </c>
      <c r="D235" s="483"/>
      <c r="E235" s="234">
        <f>E231*E233</f>
        <v>47040</v>
      </c>
      <c r="F235" s="239"/>
      <c r="G235" s="234">
        <f>G231*G233</f>
        <v>58560</v>
      </c>
      <c r="H235" s="167"/>
      <c r="J235" s="168"/>
      <c r="K235" s="168"/>
    </row>
    <row r="236" spans="1:11" ht="26.5">
      <c r="A236" s="163"/>
      <c r="B236" s="243" t="s">
        <v>336</v>
      </c>
      <c r="C236" s="487">
        <v>0.8297831632653061</v>
      </c>
      <c r="D236" s="239"/>
      <c r="E236" s="244">
        <f>E228/E235</f>
        <v>0.8297831632653061</v>
      </c>
      <c r="F236" s="245"/>
      <c r="G236" s="244">
        <f>G228/G235</f>
        <v>0.81893784153005467</v>
      </c>
      <c r="H236" s="167"/>
      <c r="J236" s="168"/>
      <c r="K236" s="168"/>
    </row>
    <row r="237" spans="1:11" ht="26.5">
      <c r="A237" s="163"/>
      <c r="B237" s="243" t="s">
        <v>337</v>
      </c>
      <c r="C237" s="487">
        <v>0.45705782312925169</v>
      </c>
      <c r="D237" s="239"/>
      <c r="E237" s="244">
        <f>(E219+E220)/E235</f>
        <v>0.45705782312925169</v>
      </c>
      <c r="F237" s="245"/>
      <c r="G237" s="244">
        <f>(G219+G220)/G235</f>
        <v>0.45404713114754097</v>
      </c>
      <c r="H237" s="167"/>
      <c r="J237" s="168"/>
      <c r="K237" s="168"/>
    </row>
    <row r="238" spans="1:11" ht="26.5">
      <c r="A238" s="163"/>
      <c r="B238" s="243" t="s">
        <v>338</v>
      </c>
      <c r="C238" s="487">
        <v>0.55081597622524536</v>
      </c>
      <c r="D238" s="239"/>
      <c r="E238" s="244">
        <f>(E237/E236)</f>
        <v>0.55081597622524536</v>
      </c>
      <c r="F238" s="245"/>
      <c r="G238" s="244">
        <f>(G237/G236)</f>
        <v>0.55443418062013883</v>
      </c>
      <c r="H238" s="167"/>
      <c r="J238" s="168"/>
      <c r="K238" s="168"/>
    </row>
    <row r="241" spans="2:8">
      <c r="B241" s="148" t="s">
        <v>339</v>
      </c>
      <c r="F241" s="142" t="s">
        <v>340</v>
      </c>
      <c r="G241" s="558">
        <f>'[63]Sch B'!C85</f>
        <v>394.24153846153848</v>
      </c>
    </row>
    <row r="242" spans="2:8">
      <c r="F242" s="142" t="s">
        <v>341</v>
      </c>
      <c r="G242" s="558">
        <f>'[63]Sch B'!E85</f>
        <v>389.46703296703299</v>
      </c>
    </row>
    <row r="243" spans="2:8">
      <c r="F243" s="142" t="s">
        <v>342</v>
      </c>
      <c r="G243" s="558">
        <f>'[63]Sch B'!G85</f>
        <v>560.32647584973165</v>
      </c>
    </row>
    <row r="244" spans="2:8">
      <c r="F244" s="142" t="s">
        <v>343</v>
      </c>
      <c r="G244" s="558">
        <f>660*19/91+19*72/91</f>
        <v>152.83516483516485</v>
      </c>
      <c r="H244" s="140" t="s">
        <v>720</v>
      </c>
    </row>
    <row r="245" spans="2:8">
      <c r="F245" s="142"/>
    </row>
  </sheetData>
  <phoneticPr fontId="0" type="noConversion"/>
  <printOptions horizontalCentered="1"/>
  <pageMargins left="0.75" right="0.75" top="1" bottom="1" header="0.5" footer="0.5"/>
  <pageSetup scale="37" fitToHeight="4" orientation="landscape" horizontalDpi="300" verticalDpi="300" r:id="rId1"/>
  <headerFooter alignWithMargins="0">
    <oddFooter>&amp;RLVT
&amp;D
&amp;T
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E28CAB"/>
    <pageSetUpPr fitToPage="1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418</v>
      </c>
      <c r="D2" s="246"/>
      <c r="E2" s="144"/>
      <c r="F2" s="140" t="s">
        <v>419</v>
      </c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'[64]Sch B'!E10</f>
        <v>405529</v>
      </c>
      <c r="D11" s="558">
        <f>'[64]Sch B'!G10</f>
        <v>0</v>
      </c>
      <c r="E11" s="171">
        <f>C11+D11</f>
        <v>405529</v>
      </c>
      <c r="F11" s="171"/>
      <c r="G11" s="171">
        <f t="shared" ref="G11:G20" si="0">E11+F11</f>
        <v>405529</v>
      </c>
      <c r="H11" s="172">
        <f t="shared" ref="H11:H21" si="1">IF($G$21=0,0,G11/$G$21)</f>
        <v>3.760993046323774E-2</v>
      </c>
      <c r="J11" s="368" t="s">
        <v>344</v>
      </c>
      <c r="K11" s="369">
        <f>G21</f>
        <v>10782498</v>
      </c>
      <c r="M11" s="359">
        <f>IFERROR(G11/G219,0)</f>
        <v>183.91337868480727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'[64]Sch B'!E15</f>
        <v>0</v>
      </c>
      <c r="D12" s="558">
        <f>'[64]Sch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10114233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'[64]Sch B'!E21</f>
        <v>2325162</v>
      </c>
      <c r="D13" s="558">
        <f>'[64]Sch B'!G21</f>
        <v>0</v>
      </c>
      <c r="E13" s="171">
        <f t="shared" si="2"/>
        <v>2325162</v>
      </c>
      <c r="F13" s="171"/>
      <c r="G13" s="171">
        <f t="shared" si="0"/>
        <v>2325162</v>
      </c>
      <c r="H13" s="172">
        <f t="shared" si="1"/>
        <v>0.21564223800458854</v>
      </c>
      <c r="J13" s="370" t="s">
        <v>346</v>
      </c>
      <c r="K13" s="371">
        <f>G228</f>
        <v>38050</v>
      </c>
      <c r="M13" s="359">
        <f t="shared" si="3"/>
        <v>559.06756431834572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'[64]Sch B'!E27</f>
        <v>176531</v>
      </c>
      <c r="D14" s="558">
        <f>'[64]Sch B'!G27</f>
        <v>0</v>
      </c>
      <c r="E14" s="171">
        <f t="shared" si="2"/>
        <v>176531</v>
      </c>
      <c r="F14" s="175"/>
      <c r="G14" s="175">
        <f>E14+F14</f>
        <v>176531</v>
      </c>
      <c r="H14" s="176">
        <f t="shared" si="1"/>
        <v>1.6371994689913228E-2</v>
      </c>
      <c r="J14" s="370" t="s">
        <v>347</v>
      </c>
      <c r="K14" s="371">
        <f>G231</f>
        <v>108</v>
      </c>
      <c r="M14" s="359">
        <f t="shared" si="3"/>
        <v>398.48984198645599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'[64]Sch B'!E32</f>
        <v>5504782</v>
      </c>
      <c r="D15" s="558">
        <f>'[64]Sch B'!G32</f>
        <v>-2966618</v>
      </c>
      <c r="E15" s="171">
        <f t="shared" si="2"/>
        <v>2538164</v>
      </c>
      <c r="F15" s="171"/>
      <c r="G15" s="171">
        <f t="shared" si="0"/>
        <v>2538164</v>
      </c>
      <c r="H15" s="172">
        <f t="shared" si="1"/>
        <v>0.23539665854795427</v>
      </c>
      <c r="J15" s="370" t="s">
        <v>348</v>
      </c>
      <c r="K15" s="371">
        <f>G235</f>
        <v>39528</v>
      </c>
      <c r="M15" s="359">
        <f t="shared" si="3"/>
        <v>409.18329840399804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'[64]Sch B'!E37</f>
        <v>2257726</v>
      </c>
      <c r="D16" s="558">
        <f>'[64]Sch B'!G37</f>
        <v>2966618</v>
      </c>
      <c r="E16" s="171">
        <f t="shared" si="2"/>
        <v>5224344</v>
      </c>
      <c r="F16" s="171"/>
      <c r="G16" s="171">
        <f t="shared" si="0"/>
        <v>5224344</v>
      </c>
      <c r="H16" s="172">
        <f t="shared" si="1"/>
        <v>0.48452074834606973</v>
      </c>
      <c r="J16" s="372"/>
      <c r="K16" s="371"/>
      <c r="M16" s="359">
        <f t="shared" si="3"/>
        <v>217.00286604361369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'[64]Sch B'!E42</f>
        <v>96082</v>
      </c>
      <c r="D17" s="558">
        <f>'[64]Sch B'!G42</f>
        <v>0</v>
      </c>
      <c r="E17" s="171">
        <f t="shared" si="2"/>
        <v>96082</v>
      </c>
      <c r="F17" s="171"/>
      <c r="G17" s="171">
        <f>E17+F17</f>
        <v>96082</v>
      </c>
      <c r="H17" s="172">
        <f t="shared" si="1"/>
        <v>8.9109221258376302E-3</v>
      </c>
      <c r="J17" s="370" t="s">
        <v>156</v>
      </c>
      <c r="K17" s="371">
        <f>J208</f>
        <v>303474</v>
      </c>
      <c r="M17" s="359">
        <f t="shared" si="3"/>
        <v>102.3237486687966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'[64]Sch B'!E47</f>
        <v>0</v>
      </c>
      <c r="D18" s="558">
        <f>'[64]Sch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J18" s="373" t="s">
        <v>252</v>
      </c>
      <c r="K18" s="374">
        <f>K208</f>
        <v>331011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'[64]Sch B'!E52</f>
        <v>5437</v>
      </c>
      <c r="D19" s="558">
        <f>'[64]Sch B'!G52</f>
        <v>0</v>
      </c>
      <c r="E19" s="171">
        <f t="shared" si="2"/>
        <v>5437</v>
      </c>
      <c r="F19" s="171"/>
      <c r="G19" s="171">
        <f t="shared" si="0"/>
        <v>5437</v>
      </c>
      <c r="H19" s="172">
        <f t="shared" si="1"/>
        <v>5.0424307985032777E-4</v>
      </c>
      <c r="J19" s="168"/>
      <c r="K19" s="168"/>
      <c r="M19" s="359">
        <f t="shared" si="3"/>
        <v>209.11538461538461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'[64]Sch B'!E67</f>
        <v>41629</v>
      </c>
      <c r="D20" s="558">
        <f>'[64]Sch B'!G67</f>
        <v>-30380</v>
      </c>
      <c r="E20" s="171">
        <f t="shared" si="2"/>
        <v>11249</v>
      </c>
      <c r="F20" s="171"/>
      <c r="G20" s="171">
        <f t="shared" si="0"/>
        <v>11249</v>
      </c>
      <c r="H20" s="172">
        <f t="shared" si="1"/>
        <v>1.0432647425485263E-3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10812878</v>
      </c>
      <c r="D21" s="558">
        <f>SUM(D11:D20)</f>
        <v>-30380</v>
      </c>
      <c r="E21" s="171">
        <f>SUM(E11:E20)</f>
        <v>10782498</v>
      </c>
      <c r="F21" s="171">
        <f>SUM(F11:F20)</f>
        <v>0</v>
      </c>
      <c r="G21" s="171">
        <f>SUM(G11:G20)</f>
        <v>10782498</v>
      </c>
      <c r="H21" s="172">
        <f t="shared" si="1"/>
        <v>1</v>
      </c>
      <c r="J21" s="168"/>
      <c r="K21" s="168"/>
      <c r="M21" s="359">
        <f>IFERROR(G21/G228,0)</f>
        <v>283.37708278580817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I22" s="140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I23" s="140"/>
      <c r="M23" s="363"/>
      <c r="N23" s="363"/>
    </row>
    <row r="24" spans="1:17">
      <c r="A24" s="181" t="s">
        <v>161</v>
      </c>
      <c r="B24" s="148" t="s">
        <v>12</v>
      </c>
      <c r="I24" s="140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'[64]Sch C'!D10</f>
        <v>0</v>
      </c>
      <c r="D25" s="558">
        <f>'[64]Sch C'!F10</f>
        <v>148583</v>
      </c>
      <c r="E25" s="171">
        <f t="shared" ref="E25:E60" si="4">C25+D25</f>
        <v>148583</v>
      </c>
      <c r="F25" s="171"/>
      <c r="G25" s="182">
        <f>E25+F25</f>
        <v>148583</v>
      </c>
      <c r="H25" s="172">
        <f>IF($G$208=0,0,G25/$G$208)</f>
        <v>1.4690486169341758E-2</v>
      </c>
      <c r="J25" s="183">
        <v>2082</v>
      </c>
      <c r="K25" s="183">
        <v>2242</v>
      </c>
      <c r="M25" s="359">
        <f>G25/G$228</f>
        <v>3.9049408672798949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'[64]Sch C'!D11</f>
        <v>0</v>
      </c>
      <c r="D26" s="558">
        <f>'[64]Sch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'[64]Sch C'!D12</f>
        <v>403561</v>
      </c>
      <c r="D27" s="558">
        <f>'[64]Sch C'!F12</f>
        <v>-148583</v>
      </c>
      <c r="E27" s="171">
        <f t="shared" si="4"/>
        <v>254978</v>
      </c>
      <c r="F27" s="171"/>
      <c r="G27" s="171">
        <f t="shared" si="5"/>
        <v>254978</v>
      </c>
      <c r="H27" s="172">
        <f t="shared" si="6"/>
        <v>2.5209820655703701E-2</v>
      </c>
      <c r="J27" s="185">
        <v>13574</v>
      </c>
      <c r="K27" s="185">
        <v>14755</v>
      </c>
      <c r="M27" s="359">
        <f t="shared" si="7"/>
        <v>6.7011300919842309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'[64]Sch C'!D13</f>
        <v>153492</v>
      </c>
      <c r="D28" s="558">
        <f>'[64]Sch C'!F13</f>
        <v>0</v>
      </c>
      <c r="E28" s="171">
        <f t="shared" si="4"/>
        <v>153492</v>
      </c>
      <c r="F28" s="171"/>
      <c r="G28" s="171">
        <f t="shared" si="5"/>
        <v>153492</v>
      </c>
      <c r="H28" s="172">
        <f t="shared" si="6"/>
        <v>1.5175841806294161E-2</v>
      </c>
      <c r="J28" s="168"/>
      <c r="K28" s="168"/>
      <c r="M28" s="359">
        <f t="shared" si="7"/>
        <v>4.0339553219448092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'[64]Sch C'!D14</f>
        <v>0</v>
      </c>
      <c r="D29" s="558">
        <f>'[64]Sch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'[64]Sch C'!D15</f>
        <v>0</v>
      </c>
      <c r="D30" s="558">
        <f>'[64]Sch C'!F15</f>
        <v>621662</v>
      </c>
      <c r="E30" s="171">
        <f t="shared" si="4"/>
        <v>621662</v>
      </c>
      <c r="F30" s="171"/>
      <c r="G30" s="171">
        <f t="shared" si="5"/>
        <v>621662</v>
      </c>
      <c r="H30" s="172">
        <f t="shared" si="6"/>
        <v>6.1464077404584212E-2</v>
      </c>
      <c r="J30" s="168"/>
      <c r="K30" s="168"/>
      <c r="M30" s="359">
        <f t="shared" si="7"/>
        <v>16.338028909329829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'[64]Sch C'!D16</f>
        <v>621662</v>
      </c>
      <c r="D31" s="558">
        <f>'[64]Sch C'!F16</f>
        <v>-621662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'[64]Sch C'!D17</f>
        <v>13635</v>
      </c>
      <c r="D32" s="558">
        <f>'[64]Sch C'!F17</f>
        <v>-13635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'[64]Sch C'!D18</f>
        <v>74350</v>
      </c>
      <c r="D33" s="558">
        <f>'[64]Sch C'!F18</f>
        <v>0</v>
      </c>
      <c r="E33" s="171">
        <f t="shared" si="4"/>
        <v>74350</v>
      </c>
      <c r="F33" s="171"/>
      <c r="G33" s="171">
        <f t="shared" si="5"/>
        <v>74350</v>
      </c>
      <c r="H33" s="172">
        <f t="shared" si="6"/>
        <v>7.3510270131210151E-3</v>
      </c>
      <c r="J33" s="168"/>
      <c r="K33" s="168"/>
      <c r="M33" s="359">
        <f t="shared" si="7"/>
        <v>1.9540078843626807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'[64]Sch C'!D19</f>
        <v>3509</v>
      </c>
      <c r="D34" s="558">
        <f>'[64]Sch C'!F19</f>
        <v>0</v>
      </c>
      <c r="E34" s="171">
        <f t="shared" si="4"/>
        <v>3509</v>
      </c>
      <c r="F34" s="171"/>
      <c r="G34" s="171">
        <f t="shared" si="5"/>
        <v>3509</v>
      </c>
      <c r="H34" s="172">
        <f t="shared" si="6"/>
        <v>3.4693683643633681E-4</v>
      </c>
      <c r="J34" s="168"/>
      <c r="K34" s="168"/>
      <c r="M34" s="359">
        <f t="shared" si="7"/>
        <v>9.222076215505913E-2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'[64]Sch C'!D20</f>
        <v>40488</v>
      </c>
      <c r="D35" s="558">
        <f>'[64]Sch C'!F20</f>
        <v>0</v>
      </c>
      <c r="E35" s="171">
        <f t="shared" si="4"/>
        <v>40488</v>
      </c>
      <c r="F35" s="171"/>
      <c r="G35" s="171">
        <f t="shared" si="5"/>
        <v>40488</v>
      </c>
      <c r="H35" s="172">
        <f t="shared" si="6"/>
        <v>4.0030717109245948E-3</v>
      </c>
      <c r="J35" s="168"/>
      <c r="K35" s="168"/>
      <c r="M35" s="359">
        <f t="shared" si="7"/>
        <v>1.0640735873850198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'[64]Sch C'!D21</f>
        <v>5942</v>
      </c>
      <c r="D36" s="558">
        <f>'[64]Sch C'!F21</f>
        <v>0</v>
      </c>
      <c r="E36" s="171">
        <f t="shared" si="4"/>
        <v>5942</v>
      </c>
      <c r="F36" s="171"/>
      <c r="G36" s="171">
        <f t="shared" si="5"/>
        <v>5942</v>
      </c>
      <c r="H36" s="172">
        <f t="shared" si="6"/>
        <v>5.8748893761889805E-4</v>
      </c>
      <c r="J36" s="168"/>
      <c r="K36" s="168"/>
      <c r="M36" s="359">
        <f t="shared" si="7"/>
        <v>0.1561629434954008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'[64]Sch C'!D22</f>
        <v>0</v>
      </c>
      <c r="D37" s="558">
        <f>'[64]Sch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'[64]Sch C'!D23</f>
        <v>24070</v>
      </c>
      <c r="D38" s="558">
        <f>'[64]Sch C'!F23</f>
        <v>0</v>
      </c>
      <c r="E38" s="171">
        <f t="shared" si="4"/>
        <v>24070</v>
      </c>
      <c r="F38" s="171"/>
      <c r="G38" s="171">
        <f t="shared" si="5"/>
        <v>24070</v>
      </c>
      <c r="H38" s="172">
        <f t="shared" si="6"/>
        <v>2.3798146631583434E-3</v>
      </c>
      <c r="J38" s="168"/>
      <c r="K38" s="168"/>
      <c r="M38" s="359">
        <f t="shared" si="7"/>
        <v>0.63258869908015769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'[64]Sch C'!D24</f>
        <v>15510</v>
      </c>
      <c r="D39" s="558">
        <f>'[64]Sch C'!F24</f>
        <v>0</v>
      </c>
      <c r="E39" s="171">
        <f t="shared" si="4"/>
        <v>15510</v>
      </c>
      <c r="F39" s="171"/>
      <c r="G39" s="171">
        <f t="shared" si="5"/>
        <v>15510</v>
      </c>
      <c r="H39" s="172">
        <f t="shared" si="6"/>
        <v>1.533482568574404E-3</v>
      </c>
      <c r="J39" s="168"/>
      <c r="K39" s="168"/>
      <c r="M39" s="359">
        <f t="shared" si="7"/>
        <v>0.40762155059132721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'[64]Sch C'!D25</f>
        <v>0</v>
      </c>
      <c r="D40" s="558">
        <f>'[64]Sch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'[64]Sch C'!D26</f>
        <v>0</v>
      </c>
      <c r="D41" s="558">
        <f>'[64]Sch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J41" s="168"/>
      <c r="K41" s="168"/>
      <c r="M41" s="359">
        <f t="shared" si="7"/>
        <v>0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'[64]Sch C'!D27</f>
        <v>861</v>
      </c>
      <c r="D42" s="558">
        <f>'[64]Sch C'!F27</f>
        <v>-22</v>
      </c>
      <c r="E42" s="171">
        <f t="shared" si="4"/>
        <v>839</v>
      </c>
      <c r="F42" s="171"/>
      <c r="G42" s="171">
        <f t="shared" si="5"/>
        <v>839</v>
      </c>
      <c r="H42" s="172">
        <f t="shared" si="6"/>
        <v>8.2952409737841707E-5</v>
      </c>
      <c r="J42" s="168"/>
      <c r="K42" s="168"/>
      <c r="M42" s="359">
        <f t="shared" si="7"/>
        <v>2.2049934296977661E-2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'[64]Sch C'!D28</f>
        <v>0</v>
      </c>
      <c r="D43" s="558">
        <f>'[64]Sch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'[64]Sch C'!D29</f>
        <v>47075</v>
      </c>
      <c r="D44" s="558">
        <f>'[64]Sch C'!F29</f>
        <v>-47075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'[64]Sch C'!D30</f>
        <v>4078</v>
      </c>
      <c r="D45" s="558">
        <f>'[64]Sch C'!F30</f>
        <v>-4078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'[64]Sch C'!D31</f>
        <v>0</v>
      </c>
      <c r="D46" s="558">
        <f>'[64]Sch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'[64]Sch C'!D32</f>
        <v>84871</v>
      </c>
      <c r="D47" s="558">
        <f>'[64]Sch C'!F32</f>
        <v>0</v>
      </c>
      <c r="E47" s="171">
        <f t="shared" si="4"/>
        <v>84871</v>
      </c>
      <c r="F47" s="171"/>
      <c r="G47" s="171">
        <f t="shared" si="5"/>
        <v>84871</v>
      </c>
      <c r="H47" s="172">
        <f t="shared" si="6"/>
        <v>8.3912442989992411E-3</v>
      </c>
      <c r="J47" s="168"/>
      <c r="K47" s="168"/>
      <c r="M47" s="359">
        <f t="shared" si="7"/>
        <v>2.2305124835742443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'[64]Sch C'!D33</f>
        <v>0</v>
      </c>
      <c r="D48" s="558">
        <f>'[64]Sch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'[64]Sch C'!D34</f>
        <v>581</v>
      </c>
      <c r="D49" s="558">
        <f>'[64]Sch C'!F34</f>
        <v>0</v>
      </c>
      <c r="E49" s="171">
        <f t="shared" si="4"/>
        <v>581</v>
      </c>
      <c r="F49" s="171"/>
      <c r="G49" s="171">
        <f t="shared" si="5"/>
        <v>581</v>
      </c>
      <c r="H49" s="172">
        <f t="shared" si="6"/>
        <v>5.7443802214166906E-5</v>
      </c>
      <c r="J49" s="168"/>
      <c r="K49" s="168"/>
      <c r="M49" s="359">
        <f t="shared" si="7"/>
        <v>1.5269382391590014E-2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'[64]Sch C'!D35</f>
        <v>0</v>
      </c>
      <c r="D50" s="558">
        <f>'[64]Sch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'[64]Sch C'!D36</f>
        <v>93867</v>
      </c>
      <c r="D51" s="558">
        <f>'[64]Sch C'!F36</f>
        <v>0</v>
      </c>
      <c r="E51" s="171">
        <f t="shared" si="4"/>
        <v>93867</v>
      </c>
      <c r="F51" s="171"/>
      <c r="G51" s="171">
        <f t="shared" si="5"/>
        <v>93867</v>
      </c>
      <c r="H51" s="172">
        <f t="shared" si="6"/>
        <v>9.2806839628867561E-3</v>
      </c>
      <c r="J51" s="183">
        <v>6859</v>
      </c>
      <c r="K51" s="183">
        <v>7391</v>
      </c>
      <c r="M51" s="359">
        <f t="shared" si="7"/>
        <v>2.4669382391590013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'[64]Sch C'!D37</f>
        <v>12888</v>
      </c>
      <c r="D52" s="558">
        <f>'[64]Sch C'!F37</f>
        <v>0</v>
      </c>
      <c r="E52" s="171">
        <f t="shared" si="4"/>
        <v>12888</v>
      </c>
      <c r="F52" s="171"/>
      <c r="G52" s="171">
        <f t="shared" si="5"/>
        <v>12888</v>
      </c>
      <c r="H52" s="172">
        <f t="shared" si="6"/>
        <v>1.2742439293221741E-3</v>
      </c>
      <c r="J52" s="168"/>
      <c r="K52" s="168"/>
      <c r="M52" s="359">
        <f t="shared" si="7"/>
        <v>0.33871222076215507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'[64]Sch C'!D38</f>
        <v>3908</v>
      </c>
      <c r="D53" s="558">
        <f>'[64]Sch C'!F38</f>
        <v>-3908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'[64]Sch C'!D39</f>
        <v>11804</v>
      </c>
      <c r="D54" s="558">
        <f>'[64]Sch C'!F39</f>
        <v>0</v>
      </c>
      <c r="E54" s="171">
        <f t="shared" si="4"/>
        <v>11804</v>
      </c>
      <c r="F54" s="171"/>
      <c r="G54" s="171">
        <f t="shared" si="5"/>
        <v>11804</v>
      </c>
      <c r="H54" s="172">
        <f t="shared" si="6"/>
        <v>1.1670682294940208E-3</v>
      </c>
      <c r="J54" s="168"/>
      <c r="K54" s="168"/>
      <c r="M54" s="359">
        <f t="shared" si="7"/>
        <v>0.31022339027595269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'[64]Sch C'!D40</f>
        <v>28395</v>
      </c>
      <c r="D55" s="558">
        <f>'[64]Sch C'!F40</f>
        <v>-28395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'[64]Sch C'!D41</f>
        <v>75854</v>
      </c>
      <c r="D56" s="558">
        <f>'[64]Sch C'!F41</f>
        <v>0</v>
      </c>
      <c r="E56" s="171">
        <f t="shared" si="4"/>
        <v>75854</v>
      </c>
      <c r="F56" s="171"/>
      <c r="G56" s="171">
        <f t="shared" si="5"/>
        <v>75854</v>
      </c>
      <c r="H56" s="172">
        <f t="shared" si="6"/>
        <v>7.4997283531039868E-3</v>
      </c>
      <c r="J56" s="168"/>
      <c r="K56" s="168"/>
      <c r="M56" s="359">
        <f t="shared" si="7"/>
        <v>1.9935348226018397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'[64]Sch C'!D42</f>
        <v>1846</v>
      </c>
      <c r="D57" s="558">
        <f>'[64]Sch C'!F42</f>
        <v>0</v>
      </c>
      <c r="E57" s="171">
        <f t="shared" si="4"/>
        <v>1846</v>
      </c>
      <c r="F57" s="171"/>
      <c r="G57" s="171">
        <f t="shared" si="5"/>
        <v>1846</v>
      </c>
      <c r="H57" s="172">
        <f t="shared" si="6"/>
        <v>1.825150755376112E-4</v>
      </c>
      <c r="J57" s="168"/>
      <c r="K57" s="168"/>
      <c r="M57" s="359">
        <f t="shared" si="7"/>
        <v>4.8515111695137975E-2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'[64]Sch C'!D43</f>
        <v>10321</v>
      </c>
      <c r="D58" s="558">
        <f>'[64]Sch C'!F43</f>
        <v>-10321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'[64]Sch C'!D44</f>
        <v>0</v>
      </c>
      <c r="D59" s="558">
        <f>'[64]Sch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'[64]Sch C'!D45</f>
        <v>432451</v>
      </c>
      <c r="D60" s="558">
        <f>'[64]Sch C'!F45</f>
        <v>-405216</v>
      </c>
      <c r="E60" s="171">
        <f t="shared" si="4"/>
        <v>27235</v>
      </c>
      <c r="F60" s="171"/>
      <c r="G60" s="171">
        <f t="shared" si="5"/>
        <v>27235</v>
      </c>
      <c r="H60" s="172">
        <f t="shared" si="6"/>
        <v>2.6927400228964472E-3</v>
      </c>
      <c r="J60" s="168"/>
      <c r="K60" s="168"/>
      <c r="M60" s="359">
        <f t="shared" si="7"/>
        <v>0.7157687253613666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2165019</v>
      </c>
      <c r="D61" s="558">
        <f>SUM(D25:D60)</f>
        <v>-512650</v>
      </c>
      <c r="E61" s="171">
        <f t="shared" ref="E61:F61" si="8">SUM(E25:E60)</f>
        <v>1652369</v>
      </c>
      <c r="F61" s="171">
        <f t="shared" si="8"/>
        <v>0</v>
      </c>
      <c r="G61" s="171">
        <f>SUM(G25:G60)</f>
        <v>1652369</v>
      </c>
      <c r="H61" s="186">
        <f t="shared" si="6"/>
        <v>0.16337066784994966</v>
      </c>
      <c r="J61" s="168"/>
      <c r="K61" s="168"/>
      <c r="M61" s="364">
        <f>G61/G$228</f>
        <v>43.426254927726674</v>
      </c>
      <c r="N61" s="359">
        <f>SUMMARY!J64</f>
        <v>53.728790309602623</v>
      </c>
      <c r="O61" s="354">
        <f>M61/N61-1</f>
        <v>-0.19175074150207772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'[64]Sch C'!D57</f>
        <v>0</v>
      </c>
      <c r="D64" s="558">
        <f>'[64]Sch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'[64]Sch C'!D58</f>
        <v>1287</v>
      </c>
      <c r="D65" s="558">
        <f>'[64]Sch C'!F58</f>
        <v>0</v>
      </c>
      <c r="E65" s="171">
        <f t="shared" si="9"/>
        <v>1287</v>
      </c>
      <c r="F65" s="171"/>
      <c r="G65" s="171">
        <f t="shared" si="10"/>
        <v>1287</v>
      </c>
      <c r="H65" s="172">
        <f t="shared" si="11"/>
        <v>1.2724642590298247E-4</v>
      </c>
      <c r="J65" s="190"/>
      <c r="K65" s="168"/>
      <c r="M65" s="359">
        <f t="shared" si="12"/>
        <v>3.3823915900131403E-2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'[64]Sch C'!D59</f>
        <v>0</v>
      </c>
      <c r="D66" s="558">
        <f>'[64]Sch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'[64]Sch C'!D60</f>
        <v>0</v>
      </c>
      <c r="D67" s="558">
        <f>'[64]Sch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'[64]Sch C'!D61</f>
        <v>18140</v>
      </c>
      <c r="D68" s="558">
        <f>'[64]Sch C'!F61</f>
        <v>0</v>
      </c>
      <c r="E68" s="171">
        <f t="shared" si="9"/>
        <v>18140</v>
      </c>
      <c r="F68" s="171"/>
      <c r="G68" s="171">
        <f t="shared" si="10"/>
        <v>18140</v>
      </c>
      <c r="H68" s="172">
        <f t="shared" si="11"/>
        <v>1.7935121724010116E-3</v>
      </c>
      <c r="J68" s="193"/>
      <c r="K68" s="168"/>
      <c r="M68" s="359">
        <f t="shared" si="12"/>
        <v>0.47674113009198421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'[64]Sch C'!D62</f>
        <v>805</v>
      </c>
      <c r="D69" s="558">
        <f>'[64]Sch C'!F62</f>
        <v>0</v>
      </c>
      <c r="E69" s="171">
        <f t="shared" si="9"/>
        <v>805</v>
      </c>
      <c r="F69" s="171"/>
      <c r="G69" s="171">
        <f t="shared" si="10"/>
        <v>805</v>
      </c>
      <c r="H69" s="172">
        <f t="shared" si="11"/>
        <v>7.9590810296737276E-5</v>
      </c>
      <c r="J69" s="195"/>
      <c r="K69" s="168"/>
      <c r="M69" s="359">
        <f t="shared" si="12"/>
        <v>2.1156373193166884E-2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'[64]Sch C'!D63</f>
        <v>0</v>
      </c>
      <c r="D70" s="558">
        <f>'[64]Sch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'[64]Sch C'!D64</f>
        <v>0</v>
      </c>
      <c r="D71" s="558">
        <f>'[64]Sch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'[64]Sch C'!D65</f>
        <v>3026</v>
      </c>
      <c r="D72" s="558">
        <f>'[64]Sch C'!F65</f>
        <v>0</v>
      </c>
      <c r="E72" s="171">
        <f t="shared" si="9"/>
        <v>3026</v>
      </c>
      <c r="F72" s="171"/>
      <c r="G72" s="171">
        <f t="shared" si="10"/>
        <v>3026</v>
      </c>
      <c r="H72" s="172">
        <f t="shared" si="11"/>
        <v>2.9918235025829442E-4</v>
      </c>
      <c r="J72" s="195"/>
      <c r="K72" s="168"/>
      <c r="M72" s="359">
        <f t="shared" si="12"/>
        <v>7.9526938239159004E-2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'[64]Sch C'!D66</f>
        <v>55289</v>
      </c>
      <c r="D73" s="558">
        <f>'[64]Sch C'!F66</f>
        <v>0</v>
      </c>
      <c r="E73" s="171">
        <f t="shared" si="9"/>
        <v>55289</v>
      </c>
      <c r="F73" s="171"/>
      <c r="G73" s="171">
        <f t="shared" si="10"/>
        <v>55289</v>
      </c>
      <c r="H73" s="172">
        <f t="shared" si="11"/>
        <v>5.4664550440947923E-3</v>
      </c>
      <c r="J73" s="195"/>
      <c r="K73" s="168"/>
      <c r="M73" s="359">
        <f t="shared" si="12"/>
        <v>1.4530617608409986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'[64]Sch C'!D67</f>
        <v>26324</v>
      </c>
      <c r="D74" s="558">
        <f>'[64]Sch C'!F67</f>
        <v>0</v>
      </c>
      <c r="E74" s="171">
        <f t="shared" si="9"/>
        <v>26324</v>
      </c>
      <c r="F74" s="171"/>
      <c r="G74" s="171">
        <f t="shared" si="10"/>
        <v>26324</v>
      </c>
      <c r="H74" s="172">
        <f t="shared" si="11"/>
        <v>2.6026689319892079E-3</v>
      </c>
      <c r="J74" s="195"/>
      <c r="K74" s="168"/>
      <c r="M74" s="359">
        <f t="shared" si="12"/>
        <v>0.69182654402102495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'[64]Sch C'!D68</f>
        <v>0</v>
      </c>
      <c r="D75" s="558">
        <f>'[64]Sch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'[64]Sch C'!D69</f>
        <v>1274</v>
      </c>
      <c r="D76" s="558">
        <f>'[64]Sch C'!F69</f>
        <v>0</v>
      </c>
      <c r="E76" s="171">
        <f t="shared" si="9"/>
        <v>1274</v>
      </c>
      <c r="F76" s="171"/>
      <c r="G76" s="171">
        <f t="shared" si="10"/>
        <v>1274</v>
      </c>
      <c r="H76" s="172">
        <f t="shared" si="11"/>
        <v>1.2596110846961901E-4</v>
      </c>
      <c r="J76" s="195"/>
      <c r="K76" s="168"/>
      <c r="M76" s="359">
        <f t="shared" si="12"/>
        <v>3.3482260183968465E-2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'[64]Sch C'!D70</f>
        <v>0</v>
      </c>
      <c r="D77" s="558">
        <f>'[64]Sch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'[64]Sch C'!D71</f>
        <v>0</v>
      </c>
      <c r="D78" s="558">
        <f>'[64]Sch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106145</v>
      </c>
      <c r="D79" s="558">
        <f>SUM(D64:D78)</f>
        <v>0</v>
      </c>
      <c r="E79" s="171">
        <f t="shared" ref="E79:F79" si="13">SUM(E64:E78)</f>
        <v>106145</v>
      </c>
      <c r="F79" s="171">
        <f t="shared" si="13"/>
        <v>0</v>
      </c>
      <c r="G79" s="171">
        <f>SUM(G64:G78)</f>
        <v>106145</v>
      </c>
      <c r="H79" s="172">
        <f t="shared" si="11"/>
        <v>1.0494616843412644E-2</v>
      </c>
      <c r="J79" s="195"/>
      <c r="K79" s="168"/>
      <c r="M79" s="359">
        <f t="shared" si="12"/>
        <v>2.7896189224704337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'[64]Sch C'!D75</f>
        <v>73526</v>
      </c>
      <c r="D82" s="558">
        <f>'[64]Sch C'!F75</f>
        <v>0</v>
      </c>
      <c r="E82" s="171">
        <f t="shared" ref="E82:E92" si="14">C82+D82</f>
        <v>73526</v>
      </c>
      <c r="F82" s="171"/>
      <c r="G82" s="171">
        <f t="shared" ref="G82:G92" si="15">E82+F82</f>
        <v>73526</v>
      </c>
      <c r="H82" s="172">
        <f t="shared" ref="H82:H93" si="16">IF($G$208=0,0,G82/$G$208)</f>
        <v>7.2695576619601311E-3</v>
      </c>
      <c r="J82" s="183">
        <v>4437</v>
      </c>
      <c r="K82" s="183">
        <v>4778</v>
      </c>
      <c r="M82" s="359">
        <f t="shared" ref="M82:M92" si="17">G82/G$228</f>
        <v>1.9323521681997371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'[64]Sch C'!D76</f>
        <v>29973</v>
      </c>
      <c r="D83" s="558">
        <f>'[64]Sch C'!F76</f>
        <v>0</v>
      </c>
      <c r="E83" s="171">
        <f t="shared" si="14"/>
        <v>29973</v>
      </c>
      <c r="F83" s="171"/>
      <c r="G83" s="171">
        <f t="shared" si="15"/>
        <v>29973</v>
      </c>
      <c r="H83" s="172">
        <f t="shared" si="16"/>
        <v>2.963447648477151E-3</v>
      </c>
      <c r="J83" s="168"/>
      <c r="K83" s="168"/>
      <c r="M83" s="359">
        <f t="shared" si="17"/>
        <v>0.78772667542706964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'[64]Sch C'!D77</f>
        <v>21893</v>
      </c>
      <c r="D84" s="558">
        <f>'[64]Sch C'!F77</f>
        <v>0</v>
      </c>
      <c r="E84" s="171">
        <f t="shared" si="14"/>
        <v>21893</v>
      </c>
      <c r="F84" s="171"/>
      <c r="G84" s="171">
        <f t="shared" si="15"/>
        <v>21893</v>
      </c>
      <c r="H84" s="172">
        <f t="shared" si="16"/>
        <v>2.1645734283558624E-3</v>
      </c>
      <c r="J84" s="168"/>
      <c r="K84" s="168"/>
      <c r="M84" s="359">
        <f t="shared" si="17"/>
        <v>0.57537450722733241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'[64]Sch C'!D78</f>
        <v>0</v>
      </c>
      <c r="D85" s="558">
        <f>'[64]Sch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'[64]Sch C'!D79</f>
        <v>9856</v>
      </c>
      <c r="D86" s="558">
        <f>'[64]Sch C'!F79</f>
        <v>0</v>
      </c>
      <c r="E86" s="171">
        <f t="shared" si="14"/>
        <v>9856</v>
      </c>
      <c r="F86" s="171"/>
      <c r="G86" s="171">
        <f>E86+F86</f>
        <v>9856</v>
      </c>
      <c r="H86" s="172">
        <f t="shared" si="16"/>
        <v>9.7446835563309647E-4</v>
      </c>
      <c r="J86" s="168"/>
      <c r="K86" s="168"/>
      <c r="M86" s="359">
        <f t="shared" si="17"/>
        <v>0.2590275952693824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'[64]Sch C'!D80</f>
        <v>18046</v>
      </c>
      <c r="D87" s="558">
        <f>'[64]Sch C'!F80</f>
        <v>0</v>
      </c>
      <c r="E87" s="171">
        <f t="shared" si="14"/>
        <v>18046</v>
      </c>
      <c r="F87" s="171"/>
      <c r="G87" s="171">
        <f t="shared" si="15"/>
        <v>18046</v>
      </c>
      <c r="H87" s="172">
        <f t="shared" si="16"/>
        <v>1.7842183386520757E-3</v>
      </c>
      <c r="J87" s="168"/>
      <c r="K87" s="168"/>
      <c r="M87" s="359">
        <f t="shared" si="17"/>
        <v>0.47427069645203679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'[64]Sch C'!D81</f>
        <v>51588</v>
      </c>
      <c r="D88" s="558">
        <f>'[64]Sch C'!F81</f>
        <v>0</v>
      </c>
      <c r="E88" s="171">
        <f t="shared" si="14"/>
        <v>51588</v>
      </c>
      <c r="F88" s="171"/>
      <c r="G88" s="171">
        <f t="shared" si="15"/>
        <v>51588</v>
      </c>
      <c r="H88" s="172">
        <f t="shared" si="16"/>
        <v>5.1005350578733951E-3</v>
      </c>
      <c r="J88" s="168"/>
      <c r="K88" s="168"/>
      <c r="M88" s="359">
        <f t="shared" si="17"/>
        <v>1.3557950065703022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'[64]Sch C'!D82</f>
        <v>35724</v>
      </c>
      <c r="D89" s="558">
        <f>'[64]Sch C'!F82</f>
        <v>0</v>
      </c>
      <c r="E89" s="171">
        <f t="shared" si="14"/>
        <v>35724</v>
      </c>
      <c r="F89" s="171"/>
      <c r="G89" s="171">
        <f t="shared" si="15"/>
        <v>35724</v>
      </c>
      <c r="H89" s="172">
        <f t="shared" si="16"/>
        <v>3.532052306882786E-3</v>
      </c>
      <c r="J89" s="168"/>
      <c r="K89" s="168"/>
      <c r="M89" s="359">
        <f t="shared" si="17"/>
        <v>0.93886990801576875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'[64]Sch C'!D83</f>
        <v>33904</v>
      </c>
      <c r="D90" s="558">
        <f>'[64]Sch C'!F83</f>
        <v>0</v>
      </c>
      <c r="E90" s="171">
        <f t="shared" si="14"/>
        <v>33904</v>
      </c>
      <c r="F90" s="171"/>
      <c r="G90" s="171">
        <f t="shared" si="15"/>
        <v>33904</v>
      </c>
      <c r="H90" s="172">
        <f t="shared" si="16"/>
        <v>3.3521078662119017E-3</v>
      </c>
      <c r="J90" s="168"/>
      <c r="K90" s="168"/>
      <c r="M90" s="359">
        <f t="shared" si="17"/>
        <v>0.89103810775295667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'[64]Sch C'!D84</f>
        <v>214513</v>
      </c>
      <c r="D91" s="558">
        <f>'[64]Sch C'!F84</f>
        <v>0</v>
      </c>
      <c r="E91" s="171">
        <f t="shared" si="14"/>
        <v>214513</v>
      </c>
      <c r="F91" s="171"/>
      <c r="G91" s="171">
        <f t="shared" si="15"/>
        <v>214513</v>
      </c>
      <c r="H91" s="172">
        <f t="shared" si="16"/>
        <v>2.1209022967930442E-2</v>
      </c>
      <c r="J91" s="168"/>
      <c r="K91" s="168"/>
      <c r="M91" s="359">
        <f t="shared" si="17"/>
        <v>5.6376609724047304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'[64]Sch C'!D85</f>
        <v>594</v>
      </c>
      <c r="D92" s="558">
        <f>'[64]Sch C'!F85</f>
        <v>0</v>
      </c>
      <c r="E92" s="171">
        <f t="shared" si="14"/>
        <v>594</v>
      </c>
      <c r="F92" s="171"/>
      <c r="G92" s="171">
        <f t="shared" si="15"/>
        <v>594</v>
      </c>
      <c r="H92" s="172">
        <f t="shared" si="16"/>
        <v>5.8729119647530368E-5</v>
      </c>
      <c r="J92" s="168"/>
      <c r="K92" s="168"/>
      <c r="M92" s="359">
        <f t="shared" si="17"/>
        <v>1.5611038107752957E-2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489617</v>
      </c>
      <c r="D93" s="558">
        <f>SUM(D82:D92)</f>
        <v>0</v>
      </c>
      <c r="E93" s="171">
        <f t="shared" ref="E93:F93" si="18">SUM(E82:E92)</f>
        <v>489617</v>
      </c>
      <c r="F93" s="171">
        <f t="shared" si="18"/>
        <v>0</v>
      </c>
      <c r="G93" s="171">
        <f>SUM(G82:G92)</f>
        <v>489617</v>
      </c>
      <c r="H93" s="172">
        <f t="shared" si="16"/>
        <v>4.8408712751624366E-2</v>
      </c>
      <c r="J93" s="168"/>
      <c r="K93" s="168"/>
      <c r="M93" s="364">
        <f>G93/G$228</f>
        <v>12.86772667542707</v>
      </c>
      <c r="N93" s="359">
        <f>SUMMARY!J96</f>
        <v>11.458724454710746</v>
      </c>
      <c r="O93" s="354">
        <f>M93/N93-1</f>
        <v>0.12296326927881363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'[64]Sch C'!D89</f>
        <v>404664</v>
      </c>
      <c r="D96" s="558">
        <f>'[64]Sch C'!F89</f>
        <v>0</v>
      </c>
      <c r="E96" s="171">
        <f t="shared" ref="E96:E101" si="19">C96+D96</f>
        <v>404664</v>
      </c>
      <c r="F96" s="171"/>
      <c r="G96" s="171">
        <f t="shared" ref="G96:G101" si="20">E96+F96</f>
        <v>404664</v>
      </c>
      <c r="H96" s="172">
        <f t="shared" ref="H96:H102" si="21">IF($G$208=0,0,G96/$G$208)</f>
        <v>4.0009361065737756E-2</v>
      </c>
      <c r="J96" s="183">
        <v>32325</v>
      </c>
      <c r="K96" s="183">
        <v>34723</v>
      </c>
      <c r="M96" s="364">
        <f t="shared" ref="M96:M101" si="22">G96/G$228</f>
        <v>10.635059132720105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'[64]Sch C'!D90</f>
        <v>102719</v>
      </c>
      <c r="D97" s="558">
        <f>'[64]Sch C'!F90</f>
        <v>0</v>
      </c>
      <c r="E97" s="171">
        <f t="shared" si="19"/>
        <v>102719</v>
      </c>
      <c r="F97" s="171"/>
      <c r="G97" s="171">
        <f t="shared" si="20"/>
        <v>102719</v>
      </c>
      <c r="H97" s="172">
        <f t="shared" si="21"/>
        <v>1.0155886264435475E-2</v>
      </c>
      <c r="J97" s="168"/>
      <c r="K97" s="168"/>
      <c r="M97" s="364">
        <f t="shared" si="22"/>
        <v>2.69957950065703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'[64]Sch C'!D91</f>
        <v>22239</v>
      </c>
      <c r="D98" s="558">
        <f>'[64]Sch C'!F91</f>
        <v>0</v>
      </c>
      <c r="E98" s="171">
        <f t="shared" si="19"/>
        <v>22239</v>
      </c>
      <c r="F98" s="171"/>
      <c r="G98" s="171">
        <f t="shared" si="20"/>
        <v>22239</v>
      </c>
      <c r="H98" s="172">
        <f t="shared" si="21"/>
        <v>2.1987826461976898E-3</v>
      </c>
      <c r="J98" s="168"/>
      <c r="K98" s="168"/>
      <c r="M98" s="364">
        <f t="shared" si="22"/>
        <v>0.58446780551905386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'[64]Sch C'!D92</f>
        <v>382518</v>
      </c>
      <c r="D99" s="558">
        <f>'[64]Sch C'!F92</f>
        <v>-4402</v>
      </c>
      <c r="E99" s="171">
        <f t="shared" si="19"/>
        <v>378116</v>
      </c>
      <c r="F99" s="171"/>
      <c r="G99" s="171">
        <f t="shared" si="20"/>
        <v>378116</v>
      </c>
      <c r="H99" s="172">
        <f t="shared" si="21"/>
        <v>3.7384545125665983E-2</v>
      </c>
      <c r="J99" s="168"/>
      <c r="K99" s="168"/>
      <c r="M99" s="364">
        <f t="shared" si="22"/>
        <v>9.9373455978975027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'[64]Sch C'!D93</f>
        <v>32129</v>
      </c>
      <c r="D100" s="558">
        <f>'[64]Sch C'!F93</f>
        <v>0</v>
      </c>
      <c r="E100" s="171">
        <f t="shared" si="19"/>
        <v>32129</v>
      </c>
      <c r="F100" s="171"/>
      <c r="G100" s="171">
        <f t="shared" si="20"/>
        <v>32129</v>
      </c>
      <c r="H100" s="172">
        <f t="shared" si="21"/>
        <v>3.1766126012718909E-3</v>
      </c>
      <c r="J100" s="168"/>
      <c r="K100" s="168"/>
      <c r="M100" s="364">
        <f t="shared" si="22"/>
        <v>0.84438896189224699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'[64]Sch C'!D94</f>
        <v>121</v>
      </c>
      <c r="D101" s="558">
        <f>'[64]Sch C'!F94</f>
        <v>0</v>
      </c>
      <c r="E101" s="171">
        <f t="shared" si="19"/>
        <v>121</v>
      </c>
      <c r="F101" s="171"/>
      <c r="G101" s="171">
        <f t="shared" si="20"/>
        <v>121</v>
      </c>
      <c r="H101" s="172">
        <f t="shared" si="21"/>
        <v>1.196333918745989E-5</v>
      </c>
      <c r="J101" s="168"/>
      <c r="K101" s="168"/>
      <c r="M101" s="364">
        <f t="shared" si="22"/>
        <v>3.1800262812089358E-3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944390</v>
      </c>
      <c r="D102" s="558">
        <f>SUM(D96:D101)</f>
        <v>-4402</v>
      </c>
      <c r="E102" s="171">
        <f t="shared" ref="E102:F102" si="23">SUM(E96:E101)</f>
        <v>939988</v>
      </c>
      <c r="F102" s="171">
        <f t="shared" si="23"/>
        <v>0</v>
      </c>
      <c r="G102" s="171">
        <f>SUM(G96:G101)</f>
        <v>939988</v>
      </c>
      <c r="H102" s="172">
        <f t="shared" si="21"/>
        <v>9.2937151042496252E-2</v>
      </c>
      <c r="J102" s="168"/>
      <c r="K102" s="168"/>
      <c r="M102" s="364">
        <f>G102/G$228</f>
        <v>24.704021024967147</v>
      </c>
      <c r="N102" s="359">
        <f>SUMMARY!J105</f>
        <v>19.901077037785338</v>
      </c>
      <c r="O102" s="354">
        <f>M102/N102-1</f>
        <v>0.24134090723143586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'[64]Sch C'!D98</f>
        <v>45002</v>
      </c>
      <c r="D105" s="558">
        <f>'[64]Sch C'!F98</f>
        <v>0</v>
      </c>
      <c r="E105" s="171">
        <f t="shared" ref="E105:E110" si="24">C105+D105</f>
        <v>45002</v>
      </c>
      <c r="F105" s="171"/>
      <c r="G105" s="171">
        <f t="shared" ref="G105:G110" si="25">E105+F105</f>
        <v>45002</v>
      </c>
      <c r="H105" s="172">
        <f t="shared" ref="H105:H111" si="26">IF($G$208=0,0,G105/$G$208)</f>
        <v>4.4493734720171072E-3</v>
      </c>
      <c r="J105" s="183">
        <v>4564</v>
      </c>
      <c r="K105" s="183">
        <v>4910</v>
      </c>
      <c r="M105" s="364">
        <f t="shared" ref="M105:M110" si="27">G105/G$228</f>
        <v>1.1827069645203678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'[64]Sch C'!D99</f>
        <v>5944</v>
      </c>
      <c r="D106" s="558">
        <f>'[64]Sch C'!F99</f>
        <v>0</v>
      </c>
      <c r="E106" s="171">
        <f t="shared" si="24"/>
        <v>5944</v>
      </c>
      <c r="F106" s="171"/>
      <c r="G106" s="171">
        <f t="shared" si="25"/>
        <v>5944</v>
      </c>
      <c r="H106" s="172">
        <f t="shared" si="26"/>
        <v>5.8768667876249242E-4</v>
      </c>
      <c r="J106" s="168"/>
      <c r="K106" s="168"/>
      <c r="M106" s="364">
        <f t="shared" si="27"/>
        <v>0.15621550591327202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'[64]Sch C'!D100</f>
        <v>2945</v>
      </c>
      <c r="D107" s="558">
        <f>'[64]Sch C'!F100</f>
        <v>0</v>
      </c>
      <c r="E107" s="171">
        <f t="shared" si="24"/>
        <v>2945</v>
      </c>
      <c r="F107" s="171"/>
      <c r="G107" s="171">
        <f t="shared" si="25"/>
        <v>2945</v>
      </c>
      <c r="H107" s="172">
        <f t="shared" si="26"/>
        <v>2.911738339427221E-4</v>
      </c>
      <c r="J107" s="168"/>
      <c r="K107" s="168"/>
      <c r="M107" s="364">
        <f t="shared" si="27"/>
        <v>7.7398160315374512E-2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'[64]Sch C'!D101</f>
        <v>0</v>
      </c>
      <c r="D108" s="558">
        <f>'[64]Sch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'[64]Sch C'!D102</f>
        <v>12406</v>
      </c>
      <c r="D109" s="558">
        <f>'[64]Sch C'!F102</f>
        <v>0</v>
      </c>
      <c r="E109" s="171">
        <f t="shared" si="24"/>
        <v>12406</v>
      </c>
      <c r="F109" s="171"/>
      <c r="G109" s="171">
        <f t="shared" si="25"/>
        <v>12406</v>
      </c>
      <c r="H109" s="172">
        <f t="shared" si="26"/>
        <v>1.2265883137159289E-3</v>
      </c>
      <c r="J109" s="168"/>
      <c r="K109" s="168"/>
      <c r="M109" s="364">
        <f t="shared" si="27"/>
        <v>0.32604467805519055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'[64]Sch C'!D103</f>
        <v>0</v>
      </c>
      <c r="D110" s="558">
        <f>'[64]Sch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66297</v>
      </c>
      <c r="D111" s="558">
        <f>SUM(D105:D110)</f>
        <v>0</v>
      </c>
      <c r="E111" s="171">
        <f t="shared" ref="E111:F111" si="28">SUM(E105:E110)</f>
        <v>66297</v>
      </c>
      <c r="F111" s="171">
        <f t="shared" si="28"/>
        <v>0</v>
      </c>
      <c r="G111" s="171">
        <f>SUM(G105:G110)</f>
        <v>66297</v>
      </c>
      <c r="H111" s="172">
        <f t="shared" si="26"/>
        <v>6.5548222984382508E-3</v>
      </c>
      <c r="J111" s="168"/>
      <c r="K111" s="168"/>
      <c r="M111" s="364">
        <f>G111/G$228</f>
        <v>1.742365308804205</v>
      </c>
      <c r="N111" s="359">
        <f>SUMMARY!J114</f>
        <v>2.4242384372309496</v>
      </c>
      <c r="O111" s="354">
        <f>M111/N111-1</f>
        <v>-0.28127312806969762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'[64]Sch C'!D115</f>
        <v>181986</v>
      </c>
      <c r="D114" s="558">
        <f>'[64]Sch C'!F115</f>
        <v>0</v>
      </c>
      <c r="E114" s="171">
        <f t="shared" ref="E114:E118" si="29">C114+D114</f>
        <v>181986</v>
      </c>
      <c r="F114" s="171"/>
      <c r="G114" s="171">
        <f>E114+F114</f>
        <v>181986</v>
      </c>
      <c r="H114" s="172">
        <f t="shared" ref="H114:H119" si="30">IF($G$208=0,0,G114/$G$208)</f>
        <v>1.7993059879083267E-2</v>
      </c>
      <c r="J114" s="183">
        <v>16945</v>
      </c>
      <c r="K114" s="183">
        <v>18197</v>
      </c>
      <c r="M114" s="364">
        <f t="shared" ref="M114:M119" si="31">G114/G$228</f>
        <v>4.7828120893561108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'[64]Sch C'!D116</f>
        <v>54997</v>
      </c>
      <c r="D115" s="558">
        <f>'[64]Sch C'!F116</f>
        <v>0</v>
      </c>
      <c r="E115" s="171">
        <f t="shared" si="29"/>
        <v>54997</v>
      </c>
      <c r="F115" s="171"/>
      <c r="G115" s="171">
        <f>E115+F115</f>
        <v>54997</v>
      </c>
      <c r="H115" s="172">
        <f t="shared" si="30"/>
        <v>5.4375848371300125E-3</v>
      </c>
      <c r="J115" s="168"/>
      <c r="K115" s="168"/>
      <c r="M115" s="364">
        <f t="shared" si="31"/>
        <v>1.4453876478318002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'[64]Sch C'!D117</f>
        <v>58903</v>
      </c>
      <c r="D116" s="558">
        <f>'[64]Sch C'!F117</f>
        <v>0</v>
      </c>
      <c r="E116" s="171">
        <f t="shared" si="29"/>
        <v>58903</v>
      </c>
      <c r="F116" s="171"/>
      <c r="G116" s="171">
        <f>E116+F116</f>
        <v>58903</v>
      </c>
      <c r="H116" s="172">
        <f t="shared" si="30"/>
        <v>5.8237732905698338E-3</v>
      </c>
      <c r="J116" s="168"/>
      <c r="K116" s="168"/>
      <c r="M116" s="364">
        <f t="shared" si="31"/>
        <v>1.5480420499342971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'[64]Sch C'!D118</f>
        <v>0</v>
      </c>
      <c r="D117" s="558">
        <f>'[64]Sch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'[64]Sch C'!D119</f>
        <v>4386</v>
      </c>
      <c r="D118" s="558">
        <f>'[64]Sch C'!F119</f>
        <v>0</v>
      </c>
      <c r="E118" s="171">
        <f t="shared" si="29"/>
        <v>4386</v>
      </c>
      <c r="F118" s="171"/>
      <c r="G118" s="171">
        <f>E118+F118</f>
        <v>4386</v>
      </c>
      <c r="H118" s="172">
        <f t="shared" si="30"/>
        <v>4.3364632790247171E-4</v>
      </c>
      <c r="J118" s="168"/>
      <c r="K118" s="168"/>
      <c r="M118" s="364">
        <f t="shared" si="31"/>
        <v>0.11526938239159001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300272</v>
      </c>
      <c r="D119" s="558">
        <f>SUM(D114:D118)</f>
        <v>0</v>
      </c>
      <c r="E119" s="171">
        <f t="shared" ref="E119:F119" si="32">SUM(E114:E118)</f>
        <v>300272</v>
      </c>
      <c r="F119" s="171">
        <f t="shared" si="32"/>
        <v>0</v>
      </c>
      <c r="G119" s="171">
        <f>SUM(G114:G118)</f>
        <v>300272</v>
      </c>
      <c r="H119" s="172">
        <f t="shared" si="30"/>
        <v>2.9688064334685585E-2</v>
      </c>
      <c r="J119" s="168"/>
      <c r="K119" s="168"/>
      <c r="M119" s="364">
        <f t="shared" si="31"/>
        <v>7.8915111695137981</v>
      </c>
      <c r="N119" s="359">
        <f>SUMMARY!J122</f>
        <v>6.0247597205909562</v>
      </c>
      <c r="O119" s="354">
        <f>M119/N119-1</f>
        <v>0.30984662218856696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'[64]Sch C'!D124</f>
        <v>0</v>
      </c>
      <c r="D123" s="558">
        <f>'[64]Sch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14405</v>
      </c>
      <c r="K123" s="183">
        <v>15365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'[64]Sch C'!D125</f>
        <v>458823</v>
      </c>
      <c r="D124" s="558">
        <f>'[64]Sch C'!F125</f>
        <v>0</v>
      </c>
      <c r="E124" s="171">
        <f t="shared" si="33"/>
        <v>458823</v>
      </c>
      <c r="F124" s="171"/>
      <c r="G124" s="171">
        <f>E124+F124</f>
        <v>458823</v>
      </c>
      <c r="H124" s="172">
        <f>IF($G$208=0,0,G124/$G$208)</f>
        <v>4.5364092363701723E-2</v>
      </c>
      <c r="J124" s="183">
        <v>0</v>
      </c>
      <c r="K124" s="183">
        <v>0</v>
      </c>
      <c r="M124" s="364">
        <f t="shared" si="34"/>
        <v>12.058423127463863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'[64]Sch C'!D126</f>
        <v>0</v>
      </c>
      <c r="D125" s="558">
        <f>'[64]Sch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'[64]Sch C'!D127</f>
        <v>0</v>
      </c>
      <c r="D126" s="558">
        <f>'[64]Sch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'[64]Sch C'!D128</f>
        <v>74835</v>
      </c>
      <c r="D127" s="558">
        <f>'[64]Sch C'!F128</f>
        <v>0</v>
      </c>
      <c r="E127" s="171">
        <f t="shared" si="33"/>
        <v>74835</v>
      </c>
      <c r="F127" s="171"/>
      <c r="G127" s="171">
        <f>E127+F127</f>
        <v>74835</v>
      </c>
      <c r="H127" s="172">
        <f>IF($G$208=0,0,G127/$G$208)</f>
        <v>7.3989792404426519E-3</v>
      </c>
      <c r="J127" s="183">
        <v>4847</v>
      </c>
      <c r="K127" s="183">
        <v>5355</v>
      </c>
      <c r="M127" s="364">
        <f t="shared" si="34"/>
        <v>1.966754270696452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40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'[64]Sch C'!D130</f>
        <v>0</v>
      </c>
      <c r="D129" s="558">
        <f>'[64]Sch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'[64]Sch C'!D131</f>
        <v>112704</v>
      </c>
      <c r="D130" s="558">
        <f>'[64]Sch C'!F131</f>
        <v>0</v>
      </c>
      <c r="E130" s="171">
        <f t="shared" si="35"/>
        <v>112704</v>
      </c>
      <c r="F130" s="171"/>
      <c r="G130" s="171">
        <f>E130+F130</f>
        <v>112704</v>
      </c>
      <c r="H130" s="172">
        <f>IF($G$208=0,0,G130/$G$208)</f>
        <v>1.1143108923830409E-2</v>
      </c>
      <c r="J130" s="204"/>
      <c r="K130" s="204"/>
      <c r="M130" s="364">
        <f t="shared" si="34"/>
        <v>2.9619973718791064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'[64]Sch C'!D132</f>
        <v>0</v>
      </c>
      <c r="D131" s="558">
        <f>'[64]Sch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'[64]Sch C'!D133</f>
        <v>0</v>
      </c>
      <c r="D132" s="558">
        <f>'[64]Sch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'[64]Sch C'!D134</f>
        <v>24071</v>
      </c>
      <c r="D133" s="558">
        <f>'[64]Sch C'!F134</f>
        <v>0</v>
      </c>
      <c r="E133" s="171">
        <f t="shared" si="35"/>
        <v>24071</v>
      </c>
      <c r="F133" s="171"/>
      <c r="G133" s="171">
        <f>E133+F133</f>
        <v>24071</v>
      </c>
      <c r="H133" s="172">
        <f>IF($G$208=0,0,G133/$G$208)</f>
        <v>2.3799135337301404E-3</v>
      </c>
      <c r="J133" s="168"/>
      <c r="K133" s="168"/>
      <c r="M133" s="364">
        <f t="shared" si="34"/>
        <v>0.63261498028909335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'[64]Sch C'!D136</f>
        <v>1290244</v>
      </c>
      <c r="D135" s="558">
        <f>'[64]Sch C'!F136</f>
        <v>0</v>
      </c>
      <c r="E135" s="171">
        <f t="shared" ref="E135:E138" si="36">C135+D135</f>
        <v>1290244</v>
      </c>
      <c r="F135" s="171"/>
      <c r="G135" s="171">
        <f>E135+F135</f>
        <v>1290244</v>
      </c>
      <c r="H135" s="172">
        <f>IF($G$208=0,0,G135/$G$208)</f>
        <v>0.12756716203789253</v>
      </c>
      <c r="J135" s="183">
        <v>44916</v>
      </c>
      <c r="K135" s="183">
        <v>697</v>
      </c>
      <c r="M135" s="364">
        <f t="shared" si="34"/>
        <v>33.909172141918525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'[64]Sch C'!D137</f>
        <v>325894</v>
      </c>
      <c r="D136" s="558">
        <f>'[64]Sch C'!F137</f>
        <v>0</v>
      </c>
      <c r="E136" s="171">
        <f t="shared" si="36"/>
        <v>325894</v>
      </c>
      <c r="F136" s="171"/>
      <c r="G136" s="171">
        <f>E136+F136</f>
        <v>325894</v>
      </c>
      <c r="H136" s="172">
        <f>IF($G$208=0,0,G136/$G$208)</f>
        <v>3.2221326125273168E-2</v>
      </c>
      <c r="J136" s="183">
        <v>15433</v>
      </c>
      <c r="K136" s="183">
        <v>62603</v>
      </c>
      <c r="M136" s="364">
        <f t="shared" si="34"/>
        <v>8.5648883048620235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'[64]Sch C'!D138</f>
        <v>1494627</v>
      </c>
      <c r="D137" s="558">
        <f>'[64]Sch C'!F138</f>
        <v>84389</v>
      </c>
      <c r="E137" s="171">
        <f t="shared" si="36"/>
        <v>1579016</v>
      </c>
      <c r="F137" s="171"/>
      <c r="G137" s="171">
        <f>E137+F137</f>
        <v>1579016</v>
      </c>
      <c r="H137" s="172">
        <f>IF($G$208=0,0,G137/$G$208)</f>
        <v>0.15611821479691046</v>
      </c>
      <c r="J137" s="183">
        <v>127469</v>
      </c>
      <c r="K137" s="183">
        <v>142693</v>
      </c>
      <c r="M137" s="364">
        <f t="shared" si="34"/>
        <v>41.498449408672798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'[64]Sch C'!D139</f>
        <v>84389</v>
      </c>
      <c r="D138" s="558">
        <f>'[64]Sch C'!F139</f>
        <v>-84389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'[64]Sch C'!D141</f>
        <v>865400</v>
      </c>
      <c r="D140" s="558">
        <f>'[64]Sch C'!F141</f>
        <v>-516026</v>
      </c>
      <c r="E140" s="171">
        <f t="shared" ref="E140:E143" si="37">C140+D140</f>
        <v>349374</v>
      </c>
      <c r="F140" s="171"/>
      <c r="G140" s="171">
        <f>E140+F140</f>
        <v>349374</v>
      </c>
      <c r="H140" s="172">
        <f>IF($G$208=0,0,G140/$G$208)</f>
        <v>3.4542807151071171E-2</v>
      </c>
      <c r="J140" s="168"/>
      <c r="K140" s="168"/>
      <c r="M140" s="364">
        <f t="shared" si="34"/>
        <v>9.1819710906701708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'[64]Sch C'!D142</f>
        <v>0</v>
      </c>
      <c r="D141" s="558">
        <f>'[64]Sch C'!F142</f>
        <v>88282</v>
      </c>
      <c r="E141" s="171">
        <f t="shared" si="37"/>
        <v>88282</v>
      </c>
      <c r="F141" s="171"/>
      <c r="G141" s="171">
        <f>E141+F141</f>
        <v>88282</v>
      </c>
      <c r="H141" s="172">
        <f>IF($G$208=0,0,G141/$G$208)</f>
        <v>8.7284918193994542E-3</v>
      </c>
      <c r="J141" s="168"/>
      <c r="K141" s="168"/>
      <c r="M141" s="364">
        <f t="shared" si="34"/>
        <v>2.3201576872536136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'[64]Sch C'!D143</f>
        <v>0</v>
      </c>
      <c r="D142" s="558">
        <f>'[64]Sch C'!F143</f>
        <v>427744</v>
      </c>
      <c r="E142" s="171">
        <f t="shared" si="37"/>
        <v>427744</v>
      </c>
      <c r="F142" s="171"/>
      <c r="G142" s="171">
        <f>E142+F142</f>
        <v>427744</v>
      </c>
      <c r="H142" s="172">
        <f>IF($G$208=0,0,G142/$G$208)</f>
        <v>4.2291293862816881E-2</v>
      </c>
      <c r="J142" s="168"/>
      <c r="K142" s="168"/>
      <c r="M142" s="364">
        <f t="shared" si="34"/>
        <v>11.241629434954008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'[64]Sch C'!D144</f>
        <v>0</v>
      </c>
      <c r="D143" s="558">
        <f>'[64]Sch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'[64]Sch C'!D146</f>
        <v>56325</v>
      </c>
      <c r="D145" s="558">
        <f>'[64]Sch C'!F146</f>
        <v>0</v>
      </c>
      <c r="E145" s="171">
        <f t="shared" ref="E145:E153" si="38">C145+D145</f>
        <v>56325</v>
      </c>
      <c r="F145" s="171"/>
      <c r="G145" s="171">
        <f t="shared" ref="G145:G153" si="39">E145+F145</f>
        <v>56325</v>
      </c>
      <c r="H145" s="172">
        <f t="shared" ref="H145:H153" si="40">IF($G$208=0,0,G145/$G$208)</f>
        <v>5.5688849564766796E-3</v>
      </c>
      <c r="J145" s="183">
        <v>412</v>
      </c>
      <c r="K145" s="183">
        <v>412</v>
      </c>
      <c r="M145" s="364">
        <f t="shared" si="34"/>
        <v>1.4802890932982917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'[64]Sch C'!D147</f>
        <v>0</v>
      </c>
      <c r="D146" s="558">
        <f>'[64]Sch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'[64]Sch C'!D148</f>
        <v>0</v>
      </c>
      <c r="D147" s="558">
        <f>'[64]Sch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'[64]Sch C'!D149</f>
        <v>0</v>
      </c>
      <c r="D148" s="558">
        <f>'[64]Sch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'[64]Sch C'!D150</f>
        <v>909</v>
      </c>
      <c r="D149" s="558">
        <f>'[64]Sch C'!F150</f>
        <v>0</v>
      </c>
      <c r="E149" s="171">
        <f t="shared" si="38"/>
        <v>909</v>
      </c>
      <c r="F149" s="171"/>
      <c r="G149" s="171">
        <f t="shared" si="39"/>
        <v>909</v>
      </c>
      <c r="H149" s="172">
        <f t="shared" si="40"/>
        <v>8.9873349763644952E-5</v>
      </c>
      <c r="J149" s="183">
        <v>0</v>
      </c>
      <c r="K149" s="183">
        <v>0</v>
      </c>
      <c r="M149" s="364">
        <f t="shared" si="34"/>
        <v>2.3889618922470435E-2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'[64]Sch C'!D151</f>
        <v>161668</v>
      </c>
      <c r="D150" s="558">
        <f>'[64]Sch C'!F151</f>
        <v>0</v>
      </c>
      <c r="E150" s="171">
        <f t="shared" si="38"/>
        <v>161668</v>
      </c>
      <c r="F150" s="171"/>
      <c r="G150" s="171">
        <f t="shared" si="39"/>
        <v>161668</v>
      </c>
      <c r="H150" s="172">
        <f t="shared" si="40"/>
        <v>1.5984207601307979E-2</v>
      </c>
      <c r="J150" s="168"/>
      <c r="K150" s="168"/>
      <c r="M150" s="364">
        <f t="shared" si="34"/>
        <v>4.2488304862023654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'[64]Sch C'!D152</f>
        <v>18695</v>
      </c>
      <c r="D151" s="558">
        <f>'[64]Sch C'!F152</f>
        <v>0</v>
      </c>
      <c r="E151" s="171">
        <f t="shared" si="38"/>
        <v>18695</v>
      </c>
      <c r="F151" s="171"/>
      <c r="G151" s="171">
        <f t="shared" si="39"/>
        <v>18695</v>
      </c>
      <c r="H151" s="172">
        <f t="shared" si="40"/>
        <v>1.8483853397484515E-3</v>
      </c>
      <c r="J151" s="168"/>
      <c r="K151" s="168"/>
      <c r="M151" s="364">
        <f t="shared" si="34"/>
        <v>0.49132720105124833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'[64]Sch C'!D153</f>
        <v>0</v>
      </c>
      <c r="D152" s="558">
        <f>'[64]Sch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'[64]Sch C'!D154</f>
        <v>0</v>
      </c>
      <c r="D153" s="558">
        <f>'[64]Sch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'[64]Sch C'!D156</f>
        <v>0</v>
      </c>
      <c r="D155" s="558">
        <f>'[64]Sch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'[64]Sch C'!D157</f>
        <v>0</v>
      </c>
      <c r="D156" s="558">
        <f>'[64]Sch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'[64]Sch C'!D158</f>
        <v>75</v>
      </c>
      <c r="D157" s="558">
        <f>'[64]Sch C'!F158</f>
        <v>0</v>
      </c>
      <c r="E157" s="171">
        <f t="shared" si="41"/>
        <v>75</v>
      </c>
      <c r="F157" s="171"/>
      <c r="G157" s="171">
        <f t="shared" si="42"/>
        <v>75</v>
      </c>
      <c r="H157" s="172">
        <f t="shared" si="43"/>
        <v>7.4152928847891874E-6</v>
      </c>
      <c r="J157" s="168"/>
      <c r="K157" s="168"/>
      <c r="M157" s="364">
        <f t="shared" si="34"/>
        <v>1.9710906701708277E-3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'[64]Sch C'!D159</f>
        <v>0</v>
      </c>
      <c r="D158" s="558">
        <f>'[64]Sch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'[64]Sch C'!D160</f>
        <v>0</v>
      </c>
      <c r="D159" s="558">
        <f>'[64]Sch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'[64]Sch C'!D161</f>
        <v>56507</v>
      </c>
      <c r="D160" s="558">
        <f>'[64]Sch C'!F161</f>
        <v>0</v>
      </c>
      <c r="E160" s="171">
        <f t="shared" si="41"/>
        <v>56507</v>
      </c>
      <c r="F160" s="171"/>
      <c r="G160" s="171">
        <f t="shared" si="42"/>
        <v>56507</v>
      </c>
      <c r="H160" s="172">
        <f t="shared" si="43"/>
        <v>5.5868794005437686E-3</v>
      </c>
      <c r="J160" s="168"/>
      <c r="K160" s="168"/>
      <c r="M160" s="364">
        <f t="shared" si="34"/>
        <v>1.4850722733245729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5025166</v>
      </c>
      <c r="D161" s="558">
        <f>SUM(D123:D160)</f>
        <v>0</v>
      </c>
      <c r="E161" s="171">
        <f t="shared" ref="E161:F161" si="44">SUM(E123:E160)</f>
        <v>5025166</v>
      </c>
      <c r="F161" s="171">
        <f t="shared" si="44"/>
        <v>0</v>
      </c>
      <c r="G161" s="171">
        <f>SUM(G123:G160)</f>
        <v>5025166</v>
      </c>
      <c r="H161" s="172">
        <f t="shared" si="43"/>
        <v>0.49684103579579392</v>
      </c>
      <c r="J161" s="168"/>
      <c r="K161" s="168"/>
      <c r="M161" s="364">
        <f>G161/G$228</f>
        <v>132.06743758212878</v>
      </c>
      <c r="N161" s="359">
        <f>SUMMARY!J164</f>
        <v>105.56901037202306</v>
      </c>
      <c r="O161" s="354">
        <f>M161/N161-1</f>
        <v>0.25100573659567127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'[64]Sch C'!D175</f>
        <v>0</v>
      </c>
      <c r="D164" s="558">
        <f>'[64]Sch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407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'[64]Sch C'!D176</f>
        <v>0</v>
      </c>
      <c r="D165" s="558">
        <f>'[64]Sch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408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'[64]Sch C'!D177</f>
        <v>0</v>
      </c>
      <c r="D166" s="558">
        <f>'[64]Sch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407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'[64]Sch C'!D178</f>
        <v>0</v>
      </c>
      <c r="D167" s="558">
        <f>'[64]Sch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408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'[64]Sch C'!D179</f>
        <v>0</v>
      </c>
      <c r="D168" s="558">
        <f>'[64]Sch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407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'[64]Sch C'!D180</f>
        <v>0</v>
      </c>
      <c r="D169" s="558">
        <f>'[64]Sch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408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'[64]Sch C'!D181</f>
        <v>0</v>
      </c>
      <c r="D170" s="558">
        <f>'[64]Sch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407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'[64]Sch C'!D182</f>
        <v>0</v>
      </c>
      <c r="D171" s="558">
        <f>'[64]Sch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408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'[64]Sch C'!D183</f>
        <v>0</v>
      </c>
      <c r="D172" s="558">
        <f>'[64]Sch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407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'[64]Sch C'!D184</f>
        <v>0</v>
      </c>
      <c r="D173" s="558">
        <f>'[64]Sch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408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'[64]Sch C'!D185</f>
        <v>0</v>
      </c>
      <c r="D174" s="558">
        <f>'[64]Sch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407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'[64]Sch C'!D186</f>
        <v>0</v>
      </c>
      <c r="D175" s="558">
        <f>'[64]Sch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'[64]Sch C'!D187</f>
        <v>0</v>
      </c>
      <c r="D176" s="558">
        <f>'[64]Sch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'[64]Sch C'!D188</f>
        <v>764</v>
      </c>
      <c r="D177" s="558">
        <f>'[64]Sch C'!F188</f>
        <v>0</v>
      </c>
      <c r="E177" s="171">
        <f t="shared" si="45"/>
        <v>764</v>
      </c>
      <c r="F177" s="216"/>
      <c r="G177" s="171">
        <f t="shared" si="46"/>
        <v>764</v>
      </c>
      <c r="H177" s="172">
        <f t="shared" si="47"/>
        <v>7.5537116853052522E-5</v>
      </c>
      <c r="I177" s="223"/>
      <c r="J177" s="223"/>
      <c r="K177" s="218"/>
      <c r="L177" s="220"/>
      <c r="M177" s="364">
        <f t="shared" si="48"/>
        <v>2.0078843626806835E-2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'[64]Sch C'!D189</f>
        <v>12</v>
      </c>
      <c r="D178" s="558">
        <f>'[64]Sch C'!F189</f>
        <v>0</v>
      </c>
      <c r="E178" s="171">
        <f t="shared" si="45"/>
        <v>12</v>
      </c>
      <c r="F178" s="216"/>
      <c r="G178" s="171">
        <f t="shared" si="46"/>
        <v>12</v>
      </c>
      <c r="H178" s="172">
        <f t="shared" si="47"/>
        <v>1.1864468615662699E-6</v>
      </c>
      <c r="I178" s="223"/>
      <c r="J178" s="223"/>
      <c r="K178" s="218"/>
      <c r="L178" s="220"/>
      <c r="M178" s="364">
        <f t="shared" si="48"/>
        <v>3.1537450722733245E-4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'[64]Sch C'!D190</f>
        <v>0</v>
      </c>
      <c r="D179" s="558">
        <f>'[64]Sch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'[64]Sch C'!D191</f>
        <v>16</v>
      </c>
      <c r="D180" s="558">
        <f>'[64]Sch C'!F191</f>
        <v>0</v>
      </c>
      <c r="E180" s="171">
        <f t="shared" si="45"/>
        <v>16</v>
      </c>
      <c r="F180" s="216"/>
      <c r="G180" s="171">
        <f t="shared" si="46"/>
        <v>16</v>
      </c>
      <c r="H180" s="172">
        <f t="shared" si="47"/>
        <v>1.5819291487550267E-6</v>
      </c>
      <c r="I180" s="223"/>
      <c r="J180" s="223"/>
      <c r="K180" s="218"/>
      <c r="L180" s="220"/>
      <c r="M180" s="364">
        <f t="shared" si="48"/>
        <v>4.2049934296977662E-4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'[64]Sch C'!D192</f>
        <v>0</v>
      </c>
      <c r="D181" s="558">
        <f>'[64]Sch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223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'[64]Sch C'!D193</f>
        <v>7946</v>
      </c>
      <c r="D182" s="558">
        <f>'[64]Sch C'!F193</f>
        <v>0</v>
      </c>
      <c r="E182" s="171">
        <f t="shared" si="45"/>
        <v>7946</v>
      </c>
      <c r="F182" s="216"/>
      <c r="G182" s="171">
        <f t="shared" si="46"/>
        <v>7946</v>
      </c>
      <c r="H182" s="172">
        <f t="shared" si="47"/>
        <v>7.8562556350046512E-4</v>
      </c>
      <c r="I182" s="223"/>
      <c r="J182" s="223"/>
      <c r="K182" s="218"/>
      <c r="L182" s="220"/>
      <c r="M182" s="364">
        <f t="shared" si="48"/>
        <v>0.2088304862023653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'[64]Sch C'!D194</f>
        <v>333146</v>
      </c>
      <c r="D183" s="558">
        <f>'[64]Sch C'!F194</f>
        <v>0</v>
      </c>
      <c r="E183" s="171">
        <f t="shared" si="45"/>
        <v>333146</v>
      </c>
      <c r="F183" s="216"/>
      <c r="G183" s="171">
        <f t="shared" si="46"/>
        <v>333146</v>
      </c>
      <c r="H183" s="172">
        <f t="shared" si="47"/>
        <v>3.293833551194638E-2</v>
      </c>
      <c r="I183" s="223"/>
      <c r="J183" s="223"/>
      <c r="K183" s="218"/>
      <c r="M183" s="364">
        <f t="shared" si="48"/>
        <v>8.755479632063075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'[64]Sch C'!D195</f>
        <v>134110</v>
      </c>
      <c r="D184" s="558">
        <f>'[64]Sch C'!F195</f>
        <v>0</v>
      </c>
      <c r="E184" s="171">
        <f t="shared" si="45"/>
        <v>134110</v>
      </c>
      <c r="F184" s="216"/>
      <c r="G184" s="171">
        <f t="shared" si="46"/>
        <v>134110</v>
      </c>
      <c r="H184" s="172">
        <f t="shared" si="47"/>
        <v>1.325953238372104E-2</v>
      </c>
      <c r="I184" s="223"/>
      <c r="J184" s="223"/>
      <c r="K184" s="218"/>
      <c r="M184" s="364">
        <f t="shared" si="48"/>
        <v>3.5245729303547964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'[64]Sch C'!D196</f>
        <v>0</v>
      </c>
      <c r="D185" s="558">
        <f>'[64]Sch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'[64]Sch C'!D197</f>
        <v>215156</v>
      </c>
      <c r="D186" s="558">
        <f>'[64]Sch C'!F197</f>
        <v>0</v>
      </c>
      <c r="E186" s="171">
        <f t="shared" si="45"/>
        <v>215156</v>
      </c>
      <c r="F186" s="216"/>
      <c r="G186" s="171">
        <f t="shared" si="46"/>
        <v>215156</v>
      </c>
      <c r="H186" s="172">
        <f t="shared" si="47"/>
        <v>2.1272596745596034E-2</v>
      </c>
      <c r="I186" s="223"/>
      <c r="J186" s="223"/>
      <c r="K186" s="218"/>
      <c r="M186" s="364">
        <f t="shared" si="48"/>
        <v>5.6545597897503281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'[64]Sch C'!D198</f>
        <v>59405</v>
      </c>
      <c r="D187" s="558">
        <f>'[64]Sch C'!F198</f>
        <v>0</v>
      </c>
      <c r="E187" s="171">
        <f t="shared" si="45"/>
        <v>59405</v>
      </c>
      <c r="F187" s="216"/>
      <c r="G187" s="171">
        <f t="shared" si="46"/>
        <v>59405</v>
      </c>
      <c r="H187" s="172">
        <f t="shared" si="47"/>
        <v>5.8734063176120229E-3</v>
      </c>
      <c r="I187" s="223"/>
      <c r="J187" s="223"/>
      <c r="K187" s="218"/>
      <c r="M187" s="364">
        <f t="shared" si="48"/>
        <v>1.5612352168199737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'[64]Sch C'!D199</f>
        <v>72</v>
      </c>
      <c r="D188" s="558">
        <f>'[64]Sch C'!F199</f>
        <v>0</v>
      </c>
      <c r="E188" s="171">
        <f t="shared" si="45"/>
        <v>72</v>
      </c>
      <c r="F188" s="216"/>
      <c r="G188" s="171">
        <f t="shared" si="46"/>
        <v>72</v>
      </c>
      <c r="H188" s="172">
        <f t="shared" si="47"/>
        <v>7.11868116939762E-6</v>
      </c>
      <c r="I188" s="223"/>
      <c r="J188" s="223"/>
      <c r="K188" s="218"/>
      <c r="M188" s="364">
        <f t="shared" si="48"/>
        <v>1.8922470433639948E-3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'[64]Sch C'!D200</f>
        <v>0</v>
      </c>
      <c r="D189" s="558">
        <f>'[64]Sch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'[64]Sch C'!D201</f>
        <v>0</v>
      </c>
      <c r="D190" s="558">
        <f>'[64]Sch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'[64]Sch C'!D202</f>
        <v>0</v>
      </c>
      <c r="D191" s="558">
        <f>'[64]Sch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'[64]Sch C'!D203</f>
        <v>0</v>
      </c>
      <c r="D192" s="558">
        <f>'[64]Sch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'[64]Sch C'!D204</f>
        <v>0</v>
      </c>
      <c r="D193" s="558">
        <f>'[64]Sch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'[64]Sch C'!D205</f>
        <v>389747</v>
      </c>
      <c r="D194" s="558">
        <f>'[64]Sch C'!F205</f>
        <v>0</v>
      </c>
      <c r="E194" s="171">
        <f t="shared" si="45"/>
        <v>389747</v>
      </c>
      <c r="F194" s="216"/>
      <c r="G194" s="171">
        <f t="shared" si="46"/>
        <v>389747</v>
      </c>
      <c r="H194" s="172">
        <f t="shared" si="47"/>
        <v>3.8534508746239086E-2</v>
      </c>
      <c r="I194" s="223"/>
      <c r="J194" s="223"/>
      <c r="K194" s="218"/>
      <c r="M194" s="364">
        <f t="shared" si="48"/>
        <v>10.243022339027595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'[64]Sch C'!D206</f>
        <v>19912</v>
      </c>
      <c r="D195" s="558">
        <f>'[64]Sch C'!F206</f>
        <v>0</v>
      </c>
      <c r="E195" s="171">
        <f t="shared" si="45"/>
        <v>19912</v>
      </c>
      <c r="F195" s="216"/>
      <c r="G195" s="171">
        <f t="shared" si="46"/>
        <v>19912</v>
      </c>
      <c r="H195" s="172">
        <f t="shared" si="47"/>
        <v>1.9687108256256306E-3</v>
      </c>
      <c r="I195" s="223"/>
      <c r="J195" s="223"/>
      <c r="K195" s="218"/>
      <c r="M195" s="364">
        <f t="shared" si="48"/>
        <v>0.52331143232588695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'[64]Sch C'!D207</f>
        <v>7598</v>
      </c>
      <c r="D196" s="558">
        <f>'[64]Sch C'!F207</f>
        <v>0</v>
      </c>
      <c r="E196" s="171">
        <f t="shared" si="45"/>
        <v>7598</v>
      </c>
      <c r="F196" s="216"/>
      <c r="G196" s="171">
        <f t="shared" si="46"/>
        <v>7598</v>
      </c>
      <c r="H196" s="172">
        <f t="shared" si="47"/>
        <v>7.5121860451504328E-4</v>
      </c>
      <c r="I196" s="223"/>
      <c r="J196" s="223"/>
      <c r="K196" s="218"/>
      <c r="M196" s="364">
        <f t="shared" si="48"/>
        <v>0.19968462549277266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1167884</v>
      </c>
      <c r="D197" s="558">
        <f>SUM(D164:D196)</f>
        <v>0</v>
      </c>
      <c r="E197" s="171">
        <f t="shared" ref="E197:F197" si="49">SUM(E164:E196)</f>
        <v>1167884</v>
      </c>
      <c r="F197" s="171">
        <f t="shared" si="49"/>
        <v>0</v>
      </c>
      <c r="G197" s="171">
        <f>SUM(G164:G196)</f>
        <v>1167884</v>
      </c>
      <c r="H197" s="172">
        <f>IF($G$208=0,0,G197/$G$208)</f>
        <v>0.11546935887278847</v>
      </c>
      <c r="J197" s="168"/>
      <c r="K197" s="168"/>
      <c r="M197" s="364">
        <f>G197/G$228</f>
        <v>30.69340341655716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'[64]Sch C'!D211</f>
        <v>260096</v>
      </c>
      <c r="D200" s="558">
        <f>'[64]Sch C'!F211</f>
        <v>0</v>
      </c>
      <c r="E200" s="171">
        <f t="shared" ref="E200:E205" si="50">C200+D200</f>
        <v>260096</v>
      </c>
      <c r="F200" s="171"/>
      <c r="G200" s="171">
        <f t="shared" ref="G200:G205" si="51">E200+F200</f>
        <v>260096</v>
      </c>
      <c r="H200" s="172">
        <f t="shared" ref="H200:H206" si="52">IF($G$208=0,0,G200/$G$208)</f>
        <v>2.5715840242161715E-2</v>
      </c>
      <c r="J200" s="183">
        <v>15206</v>
      </c>
      <c r="K200" s="183">
        <v>16890</v>
      </c>
      <c r="M200" s="364">
        <f t="shared" ref="M200:M205" si="53">G200/G$228</f>
        <v>6.8356373193166888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'[64]Sch C'!D212</f>
        <v>87622</v>
      </c>
      <c r="D201" s="558">
        <f>'[64]Sch C'!F212</f>
        <v>0</v>
      </c>
      <c r="E201" s="171">
        <f t="shared" si="50"/>
        <v>87622</v>
      </c>
      <c r="F201" s="171"/>
      <c r="G201" s="171">
        <f t="shared" si="51"/>
        <v>87622</v>
      </c>
      <c r="H201" s="172">
        <f t="shared" si="52"/>
        <v>8.6632372420133094E-3</v>
      </c>
      <c r="J201" s="168"/>
      <c r="K201" s="168"/>
      <c r="M201" s="364">
        <f t="shared" si="53"/>
        <v>2.3028120893561104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'[64]Sch C'!D213</f>
        <v>12759</v>
      </c>
      <c r="D202" s="558">
        <f>'[64]Sch C'!F213</f>
        <v>0</v>
      </c>
      <c r="E202" s="171">
        <f t="shared" si="50"/>
        <v>12759</v>
      </c>
      <c r="F202" s="171"/>
      <c r="G202" s="171">
        <f t="shared" si="51"/>
        <v>12759</v>
      </c>
      <c r="H202" s="172">
        <f t="shared" si="52"/>
        <v>1.2614896255603366E-3</v>
      </c>
      <c r="J202" s="168"/>
      <c r="K202" s="168"/>
      <c r="M202" s="364">
        <f t="shared" si="53"/>
        <v>0.33532194480946126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'[64]Sch C'!D214</f>
        <v>0</v>
      </c>
      <c r="D203" s="558">
        <f>'[64]Sch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'[64]Sch C'!D215</f>
        <v>0</v>
      </c>
      <c r="D204" s="558">
        <f>'[64]Sch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'[64]Sch C'!D216</f>
        <v>6018</v>
      </c>
      <c r="D205" s="558">
        <f>'[64]Sch C'!F216</f>
        <v>0</v>
      </c>
      <c r="E205" s="171">
        <f t="shared" si="50"/>
        <v>6018</v>
      </c>
      <c r="F205" s="171"/>
      <c r="G205" s="171">
        <f t="shared" si="51"/>
        <v>6018</v>
      </c>
      <c r="H205" s="172">
        <f t="shared" si="52"/>
        <v>5.9500310107548444E-4</v>
      </c>
      <c r="J205" s="168"/>
      <c r="K205" s="168"/>
      <c r="M205" s="364">
        <f t="shared" si="53"/>
        <v>0.15816031537450723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366495</v>
      </c>
      <c r="D206" s="558">
        <f>SUM(D200:D205)</f>
        <v>0</v>
      </c>
      <c r="E206" s="171">
        <f t="shared" ref="E206:F206" si="54">SUM(E200:E205)</f>
        <v>366495</v>
      </c>
      <c r="F206" s="171">
        <f t="shared" si="54"/>
        <v>0</v>
      </c>
      <c r="G206" s="171">
        <f>SUM(G200:G205)</f>
        <v>366495</v>
      </c>
      <c r="H206" s="172">
        <f t="shared" si="52"/>
        <v>3.6235570210810843E-2</v>
      </c>
      <c r="J206" s="168"/>
      <c r="K206" s="168"/>
      <c r="M206" s="364">
        <f>G206/G$228</f>
        <v>9.6319316688567671</v>
      </c>
      <c r="N206" s="359">
        <f>SUMMARY!J209</f>
        <v>7.1515095990067339</v>
      </c>
      <c r="O206" s="354">
        <f>M206/N206-1</f>
        <v>0.34683894854794528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10631285</v>
      </c>
      <c r="D208" s="558">
        <f>SUM(D25:D206)/2</f>
        <v>-517052</v>
      </c>
      <c r="E208" s="171">
        <f t="shared" ref="E208:F208" si="55">SUM(E25:E206)/2</f>
        <v>10114233</v>
      </c>
      <c r="F208" s="171">
        <f t="shared" si="55"/>
        <v>0</v>
      </c>
      <c r="G208" s="171">
        <f>SUM(G25:G206)/2</f>
        <v>10114233</v>
      </c>
      <c r="H208" s="172">
        <f>IF($G$208=0,0,G208/$G$208)</f>
        <v>1</v>
      </c>
      <c r="I208" s="336"/>
      <c r="J208" s="183">
        <f>SUM(J25:J200)</f>
        <v>303474</v>
      </c>
      <c r="K208" s="183">
        <f>SUM(K25:K200)</f>
        <v>331011</v>
      </c>
      <c r="M208" s="364">
        <f>G208/G$228</f>
        <v>265.81427069645201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0.79897161427065766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'[64]Sch C'!D221</f>
        <v>10631285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181593</v>
      </c>
      <c r="D215" s="558">
        <f>D21-D208</f>
        <v>486672</v>
      </c>
      <c r="E215" s="171">
        <f t="shared" ref="E215:F215" si="56">E21-E208</f>
        <v>668265</v>
      </c>
      <c r="F215" s="171">
        <f t="shared" si="56"/>
        <v>0</v>
      </c>
      <c r="G215" s="171">
        <f>G21-G208</f>
        <v>668265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'[64]Sch D'!C9</f>
        <v>2205</v>
      </c>
      <c r="D219" s="592"/>
      <c r="E219" s="235">
        <f t="shared" ref="E219:G227" si="57">C219+D219</f>
        <v>2205</v>
      </c>
      <c r="F219" s="234"/>
      <c r="G219" s="235">
        <f t="shared" si="57"/>
        <v>2205</v>
      </c>
      <c r="H219" s="172">
        <f t="shared" ref="H219:H228" si="58">IF($G$228=0,0,G219/$G$228)</f>
        <v>5.7950065703022337E-2</v>
      </c>
      <c r="I219" s="336"/>
      <c r="J219" s="168"/>
      <c r="K219" s="168"/>
    </row>
    <row r="220" spans="1:17">
      <c r="A220" s="163"/>
      <c r="B220" s="170" t="s">
        <v>217</v>
      </c>
      <c r="C220" s="592">
        <f>'[64]Sch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'[64]Sch D'!E9</f>
        <v>4159</v>
      </c>
      <c r="D221" s="592"/>
      <c r="E221" s="235">
        <f t="shared" si="59"/>
        <v>4159</v>
      </c>
      <c r="F221" s="234"/>
      <c r="G221" s="235">
        <f t="shared" si="57"/>
        <v>4159</v>
      </c>
      <c r="H221" s="172">
        <f t="shared" si="58"/>
        <v>0.10930354796320631</v>
      </c>
      <c r="I221" s="336"/>
      <c r="J221" s="168"/>
      <c r="K221" s="168"/>
    </row>
    <row r="222" spans="1:17">
      <c r="A222" s="163"/>
      <c r="B222" s="202" t="s">
        <v>334</v>
      </c>
      <c r="C222" s="592">
        <f>'[64]Sch D'!F9</f>
        <v>443</v>
      </c>
      <c r="D222" s="592"/>
      <c r="E222" s="235">
        <f>C222+D222</f>
        <v>443</v>
      </c>
      <c r="F222" s="234"/>
      <c r="G222" s="235">
        <f>E222+F222</f>
        <v>443</v>
      </c>
      <c r="H222" s="172">
        <f t="shared" si="58"/>
        <v>1.164257555847569E-2</v>
      </c>
      <c r="I222" s="336"/>
      <c r="J222" s="168"/>
      <c r="K222" s="168"/>
    </row>
    <row r="223" spans="1:17">
      <c r="A223" s="163"/>
      <c r="B223" s="170" t="s">
        <v>73</v>
      </c>
      <c r="C223" s="592">
        <f>'[64]Sch D'!G9</f>
        <v>6203</v>
      </c>
      <c r="D223" s="592"/>
      <c r="E223" s="235">
        <f t="shared" si="59"/>
        <v>6203</v>
      </c>
      <c r="F223" s="234"/>
      <c r="G223" s="235">
        <f t="shared" si="57"/>
        <v>6203</v>
      </c>
      <c r="H223" s="172">
        <f t="shared" si="58"/>
        <v>0.16302233902759528</v>
      </c>
      <c r="I223" s="336"/>
      <c r="J223" s="168"/>
      <c r="K223" s="168"/>
    </row>
    <row r="224" spans="1:17">
      <c r="A224" s="163"/>
      <c r="B224" s="170" t="s">
        <v>74</v>
      </c>
      <c r="C224" s="592">
        <f>'[64]Sch D'!H9</f>
        <v>24075</v>
      </c>
      <c r="D224" s="592"/>
      <c r="E224" s="235">
        <f t="shared" si="59"/>
        <v>24075</v>
      </c>
      <c r="F224" s="234"/>
      <c r="G224" s="235">
        <f t="shared" si="57"/>
        <v>24075</v>
      </c>
      <c r="H224" s="172">
        <f t="shared" si="58"/>
        <v>0.63272010512483579</v>
      </c>
      <c r="I224" s="336"/>
      <c r="J224" s="168"/>
      <c r="K224" s="168"/>
    </row>
    <row r="225" spans="1:11">
      <c r="A225" s="163"/>
      <c r="B225" s="170" t="s">
        <v>236</v>
      </c>
      <c r="C225" s="592">
        <f>'[64]Sch D'!I9</f>
        <v>939</v>
      </c>
      <c r="D225" s="592"/>
      <c r="E225" s="235">
        <f t="shared" si="59"/>
        <v>939</v>
      </c>
      <c r="F225" s="234"/>
      <c r="G225" s="235">
        <f t="shared" si="57"/>
        <v>939</v>
      </c>
      <c r="H225" s="172">
        <f t="shared" si="58"/>
        <v>2.4678055190538766E-2</v>
      </c>
      <c r="I225" s="336"/>
      <c r="J225" s="168"/>
      <c r="K225" s="168"/>
    </row>
    <row r="226" spans="1:11">
      <c r="A226" s="163"/>
      <c r="B226" s="170" t="s">
        <v>235</v>
      </c>
      <c r="C226" s="592">
        <f>'[64]Sch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'[64]Sch D'!K9</f>
        <v>26</v>
      </c>
      <c r="D227" s="592"/>
      <c r="E227" s="235">
        <f t="shared" si="59"/>
        <v>26</v>
      </c>
      <c r="F227" s="234"/>
      <c r="G227" s="235">
        <f t="shared" si="57"/>
        <v>26</v>
      </c>
      <c r="H227" s="172">
        <f t="shared" si="58"/>
        <v>6.8331143232588704E-4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38050</v>
      </c>
      <c r="D228" s="592">
        <f>SUM(D219:D227)</f>
        <v>0</v>
      </c>
      <c r="E228" s="237">
        <f>SUM(E219:E227)</f>
        <v>38050</v>
      </c>
      <c r="F228" s="237">
        <f>SUM(F219:F227)</f>
        <v>0</v>
      </c>
      <c r="G228" s="237">
        <f>SUM(G219:G227)</f>
        <v>38050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'[64]Sch D'!N22</f>
        <v>108</v>
      </c>
      <c r="D231" s="559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593">
        <f>'[64]Sch D'!N24</f>
        <v>108</v>
      </c>
      <c r="D232" s="559"/>
      <c r="E232" s="235">
        <f>C232+D232</f>
        <v>108</v>
      </c>
      <c r="F232" s="235">
        <v>-98</v>
      </c>
      <c r="G232" s="235">
        <f>E232+F232</f>
        <v>10</v>
      </c>
      <c r="H232" s="167" t="s">
        <v>672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'[64]Sch D'!N28</f>
        <v>39528</v>
      </c>
      <c r="D235" s="483"/>
      <c r="E235" s="234">
        <f>E231*E233</f>
        <v>39528</v>
      </c>
      <c r="F235" s="239"/>
      <c r="G235" s="234">
        <f>G231*G233</f>
        <v>39528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'[64]Sch D'!N30</f>
        <v>0.96260878364703506</v>
      </c>
      <c r="D236" s="239"/>
      <c r="E236" s="244">
        <f>E228/E235</f>
        <v>0.96260878364703506</v>
      </c>
      <c r="F236" s="245"/>
      <c r="G236" s="244">
        <f>G228/G235</f>
        <v>0.96260878364703506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'[64]Sch D'!N32</f>
        <v>5.5783242258652097E-2</v>
      </c>
      <c r="D237" s="239"/>
      <c r="E237" s="244">
        <f>(E219+E220)/E235</f>
        <v>5.5783242258652097E-2</v>
      </c>
      <c r="F237" s="245"/>
      <c r="G237" s="244">
        <f>(G219+G220)/G235</f>
        <v>5.5783242258652097E-2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'[64]Sch D'!N34</f>
        <v>5.7950065703022337E-2</v>
      </c>
      <c r="D238" s="239"/>
      <c r="E238" s="244">
        <f>(E237/E236)</f>
        <v>5.7950065703022337E-2</v>
      </c>
      <c r="F238" s="245"/>
      <c r="G238" s="244">
        <f>(G237/G236)</f>
        <v>5.7950065703022337E-2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'[64]Sch B'!C85</f>
        <v>217.00292172843302</v>
      </c>
    </row>
    <row r="242" spans="2:7">
      <c r="F242" s="142" t="s">
        <v>341</v>
      </c>
      <c r="G242" s="558">
        <f>'[64]Sch B'!E85</f>
        <v>217.00282131661442</v>
      </c>
    </row>
    <row r="243" spans="2:7">
      <c r="F243" s="142" t="s">
        <v>342</v>
      </c>
      <c r="G243" s="558">
        <f>'[64]Sch B'!G85</f>
        <v>217.00272247745448</v>
      </c>
    </row>
    <row r="244" spans="2:7">
      <c r="F244" s="142" t="s">
        <v>343</v>
      </c>
      <c r="G244" s="558">
        <f>'[64]Sch B'!I85</f>
        <v>217.00301034807148</v>
      </c>
    </row>
    <row r="245" spans="2:7">
      <c r="F245" s="142"/>
    </row>
  </sheetData>
  <printOptions horizontalCentered="1"/>
  <pageMargins left="0.75" right="0.75" top="1" bottom="1" header="0.5" footer="0.5"/>
  <pageSetup scale="37" fitToHeight="4" orientation="landscape" horizontalDpi="300" verticalDpi="300" r:id="rId1"/>
  <headerFooter alignWithMargins="0">
    <oddFooter>&amp;RLVT
&amp;D
&amp;T
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6">
    <tabColor rgb="FFE28CAB"/>
  </sheetPr>
  <dimension ref="A1:T245"/>
  <sheetViews>
    <sheetView showGridLines="0" topLeftCell="A221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84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5"/>
      <c r="G1" s="475"/>
      <c r="H1" s="475"/>
      <c r="I1" s="473"/>
    </row>
    <row r="2" spans="1:17" ht="23">
      <c r="B2" s="143" t="s">
        <v>189</v>
      </c>
      <c r="C2" s="246" t="s">
        <v>567</v>
      </c>
      <c r="D2" s="246"/>
      <c r="E2"/>
      <c r="F2"/>
      <c r="G2"/>
      <c r="H2"/>
    </row>
    <row r="3" spans="1:17">
      <c r="A3" s="145"/>
      <c r="B3" s="140" t="s">
        <v>79</v>
      </c>
      <c r="C3" s="489">
        <v>42186</v>
      </c>
      <c r="D3" s="377"/>
      <c r="E3" s="147"/>
      <c r="F3" s="451" t="s">
        <v>527</v>
      </c>
      <c r="G3"/>
      <c r="H3"/>
    </row>
    <row r="4" spans="1:17">
      <c r="A4" s="145"/>
      <c r="B4" s="148" t="s">
        <v>80</v>
      </c>
      <c r="C4" s="489">
        <v>42551</v>
      </c>
      <c r="D4" s="377"/>
      <c r="E4" s="149"/>
      <c r="F4" s="451" t="s">
        <v>568</v>
      </c>
      <c r="G4"/>
      <c r="H4"/>
    </row>
    <row r="5" spans="1:17">
      <c r="A5" s="145"/>
      <c r="B5" s="148"/>
      <c r="C5" s="151"/>
      <c r="D5" s="144"/>
      <c r="F5" s="451" t="s">
        <v>519</v>
      </c>
      <c r="G5"/>
      <c r="H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378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379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38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38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495"/>
      <c r="D10" s="495"/>
      <c r="E10" s="165"/>
      <c r="F10" s="637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'[65]Sch B'!E10</f>
        <v>432333</v>
      </c>
      <c r="D11" s="558">
        <f>'[65]Sch B'!G10</f>
        <v>0</v>
      </c>
      <c r="E11" s="171">
        <f>C11+D11</f>
        <v>432333</v>
      </c>
      <c r="F11" s="644">
        <f>(1106595+406158)</f>
        <v>1512753</v>
      </c>
      <c r="G11" s="171">
        <f t="shared" ref="G11:G20" si="0">E11+F11</f>
        <v>1945086</v>
      </c>
      <c r="H11" s="172">
        <f t="shared" ref="H11:H21" si="1">IF($G$21=0,0,G11/$G$21)</f>
        <v>0.66699677832510629</v>
      </c>
      <c r="I11" s="336"/>
      <c r="J11" s="368" t="s">
        <v>344</v>
      </c>
      <c r="K11" s="369">
        <f>G21</f>
        <v>2916185</v>
      </c>
      <c r="M11" s="359">
        <f>IFERROR(G11/G219,0)</f>
        <v>254.55908912446014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'[65]Sch B'!E15</f>
        <v>0</v>
      </c>
      <c r="D12" s="558">
        <f>'[65]Sch B'!G15</f>
        <v>0</v>
      </c>
      <c r="E12" s="171">
        <f t="shared" ref="E12:E20" si="2">C12+D12</f>
        <v>0</v>
      </c>
      <c r="F12" s="383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2016142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'[65]Sch B'!E21</f>
        <v>279372</v>
      </c>
      <c r="D13" s="558">
        <f>'[65]Sch B'!G21</f>
        <v>0</v>
      </c>
      <c r="E13" s="171">
        <f t="shared" si="2"/>
        <v>279372</v>
      </c>
      <c r="F13" s="383">
        <v>433424</v>
      </c>
      <c r="G13" s="171">
        <f t="shared" si="0"/>
        <v>712796</v>
      </c>
      <c r="H13" s="172">
        <f t="shared" si="1"/>
        <v>0.24442756546652561</v>
      </c>
      <c r="I13" s="336"/>
      <c r="J13" s="370" t="s">
        <v>346</v>
      </c>
      <c r="K13" s="371">
        <f>G228</f>
        <v>10115</v>
      </c>
      <c r="M13" s="359">
        <f t="shared" si="3"/>
        <v>459.57188910380398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'[65]Sch B'!E27</f>
        <v>0</v>
      </c>
      <c r="D14" s="558">
        <f>'[65]Sch B'!G27</f>
        <v>0</v>
      </c>
      <c r="E14" s="171">
        <f t="shared" si="2"/>
        <v>0</v>
      </c>
      <c r="F14" s="383">
        <v>65779</v>
      </c>
      <c r="G14" s="175">
        <f>E14+F14</f>
        <v>65779</v>
      </c>
      <c r="H14" s="176">
        <f t="shared" si="1"/>
        <v>2.2556525048993806E-2</v>
      </c>
      <c r="I14" s="337"/>
      <c r="J14" s="370" t="s">
        <v>347</v>
      </c>
      <c r="K14" s="371">
        <f>G231</f>
        <v>29</v>
      </c>
      <c r="M14" s="359">
        <f t="shared" si="3"/>
        <v>406.04320987654319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'[65]Sch B'!E32</f>
        <v>0</v>
      </c>
      <c r="D15" s="558">
        <f>'[65]Sch B'!G32</f>
        <v>0</v>
      </c>
      <c r="E15" s="171">
        <f t="shared" si="2"/>
        <v>0</v>
      </c>
      <c r="F15" s="383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10614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'[65]Sch B'!E37</f>
        <v>13041</v>
      </c>
      <c r="D16" s="558">
        <f>'[65]Sch B'!G37</f>
        <v>0</v>
      </c>
      <c r="E16" s="171">
        <f t="shared" si="2"/>
        <v>13041</v>
      </c>
      <c r="F16" s="383">
        <v>18103</v>
      </c>
      <c r="G16" s="171">
        <f t="shared" si="0"/>
        <v>31144</v>
      </c>
      <c r="H16" s="172">
        <f t="shared" si="1"/>
        <v>1.0679706534393395E-2</v>
      </c>
      <c r="I16" s="336"/>
      <c r="J16" s="372"/>
      <c r="K16" s="371"/>
      <c r="M16" s="359">
        <f t="shared" si="3"/>
        <v>198.36942675159236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'[65]Sch B'!E42</f>
        <v>42833</v>
      </c>
      <c r="D17" s="558">
        <f>'[65]Sch B'!G42</f>
        <v>0</v>
      </c>
      <c r="E17" s="171">
        <f t="shared" si="2"/>
        <v>42833</v>
      </c>
      <c r="F17" s="383">
        <v>71405</v>
      </c>
      <c r="G17" s="171">
        <f>E17+F17</f>
        <v>114238</v>
      </c>
      <c r="H17" s="172">
        <f t="shared" si="1"/>
        <v>3.9173783556255865E-2</v>
      </c>
      <c r="I17" s="336"/>
      <c r="J17" s="370" t="s">
        <v>156</v>
      </c>
      <c r="K17" s="371">
        <f>J208</f>
        <v>48669.9</v>
      </c>
      <c r="M17" s="359">
        <f t="shared" si="3"/>
        <v>189.13576158940398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'[65]Sch B'!E47</f>
        <v>0</v>
      </c>
      <c r="D18" s="558">
        <f>'[65]Sch B'!G47</f>
        <v>0</v>
      </c>
      <c r="E18" s="171">
        <f t="shared" si="2"/>
        <v>0</v>
      </c>
      <c r="F18" s="383">
        <v>0</v>
      </c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49423.15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'[65]Sch B'!E52</f>
        <v>0</v>
      </c>
      <c r="D19" s="558">
        <f>'[65]Sch B'!G52</f>
        <v>0</v>
      </c>
      <c r="E19" s="171">
        <f t="shared" si="2"/>
        <v>0</v>
      </c>
      <c r="F19" s="383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'[65]Sch B'!E67</f>
        <v>24473</v>
      </c>
      <c r="D20" s="558">
        <f>'[65]Sch B'!G67</f>
        <v>0</v>
      </c>
      <c r="E20" s="171">
        <f t="shared" si="2"/>
        <v>24473</v>
      </c>
      <c r="F20" s="383">
        <v>22669</v>
      </c>
      <c r="G20" s="171">
        <f t="shared" si="0"/>
        <v>47142</v>
      </c>
      <c r="H20" s="172">
        <f t="shared" si="1"/>
        <v>1.6165641068725065E-2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792052</v>
      </c>
      <c r="D21" s="558">
        <f>SUM(D11:D20)</f>
        <v>0</v>
      </c>
      <c r="E21" s="171">
        <f>SUM(E11:E20)</f>
        <v>792052</v>
      </c>
      <c r="F21" s="383">
        <f>SUM(F11:F20)</f>
        <v>2124133</v>
      </c>
      <c r="G21" s="171">
        <f>SUM(G11:G20)</f>
        <v>2916185</v>
      </c>
      <c r="H21" s="172">
        <f t="shared" si="1"/>
        <v>1</v>
      </c>
      <c r="I21" s="336"/>
      <c r="J21" s="168"/>
      <c r="K21" s="168"/>
      <c r="M21" s="359">
        <f>IFERROR(G21/G228,0)</f>
        <v>288.30301532377655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381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381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'[65]Sch C'!D10</f>
        <v>32948</v>
      </c>
      <c r="D25" s="558">
        <f>'[65]Sch C'!F10</f>
        <v>0</v>
      </c>
      <c r="E25" s="171">
        <f t="shared" ref="E25:E60" si="4">C25+D25</f>
        <v>32948</v>
      </c>
      <c r="F25" s="644">
        <f>(39160+3438)</f>
        <v>42598</v>
      </c>
      <c r="G25" s="182">
        <f>E25+F25</f>
        <v>75546</v>
      </c>
      <c r="H25" s="172">
        <f>IF($G$208=0,0,G25/$G$208)</f>
        <v>3.7470574989261672E-2</v>
      </c>
      <c r="I25" s="336"/>
      <c r="J25" s="183">
        <f>720+1360</f>
        <v>2080</v>
      </c>
      <c r="K25" s="183">
        <f>720+1360</f>
        <v>2080</v>
      </c>
      <c r="M25" s="359">
        <f>G25/G$228</f>
        <v>7.4687098368759273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'[65]Sch C'!D11</f>
        <v>0</v>
      </c>
      <c r="D26" s="558">
        <f>'[65]Sch C'!F11</f>
        <v>0</v>
      </c>
      <c r="E26" s="171">
        <f t="shared" si="4"/>
        <v>0</v>
      </c>
      <c r="F26" s="383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'[65]Sch C'!D12</f>
        <v>8018</v>
      </c>
      <c r="D27" s="558">
        <f>'[65]Sch C'!F12</f>
        <v>3745</v>
      </c>
      <c r="E27" s="171">
        <f t="shared" si="4"/>
        <v>11763</v>
      </c>
      <c r="F27" s="383">
        <v>34656</v>
      </c>
      <c r="G27" s="171">
        <f t="shared" si="5"/>
        <v>46419</v>
      </c>
      <c r="H27" s="172">
        <f t="shared" si="6"/>
        <v>2.3023675911716536E-2</v>
      </c>
      <c r="I27" s="336"/>
      <c r="J27" s="185">
        <f>336+1225</f>
        <v>1561</v>
      </c>
      <c r="K27" s="185">
        <f>339+1305</f>
        <v>1644</v>
      </c>
      <c r="M27" s="359">
        <f t="shared" si="7"/>
        <v>4.5891250617894217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'[65]Sch C'!D13</f>
        <v>2802</v>
      </c>
      <c r="D28" s="558">
        <f>'[65]Sch C'!F13</f>
        <v>320</v>
      </c>
      <c r="E28" s="171">
        <f t="shared" si="4"/>
        <v>3122</v>
      </c>
      <c r="F28" s="383">
        <v>9626</v>
      </c>
      <c r="G28" s="171">
        <f t="shared" si="5"/>
        <v>12748</v>
      </c>
      <c r="H28" s="172">
        <f t="shared" si="6"/>
        <v>6.3229673306741292E-3</v>
      </c>
      <c r="I28" s="336"/>
      <c r="J28" s="168"/>
      <c r="K28" s="168"/>
      <c r="M28" s="359">
        <f t="shared" si="7"/>
        <v>1.2603064755313891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'[65]Sch C'!D14</f>
        <v>0</v>
      </c>
      <c r="D29" s="558">
        <f>'[65]Sch C'!F14</f>
        <v>2894</v>
      </c>
      <c r="E29" s="171">
        <f t="shared" si="4"/>
        <v>2894</v>
      </c>
      <c r="F29" s="383">
        <v>0</v>
      </c>
      <c r="G29" s="171">
        <f t="shared" si="5"/>
        <v>2894</v>
      </c>
      <c r="H29" s="172">
        <f t="shared" si="6"/>
        <v>1.4354147674122159E-3</v>
      </c>
      <c r="I29" s="336"/>
      <c r="J29" s="168"/>
      <c r="K29" s="168"/>
      <c r="M29" s="359">
        <f t="shared" si="7"/>
        <v>0.28610973801285222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'[65]Sch C'!D15</f>
        <v>0</v>
      </c>
      <c r="D30" s="558">
        <f>'[65]Sch C'!F15</f>
        <v>0</v>
      </c>
      <c r="E30" s="171">
        <f t="shared" si="4"/>
        <v>0</v>
      </c>
      <c r="F30" s="644">
        <f>(142276-142276)</f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'[65]Sch C'!D16</f>
        <v>0</v>
      </c>
      <c r="D31" s="558">
        <f>'[65]Sch C'!F16</f>
        <v>0</v>
      </c>
      <c r="E31" s="171">
        <f t="shared" si="4"/>
        <v>0</v>
      </c>
      <c r="F31" s="383">
        <v>0</v>
      </c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'[65]Sch C'!D17</f>
        <v>75</v>
      </c>
      <c r="D32" s="558">
        <f>'[65]Sch C'!F17</f>
        <v>-75</v>
      </c>
      <c r="E32" s="171">
        <f t="shared" si="4"/>
        <v>0</v>
      </c>
      <c r="F32" s="383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'[65]Sch C'!D18</f>
        <v>1347</v>
      </c>
      <c r="D33" s="558">
        <f>'[65]Sch C'!F18</f>
        <v>0</v>
      </c>
      <c r="E33" s="171">
        <f t="shared" si="4"/>
        <v>1347</v>
      </c>
      <c r="F33" s="644">
        <f>(2731+210)</f>
        <v>2941</v>
      </c>
      <c r="G33" s="171">
        <f t="shared" si="5"/>
        <v>4288</v>
      </c>
      <c r="H33" s="172">
        <f t="shared" si="6"/>
        <v>2.1268343202016523E-3</v>
      </c>
      <c r="I33" s="336"/>
      <c r="J33" s="168"/>
      <c r="K33" s="168"/>
      <c r="M33" s="359">
        <f t="shared" si="7"/>
        <v>0.42392486406327234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'[65]Sch C'!D19</f>
        <v>7750</v>
      </c>
      <c r="D34" s="558">
        <f>'[65]Sch C'!F19</f>
        <v>0</v>
      </c>
      <c r="E34" s="171">
        <f t="shared" si="4"/>
        <v>7750</v>
      </c>
      <c r="F34" s="644">
        <f>(12893-455)</f>
        <v>12438</v>
      </c>
      <c r="G34" s="171">
        <f t="shared" si="5"/>
        <v>20188</v>
      </c>
      <c r="H34" s="172">
        <f t="shared" si="6"/>
        <v>1.0013183595203116E-2</v>
      </c>
      <c r="I34" s="336"/>
      <c r="J34" s="168"/>
      <c r="K34" s="168"/>
      <c r="M34" s="359">
        <f t="shared" si="7"/>
        <v>1.9958477508650518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'[65]Sch C'!D20</f>
        <v>1534</v>
      </c>
      <c r="D35" s="558">
        <f>'[65]Sch C'!F20</f>
        <v>0</v>
      </c>
      <c r="E35" s="171">
        <f t="shared" si="4"/>
        <v>1534</v>
      </c>
      <c r="F35" s="383">
        <v>6347</v>
      </c>
      <c r="G35" s="171">
        <f t="shared" si="5"/>
        <v>7881</v>
      </c>
      <c r="H35" s="172">
        <f t="shared" si="6"/>
        <v>3.9089508576280836E-3</v>
      </c>
      <c r="I35" s="336"/>
      <c r="J35" s="168"/>
      <c r="K35" s="168"/>
      <c r="M35" s="359">
        <f t="shared" si="7"/>
        <v>0.77913989125061789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'[65]Sch C'!D21</f>
        <v>27599</v>
      </c>
      <c r="D36" s="558">
        <f>'[65]Sch C'!F21</f>
        <v>0</v>
      </c>
      <c r="E36" s="171">
        <f t="shared" si="4"/>
        <v>27599</v>
      </c>
      <c r="F36" s="644">
        <f>(12694-2075)</f>
        <v>10619</v>
      </c>
      <c r="G36" s="171">
        <f t="shared" si="5"/>
        <v>38218</v>
      </c>
      <c r="H36" s="172">
        <f t="shared" si="6"/>
        <v>1.8956006074968924E-2</v>
      </c>
      <c r="I36" s="336"/>
      <c r="J36" s="168"/>
      <c r="K36" s="168"/>
      <c r="M36" s="359">
        <f t="shared" si="7"/>
        <v>3.778348986653485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'[65]Sch C'!D22</f>
        <v>0</v>
      </c>
      <c r="D37" s="558">
        <f>'[65]Sch C'!F22</f>
        <v>0</v>
      </c>
      <c r="E37" s="171">
        <f t="shared" si="4"/>
        <v>0</v>
      </c>
      <c r="F37" s="383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'[65]Sch C'!D23</f>
        <v>1905</v>
      </c>
      <c r="D38" s="558">
        <f>'[65]Sch C'!F23</f>
        <v>0</v>
      </c>
      <c r="E38" s="171">
        <f t="shared" si="4"/>
        <v>1905</v>
      </c>
      <c r="F38" s="383">
        <v>7121</v>
      </c>
      <c r="G38" s="171">
        <f t="shared" si="5"/>
        <v>9026</v>
      </c>
      <c r="H38" s="172">
        <f t="shared" si="6"/>
        <v>4.4768672047901387E-3</v>
      </c>
      <c r="I38" s="336"/>
      <c r="J38" s="168"/>
      <c r="K38" s="168"/>
      <c r="M38" s="359">
        <f t="shared" si="7"/>
        <v>0.89233811171527433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'[65]Sch C'!D24</f>
        <v>1637</v>
      </c>
      <c r="D39" s="558">
        <f>'[65]Sch C'!F24</f>
        <v>0</v>
      </c>
      <c r="E39" s="171">
        <f t="shared" si="4"/>
        <v>1637</v>
      </c>
      <c r="F39" s="383">
        <v>4991</v>
      </c>
      <c r="G39" s="171">
        <f t="shared" si="5"/>
        <v>6628</v>
      </c>
      <c r="H39" s="172">
        <f t="shared" si="6"/>
        <v>3.2874668550131885E-3</v>
      </c>
      <c r="I39" s="336"/>
      <c r="J39" s="168"/>
      <c r="K39" s="168"/>
      <c r="M39" s="359">
        <f t="shared" si="7"/>
        <v>0.65526445872466632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'[65]Sch C'!D25</f>
        <v>0</v>
      </c>
      <c r="D40" s="558">
        <f>'[65]Sch C'!F25</f>
        <v>0</v>
      </c>
      <c r="E40" s="171">
        <f t="shared" si="4"/>
        <v>0</v>
      </c>
      <c r="F40" s="383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'[65]Sch C'!D26</f>
        <v>49006</v>
      </c>
      <c r="D41" s="558">
        <f>'[65]Sch C'!F26</f>
        <v>0</v>
      </c>
      <c r="E41" s="171">
        <f t="shared" si="4"/>
        <v>49006</v>
      </c>
      <c r="F41" s="383">
        <v>105062</v>
      </c>
      <c r="G41" s="171">
        <f t="shared" si="5"/>
        <v>154068</v>
      </c>
      <c r="H41" s="172">
        <f t="shared" si="6"/>
        <v>7.6417236484334933E-2</v>
      </c>
      <c r="I41" s="336"/>
      <c r="J41" s="168"/>
      <c r="K41" s="168"/>
      <c r="M41" s="359">
        <f t="shared" si="7"/>
        <v>15.231636183885319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'[65]Sch C'!D27</f>
        <v>0</v>
      </c>
      <c r="D42" s="558">
        <f>'[65]Sch C'!F27</f>
        <v>0</v>
      </c>
      <c r="E42" s="171">
        <f t="shared" si="4"/>
        <v>0</v>
      </c>
      <c r="F42" s="383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'[65]Sch C'!D28</f>
        <v>0</v>
      </c>
      <c r="D43" s="558">
        <f>'[65]Sch C'!F28</f>
        <v>0</v>
      </c>
      <c r="E43" s="171">
        <f t="shared" si="4"/>
        <v>0</v>
      </c>
      <c r="F43" s="383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'[65]Sch C'!D29</f>
        <v>0</v>
      </c>
      <c r="D44" s="558">
        <f>'[65]Sch C'!F29</f>
        <v>0</v>
      </c>
      <c r="E44" s="171">
        <f t="shared" si="4"/>
        <v>0</v>
      </c>
      <c r="F44" s="383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'[65]Sch C'!D30</f>
        <v>0</v>
      </c>
      <c r="D45" s="558">
        <f>'[65]Sch C'!F30</f>
        <v>0</v>
      </c>
      <c r="E45" s="171">
        <f t="shared" si="4"/>
        <v>0</v>
      </c>
      <c r="F45" s="383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'[65]Sch C'!D31</f>
        <v>7626</v>
      </c>
      <c r="D46" s="558">
        <f>'[65]Sch C'!F31</f>
        <v>0</v>
      </c>
      <c r="E46" s="171">
        <f t="shared" si="4"/>
        <v>7626</v>
      </c>
      <c r="F46" s="383">
        <v>10160</v>
      </c>
      <c r="G46" s="171">
        <f t="shared" si="5"/>
        <v>17786</v>
      </c>
      <c r="H46" s="172">
        <f t="shared" si="6"/>
        <v>8.8217992581871713E-3</v>
      </c>
      <c r="I46" s="336"/>
      <c r="J46" s="168"/>
      <c r="K46" s="168"/>
      <c r="M46" s="359">
        <f t="shared" si="7"/>
        <v>1.7583786455758774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'[65]Sch C'!D32</f>
        <v>6427</v>
      </c>
      <c r="D47" s="558">
        <f>'[65]Sch C'!F32</f>
        <v>0</v>
      </c>
      <c r="E47" s="171">
        <f t="shared" si="4"/>
        <v>6427</v>
      </c>
      <c r="F47" s="383">
        <v>24206</v>
      </c>
      <c r="G47" s="171">
        <f t="shared" si="5"/>
        <v>30633</v>
      </c>
      <c r="H47" s="172">
        <f t="shared" si="6"/>
        <v>1.5193870273026404E-2</v>
      </c>
      <c r="I47" s="336"/>
      <c r="J47" s="168"/>
      <c r="K47" s="168"/>
      <c r="M47" s="359">
        <f t="shared" si="7"/>
        <v>3.028472565496787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'[65]Sch C'!D33</f>
        <v>0</v>
      </c>
      <c r="D48" s="558">
        <f>'[65]Sch C'!F33</f>
        <v>0</v>
      </c>
      <c r="E48" s="171">
        <f t="shared" si="4"/>
        <v>0</v>
      </c>
      <c r="F48" s="383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'[65]Sch C'!D34</f>
        <v>269</v>
      </c>
      <c r="D49" s="558">
        <f>'[65]Sch C'!F34</f>
        <v>0</v>
      </c>
      <c r="E49" s="171">
        <f t="shared" si="4"/>
        <v>269</v>
      </c>
      <c r="F49" s="383">
        <v>0</v>
      </c>
      <c r="G49" s="171">
        <f t="shared" si="5"/>
        <v>269</v>
      </c>
      <c r="H49" s="172">
        <f t="shared" si="6"/>
        <v>1.334231418223518E-4</v>
      </c>
      <c r="I49" s="336"/>
      <c r="J49" s="168"/>
      <c r="K49" s="168"/>
      <c r="M49" s="359">
        <f t="shared" si="7"/>
        <v>2.6594167078596145E-2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'[65]Sch C'!D35</f>
        <v>0</v>
      </c>
      <c r="D50" s="558">
        <f>'[65]Sch C'!F35</f>
        <v>0</v>
      </c>
      <c r="E50" s="171">
        <f t="shared" si="4"/>
        <v>0</v>
      </c>
      <c r="F50" s="383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'[65]Sch C'!D36</f>
        <v>0</v>
      </c>
      <c r="D51" s="558">
        <f>'[65]Sch C'!F36</f>
        <v>0</v>
      </c>
      <c r="E51" s="171">
        <f t="shared" si="4"/>
        <v>0</v>
      </c>
      <c r="F51" s="383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'[65]Sch C'!D37</f>
        <v>0</v>
      </c>
      <c r="D52" s="558">
        <f>'[65]Sch C'!F37</f>
        <v>0</v>
      </c>
      <c r="E52" s="171">
        <f t="shared" si="4"/>
        <v>0</v>
      </c>
      <c r="F52" s="383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'[65]Sch C'!D38</f>
        <v>0</v>
      </c>
      <c r="D53" s="558">
        <f>'[65]Sch C'!F38</f>
        <v>0</v>
      </c>
      <c r="E53" s="171">
        <f t="shared" si="4"/>
        <v>0</v>
      </c>
      <c r="F53" s="383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'[65]Sch C'!D39</f>
        <v>359</v>
      </c>
      <c r="D54" s="558">
        <f>'[65]Sch C'!F39</f>
        <v>0</v>
      </c>
      <c r="E54" s="171">
        <f t="shared" si="4"/>
        <v>359</v>
      </c>
      <c r="F54" s="383">
        <v>2194</v>
      </c>
      <c r="G54" s="171">
        <f t="shared" si="5"/>
        <v>2553</v>
      </c>
      <c r="H54" s="172">
        <f t="shared" si="6"/>
        <v>1.2662798552879708E-3</v>
      </c>
      <c r="I54" s="336"/>
      <c r="J54" s="168"/>
      <c r="K54" s="168"/>
      <c r="M54" s="359">
        <f t="shared" si="7"/>
        <v>0.25239742956005934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'[65]Sch C'!D40</f>
        <v>200</v>
      </c>
      <c r="D55" s="558">
        <f>'[65]Sch C'!F40</f>
        <v>-200</v>
      </c>
      <c r="E55" s="171">
        <f t="shared" si="4"/>
        <v>0</v>
      </c>
      <c r="F55" s="383">
        <v>9247</v>
      </c>
      <c r="G55" s="171">
        <f t="shared" si="5"/>
        <v>9247</v>
      </c>
      <c r="H55" s="172">
        <f t="shared" si="6"/>
        <v>4.5864824997445619E-3</v>
      </c>
      <c r="I55" s="336"/>
      <c r="J55" s="168"/>
      <c r="K55" s="168"/>
      <c r="M55" s="359">
        <f t="shared" si="7"/>
        <v>0.91418685121107268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'[65]Sch C'!D41</f>
        <v>181</v>
      </c>
      <c r="D56" s="558">
        <f>'[65]Sch C'!F41</f>
        <v>0</v>
      </c>
      <c r="E56" s="171">
        <f t="shared" si="4"/>
        <v>181</v>
      </c>
      <c r="F56" s="644">
        <f>(44911-3648)</f>
        <v>41263</v>
      </c>
      <c r="G56" s="171">
        <f t="shared" si="5"/>
        <v>41444</v>
      </c>
      <c r="H56" s="172">
        <f t="shared" si="6"/>
        <v>2.0556091783217649E-2</v>
      </c>
      <c r="I56" s="336"/>
      <c r="J56" s="168"/>
      <c r="K56" s="168"/>
      <c r="M56" s="359">
        <f t="shared" si="7"/>
        <v>4.0972812654473554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'[65]Sch C'!D42</f>
        <v>1109</v>
      </c>
      <c r="D57" s="558">
        <f>'[65]Sch C'!F42</f>
        <v>0</v>
      </c>
      <c r="E57" s="171">
        <f t="shared" si="4"/>
        <v>1109</v>
      </c>
      <c r="F57" s="383">
        <v>2517</v>
      </c>
      <c r="G57" s="171">
        <f t="shared" si="5"/>
        <v>3626</v>
      </c>
      <c r="H57" s="172">
        <f t="shared" si="6"/>
        <v>1.7984844321481323E-3</v>
      </c>
      <c r="I57" s="336"/>
      <c r="J57" s="168"/>
      <c r="K57" s="168"/>
      <c r="M57" s="359">
        <f t="shared" si="7"/>
        <v>0.35847750865051903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'[65]Sch C'!D43</f>
        <v>1909</v>
      </c>
      <c r="D58" s="558">
        <f>'[65]Sch C'!F43</f>
        <v>-1909</v>
      </c>
      <c r="E58" s="171">
        <f t="shared" si="4"/>
        <v>0</v>
      </c>
      <c r="F58" s="383">
        <v>0</v>
      </c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'[65]Sch C'!D44</f>
        <v>0</v>
      </c>
      <c r="D59" s="558">
        <f>'[65]Sch C'!F44</f>
        <v>0</v>
      </c>
      <c r="E59" s="171">
        <f t="shared" si="4"/>
        <v>0</v>
      </c>
      <c r="F59" s="383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'[65]Sch C'!D45</f>
        <v>1291</v>
      </c>
      <c r="D60" s="558">
        <f>'[65]Sch C'!F45</f>
        <v>0</v>
      </c>
      <c r="E60" s="171">
        <f t="shared" si="4"/>
        <v>1291</v>
      </c>
      <c r="F60" s="644">
        <f>(2847-2847)</f>
        <v>0</v>
      </c>
      <c r="G60" s="171">
        <f t="shared" si="5"/>
        <v>1291</v>
      </c>
      <c r="H60" s="172">
        <f t="shared" si="6"/>
        <v>6.4033188138533891E-4</v>
      </c>
      <c r="I60" s="336"/>
      <c r="J60" s="168"/>
      <c r="K60" s="168"/>
      <c r="M60" s="359">
        <f t="shared" si="7"/>
        <v>0.12763222936233318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153992</v>
      </c>
      <c r="D61" s="558">
        <f>SUM(D25:D60)</f>
        <v>4775</v>
      </c>
      <c r="E61" s="171">
        <f t="shared" ref="E61:F61" si="8">SUM(E25:E60)</f>
        <v>158767</v>
      </c>
      <c r="F61" s="171">
        <f t="shared" si="8"/>
        <v>325986</v>
      </c>
      <c r="G61" s="171">
        <f>SUM(G25:G60)</f>
        <v>484753</v>
      </c>
      <c r="H61" s="186">
        <f t="shared" si="6"/>
        <v>0.24043594151602418</v>
      </c>
      <c r="I61" s="338"/>
      <c r="J61" s="168"/>
      <c r="K61" s="168"/>
      <c r="M61" s="364">
        <f>G61/G$228</f>
        <v>47.924172021749875</v>
      </c>
      <c r="N61" s="359">
        <f>SUMMARY!J64</f>
        <v>53.728790309602623</v>
      </c>
      <c r="O61" s="354">
        <f>M61/N61-1</f>
        <v>-0.10803552907863112</v>
      </c>
      <c r="P61"/>
      <c r="Q61"/>
    </row>
    <row r="62" spans="1:17" s="167" customFormat="1">
      <c r="A62" s="163"/>
      <c r="C62" s="165"/>
      <c r="D62" s="165"/>
      <c r="E62" s="165"/>
      <c r="F62" s="382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382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'[65]Sch C'!D57</f>
        <v>59176</v>
      </c>
      <c r="D64" s="558">
        <f>'[65]Sch C'!F57</f>
        <v>0</v>
      </c>
      <c r="E64" s="171">
        <f t="shared" ref="E64:E78" si="9">C64+D64</f>
        <v>59176</v>
      </c>
      <c r="F64" s="644">
        <v>-59176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'[65]Sch C'!D58</f>
        <v>0</v>
      </c>
      <c r="D65" s="558">
        <f>'[65]Sch C'!F58</f>
        <v>0</v>
      </c>
      <c r="E65" s="171">
        <f t="shared" si="9"/>
        <v>0</v>
      </c>
      <c r="F65" s="644">
        <f>(17158+34317)</f>
        <v>51475</v>
      </c>
      <c r="G65" s="171">
        <f t="shared" si="10"/>
        <v>51475</v>
      </c>
      <c r="H65" s="172">
        <f t="shared" si="11"/>
        <v>2.5531435781805053E-2</v>
      </c>
      <c r="I65" s="336"/>
      <c r="J65" s="190"/>
      <c r="K65" s="168"/>
      <c r="M65" s="359">
        <f t="shared" si="12"/>
        <v>5.0889767671774591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'[65]Sch C'!D59</f>
        <v>0</v>
      </c>
      <c r="D66" s="558">
        <f>'[65]Sch C'!F59</f>
        <v>0</v>
      </c>
      <c r="E66" s="171">
        <f t="shared" si="9"/>
        <v>0</v>
      </c>
      <c r="F66" s="644">
        <f>(19600+39200)</f>
        <v>58800</v>
      </c>
      <c r="G66" s="171">
        <f t="shared" si="10"/>
        <v>58800</v>
      </c>
      <c r="H66" s="172">
        <f t="shared" si="11"/>
        <v>2.916461241321296E-2</v>
      </c>
      <c r="I66" s="336"/>
      <c r="J66" s="190"/>
      <c r="K66" s="168"/>
      <c r="M66" s="359">
        <f t="shared" si="12"/>
        <v>5.8131487889273359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'[65]Sch C'!D60</f>
        <v>8078</v>
      </c>
      <c r="D67" s="558">
        <f>'[65]Sch C'!F60</f>
        <v>0</v>
      </c>
      <c r="E67" s="171">
        <f t="shared" si="9"/>
        <v>8078</v>
      </c>
      <c r="F67" s="383">
        <v>0</v>
      </c>
      <c r="G67" s="171">
        <f t="shared" si="10"/>
        <v>8078</v>
      </c>
      <c r="H67" s="172">
        <f t="shared" si="11"/>
        <v>4.0066622291485424E-3</v>
      </c>
      <c r="I67" s="336"/>
      <c r="J67" s="193"/>
      <c r="K67" s="168"/>
      <c r="M67" s="359">
        <f t="shared" si="12"/>
        <v>0.79861591695501732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'[65]Sch C'!D61</f>
        <v>0</v>
      </c>
      <c r="D68" s="558">
        <f>'[65]Sch C'!F61</f>
        <v>0</v>
      </c>
      <c r="E68" s="171">
        <f t="shared" si="9"/>
        <v>0</v>
      </c>
      <c r="F68" s="383">
        <v>0</v>
      </c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'[65]Sch C'!D62</f>
        <v>0</v>
      </c>
      <c r="D69" s="558">
        <f>'[65]Sch C'!F62</f>
        <v>0</v>
      </c>
      <c r="E69" s="171">
        <f t="shared" si="9"/>
        <v>0</v>
      </c>
      <c r="F69" s="383">
        <v>0</v>
      </c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'[65]Sch C'!D63</f>
        <v>0</v>
      </c>
      <c r="D70" s="558">
        <f>'[65]Sch C'!F63</f>
        <v>0</v>
      </c>
      <c r="E70" s="171">
        <f t="shared" si="9"/>
        <v>0</v>
      </c>
      <c r="F70" s="383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'[65]Sch C'!D64</f>
        <v>0</v>
      </c>
      <c r="D71" s="558">
        <f>'[65]Sch C'!F64</f>
        <v>0</v>
      </c>
      <c r="E71" s="171">
        <f t="shared" si="9"/>
        <v>0</v>
      </c>
      <c r="F71" s="644">
        <f>(1329-1329)</f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'[65]Sch C'!D65</f>
        <v>1852</v>
      </c>
      <c r="D72" s="558">
        <f>'[65]Sch C'!F65</f>
        <v>0</v>
      </c>
      <c r="E72" s="171">
        <f t="shared" si="9"/>
        <v>1852</v>
      </c>
      <c r="F72" s="383">
        <v>4536</v>
      </c>
      <c r="G72" s="171">
        <f t="shared" si="10"/>
        <v>6388</v>
      </c>
      <c r="H72" s="172">
        <f t="shared" si="11"/>
        <v>3.1684276206735439E-3</v>
      </c>
      <c r="I72" s="336"/>
      <c r="J72" s="195"/>
      <c r="K72" s="168"/>
      <c r="M72" s="359">
        <f t="shared" si="12"/>
        <v>0.63153732081067726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'[65]Sch C'!D66</f>
        <v>0</v>
      </c>
      <c r="D73" s="558">
        <f>'[65]Sch C'!F66</f>
        <v>0</v>
      </c>
      <c r="E73" s="171">
        <f t="shared" si="9"/>
        <v>0</v>
      </c>
      <c r="F73" s="383">
        <v>0</v>
      </c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'[65]Sch C'!D67</f>
        <v>0</v>
      </c>
      <c r="D74" s="558">
        <f>'[65]Sch C'!F67</f>
        <v>0</v>
      </c>
      <c r="E74" s="171">
        <f t="shared" si="9"/>
        <v>0</v>
      </c>
      <c r="F74" s="644">
        <f>(282+2066)</f>
        <v>2348</v>
      </c>
      <c r="G74" s="171">
        <f t="shared" si="10"/>
        <v>2348</v>
      </c>
      <c r="H74" s="172">
        <f t="shared" si="11"/>
        <v>1.1646005092895242E-3</v>
      </c>
      <c r="I74" s="336"/>
      <c r="J74" s="195"/>
      <c r="K74" s="168"/>
      <c r="M74" s="359">
        <f t="shared" si="12"/>
        <v>0.23213049925852694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'[65]Sch C'!D68</f>
        <v>0</v>
      </c>
      <c r="D75" s="558">
        <f>'[65]Sch C'!F68</f>
        <v>0</v>
      </c>
      <c r="E75" s="171">
        <f t="shared" si="9"/>
        <v>0</v>
      </c>
      <c r="F75" s="383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'[65]Sch C'!D69</f>
        <v>0</v>
      </c>
      <c r="D76" s="558">
        <f>'[65]Sch C'!F69</f>
        <v>0</v>
      </c>
      <c r="E76" s="171">
        <f t="shared" si="9"/>
        <v>0</v>
      </c>
      <c r="F76" s="644">
        <v>1329</v>
      </c>
      <c r="G76" s="171">
        <f t="shared" si="10"/>
        <v>1329</v>
      </c>
      <c r="H76" s="172">
        <f t="shared" si="11"/>
        <v>6.5917976015578269E-4</v>
      </c>
      <c r="I76" s="336"/>
      <c r="J76" s="195"/>
      <c r="K76" s="168"/>
      <c r="M76" s="359">
        <f t="shared" si="12"/>
        <v>0.13138902619871479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'[65]Sch C'!D70</f>
        <v>0</v>
      </c>
      <c r="D77" s="558">
        <f>'[65]Sch C'!F70</f>
        <v>0</v>
      </c>
      <c r="E77" s="171">
        <f t="shared" si="9"/>
        <v>0</v>
      </c>
      <c r="F77" s="383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'[65]Sch C'!D71</f>
        <v>0</v>
      </c>
      <c r="D78" s="558">
        <f>'[65]Sch C'!F71</f>
        <v>0</v>
      </c>
      <c r="E78" s="171">
        <f t="shared" si="9"/>
        <v>0</v>
      </c>
      <c r="F78" s="383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69106</v>
      </c>
      <c r="D79" s="558">
        <f>SUM(D64:D78)</f>
        <v>0</v>
      </c>
      <c r="E79" s="171">
        <f t="shared" ref="E79:F79" si="13">SUM(E64:E78)</f>
        <v>69106</v>
      </c>
      <c r="F79" s="171">
        <f t="shared" si="13"/>
        <v>59312</v>
      </c>
      <c r="G79" s="171">
        <f>SUM(G64:G78)</f>
        <v>128418</v>
      </c>
      <c r="H79" s="172">
        <f t="shared" si="11"/>
        <v>6.3694918314285406E-2</v>
      </c>
      <c r="I79" s="336"/>
      <c r="J79" s="195"/>
      <c r="K79" s="168"/>
      <c r="M79" s="359">
        <f t="shared" si="12"/>
        <v>12.69579831932773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385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382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'[65]Sch C'!D75</f>
        <v>11235</v>
      </c>
      <c r="D82" s="558">
        <f>'[65]Sch C'!F75</f>
        <v>-7490</v>
      </c>
      <c r="E82" s="171">
        <f t="shared" ref="E82:E92" si="14">C82+D82</f>
        <v>3745</v>
      </c>
      <c r="F82" s="383">
        <v>10400</v>
      </c>
      <c r="G82" s="171">
        <f t="shared" ref="G82:G92" si="15">E82+F82</f>
        <v>14145</v>
      </c>
      <c r="H82" s="172">
        <f t="shared" ref="H82:H93" si="16">IF($G$208=0,0,G82/$G$208)</f>
        <v>7.0158748738928115E-3</v>
      </c>
      <c r="I82" s="336"/>
      <c r="J82" s="183">
        <f>222+1010</f>
        <v>1232</v>
      </c>
      <c r="K82" s="183">
        <f>223+1010</f>
        <v>1233</v>
      </c>
      <c r="M82" s="359">
        <f t="shared" ref="M82:M92" si="17">G82/G$228</f>
        <v>1.398418190805734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'[65]Sch C'!D76</f>
        <v>961</v>
      </c>
      <c r="D83" s="558">
        <f>'[65]Sch C'!F76</f>
        <v>-640</v>
      </c>
      <c r="E83" s="171">
        <f t="shared" si="14"/>
        <v>321</v>
      </c>
      <c r="F83" s="383">
        <v>1455</v>
      </c>
      <c r="G83" s="171">
        <f t="shared" si="15"/>
        <v>1776</v>
      </c>
      <c r="H83" s="172">
        <f t="shared" si="16"/>
        <v>8.8089033411337103E-4</v>
      </c>
      <c r="I83" s="336"/>
      <c r="J83" s="168"/>
      <c r="K83" s="168"/>
      <c r="M83" s="359">
        <f t="shared" si="17"/>
        <v>0.17558082056351954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'[65]Sch C'!D77</f>
        <v>390</v>
      </c>
      <c r="D84" s="558">
        <f>'[65]Sch C'!F77</f>
        <v>0</v>
      </c>
      <c r="E84" s="171">
        <f t="shared" si="14"/>
        <v>390</v>
      </c>
      <c r="F84" s="383">
        <v>3317</v>
      </c>
      <c r="G84" s="171">
        <f t="shared" si="15"/>
        <v>3707</v>
      </c>
      <c r="H84" s="172">
        <f t="shared" si="16"/>
        <v>1.8386601737377624E-3</v>
      </c>
      <c r="I84" s="336"/>
      <c r="J84" s="168"/>
      <c r="K84" s="168"/>
      <c r="M84" s="359">
        <f t="shared" si="17"/>
        <v>0.36648541769649035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'[65]Sch C'!D78</f>
        <v>2023</v>
      </c>
      <c r="D85" s="558">
        <f>'[65]Sch C'!F78</f>
        <v>0</v>
      </c>
      <c r="E85" s="171">
        <f t="shared" si="14"/>
        <v>2023</v>
      </c>
      <c r="F85" s="383">
        <v>0</v>
      </c>
      <c r="G85" s="171">
        <f t="shared" si="15"/>
        <v>2023</v>
      </c>
      <c r="H85" s="172">
        <f t="shared" si="16"/>
        <v>1.0034015461212553E-3</v>
      </c>
      <c r="I85" s="336"/>
      <c r="J85" s="168"/>
      <c r="K85" s="168"/>
      <c r="M85" s="359">
        <f t="shared" si="17"/>
        <v>0.2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'[65]Sch C'!D79</f>
        <v>0</v>
      </c>
      <c r="D86" s="558">
        <f>'[65]Sch C'!F79</f>
        <v>0</v>
      </c>
      <c r="E86" s="171">
        <f t="shared" si="14"/>
        <v>0</v>
      </c>
      <c r="F86" s="644">
        <v>833</v>
      </c>
      <c r="G86" s="171">
        <f>E86+F86</f>
        <v>833</v>
      </c>
      <c r="H86" s="172">
        <f t="shared" si="16"/>
        <v>4.1316534252051689E-4</v>
      </c>
      <c r="I86" s="336"/>
      <c r="J86" s="168"/>
      <c r="K86" s="168"/>
      <c r="M86" s="359">
        <f t="shared" si="17"/>
        <v>8.2352941176470587E-2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'[65]Sch C'!D80</f>
        <v>4085</v>
      </c>
      <c r="D87" s="558">
        <f>'[65]Sch C'!F80</f>
        <v>0</v>
      </c>
      <c r="E87" s="171">
        <f t="shared" si="14"/>
        <v>4085</v>
      </c>
      <c r="F87" s="383">
        <v>11711</v>
      </c>
      <c r="G87" s="171">
        <f t="shared" si="15"/>
        <v>15796</v>
      </c>
      <c r="H87" s="172">
        <f t="shared" si="16"/>
        <v>7.8347656067876172E-3</v>
      </c>
      <c r="I87" s="336"/>
      <c r="J87" s="168"/>
      <c r="K87" s="168"/>
      <c r="M87" s="359">
        <f t="shared" si="17"/>
        <v>1.5616411270390509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'[65]Sch C'!D81</f>
        <v>12180</v>
      </c>
      <c r="D88" s="558">
        <f>'[65]Sch C'!F81</f>
        <v>-12180</v>
      </c>
      <c r="E88" s="171">
        <f t="shared" si="14"/>
        <v>0</v>
      </c>
      <c r="F88" s="383">
        <v>0</v>
      </c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'[65]Sch C'!D82</f>
        <v>1556</v>
      </c>
      <c r="D89" s="558">
        <f>'[65]Sch C'!F82</f>
        <v>-1556</v>
      </c>
      <c r="E89" s="171">
        <f t="shared" si="14"/>
        <v>0</v>
      </c>
      <c r="F89" s="383">
        <v>0</v>
      </c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'[65]Sch C'!D83</f>
        <v>0</v>
      </c>
      <c r="D90" s="558">
        <f>'[65]Sch C'!F83</f>
        <v>0</v>
      </c>
      <c r="E90" s="171">
        <f t="shared" si="14"/>
        <v>0</v>
      </c>
      <c r="F90" s="383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'[65]Sch C'!D84</f>
        <v>10909</v>
      </c>
      <c r="D91" s="558">
        <f>'[65]Sch C'!F84</f>
        <v>0</v>
      </c>
      <c r="E91" s="171">
        <f t="shared" si="14"/>
        <v>10909</v>
      </c>
      <c r="F91" s="383">
        <v>17516</v>
      </c>
      <c r="G91" s="171">
        <f t="shared" si="15"/>
        <v>28425</v>
      </c>
      <c r="H91" s="172">
        <f t="shared" si="16"/>
        <v>1.4098709317101672E-2</v>
      </c>
      <c r="I91" s="336"/>
      <c r="J91" s="168"/>
      <c r="K91" s="168"/>
      <c r="M91" s="359">
        <f t="shared" si="17"/>
        <v>2.8101828966880871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'[65]Sch C'!D85</f>
        <v>1479</v>
      </c>
      <c r="D92" s="558">
        <f>'[65]Sch C'!F85</f>
        <v>0</v>
      </c>
      <c r="E92" s="171">
        <f t="shared" si="14"/>
        <v>1479</v>
      </c>
      <c r="F92" s="383">
        <v>1244</v>
      </c>
      <c r="G92" s="171">
        <f t="shared" si="15"/>
        <v>2723</v>
      </c>
      <c r="H92" s="172">
        <f t="shared" si="16"/>
        <v>1.3505993129452191E-3</v>
      </c>
      <c r="I92" s="336"/>
      <c r="J92" s="168"/>
      <c r="K92" s="168"/>
      <c r="M92" s="359">
        <f t="shared" si="17"/>
        <v>0.26920415224913496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44818</v>
      </c>
      <c r="D93" s="558">
        <f>SUM(D82:D92)</f>
        <v>-21866</v>
      </c>
      <c r="E93" s="171">
        <f t="shared" ref="E93:F93" si="18">SUM(E82:E92)</f>
        <v>22952</v>
      </c>
      <c r="F93" s="171">
        <f t="shared" si="18"/>
        <v>46476</v>
      </c>
      <c r="G93" s="171">
        <f>SUM(G82:G92)</f>
        <v>69428</v>
      </c>
      <c r="H93" s="172">
        <f t="shared" si="16"/>
        <v>3.4436066507220225E-2</v>
      </c>
      <c r="I93" s="336"/>
      <c r="J93" s="168"/>
      <c r="K93" s="168"/>
      <c r="M93" s="364">
        <f>G93/G$228</f>
        <v>6.863865546218487</v>
      </c>
      <c r="N93" s="359">
        <f>SUMMARY!J96</f>
        <v>11.458724454710746</v>
      </c>
      <c r="O93" s="354">
        <f>M93/N93-1</f>
        <v>-0.40099218081845811</v>
      </c>
      <c r="P93"/>
      <c r="Q93"/>
    </row>
    <row r="94" spans="1:17" s="167" customFormat="1">
      <c r="A94" s="163"/>
      <c r="C94" s="165"/>
      <c r="D94" s="165"/>
      <c r="E94" s="165"/>
      <c r="F94" s="382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382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'[65]Sch C'!D89</f>
        <v>23182</v>
      </c>
      <c r="D96" s="558">
        <f>'[65]Sch C'!F89</f>
        <v>0</v>
      </c>
      <c r="E96" s="171">
        <f t="shared" ref="E96:E101" si="19">C96+D96</f>
        <v>23182</v>
      </c>
      <c r="F96" s="644">
        <f>(62801+1969)</f>
        <v>64770</v>
      </c>
      <c r="G96" s="171">
        <f t="shared" ref="G96:G101" si="20">E96+F96</f>
        <v>87952</v>
      </c>
      <c r="H96" s="172">
        <f t="shared" ref="H96:H102" si="21">IF($G$208=0,0,G96/$G$208)</f>
        <v>4.3623911411001803E-2</v>
      </c>
      <c r="I96" s="336"/>
      <c r="J96" s="183">
        <f>1871+4564</f>
        <v>6435</v>
      </c>
      <c r="K96" s="183">
        <f>1927+4610</f>
        <v>6537</v>
      </c>
      <c r="M96" s="364">
        <f t="shared" ref="M96:M101" si="22">G96/G$228</f>
        <v>8.6952051408798816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'[65]Sch C'!D90</f>
        <v>4128</v>
      </c>
      <c r="D97" s="558">
        <f>'[65]Sch C'!F90</f>
        <v>0</v>
      </c>
      <c r="E97" s="171">
        <f t="shared" si="19"/>
        <v>4128</v>
      </c>
      <c r="F97" s="644">
        <f>(8609-1969)</f>
        <v>6640</v>
      </c>
      <c r="G97" s="171">
        <f t="shared" si="20"/>
        <v>10768</v>
      </c>
      <c r="H97" s="172">
        <f t="shared" si="21"/>
        <v>5.3408936473720598E-3</v>
      </c>
      <c r="I97" s="336"/>
      <c r="J97" s="168"/>
      <c r="K97" s="168"/>
      <c r="M97" s="364">
        <f t="shared" si="22"/>
        <v>1.0645575877409788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'[65]Sch C'!D91</f>
        <v>3788</v>
      </c>
      <c r="D98" s="558">
        <f>'[65]Sch C'!F91</f>
        <v>0</v>
      </c>
      <c r="E98" s="171">
        <f t="shared" si="19"/>
        <v>3788</v>
      </c>
      <c r="F98" s="383">
        <v>8159</v>
      </c>
      <c r="G98" s="171">
        <f t="shared" si="20"/>
        <v>11947</v>
      </c>
      <c r="H98" s="172">
        <f t="shared" si="21"/>
        <v>5.9256738860655649E-3</v>
      </c>
      <c r="I98" s="336"/>
      <c r="J98" s="168"/>
      <c r="K98" s="168"/>
      <c r="M98" s="364">
        <f t="shared" si="22"/>
        <v>1.1811171527434503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'[65]Sch C'!D92</f>
        <v>19619</v>
      </c>
      <c r="D99" s="558">
        <f>'[65]Sch C'!F92</f>
        <v>0</v>
      </c>
      <c r="E99" s="171">
        <f t="shared" si="19"/>
        <v>19619</v>
      </c>
      <c r="F99" s="383">
        <v>37171</v>
      </c>
      <c r="G99" s="171">
        <f t="shared" si="20"/>
        <v>56790</v>
      </c>
      <c r="H99" s="172">
        <f t="shared" si="21"/>
        <v>2.8167658825618433E-2</v>
      </c>
      <c r="I99" s="336"/>
      <c r="J99" s="168"/>
      <c r="K99" s="168"/>
      <c r="M99" s="364">
        <f t="shared" si="22"/>
        <v>5.6144340088976765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'[65]Sch C'!D93</f>
        <v>1232</v>
      </c>
      <c r="D100" s="558">
        <f>'[65]Sch C'!F93</f>
        <v>0</v>
      </c>
      <c r="E100" s="171">
        <f t="shared" si="19"/>
        <v>1232</v>
      </c>
      <c r="F100" s="383">
        <v>6348</v>
      </c>
      <c r="G100" s="171">
        <f t="shared" si="20"/>
        <v>7580</v>
      </c>
      <c r="H100" s="172">
        <f t="shared" si="21"/>
        <v>3.7596558178937794E-3</v>
      </c>
      <c r="I100" s="336"/>
      <c r="J100" s="168"/>
      <c r="K100" s="168"/>
      <c r="M100" s="364">
        <f t="shared" si="22"/>
        <v>0.74938210578348985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'[65]Sch C'!D94</f>
        <v>568</v>
      </c>
      <c r="D101" s="558">
        <f>'[65]Sch C'!F94</f>
        <v>0</v>
      </c>
      <c r="E101" s="171">
        <f t="shared" si="19"/>
        <v>568</v>
      </c>
      <c r="F101" s="383">
        <v>0</v>
      </c>
      <c r="G101" s="171">
        <f t="shared" si="20"/>
        <v>568</v>
      </c>
      <c r="H101" s="172">
        <f t="shared" si="21"/>
        <v>2.8172618793715921E-4</v>
      </c>
      <c r="I101" s="336"/>
      <c r="J101" s="168"/>
      <c r="K101" s="168"/>
      <c r="M101" s="364">
        <f t="shared" si="22"/>
        <v>5.615422639644093E-2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52517</v>
      </c>
      <c r="D102" s="558">
        <f>SUM(D96:D101)</f>
        <v>0</v>
      </c>
      <c r="E102" s="171">
        <f t="shared" ref="E102:F102" si="23">SUM(E96:E101)</f>
        <v>52517</v>
      </c>
      <c r="F102" s="171">
        <f t="shared" si="23"/>
        <v>123088</v>
      </c>
      <c r="G102" s="171">
        <f>SUM(G96:G101)</f>
        <v>175605</v>
      </c>
      <c r="H102" s="172">
        <f t="shared" si="21"/>
        <v>8.7099519775888798E-2</v>
      </c>
      <c r="I102" s="336"/>
      <c r="J102" s="168"/>
      <c r="K102" s="168"/>
      <c r="M102" s="364">
        <f>G102/G$228</f>
        <v>17.360850222441918</v>
      </c>
      <c r="N102" s="359">
        <f>SUMMARY!J105</f>
        <v>19.901077037785338</v>
      </c>
      <c r="O102" s="354">
        <f>M102/N102-1</f>
        <v>-0.12764268036952964</v>
      </c>
      <c r="P102"/>
      <c r="Q102"/>
    </row>
    <row r="103" spans="1:17" s="167" customFormat="1">
      <c r="A103" s="163"/>
      <c r="C103" s="165"/>
      <c r="D103" s="165"/>
      <c r="E103" s="165"/>
      <c r="F103" s="382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382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'[65]Sch C'!D98</f>
        <v>0</v>
      </c>
      <c r="D105" s="558">
        <f>'[65]Sch C'!F98</f>
        <v>5460</v>
      </c>
      <c r="E105" s="171">
        <f t="shared" ref="E105:E110" si="24">C105+D105</f>
        <v>5460</v>
      </c>
      <c r="F105" s="383">
        <v>14228</v>
      </c>
      <c r="G105" s="171">
        <f t="shared" ref="G105:G110" si="25">E105+F105</f>
        <v>19688</v>
      </c>
      <c r="H105" s="172">
        <f t="shared" ref="H105:H111" si="26">IF($G$208=0,0,G105/$G$208)</f>
        <v>9.765185190328856E-3</v>
      </c>
      <c r="I105" s="336"/>
      <c r="J105" s="183">
        <f>504+1246</f>
        <v>1750</v>
      </c>
      <c r="K105" s="183">
        <f>504+1269</f>
        <v>1773</v>
      </c>
      <c r="M105" s="364">
        <f t="shared" ref="M105:M110" si="27">G105/G$228</f>
        <v>1.9464162135442413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'[65]Sch C'!D99</f>
        <v>0</v>
      </c>
      <c r="D106" s="558">
        <f>'[65]Sch C'!F99</f>
        <v>472</v>
      </c>
      <c r="E106" s="171">
        <f t="shared" si="24"/>
        <v>472</v>
      </c>
      <c r="F106" s="383">
        <v>1916</v>
      </c>
      <c r="G106" s="171">
        <f t="shared" si="25"/>
        <v>2388</v>
      </c>
      <c r="H106" s="172">
        <f t="shared" si="26"/>
        <v>1.1844403816794651E-3</v>
      </c>
      <c r="I106" s="336"/>
      <c r="J106" s="168"/>
      <c r="K106" s="168"/>
      <c r="M106" s="364">
        <f t="shared" si="27"/>
        <v>0.23608502224419178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'[65]Sch C'!D100</f>
        <v>686</v>
      </c>
      <c r="D107" s="558">
        <f>'[65]Sch C'!F100</f>
        <v>0</v>
      </c>
      <c r="E107" s="171">
        <f t="shared" si="24"/>
        <v>686</v>
      </c>
      <c r="F107" s="383">
        <v>990</v>
      </c>
      <c r="G107" s="171">
        <f t="shared" si="25"/>
        <v>1676</v>
      </c>
      <c r="H107" s="172">
        <f t="shared" si="26"/>
        <v>8.3129065313851901E-4</v>
      </c>
      <c r="I107" s="336"/>
      <c r="J107" s="168"/>
      <c r="K107" s="168"/>
      <c r="M107" s="364">
        <f t="shared" si="27"/>
        <v>0.1656945130993574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'[65]Sch C'!D101</f>
        <v>0</v>
      </c>
      <c r="D108" s="558">
        <f>'[65]Sch C'!F101</f>
        <v>0</v>
      </c>
      <c r="E108" s="171">
        <f t="shared" si="24"/>
        <v>0</v>
      </c>
      <c r="F108" s="383">
        <v>854</v>
      </c>
      <c r="G108" s="171">
        <f t="shared" si="25"/>
        <v>854</v>
      </c>
      <c r="H108" s="172">
        <f t="shared" si="26"/>
        <v>4.2358127552523584E-4</v>
      </c>
      <c r="I108" s="336"/>
      <c r="J108" s="168"/>
      <c r="K108" s="168"/>
      <c r="M108" s="364">
        <f t="shared" si="27"/>
        <v>8.442906574394464E-2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'[65]Sch C'!D102</f>
        <v>58</v>
      </c>
      <c r="D109" s="558">
        <f>'[65]Sch C'!F102</f>
        <v>0</v>
      </c>
      <c r="E109" s="171">
        <f t="shared" si="24"/>
        <v>58</v>
      </c>
      <c r="F109" s="383">
        <v>234</v>
      </c>
      <c r="G109" s="171">
        <f t="shared" si="25"/>
        <v>292</v>
      </c>
      <c r="H109" s="172">
        <f t="shared" si="26"/>
        <v>1.4483106844656775E-4</v>
      </c>
      <c r="I109" s="336"/>
      <c r="J109" s="168"/>
      <c r="K109" s="168"/>
      <c r="M109" s="364">
        <f t="shared" si="27"/>
        <v>2.8868017795353435E-2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'[65]Sch C'!D103</f>
        <v>0</v>
      </c>
      <c r="D110" s="558">
        <f>'[65]Sch C'!F103</f>
        <v>0</v>
      </c>
      <c r="E110" s="171">
        <f t="shared" si="24"/>
        <v>0</v>
      </c>
      <c r="F110" s="383">
        <v>254</v>
      </c>
      <c r="G110" s="171">
        <f t="shared" si="25"/>
        <v>254</v>
      </c>
      <c r="H110" s="172">
        <f t="shared" si="26"/>
        <v>1.2598318967612401E-4</v>
      </c>
      <c r="I110" s="336"/>
      <c r="J110" s="168"/>
      <c r="K110" s="168"/>
      <c r="M110" s="364">
        <f t="shared" si="27"/>
        <v>2.5111220958971826E-2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744</v>
      </c>
      <c r="D111" s="558">
        <f>SUM(D105:D110)</f>
        <v>5932</v>
      </c>
      <c r="E111" s="171">
        <f t="shared" ref="E111:F111" si="28">SUM(E105:E110)</f>
        <v>6676</v>
      </c>
      <c r="F111" s="171">
        <f t="shared" si="28"/>
        <v>18476</v>
      </c>
      <c r="G111" s="171">
        <f>SUM(G105:G110)</f>
        <v>25152</v>
      </c>
      <c r="H111" s="172">
        <f t="shared" si="26"/>
        <v>1.2475311758794768E-2</v>
      </c>
      <c r="I111" s="336"/>
      <c r="J111" s="168"/>
      <c r="K111" s="168"/>
      <c r="M111" s="364">
        <f>G111/G$228</f>
        <v>2.4866040533860603</v>
      </c>
      <c r="N111" s="359">
        <f>SUMMARY!J114</f>
        <v>2.4242384372309496</v>
      </c>
      <c r="O111" s="354">
        <f>M111/N111-1</f>
        <v>2.5725858973817406E-2</v>
      </c>
      <c r="P111"/>
      <c r="Q111"/>
    </row>
    <row r="112" spans="1:17" s="167" customFormat="1">
      <c r="A112" s="163"/>
      <c r="C112" s="165"/>
      <c r="D112" s="165"/>
      <c r="E112" s="165"/>
      <c r="F112" s="382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382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'[65]Sch C'!D115</f>
        <v>10919</v>
      </c>
      <c r="D114" s="558">
        <f>'[65]Sch C'!F115</f>
        <v>-5460</v>
      </c>
      <c r="E114" s="171">
        <f t="shared" ref="E114:E118" si="29">C114+D114</f>
        <v>5459</v>
      </c>
      <c r="F114" s="383">
        <v>14228</v>
      </c>
      <c r="G114" s="171">
        <f>E114+F114</f>
        <v>19687</v>
      </c>
      <c r="H114" s="172">
        <f t="shared" ref="H114:H119" si="30">IF($G$208=0,0,G114/$G$208)</f>
        <v>9.764689193519107E-3</v>
      </c>
      <c r="I114" s="336"/>
      <c r="J114" s="183">
        <f>504+1246</f>
        <v>1750</v>
      </c>
      <c r="K114" s="183">
        <f>504+1269</f>
        <v>1773</v>
      </c>
      <c r="M114" s="364">
        <f t="shared" ref="M114:M119" si="31">G114/G$228</f>
        <v>1.9463173504695996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'[65]Sch C'!D116</f>
        <v>944</v>
      </c>
      <c r="D115" s="558">
        <f>'[65]Sch C'!F116</f>
        <v>-472</v>
      </c>
      <c r="E115" s="171">
        <f t="shared" si="29"/>
        <v>472</v>
      </c>
      <c r="F115" s="383">
        <v>1915</v>
      </c>
      <c r="G115" s="171">
        <f>E115+F115</f>
        <v>2387</v>
      </c>
      <c r="H115" s="172">
        <f t="shared" si="30"/>
        <v>1.1839443848697165E-3</v>
      </c>
      <c r="I115" s="336"/>
      <c r="J115" s="168"/>
      <c r="K115" s="168"/>
      <c r="M115" s="364">
        <f t="shared" si="31"/>
        <v>0.23598615916955018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'[65]Sch C'!D117</f>
        <v>1487</v>
      </c>
      <c r="D116" s="558">
        <f>'[65]Sch C'!F117</f>
        <v>0</v>
      </c>
      <c r="E116" s="171">
        <f t="shared" si="29"/>
        <v>1487</v>
      </c>
      <c r="F116" s="383">
        <v>4310</v>
      </c>
      <c r="G116" s="171">
        <f>E116+F116</f>
        <v>5797</v>
      </c>
      <c r="H116" s="172">
        <f t="shared" si="30"/>
        <v>2.8752935061121688E-3</v>
      </c>
      <c r="I116" s="336"/>
      <c r="J116" s="168"/>
      <c r="K116" s="168"/>
      <c r="M116" s="364">
        <f t="shared" si="31"/>
        <v>0.57310924369747895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'[65]Sch C'!D118</f>
        <v>872</v>
      </c>
      <c r="D117" s="558">
        <f>'[65]Sch C'!F118</f>
        <v>0</v>
      </c>
      <c r="E117" s="171">
        <f t="shared" si="29"/>
        <v>872</v>
      </c>
      <c r="F117" s="383">
        <v>1116</v>
      </c>
      <c r="G117" s="171">
        <f>E117+F117</f>
        <v>1988</v>
      </c>
      <c r="H117" s="172">
        <f t="shared" si="30"/>
        <v>9.860416577800572E-4</v>
      </c>
      <c r="I117" s="336"/>
      <c r="J117" s="168"/>
      <c r="K117" s="168"/>
      <c r="M117" s="364">
        <f t="shared" si="31"/>
        <v>0.19653979238754327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'[65]Sch C'!D119</f>
        <v>0</v>
      </c>
      <c r="D118" s="558">
        <f>'[65]Sch C'!F119</f>
        <v>0</v>
      </c>
      <c r="E118" s="171">
        <f t="shared" si="29"/>
        <v>0</v>
      </c>
      <c r="F118" s="383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14222</v>
      </c>
      <c r="D119" s="558">
        <f>SUM(D114:D118)</f>
        <v>-5932</v>
      </c>
      <c r="E119" s="171">
        <f t="shared" ref="E119:F119" si="32">SUM(E114:E118)</f>
        <v>8290</v>
      </c>
      <c r="F119" s="171">
        <f t="shared" si="32"/>
        <v>21569</v>
      </c>
      <c r="G119" s="171">
        <f>SUM(G114:G118)</f>
        <v>29859</v>
      </c>
      <c r="H119" s="172">
        <f t="shared" si="30"/>
        <v>1.4809968742281049E-2</v>
      </c>
      <c r="I119" s="336"/>
      <c r="J119" s="168"/>
      <c r="K119" s="168"/>
      <c r="M119" s="364">
        <f t="shared" si="31"/>
        <v>2.951952545724172</v>
      </c>
      <c r="N119" s="359">
        <f>SUMMARY!J122</f>
        <v>6.0247597205909562</v>
      </c>
      <c r="O119" s="354">
        <f>M119/N119-1</f>
        <v>-0.51002982979798883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385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382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382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'[65]Sch C'!D124</f>
        <v>0</v>
      </c>
      <c r="D123" s="558">
        <f>'[65]Sch C'!F124</f>
        <v>0</v>
      </c>
      <c r="E123" s="171">
        <f t="shared" ref="E123:E127" si="33">C123+D123</f>
        <v>0</v>
      </c>
      <c r="F123" s="383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'[65]Sch C'!D125</f>
        <v>26360</v>
      </c>
      <c r="D124" s="558">
        <f>'[65]Sch C'!F125</f>
        <v>0</v>
      </c>
      <c r="E124" s="171">
        <f t="shared" si="33"/>
        <v>26360</v>
      </c>
      <c r="F124" s="383">
        <v>50205</v>
      </c>
      <c r="G124" s="171">
        <f>E124+F124</f>
        <v>76565</v>
      </c>
      <c r="H124" s="172">
        <f>IF($G$208=0,0,G124/$G$208)</f>
        <v>3.7975995738395413E-2</v>
      </c>
      <c r="I124" s="336"/>
      <c r="J124" s="183">
        <f>720+1360</f>
        <v>2080</v>
      </c>
      <c r="K124" s="183">
        <f>720+1360</f>
        <v>2080</v>
      </c>
      <c r="M124" s="364">
        <f t="shared" si="34"/>
        <v>7.5694513099357392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'[65]Sch C'!D126</f>
        <v>0</v>
      </c>
      <c r="D125" s="558">
        <f>'[65]Sch C'!F126</f>
        <v>0</v>
      </c>
      <c r="E125" s="171">
        <f t="shared" si="33"/>
        <v>0</v>
      </c>
      <c r="F125" s="383">
        <v>0</v>
      </c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'[65]Sch C'!D127</f>
        <v>0</v>
      </c>
      <c r="D126" s="558">
        <f>'[65]Sch C'!F127</f>
        <v>0</v>
      </c>
      <c r="E126" s="171">
        <f t="shared" si="33"/>
        <v>0</v>
      </c>
      <c r="F126" s="383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'[65]Sch C'!D128</f>
        <v>9830</v>
      </c>
      <c r="D127" s="558">
        <f>'[65]Sch C'!F128</f>
        <v>-752</v>
      </c>
      <c r="E127" s="171">
        <f t="shared" si="33"/>
        <v>9078</v>
      </c>
      <c r="F127" s="383">
        <v>0</v>
      </c>
      <c r="G127" s="171">
        <f>E127+F127</f>
        <v>9078</v>
      </c>
      <c r="H127" s="172">
        <f>IF($G$208=0,0,G127/$G$208)</f>
        <v>4.5026590388970618E-3</v>
      </c>
      <c r="I127" s="336"/>
      <c r="J127" s="183">
        <v>335</v>
      </c>
      <c r="K127" s="183">
        <v>339</v>
      </c>
      <c r="M127" s="364">
        <f t="shared" si="34"/>
        <v>0.89747899159663869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38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'[65]Sch C'!D130</f>
        <v>0</v>
      </c>
      <c r="D129" s="558">
        <f>'[65]Sch C'!F130</f>
        <v>0</v>
      </c>
      <c r="E129" s="171">
        <f t="shared" ref="E129:E133" si="35">C129+D129</f>
        <v>0</v>
      </c>
      <c r="F129" s="383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'[65]Sch C'!D131</f>
        <v>0</v>
      </c>
      <c r="D130" s="558">
        <f>'[65]Sch C'!F131</f>
        <v>2124</v>
      </c>
      <c r="E130" s="171">
        <f t="shared" si="35"/>
        <v>2124</v>
      </c>
      <c r="F130" s="383">
        <v>6771</v>
      </c>
      <c r="G130" s="171">
        <f>E130+F130</f>
        <v>8895</v>
      </c>
      <c r="H130" s="172">
        <f>IF($G$208=0,0,G130/$G$208)</f>
        <v>4.4118916227130827E-3</v>
      </c>
      <c r="I130" s="336"/>
      <c r="J130" s="204"/>
      <c r="K130" s="204"/>
      <c r="M130" s="364">
        <f t="shared" si="34"/>
        <v>0.87938704893722197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'[65]Sch C'!D132</f>
        <v>0</v>
      </c>
      <c r="D131" s="558">
        <f>'[65]Sch C'!F132</f>
        <v>0</v>
      </c>
      <c r="E131" s="171">
        <f t="shared" si="35"/>
        <v>0</v>
      </c>
      <c r="F131" s="383">
        <v>0</v>
      </c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'[65]Sch C'!D133</f>
        <v>0</v>
      </c>
      <c r="D132" s="558">
        <f>'[65]Sch C'!F133</f>
        <v>0</v>
      </c>
      <c r="E132" s="171">
        <f t="shared" si="35"/>
        <v>0</v>
      </c>
      <c r="F132" s="383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'[65]Sch C'!D134</f>
        <v>0</v>
      </c>
      <c r="D133" s="558">
        <f>'[65]Sch C'!F134</f>
        <v>1923</v>
      </c>
      <c r="E133" s="171">
        <f t="shared" si="35"/>
        <v>1923</v>
      </c>
      <c r="F133" s="383">
        <v>0</v>
      </c>
      <c r="G133" s="171">
        <f>E133+F133</f>
        <v>1923</v>
      </c>
      <c r="H133" s="172">
        <f>IF($G$208=0,0,G133/$G$208)</f>
        <v>9.5380186514640341E-4</v>
      </c>
      <c r="I133" s="336"/>
      <c r="J133" s="168"/>
      <c r="K133" s="168"/>
      <c r="M133" s="364">
        <f t="shared" si="34"/>
        <v>0.19011369253583787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385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'[65]Sch C'!D136</f>
        <v>39322</v>
      </c>
      <c r="D135" s="558">
        <f>'[65]Sch C'!F136</f>
        <v>0</v>
      </c>
      <c r="E135" s="171">
        <f t="shared" ref="E135:E138" si="36">C135+D135</f>
        <v>39322</v>
      </c>
      <c r="F135" s="383">
        <v>69679</v>
      </c>
      <c r="G135" s="171">
        <f>E135+F135</f>
        <v>109001</v>
      </c>
      <c r="H135" s="172">
        <f>IF($G$208=0,0,G135/$G$208)</f>
        <v>5.4064148259398398E-2</v>
      </c>
      <c r="I135" s="336"/>
      <c r="J135" s="183">
        <f>1522+2501</f>
        <v>4023</v>
      </c>
      <c r="K135" s="183">
        <f>1522+2566</f>
        <v>4088</v>
      </c>
      <c r="M135" s="364">
        <f t="shared" si="34"/>
        <v>10.77617399901137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'[65]Sch C'!D137</f>
        <v>41340</v>
      </c>
      <c r="D136" s="558">
        <f>'[65]Sch C'!F137</f>
        <v>0</v>
      </c>
      <c r="E136" s="171">
        <f t="shared" si="36"/>
        <v>41340</v>
      </c>
      <c r="F136" s="383">
        <v>86731</v>
      </c>
      <c r="G136" s="171">
        <f>E136+F136</f>
        <v>128071</v>
      </c>
      <c r="H136" s="172">
        <f>IF($G$208=0,0,G136/$G$208)</f>
        <v>6.352280742130266E-2</v>
      </c>
      <c r="I136" s="336"/>
      <c r="J136" s="183">
        <f>1574+3645</f>
        <v>5219</v>
      </c>
      <c r="K136" s="183">
        <f>1573.69+3749</f>
        <v>5322.6900000000005</v>
      </c>
      <c r="M136" s="364">
        <f t="shared" si="34"/>
        <v>12.661492832427088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'[65]Sch C'!D138</f>
        <v>87603</v>
      </c>
      <c r="D137" s="558">
        <f>'[65]Sch C'!F138</f>
        <v>0</v>
      </c>
      <c r="E137" s="171">
        <f t="shared" si="36"/>
        <v>87603</v>
      </c>
      <c r="F137" s="383">
        <v>177341</v>
      </c>
      <c r="G137" s="171">
        <f>E137+F137</f>
        <v>264944</v>
      </c>
      <c r="H137" s="172">
        <f>IF($G$208=0,0,G137/$G$208)</f>
        <v>0.13141137876201181</v>
      </c>
      <c r="I137" s="336"/>
      <c r="J137" s="183">
        <f>6569+12761</f>
        <v>19330</v>
      </c>
      <c r="K137" s="183">
        <f>6610+13021</f>
        <v>19631</v>
      </c>
      <c r="M137" s="364">
        <f t="shared" si="34"/>
        <v>26.193178447849728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'[65]Sch C'!D139</f>
        <v>0</v>
      </c>
      <c r="D138" s="558">
        <f>'[65]Sch C'!F139</f>
        <v>0</v>
      </c>
      <c r="E138" s="171">
        <f t="shared" si="36"/>
        <v>0</v>
      </c>
      <c r="F138" s="383">
        <v>0</v>
      </c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385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'[65]Sch C'!D141</f>
        <v>8623</v>
      </c>
      <c r="D140" s="558">
        <f>'[65]Sch C'!F141</f>
        <v>-5455</v>
      </c>
      <c r="E140" s="171">
        <f t="shared" ref="E140:E143" si="37">C140+D140</f>
        <v>3168</v>
      </c>
      <c r="F140" s="383">
        <v>9398</v>
      </c>
      <c r="G140" s="171">
        <f>E140+F140</f>
        <v>12566</v>
      </c>
      <c r="H140" s="172">
        <f>IF($G$208=0,0,G140/$G$208)</f>
        <v>6.2326959112998983E-3</v>
      </c>
      <c r="I140" s="336"/>
      <c r="J140" s="168"/>
      <c r="K140" s="168"/>
      <c r="M140" s="364">
        <f t="shared" si="34"/>
        <v>1.2423133959466139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'[65]Sch C'!D142</f>
        <v>0</v>
      </c>
      <c r="D141" s="558">
        <f>'[65]Sch C'!F142</f>
        <v>3331</v>
      </c>
      <c r="E141" s="171">
        <f t="shared" si="37"/>
        <v>3331</v>
      </c>
      <c r="F141" s="383">
        <v>11698</v>
      </c>
      <c r="G141" s="171">
        <f>E141+F141</f>
        <v>15029</v>
      </c>
      <c r="H141" s="172">
        <f>IF($G$208=0,0,G141/$G$208)</f>
        <v>7.4543360537105028E-3</v>
      </c>
      <c r="I141" s="336"/>
      <c r="J141" s="168"/>
      <c r="K141" s="168"/>
      <c r="M141" s="364">
        <f t="shared" si="34"/>
        <v>1.4858131487889272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'[65]Sch C'!D143</f>
        <v>7707</v>
      </c>
      <c r="D142" s="558">
        <f>'[65]Sch C'!F143</f>
        <v>0</v>
      </c>
      <c r="E142" s="171">
        <f t="shared" si="37"/>
        <v>7707</v>
      </c>
      <c r="F142" s="383">
        <v>24164</v>
      </c>
      <c r="G142" s="171">
        <f>E142+F142</f>
        <v>31871</v>
      </c>
      <c r="H142" s="172">
        <f>IF($G$208=0,0,G142/$G$208)</f>
        <v>1.580791432349507E-2</v>
      </c>
      <c r="I142" s="336"/>
      <c r="J142" s="168"/>
      <c r="K142" s="168"/>
      <c r="M142" s="364">
        <f t="shared" si="34"/>
        <v>3.1508650519031143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'[65]Sch C'!D144</f>
        <v>0</v>
      </c>
      <c r="D143" s="558">
        <f>'[65]Sch C'!F144</f>
        <v>0</v>
      </c>
      <c r="E143" s="171">
        <f t="shared" si="37"/>
        <v>0</v>
      </c>
      <c r="F143" s="383">
        <v>0</v>
      </c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385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'[65]Sch C'!D146</f>
        <v>4000</v>
      </c>
      <c r="D145" s="558">
        <f>'[65]Sch C'!F146</f>
        <v>0</v>
      </c>
      <c r="E145" s="171">
        <f t="shared" ref="E145:E153" si="38">C145+D145</f>
        <v>4000</v>
      </c>
      <c r="F145" s="383">
        <v>8125</v>
      </c>
      <c r="G145" s="171">
        <f t="shared" ref="G145:G153" si="39">E145+F145</f>
        <v>12125</v>
      </c>
      <c r="H145" s="172">
        <f t="shared" ref="H145:H153" si="40">IF($G$208=0,0,G145/$G$208)</f>
        <v>6.0139613182008016E-3</v>
      </c>
      <c r="I145" s="336"/>
      <c r="J145" s="183">
        <f>50+105</f>
        <v>155</v>
      </c>
      <c r="K145" s="183">
        <f>50+105</f>
        <v>155</v>
      </c>
      <c r="M145" s="364">
        <f t="shared" si="34"/>
        <v>1.1987147800296589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'[65]Sch C'!D147</f>
        <v>0</v>
      </c>
      <c r="D146" s="558">
        <f>'[65]Sch C'!F147</f>
        <v>0</v>
      </c>
      <c r="E146" s="171">
        <f t="shared" si="38"/>
        <v>0</v>
      </c>
      <c r="F146" s="383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'[65]Sch C'!D148</f>
        <v>0</v>
      </c>
      <c r="D147" s="558">
        <f>'[65]Sch C'!F148</f>
        <v>0</v>
      </c>
      <c r="E147" s="171">
        <f t="shared" si="38"/>
        <v>0</v>
      </c>
      <c r="F147" s="383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'[65]Sch C'!D149</f>
        <v>0</v>
      </c>
      <c r="D148" s="558">
        <f>'[65]Sch C'!F149</f>
        <v>0</v>
      </c>
      <c r="E148" s="171">
        <f t="shared" si="38"/>
        <v>0</v>
      </c>
      <c r="F148" s="383">
        <v>0</v>
      </c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'[65]Sch C'!D150</f>
        <v>363</v>
      </c>
      <c r="D149" s="558">
        <f>'[65]Sch C'!F150</f>
        <v>0</v>
      </c>
      <c r="E149" s="171">
        <f t="shared" si="38"/>
        <v>363</v>
      </c>
      <c r="F149" s="383">
        <v>3871</v>
      </c>
      <c r="G149" s="171">
        <f t="shared" si="39"/>
        <v>4234</v>
      </c>
      <c r="H149" s="172">
        <f t="shared" si="40"/>
        <v>2.1000504924752325E-3</v>
      </c>
      <c r="I149" s="336"/>
      <c r="J149" s="183">
        <f>6+69</f>
        <v>75</v>
      </c>
      <c r="K149" s="183">
        <f>6+69</f>
        <v>75</v>
      </c>
      <c r="M149" s="364">
        <f t="shared" si="34"/>
        <v>0.41858625803262484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'[65]Sch C'!D151</f>
        <v>12419</v>
      </c>
      <c r="D150" s="558">
        <f>'[65]Sch C'!F151</f>
        <v>0</v>
      </c>
      <c r="E150" s="171">
        <f t="shared" si="38"/>
        <v>12419</v>
      </c>
      <c r="F150" s="383">
        <v>20119</v>
      </c>
      <c r="G150" s="171">
        <f t="shared" si="39"/>
        <v>32538</v>
      </c>
      <c r="H150" s="172">
        <f t="shared" si="40"/>
        <v>1.6138744195597333E-2</v>
      </c>
      <c r="I150" s="336"/>
      <c r="J150" s="168"/>
      <c r="K150" s="168"/>
      <c r="M150" s="364">
        <f t="shared" si="34"/>
        <v>3.2168067226890757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'[65]Sch C'!D152</f>
        <v>5526</v>
      </c>
      <c r="D151" s="558">
        <f>'[65]Sch C'!F152</f>
        <v>0</v>
      </c>
      <c r="E151" s="171">
        <f t="shared" si="38"/>
        <v>5526</v>
      </c>
      <c r="F151" s="383">
        <f>(8976-3875)</f>
        <v>5101</v>
      </c>
      <c r="G151" s="171">
        <f t="shared" si="39"/>
        <v>10627</v>
      </c>
      <c r="H151" s="172">
        <f t="shared" si="40"/>
        <v>5.2709580971975192E-3</v>
      </c>
      <c r="I151" s="336"/>
      <c r="J151" s="168"/>
      <c r="K151" s="168"/>
      <c r="M151" s="364">
        <f t="shared" si="34"/>
        <v>1.0506178942165101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'[65]Sch C'!D153</f>
        <v>0</v>
      </c>
      <c r="D152" s="558">
        <f>'[65]Sch C'!F153</f>
        <v>0</v>
      </c>
      <c r="E152" s="171">
        <f t="shared" si="38"/>
        <v>0</v>
      </c>
      <c r="F152" s="383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'[65]Sch C'!D154</f>
        <v>0</v>
      </c>
      <c r="D153" s="558">
        <f>'[65]Sch C'!F154</f>
        <v>0</v>
      </c>
      <c r="E153" s="171">
        <f t="shared" si="38"/>
        <v>0</v>
      </c>
      <c r="F153" s="383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386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'[65]Sch C'!D156</f>
        <v>0</v>
      </c>
      <c r="D155" s="558">
        <f>'[65]Sch C'!F156</f>
        <v>0</v>
      </c>
      <c r="E155" s="171">
        <f t="shared" ref="E155:E160" si="41">C155+D155</f>
        <v>0</v>
      </c>
      <c r="F155" s="383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'[65]Sch C'!D157</f>
        <v>0</v>
      </c>
      <c r="D156" s="558">
        <f>'[65]Sch C'!F157</f>
        <v>0</v>
      </c>
      <c r="E156" s="171">
        <f t="shared" si="41"/>
        <v>0</v>
      </c>
      <c r="F156" s="383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'[65]Sch C'!D158</f>
        <v>0</v>
      </c>
      <c r="D157" s="558">
        <f>'[65]Sch C'!F158</f>
        <v>0</v>
      </c>
      <c r="E157" s="171">
        <f t="shared" si="41"/>
        <v>0</v>
      </c>
      <c r="F157" s="383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'[65]Sch C'!D159</f>
        <v>0</v>
      </c>
      <c r="D158" s="558">
        <f>'[65]Sch C'!F159</f>
        <v>0</v>
      </c>
      <c r="E158" s="171">
        <f t="shared" si="41"/>
        <v>0</v>
      </c>
      <c r="F158" s="383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'[65]Sch C'!D160</f>
        <v>0</v>
      </c>
      <c r="D159" s="558">
        <f>'[65]Sch C'!F160</f>
        <v>0</v>
      </c>
      <c r="E159" s="171">
        <f t="shared" si="41"/>
        <v>0</v>
      </c>
      <c r="F159" s="383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'[65]Sch C'!D161</f>
        <v>1428</v>
      </c>
      <c r="D160" s="558">
        <f>'[65]Sch C'!F161</f>
        <v>0</v>
      </c>
      <c r="E160" s="171">
        <f t="shared" si="41"/>
        <v>1428</v>
      </c>
      <c r="F160" s="383">
        <v>6247</v>
      </c>
      <c r="G160" s="171">
        <f t="shared" si="42"/>
        <v>7675</v>
      </c>
      <c r="H160" s="172">
        <f t="shared" si="43"/>
        <v>3.8067755148198886E-3</v>
      </c>
      <c r="I160" s="336"/>
      <c r="J160" s="168"/>
      <c r="K160" s="168"/>
      <c r="M160" s="364">
        <f t="shared" si="34"/>
        <v>0.75877409787444394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244521</v>
      </c>
      <c r="D161" s="558">
        <f>SUM(D123:D160)</f>
        <v>1171</v>
      </c>
      <c r="E161" s="171">
        <f t="shared" ref="E161:F161" si="44">SUM(E123:E160)</f>
        <v>245692</v>
      </c>
      <c r="F161" s="171">
        <f t="shared" si="44"/>
        <v>479450</v>
      </c>
      <c r="G161" s="171">
        <f>SUM(G123:G160)</f>
        <v>725142</v>
      </c>
      <c r="H161" s="172">
        <f t="shared" si="43"/>
        <v>0.35966811861466108</v>
      </c>
      <c r="I161" s="336"/>
      <c r="J161" s="168"/>
      <c r="K161" s="168"/>
      <c r="M161" s="364">
        <f>G161/G$228</f>
        <v>71.68976767177459</v>
      </c>
      <c r="N161" s="359">
        <f>SUMMARY!J164</f>
        <v>105.56901037202306</v>
      </c>
      <c r="O161" s="354">
        <f>M161/N161-1</f>
        <v>-0.32092033998290503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385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387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'[65]Sch C'!D175</f>
        <v>0</v>
      </c>
      <c r="D164" s="558">
        <f>'[65]Sch C'!F175</f>
        <v>0</v>
      </c>
      <c r="E164" s="171">
        <f t="shared" ref="E164:E196" si="45">C164+D164</f>
        <v>0</v>
      </c>
      <c r="F164" s="388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'[65]Sch C'!D176</f>
        <v>0</v>
      </c>
      <c r="D165" s="558">
        <f>'[65]Sch C'!F176</f>
        <v>0</v>
      </c>
      <c r="E165" s="171">
        <f t="shared" si="45"/>
        <v>0</v>
      </c>
      <c r="F165" s="388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'[65]Sch C'!D177</f>
        <v>0</v>
      </c>
      <c r="D166" s="558">
        <f>'[65]Sch C'!F177</f>
        <v>0</v>
      </c>
      <c r="E166" s="171">
        <f t="shared" si="45"/>
        <v>0</v>
      </c>
      <c r="F166" s="388">
        <v>0</v>
      </c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'[65]Sch C'!D178</f>
        <v>0</v>
      </c>
      <c r="D167" s="558">
        <f>'[65]Sch C'!F178</f>
        <v>0</v>
      </c>
      <c r="E167" s="171">
        <f t="shared" si="45"/>
        <v>0</v>
      </c>
      <c r="F167" s="388">
        <v>0</v>
      </c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'[65]Sch C'!D179</f>
        <v>0</v>
      </c>
      <c r="D168" s="558">
        <f>'[65]Sch C'!F179</f>
        <v>0</v>
      </c>
      <c r="E168" s="171">
        <f t="shared" si="45"/>
        <v>0</v>
      </c>
      <c r="F168" s="388">
        <v>0</v>
      </c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'[65]Sch C'!D180</f>
        <v>0</v>
      </c>
      <c r="D169" s="558">
        <f>'[65]Sch C'!F180</f>
        <v>0</v>
      </c>
      <c r="E169" s="171">
        <f t="shared" si="45"/>
        <v>0</v>
      </c>
      <c r="F169" s="388">
        <v>0</v>
      </c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'[65]Sch C'!D181</f>
        <v>0</v>
      </c>
      <c r="D170" s="558">
        <f>'[65]Sch C'!F181</f>
        <v>0</v>
      </c>
      <c r="E170" s="171">
        <f t="shared" si="45"/>
        <v>0</v>
      </c>
      <c r="F170" s="388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'[65]Sch C'!D182</f>
        <v>0</v>
      </c>
      <c r="D171" s="558">
        <f>'[65]Sch C'!F182</f>
        <v>0</v>
      </c>
      <c r="E171" s="171">
        <f t="shared" si="45"/>
        <v>0</v>
      </c>
      <c r="F171" s="388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'[65]Sch C'!D183</f>
        <v>0</v>
      </c>
      <c r="D172" s="558">
        <f>'[65]Sch C'!F183</f>
        <v>0</v>
      </c>
      <c r="E172" s="171">
        <f t="shared" si="45"/>
        <v>0</v>
      </c>
      <c r="F172" s="388">
        <v>0</v>
      </c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'[65]Sch C'!D184</f>
        <v>0</v>
      </c>
      <c r="D173" s="558">
        <f>'[65]Sch C'!F184</f>
        <v>0</v>
      </c>
      <c r="E173" s="171">
        <f t="shared" si="45"/>
        <v>0</v>
      </c>
      <c r="F173" s="388">
        <v>0</v>
      </c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'[65]Sch C'!D185</f>
        <v>0</v>
      </c>
      <c r="D174" s="558">
        <f>'[65]Sch C'!F185</f>
        <v>0</v>
      </c>
      <c r="E174" s="171">
        <f t="shared" si="45"/>
        <v>0</v>
      </c>
      <c r="F174" s="388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'[65]Sch C'!D186</f>
        <v>0</v>
      </c>
      <c r="D175" s="558">
        <f>'[65]Sch C'!F186</f>
        <v>0</v>
      </c>
      <c r="E175" s="171">
        <f t="shared" si="45"/>
        <v>0</v>
      </c>
      <c r="F175" s="388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'[65]Sch C'!D187</f>
        <v>0</v>
      </c>
      <c r="D176" s="558">
        <f>'[65]Sch C'!F187</f>
        <v>0</v>
      </c>
      <c r="E176" s="171">
        <f t="shared" si="45"/>
        <v>0</v>
      </c>
      <c r="F176" s="388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'[65]Sch C'!D188</f>
        <v>0</v>
      </c>
      <c r="D177" s="558">
        <f>'[65]Sch C'!F188</f>
        <v>0</v>
      </c>
      <c r="E177" s="171">
        <f t="shared" si="45"/>
        <v>0</v>
      </c>
      <c r="F177" s="388">
        <v>0</v>
      </c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'[65]Sch C'!D189</f>
        <v>0</v>
      </c>
      <c r="D178" s="558">
        <f>'[65]Sch C'!F189</f>
        <v>0</v>
      </c>
      <c r="E178" s="171">
        <f t="shared" si="45"/>
        <v>0</v>
      </c>
      <c r="F178" s="388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'[65]Sch C'!D190</f>
        <v>0</v>
      </c>
      <c r="D179" s="558">
        <f>'[65]Sch C'!F190</f>
        <v>0</v>
      </c>
      <c r="E179" s="171">
        <f t="shared" si="45"/>
        <v>0</v>
      </c>
      <c r="F179" s="388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'[65]Sch C'!D191</f>
        <v>0</v>
      </c>
      <c r="D180" s="558">
        <f>'[65]Sch C'!F191</f>
        <v>0</v>
      </c>
      <c r="E180" s="171">
        <f t="shared" si="45"/>
        <v>0</v>
      </c>
      <c r="F180" s="388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'[65]Sch C'!D192</f>
        <v>0</v>
      </c>
      <c r="D181" s="558">
        <f>'[65]Sch C'!F192</f>
        <v>0</v>
      </c>
      <c r="E181" s="171">
        <f t="shared" si="45"/>
        <v>0</v>
      </c>
      <c r="F181" s="388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'[65]Sch C'!D193</f>
        <v>0</v>
      </c>
      <c r="D182" s="558">
        <f>'[65]Sch C'!F193</f>
        <v>0</v>
      </c>
      <c r="E182" s="171">
        <f t="shared" si="45"/>
        <v>0</v>
      </c>
      <c r="F182" s="388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'[65]Sch C'!D194</f>
        <v>35937</v>
      </c>
      <c r="D183" s="558">
        <f>'[65]Sch C'!F194</f>
        <v>0</v>
      </c>
      <c r="E183" s="171">
        <f t="shared" si="45"/>
        <v>35937</v>
      </c>
      <c r="F183" s="388">
        <v>76458</v>
      </c>
      <c r="G183" s="171">
        <f t="shared" si="46"/>
        <v>112395</v>
      </c>
      <c r="H183" s="172">
        <f t="shared" si="47"/>
        <v>5.5747561431684869E-2</v>
      </c>
      <c r="I183" s="336"/>
      <c r="J183" s="223"/>
      <c r="K183" s="218"/>
      <c r="M183" s="364">
        <f t="shared" si="48"/>
        <v>11.111715274345032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'[65]Sch C'!D195</f>
        <v>3884</v>
      </c>
      <c r="D184" s="558">
        <f>'[65]Sch C'!F195</f>
        <v>0</v>
      </c>
      <c r="E184" s="171">
        <f t="shared" si="45"/>
        <v>3884</v>
      </c>
      <c r="F184" s="388">
        <v>5421</v>
      </c>
      <c r="G184" s="171">
        <f t="shared" si="46"/>
        <v>9305</v>
      </c>
      <c r="H184" s="172">
        <f t="shared" si="47"/>
        <v>4.6152503147099755E-3</v>
      </c>
      <c r="I184" s="336"/>
      <c r="J184" s="223"/>
      <c r="K184" s="218"/>
      <c r="M184" s="364">
        <f t="shared" si="48"/>
        <v>0.91992090954028671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'[65]Sch C'!D196</f>
        <v>0</v>
      </c>
      <c r="D185" s="558">
        <f>'[65]Sch C'!F196</f>
        <v>0</v>
      </c>
      <c r="E185" s="171">
        <f t="shared" si="45"/>
        <v>0</v>
      </c>
      <c r="F185" s="388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'[65]Sch C'!D197</f>
        <v>33752</v>
      </c>
      <c r="D186" s="558">
        <f>'[65]Sch C'!F197</f>
        <v>0</v>
      </c>
      <c r="E186" s="171">
        <f t="shared" si="45"/>
        <v>33752</v>
      </c>
      <c r="F186" s="388">
        <v>70556</v>
      </c>
      <c r="G186" s="171">
        <f t="shared" si="46"/>
        <v>104308</v>
      </c>
      <c r="H186" s="172">
        <f t="shared" si="47"/>
        <v>5.1736435231248594E-2</v>
      </c>
      <c r="I186" s="336"/>
      <c r="J186" s="223"/>
      <c r="K186" s="218"/>
      <c r="M186" s="364">
        <f t="shared" si="48"/>
        <v>10.31220958971824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'[65]Sch C'!D198</f>
        <v>7311</v>
      </c>
      <c r="D187" s="558">
        <f>'[65]Sch C'!F198</f>
        <v>0</v>
      </c>
      <c r="E187" s="171">
        <f t="shared" si="45"/>
        <v>7311</v>
      </c>
      <c r="F187" s="388">
        <v>9348</v>
      </c>
      <c r="G187" s="171">
        <f t="shared" si="46"/>
        <v>16659</v>
      </c>
      <c r="H187" s="172">
        <f t="shared" si="47"/>
        <v>8.2628108536005902E-3</v>
      </c>
      <c r="I187" s="336"/>
      <c r="J187" s="223"/>
      <c r="K187" s="218"/>
      <c r="M187" s="364">
        <f t="shared" si="48"/>
        <v>1.6469599604547702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'[65]Sch C'!D199</f>
        <v>0</v>
      </c>
      <c r="D188" s="558">
        <f>'[65]Sch C'!F199</f>
        <v>0</v>
      </c>
      <c r="E188" s="171">
        <f t="shared" si="45"/>
        <v>0</v>
      </c>
      <c r="F188" s="388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'[65]Sch C'!D200</f>
        <v>0</v>
      </c>
      <c r="D189" s="558">
        <f>'[65]Sch C'!F200</f>
        <v>0</v>
      </c>
      <c r="E189" s="171">
        <f t="shared" si="45"/>
        <v>0</v>
      </c>
      <c r="F189" s="388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'[65]Sch C'!D201</f>
        <v>0</v>
      </c>
      <c r="D190" s="558">
        <f>'[65]Sch C'!F201</f>
        <v>0</v>
      </c>
      <c r="E190" s="171">
        <f t="shared" si="45"/>
        <v>0</v>
      </c>
      <c r="F190" s="388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'[65]Sch C'!D202</f>
        <v>0</v>
      </c>
      <c r="D191" s="558">
        <f>'[65]Sch C'!F202</f>
        <v>0</v>
      </c>
      <c r="E191" s="171">
        <f t="shared" si="45"/>
        <v>0</v>
      </c>
      <c r="F191" s="388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'[65]Sch C'!D203</f>
        <v>0</v>
      </c>
      <c r="D192" s="558">
        <f>'[65]Sch C'!F203</f>
        <v>0</v>
      </c>
      <c r="E192" s="171">
        <f t="shared" si="45"/>
        <v>0</v>
      </c>
      <c r="F192" s="388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'[65]Sch C'!D204</f>
        <v>0</v>
      </c>
      <c r="D193" s="558">
        <f>'[65]Sch C'!F204</f>
        <v>0</v>
      </c>
      <c r="E193" s="171">
        <f t="shared" si="45"/>
        <v>0</v>
      </c>
      <c r="F193" s="388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'[65]Sch C'!D205</f>
        <v>28381</v>
      </c>
      <c r="D194" s="558">
        <f>'[65]Sch C'!F205</f>
        <v>0</v>
      </c>
      <c r="E194" s="171">
        <f t="shared" si="45"/>
        <v>28381</v>
      </c>
      <c r="F194" s="388">
        <v>49771</v>
      </c>
      <c r="G194" s="171">
        <f t="shared" si="46"/>
        <v>78152</v>
      </c>
      <c r="H194" s="172">
        <f t="shared" si="47"/>
        <v>3.8763142675466308E-2</v>
      </c>
      <c r="I194" s="336"/>
      <c r="J194" s="223"/>
      <c r="K194" s="218"/>
      <c r="M194" s="364">
        <f t="shared" si="48"/>
        <v>7.7263470093919917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'[65]Sch C'!D206</f>
        <v>0</v>
      </c>
      <c r="D195" s="558">
        <f>'[65]Sch C'!F206</f>
        <v>0</v>
      </c>
      <c r="E195" s="171">
        <f t="shared" si="45"/>
        <v>0</v>
      </c>
      <c r="F195" s="388">
        <v>0</v>
      </c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'[65]Sch C'!D207</f>
        <v>0</v>
      </c>
      <c r="D196" s="558">
        <f>'[65]Sch C'!F207</f>
        <v>0</v>
      </c>
      <c r="E196" s="171">
        <f t="shared" si="45"/>
        <v>0</v>
      </c>
      <c r="F196" s="388">
        <v>0</v>
      </c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109265</v>
      </c>
      <c r="D197" s="558">
        <f>SUM(D164:D196)</f>
        <v>0</v>
      </c>
      <c r="E197" s="171">
        <f t="shared" ref="E197:F197" si="49">SUM(E164:E196)</f>
        <v>109265</v>
      </c>
      <c r="F197" s="171">
        <f t="shared" si="49"/>
        <v>211554</v>
      </c>
      <c r="G197" s="171">
        <f>SUM(G164:G196)</f>
        <v>320819</v>
      </c>
      <c r="H197" s="172">
        <f>IF($G$208=0,0,G197/$G$208)</f>
        <v>0.15912520050671033</v>
      </c>
      <c r="I197" s="336"/>
      <c r="J197" s="168"/>
      <c r="K197" s="168"/>
      <c r="M197" s="364">
        <f>G197/G$228</f>
        <v>31.71715274345032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382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382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'[65]Sch C'!D211</f>
        <v>14483</v>
      </c>
      <c r="D200" s="558">
        <f>'[65]Sch C'!F211</f>
        <v>0</v>
      </c>
      <c r="E200" s="171">
        <f t="shared" ref="E200:E205" si="50">C200+D200</f>
        <v>14483</v>
      </c>
      <c r="F200" s="383">
        <v>27549</v>
      </c>
      <c r="G200" s="171">
        <f t="shared" ref="G200:G205" si="51">E200+F200</f>
        <v>42032</v>
      </c>
      <c r="H200" s="172">
        <f t="shared" ref="H200:H206" si="52">IF($G$208=0,0,G200/$G$208)</f>
        <v>2.084773790734978E-2</v>
      </c>
      <c r="I200" s="336"/>
      <c r="J200" s="183">
        <f>878.9+1766</f>
        <v>2644.9</v>
      </c>
      <c r="K200" s="183">
        <f>926.46+1766</f>
        <v>2692.46</v>
      </c>
      <c r="M200" s="364">
        <f t="shared" ref="M200:M205" si="53">G200/G$228</f>
        <v>4.1554127533366287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'[65]Sch C'!D212</f>
        <v>1239</v>
      </c>
      <c r="D201" s="558">
        <f>'[65]Sch C'!F212</f>
        <v>0</v>
      </c>
      <c r="E201" s="171">
        <f t="shared" si="50"/>
        <v>1239</v>
      </c>
      <c r="F201" s="383">
        <v>2334</v>
      </c>
      <c r="G201" s="171">
        <f t="shared" si="51"/>
        <v>3573</v>
      </c>
      <c r="H201" s="172">
        <f t="shared" si="52"/>
        <v>1.7721966012314609E-3</v>
      </c>
      <c r="I201" s="336"/>
      <c r="J201" s="168"/>
      <c r="K201" s="168" t="s">
        <v>599</v>
      </c>
      <c r="M201" s="364">
        <f t="shared" si="53"/>
        <v>0.3532377656945131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'[65]Sch C'!D213</f>
        <v>3219</v>
      </c>
      <c r="D202" s="558">
        <f>'[65]Sch C'!F213</f>
        <v>0</v>
      </c>
      <c r="E202" s="171">
        <f t="shared" si="50"/>
        <v>3219</v>
      </c>
      <c r="F202" s="708">
        <f>(5615-253)</f>
        <v>5362</v>
      </c>
      <c r="G202" s="171">
        <f t="shared" si="51"/>
        <v>8581</v>
      </c>
      <c r="H202" s="172">
        <f t="shared" si="52"/>
        <v>4.2561486244520478E-3</v>
      </c>
      <c r="I202" s="336"/>
      <c r="J202" s="168"/>
      <c r="K202" s="247" t="s">
        <v>601</v>
      </c>
      <c r="M202" s="364">
        <f t="shared" si="53"/>
        <v>0.84834404349975279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'[65]Sch C'!D214</f>
        <v>0</v>
      </c>
      <c r="D203" s="558">
        <f>'[65]Sch C'!F214</f>
        <v>0</v>
      </c>
      <c r="E203" s="171">
        <f t="shared" si="50"/>
        <v>0</v>
      </c>
      <c r="F203" s="383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247" t="s">
        <v>600</v>
      </c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'[65]Sch C'!D215</f>
        <v>0</v>
      </c>
      <c r="D204" s="558">
        <f>'[65]Sch C'!F215</f>
        <v>0</v>
      </c>
      <c r="E204" s="171">
        <f t="shared" si="50"/>
        <v>0</v>
      </c>
      <c r="F204" s="383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'[65]Sch C'!D216</f>
        <v>1018</v>
      </c>
      <c r="D205" s="558">
        <f>'[65]Sch C'!F216</f>
        <v>0</v>
      </c>
      <c r="E205" s="171">
        <f t="shared" si="50"/>
        <v>1018</v>
      </c>
      <c r="F205" s="383">
        <v>1762</v>
      </c>
      <c r="G205" s="171">
        <f t="shared" si="51"/>
        <v>2780</v>
      </c>
      <c r="H205" s="172">
        <f t="shared" si="52"/>
        <v>1.3788711311008848E-3</v>
      </c>
      <c r="I205" s="336"/>
      <c r="J205" s="168"/>
      <c r="K205" s="168"/>
      <c r="M205" s="364">
        <f t="shared" si="53"/>
        <v>0.27483934750370737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19959</v>
      </c>
      <c r="D206" s="558">
        <f>SUM(D200:D205)</f>
        <v>0</v>
      </c>
      <c r="E206" s="171">
        <f t="shared" ref="E206:F206" si="54">SUM(E200:E205)</f>
        <v>19959</v>
      </c>
      <c r="F206" s="171">
        <f t="shared" si="54"/>
        <v>37007</v>
      </c>
      <c r="G206" s="171">
        <f>SUM(G200:G205)</f>
        <v>56966</v>
      </c>
      <c r="H206" s="172">
        <f t="shared" si="52"/>
        <v>2.8254954264134172E-2</v>
      </c>
      <c r="I206" s="336"/>
      <c r="J206" s="168"/>
      <c r="K206" s="168"/>
      <c r="M206" s="364">
        <f>G206/G$228</f>
        <v>5.6318339100346018</v>
      </c>
      <c r="N206" s="359">
        <f>SUMMARY!J209</f>
        <v>7.1515095990067339</v>
      </c>
      <c r="O206" s="354">
        <f>M206/N206-1</f>
        <v>-0.21249718929038397</v>
      </c>
      <c r="P206"/>
      <c r="Q206"/>
    </row>
    <row r="207" spans="1:19" s="167" customFormat="1">
      <c r="A207" s="163"/>
      <c r="C207" s="165"/>
      <c r="D207" s="165"/>
      <c r="E207" s="165"/>
      <c r="F207" s="382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709144</v>
      </c>
      <c r="D208" s="558">
        <f>SUM(D25:D206)/2</f>
        <v>-15920</v>
      </c>
      <c r="E208" s="171">
        <f t="shared" ref="E208:F208" si="55">SUM(E25:E206)/2</f>
        <v>693224</v>
      </c>
      <c r="F208" s="171">
        <f t="shared" si="55"/>
        <v>1322918</v>
      </c>
      <c r="G208" s="171">
        <f>SUM(G25:G206)/2</f>
        <v>2016142</v>
      </c>
      <c r="H208" s="172">
        <f>IF($G$208=0,0,G208/$G$208)</f>
        <v>1</v>
      </c>
      <c r="I208" s="336"/>
      <c r="J208" s="183">
        <f>SUM(J25:J200)</f>
        <v>48669.9</v>
      </c>
      <c r="K208" s="183">
        <f>SUM(K25:K200)</f>
        <v>49423.15</v>
      </c>
      <c r="M208" s="364">
        <f>G208/G$228</f>
        <v>199.32199703410777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 t="s">
        <v>597</v>
      </c>
      <c r="O209" s="553">
        <f>SUM(O61:O206)</f>
        <v>-1.6543918903640793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 s="451" t="s">
        <v>527</v>
      </c>
      <c r="G210"/>
      <c r="I210" s="332"/>
      <c r="J210"/>
      <c r="K210" t="s">
        <v>598</v>
      </c>
      <c r="P210"/>
      <c r="Q210"/>
    </row>
    <row r="211" spans="1:17" s="167" customFormat="1">
      <c r="A211" s="163"/>
      <c r="B211" s="228" t="s">
        <v>181</v>
      </c>
      <c r="C211" s="558">
        <f>'[65]Sch C'!D221</f>
        <v>709144</v>
      </c>
      <c r="D211" s="196"/>
      <c r="E211" s="165"/>
      <c r="F211" s="451" t="s">
        <v>568</v>
      </c>
      <c r="G211"/>
      <c r="I211" s="332"/>
      <c r="J211"/>
      <c r="K211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51" t="s">
        <v>519</v>
      </c>
      <c r="G212"/>
      <c r="I212" s="332"/>
      <c r="J212"/>
      <c r="K212"/>
      <c r="P212"/>
      <c r="Q212"/>
    </row>
    <row r="213" spans="1:17" s="167" customFormat="1">
      <c r="A213" s="163"/>
      <c r="B213" s="230"/>
      <c r="C213" s="741"/>
      <c r="D213" s="232"/>
      <c r="E213" s="232"/>
      <c r="F213" s="389"/>
      <c r="G213" s="232"/>
      <c r="H213" s="166"/>
      <c r="I213" s="335"/>
      <c r="J213"/>
      <c r="K213"/>
      <c r="P213"/>
      <c r="Q213"/>
    </row>
    <row r="214" spans="1:17" s="167" customFormat="1">
      <c r="A214" s="169"/>
      <c r="B214" s="228"/>
      <c r="C214" s="165"/>
      <c r="D214" s="165"/>
      <c r="E214" s="165"/>
      <c r="F214" s="382"/>
      <c r="G214" s="165"/>
      <c r="I214" s="332"/>
      <c r="J214"/>
      <c r="K214"/>
      <c r="P214"/>
      <c r="Q214"/>
    </row>
    <row r="215" spans="1:17" s="167" customFormat="1">
      <c r="A215" s="163"/>
      <c r="B215" s="228" t="s">
        <v>78</v>
      </c>
      <c r="C215" s="558">
        <f>C21-C208</f>
        <v>82908</v>
      </c>
      <c r="D215" s="558">
        <f>D21-D208</f>
        <v>15920</v>
      </c>
      <c r="E215" s="171">
        <f t="shared" ref="E215:F215" si="56">E21-E208</f>
        <v>98828</v>
      </c>
      <c r="F215" s="171">
        <f t="shared" si="56"/>
        <v>801215</v>
      </c>
      <c r="G215" s="171">
        <f>G21-G208</f>
        <v>900043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385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385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382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'[65]Sch D'!C9</f>
        <v>2365</v>
      </c>
      <c r="D219" s="592"/>
      <c r="E219" s="235">
        <f t="shared" ref="E219:G227" si="57">C219+D219</f>
        <v>2365</v>
      </c>
      <c r="F219" s="390">
        <v>5276</v>
      </c>
      <c r="G219" s="235">
        <f t="shared" si="57"/>
        <v>7641</v>
      </c>
      <c r="H219" s="172">
        <f t="shared" ref="H219:H228" si="58">IF($G$228=0,0,G219/$G$228)</f>
        <v>0.75541275333662872</v>
      </c>
      <c r="I219" s="336"/>
      <c r="J219" s="168"/>
      <c r="K219" s="168"/>
    </row>
    <row r="220" spans="1:17">
      <c r="A220" s="163"/>
      <c r="B220" s="170" t="s">
        <v>217</v>
      </c>
      <c r="C220" s="592">
        <f>'[65]Sch D'!D9</f>
        <v>0</v>
      </c>
      <c r="D220" s="592"/>
      <c r="E220" s="235">
        <f t="shared" ref="E220:E227" si="59">C220+D220</f>
        <v>0</v>
      </c>
      <c r="F220" s="390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'[65]Sch D'!E9</f>
        <v>688</v>
      </c>
      <c r="D221" s="592"/>
      <c r="E221" s="235">
        <f t="shared" si="59"/>
        <v>688</v>
      </c>
      <c r="F221" s="390">
        <v>863</v>
      </c>
      <c r="G221" s="235">
        <f t="shared" si="57"/>
        <v>1551</v>
      </c>
      <c r="H221" s="172">
        <f t="shared" si="58"/>
        <v>0.15333662876915471</v>
      </c>
      <c r="I221" s="336"/>
      <c r="J221" s="168"/>
      <c r="K221" s="168"/>
    </row>
    <row r="222" spans="1:17">
      <c r="A222" s="163"/>
      <c r="B222" s="202" t="s">
        <v>334</v>
      </c>
      <c r="C222" s="592">
        <f>'[65]Sch D'!F9</f>
        <v>0</v>
      </c>
      <c r="D222" s="592"/>
      <c r="E222" s="235">
        <f>C222+D222</f>
        <v>0</v>
      </c>
      <c r="F222" s="390">
        <v>162</v>
      </c>
      <c r="G222" s="235">
        <f>E222+F222</f>
        <v>162</v>
      </c>
      <c r="H222" s="172">
        <f t="shared" si="58"/>
        <v>1.6015818091942659E-2</v>
      </c>
      <c r="I222" s="336"/>
      <c r="J222" s="168"/>
      <c r="K222" s="168"/>
    </row>
    <row r="223" spans="1:17">
      <c r="A223" s="163"/>
      <c r="B223" s="170" t="s">
        <v>73</v>
      </c>
      <c r="C223" s="592">
        <f>'[65]Sch D'!G9</f>
        <v>0</v>
      </c>
      <c r="D223" s="592"/>
      <c r="E223" s="235">
        <f t="shared" si="59"/>
        <v>0</v>
      </c>
      <c r="F223" s="390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'[65]Sch D'!H9</f>
        <v>80</v>
      </c>
      <c r="D224" s="592"/>
      <c r="E224" s="235">
        <f t="shared" si="59"/>
        <v>80</v>
      </c>
      <c r="F224" s="390">
        <v>77</v>
      </c>
      <c r="G224" s="235">
        <f t="shared" si="57"/>
        <v>157</v>
      </c>
      <c r="H224" s="172">
        <f t="shared" si="58"/>
        <v>1.5521502718734552E-2</v>
      </c>
      <c r="I224" s="336"/>
      <c r="J224" s="168"/>
      <c r="K224" s="168"/>
    </row>
    <row r="225" spans="1:11">
      <c r="A225" s="163"/>
      <c r="B225" s="170" t="s">
        <v>236</v>
      </c>
      <c r="C225" s="592">
        <f>'[65]Sch D'!I9</f>
        <v>230</v>
      </c>
      <c r="D225" s="592"/>
      <c r="E225" s="235">
        <f t="shared" si="59"/>
        <v>230</v>
      </c>
      <c r="F225" s="390">
        <v>374</v>
      </c>
      <c r="G225" s="235">
        <f t="shared" si="57"/>
        <v>604</v>
      </c>
      <c r="H225" s="172">
        <f t="shared" si="58"/>
        <v>5.9713297083539299E-2</v>
      </c>
      <c r="I225" s="336"/>
      <c r="J225" s="168"/>
      <c r="K225" s="168"/>
    </row>
    <row r="226" spans="1:11">
      <c r="A226" s="163"/>
      <c r="B226" s="170" t="s">
        <v>235</v>
      </c>
      <c r="C226" s="592">
        <f>'[65]Sch D'!J9</f>
        <v>0</v>
      </c>
      <c r="D226" s="592"/>
      <c r="E226" s="235">
        <f>C226+D226</f>
        <v>0</v>
      </c>
      <c r="F226" s="390">
        <v>0</v>
      </c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'[65]Sch D'!K9</f>
        <v>0</v>
      </c>
      <c r="D227" s="592"/>
      <c r="E227" s="235">
        <f t="shared" si="59"/>
        <v>0</v>
      </c>
      <c r="F227" s="390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3363</v>
      </c>
      <c r="D228" s="592">
        <f>SUM(D219:D227)</f>
        <v>0</v>
      </c>
      <c r="E228" s="237">
        <f>SUM(E219:E227)</f>
        <v>3363</v>
      </c>
      <c r="F228" s="391">
        <f>SUM(F219:F227)</f>
        <v>6752</v>
      </c>
      <c r="G228" s="237">
        <f>SUM(G219:G227)</f>
        <v>10115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742"/>
      <c r="D229" s="238"/>
      <c r="E229" s="232"/>
      <c r="F229" s="392"/>
      <c r="G229" s="232"/>
      <c r="H229" s="167"/>
      <c r="J229" s="168"/>
      <c r="K229" s="168"/>
    </row>
    <row r="230" spans="1:11">
      <c r="A230" s="163"/>
      <c r="B230" s="233" t="s">
        <v>160</v>
      </c>
      <c r="C230" s="741"/>
      <c r="D230" s="232"/>
      <c r="E230" s="232"/>
      <c r="F230" s="389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'[65]Sch D'!N22</f>
        <v>29</v>
      </c>
      <c r="D231" s="559"/>
      <c r="E231" s="235">
        <f>C231+D231</f>
        <v>29</v>
      </c>
      <c r="F231" s="393"/>
      <c r="G231" s="235">
        <f>E231+F231</f>
        <v>29</v>
      </c>
      <c r="H231" s="167"/>
      <c r="J231" s="168"/>
      <c r="K231" s="168"/>
    </row>
    <row r="232" spans="1:11">
      <c r="A232" s="163"/>
      <c r="B232" s="202" t="s">
        <v>290</v>
      </c>
      <c r="C232" s="593">
        <f>'[65]Sch D'!N24</f>
        <v>29</v>
      </c>
      <c r="D232" s="559"/>
      <c r="E232" s="235">
        <f>C232+D232</f>
        <v>29</v>
      </c>
      <c r="F232" s="393"/>
      <c r="G232" s="235">
        <f>E232+F232</f>
        <v>29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$C$4-$C$3+1-243</f>
        <v>123</v>
      </c>
      <c r="D233" s="483"/>
      <c r="E233" s="235">
        <f>C233+D233</f>
        <v>123</v>
      </c>
      <c r="F233" s="394">
        <v>243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744"/>
      <c r="D234" s="239"/>
      <c r="E234" s="242"/>
      <c r="F234" s="394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'[65]Sch D'!N28</f>
        <v>3567</v>
      </c>
      <c r="D235" s="483"/>
      <c r="E235" s="234">
        <f>E231*E233</f>
        <v>3567</v>
      </c>
      <c r="F235" s="394"/>
      <c r="G235" s="234">
        <f>G231*G233</f>
        <v>10614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'[65]Sch D'!N30</f>
        <v>0.94280908326324642</v>
      </c>
      <c r="D236" s="239"/>
      <c r="E236" s="244">
        <f>E228/E235</f>
        <v>0.94280908326324642</v>
      </c>
      <c r="F236" s="395"/>
      <c r="G236" s="244">
        <f>G228/G235</f>
        <v>0.95298662144337665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'[65]Sch D'!N32</f>
        <v>0.66302214746285393</v>
      </c>
      <c r="D237" s="239"/>
      <c r="E237" s="244">
        <f>(E219+E220)/E235</f>
        <v>0.66302214746285393</v>
      </c>
      <c r="F237" s="395"/>
      <c r="G237" s="244">
        <f>(G219+G220)/G235</f>
        <v>0.71989824759751275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'[65]Sch D'!N34</f>
        <v>0.70324115373178708</v>
      </c>
      <c r="D238" s="239"/>
      <c r="E238" s="244">
        <f>(E237/E236)</f>
        <v>0.70324115373178708</v>
      </c>
      <c r="F238" s="395"/>
      <c r="G238" s="244">
        <f>(G237/G236)</f>
        <v>0.75541275333662883</v>
      </c>
      <c r="H238" s="167"/>
      <c r="J238" s="168"/>
      <c r="K238" s="168"/>
    </row>
    <row r="241" spans="2:7">
      <c r="B241" s="148" t="s">
        <v>339</v>
      </c>
      <c r="F241" s="396" t="s">
        <v>340</v>
      </c>
      <c r="G241" s="558">
        <v>109.58928571428571</v>
      </c>
    </row>
    <row r="242" spans="2:7">
      <c r="F242" s="396" t="s">
        <v>341</v>
      </c>
      <c r="G242" s="558">
        <f>288/3+150*2/3</f>
        <v>196</v>
      </c>
    </row>
    <row r="243" spans="2:7">
      <c r="F243" s="396" t="s">
        <v>342</v>
      </c>
      <c r="G243" s="558">
        <v>283.48837209302326</v>
      </c>
    </row>
    <row r="244" spans="2:7">
      <c r="F244" s="396" t="s">
        <v>343</v>
      </c>
      <c r="G244" s="558">
        <v>663</v>
      </c>
    </row>
    <row r="245" spans="2:7">
      <c r="F245" s="396"/>
    </row>
  </sheetData>
  <customSheetViews>
    <customSheetView guid="{00D6F160-3E2B-11D5-8BE5-C1A1C12816BD}" showPageBreaks="1" showGridLines="0" showRuler="0">
      <selection activeCell="F17" sqref="F17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1">
    <tabColor rgb="FFE28CAB"/>
    <pageSetUpPr fitToPage="1"/>
  </sheetPr>
  <dimension ref="A1:Q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569</v>
      </c>
      <c r="D2" s="246"/>
      <c r="E2" s="144"/>
      <c r="F2" s="450"/>
    </row>
    <row r="3" spans="1:17" ht="18" customHeight="1">
      <c r="A3" s="145"/>
      <c r="B3" s="140" t="s">
        <v>79</v>
      </c>
      <c r="C3" s="489">
        <v>42186</v>
      </c>
      <c r="D3" s="397"/>
      <c r="E3" s="398"/>
      <c r="F3" s="582"/>
      <c r="G3" s="398"/>
    </row>
    <row r="4" spans="1:17" ht="23.25" customHeight="1">
      <c r="A4" s="145"/>
      <c r="B4" s="148" t="s">
        <v>80</v>
      </c>
      <c r="C4" s="489">
        <v>42551</v>
      </c>
      <c r="D4" s="397"/>
      <c r="E4" s="398"/>
      <c r="F4"/>
      <c r="G4" s="398"/>
    </row>
    <row r="5" spans="1:17">
      <c r="A5" s="145"/>
      <c r="B5" s="148"/>
      <c r="C5" s="151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484">
        <v>4343452.3</v>
      </c>
      <c r="D11" s="484">
        <v>0</v>
      </c>
      <c r="E11" s="171">
        <f>C11+D11</f>
        <v>4343452.3</v>
      </c>
      <c r="F11" s="171"/>
      <c r="G11" s="171">
        <f t="shared" ref="G11:G20" si="0">E11+F11</f>
        <v>4343452.3</v>
      </c>
      <c r="H11" s="172">
        <f t="shared" ref="H11:H21" si="1">IF($G$21=0,0,G11/$G$21)</f>
        <v>0.62765763489708304</v>
      </c>
      <c r="I11" s="336"/>
      <c r="J11" s="368" t="s">
        <v>344</v>
      </c>
      <c r="K11" s="369">
        <f>G21</f>
        <v>6920097.9299999997</v>
      </c>
      <c r="M11" s="359">
        <f>IFERROR(G11/G219,0)</f>
        <v>299.30073732083792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484">
        <v>0</v>
      </c>
      <c r="D12" s="484"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6110908.1599999992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484">
        <v>1337092.29</v>
      </c>
      <c r="D13" s="484">
        <v>0</v>
      </c>
      <c r="E13" s="171">
        <f t="shared" si="2"/>
        <v>1337092.29</v>
      </c>
      <c r="F13" s="171"/>
      <c r="G13" s="171">
        <f t="shared" si="0"/>
        <v>1337092.29</v>
      </c>
      <c r="H13" s="172">
        <f t="shared" si="1"/>
        <v>0.19321869481115855</v>
      </c>
      <c r="I13" s="336"/>
      <c r="J13" s="370" t="s">
        <v>346</v>
      </c>
      <c r="K13" s="371">
        <f>G228</f>
        <v>21742</v>
      </c>
      <c r="M13" s="359">
        <f t="shared" si="3"/>
        <v>495.58646775389178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484">
        <v>566690.89000000013</v>
      </c>
      <c r="D14" s="484">
        <v>0</v>
      </c>
      <c r="E14" s="171">
        <f t="shared" si="2"/>
        <v>566690.89000000013</v>
      </c>
      <c r="F14" s="175"/>
      <c r="G14" s="175">
        <f>E14+F14</f>
        <v>566690.89000000013</v>
      </c>
      <c r="H14" s="176">
        <f t="shared" si="1"/>
        <v>8.1890588215996554E-2</v>
      </c>
      <c r="I14" s="337"/>
      <c r="J14" s="370" t="s">
        <v>347</v>
      </c>
      <c r="K14" s="371">
        <f>G231</f>
        <v>100</v>
      </c>
      <c r="M14" s="359">
        <f t="shared" si="3"/>
        <v>379.5652310783658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484">
        <v>0</v>
      </c>
      <c r="D15" s="484"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36600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484">
        <v>252825.31</v>
      </c>
      <c r="D16" s="484">
        <v>0</v>
      </c>
      <c r="E16" s="171">
        <f t="shared" si="2"/>
        <v>252825.31</v>
      </c>
      <c r="F16" s="171"/>
      <c r="G16" s="171">
        <f t="shared" si="0"/>
        <v>252825.31</v>
      </c>
      <c r="H16" s="172">
        <f t="shared" si="1"/>
        <v>3.6534932389316634E-2</v>
      </c>
      <c r="I16" s="336"/>
      <c r="J16" s="372"/>
      <c r="K16" s="371"/>
      <c r="M16" s="359">
        <f t="shared" si="3"/>
        <v>247.86795098039215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484">
        <v>354343.21</v>
      </c>
      <c r="D17" s="484">
        <v>0</v>
      </c>
      <c r="E17" s="171">
        <f t="shared" si="2"/>
        <v>354343.21</v>
      </c>
      <c r="F17" s="171"/>
      <c r="G17" s="171">
        <f>E17+F17</f>
        <v>354343.21</v>
      </c>
      <c r="H17" s="172">
        <f t="shared" si="1"/>
        <v>5.1204941546253525E-2</v>
      </c>
      <c r="I17" s="336"/>
      <c r="J17" s="370" t="s">
        <v>156</v>
      </c>
      <c r="K17" s="371">
        <f>J208</f>
        <v>144954.09</v>
      </c>
      <c r="M17" s="359">
        <f t="shared" si="3"/>
        <v>182.74533780299123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484">
        <v>18199.55</v>
      </c>
      <c r="D18" s="484">
        <v>0</v>
      </c>
      <c r="E18" s="171">
        <f t="shared" si="2"/>
        <v>18199.55</v>
      </c>
      <c r="F18" s="171"/>
      <c r="G18" s="171">
        <f>E18+F18</f>
        <v>18199.55</v>
      </c>
      <c r="H18" s="172">
        <f t="shared" si="1"/>
        <v>2.6299555561347383E-3</v>
      </c>
      <c r="I18" s="336"/>
      <c r="J18" s="373" t="s">
        <v>252</v>
      </c>
      <c r="K18" s="374">
        <f>K208</f>
        <v>151362.88999999998</v>
      </c>
      <c r="M18" s="359">
        <f t="shared" si="3"/>
        <v>227.49437499999999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484">
        <v>0</v>
      </c>
      <c r="D19" s="484"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484">
        <v>47562.2</v>
      </c>
      <c r="D20" s="484">
        <v>-67.819999999999993</v>
      </c>
      <c r="E20" s="171">
        <f t="shared" si="2"/>
        <v>47494.38</v>
      </c>
      <c r="F20" s="171"/>
      <c r="G20" s="171">
        <f t="shared" si="0"/>
        <v>47494.38</v>
      </c>
      <c r="H20" s="172">
        <f t="shared" si="1"/>
        <v>6.8632525840570001E-3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484">
        <v>6920165.75</v>
      </c>
      <c r="D21" s="484">
        <v>-67.819999999999993</v>
      </c>
      <c r="E21" s="171">
        <f>SUM(E11:E20)</f>
        <v>6920097.9299999997</v>
      </c>
      <c r="F21" s="171">
        <f>SUM(F11:F20)</f>
        <v>0</v>
      </c>
      <c r="G21" s="171">
        <f>SUM(G11:G20)</f>
        <v>6920097.9299999997</v>
      </c>
      <c r="H21" s="172">
        <f t="shared" si="1"/>
        <v>1</v>
      </c>
      <c r="I21" s="336"/>
      <c r="J21" s="168"/>
      <c r="K21" s="168"/>
      <c r="M21" s="359">
        <f>IFERROR(G21/G228,0)</f>
        <v>318.28249149112315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7">
      <c r="A24" s="181" t="s">
        <v>161</v>
      </c>
      <c r="B24" s="148" t="s">
        <v>12</v>
      </c>
      <c r="F24"/>
      <c r="M24" s="363"/>
      <c r="N24" s="363"/>
    </row>
    <row r="25" spans="1:17" s="167" customFormat="1">
      <c r="A25" s="169" t="s">
        <v>83</v>
      </c>
      <c r="B25" s="170" t="s">
        <v>14</v>
      </c>
      <c r="C25" s="484">
        <v>124129.93</v>
      </c>
      <c r="D25" s="484">
        <v>0</v>
      </c>
      <c r="E25" s="171">
        <f t="shared" ref="E25:E60" si="4">C25+D25</f>
        <v>124129.93</v>
      </c>
      <c r="F25" s="171"/>
      <c r="G25" s="182">
        <f>E25+F25</f>
        <v>124129.93</v>
      </c>
      <c r="H25" s="172">
        <f>IF($G$208=0,0,G25/$G$208)</f>
        <v>2.0312844956910627E-2</v>
      </c>
      <c r="I25" s="336"/>
      <c r="J25" s="183">
        <v>1733.4</v>
      </c>
      <c r="K25" s="183">
        <v>1733.4</v>
      </c>
      <c r="M25" s="359">
        <f>G25/G$228</f>
        <v>5.7092231625425445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484">
        <v>0</v>
      </c>
      <c r="D26" s="484"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484">
        <v>225907.56</v>
      </c>
      <c r="D27" s="484">
        <v>-108391.58</v>
      </c>
      <c r="E27" s="171">
        <f t="shared" si="4"/>
        <v>117515.98</v>
      </c>
      <c r="F27" s="171"/>
      <c r="G27" s="171">
        <f t="shared" si="5"/>
        <v>117515.98</v>
      </c>
      <c r="H27" s="172">
        <f t="shared" si="6"/>
        <v>1.9230526285638042E-2</v>
      </c>
      <c r="I27" s="336"/>
      <c r="J27" s="185">
        <v>9276.49</v>
      </c>
      <c r="K27" s="185">
        <v>9664.99</v>
      </c>
      <c r="M27" s="359">
        <f t="shared" si="7"/>
        <v>5.4050216171465362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484">
        <v>76769.48</v>
      </c>
      <c r="D28" s="484">
        <v>-26455.02</v>
      </c>
      <c r="E28" s="171">
        <f t="shared" si="4"/>
        <v>50314.459999999992</v>
      </c>
      <c r="F28" s="171"/>
      <c r="G28" s="171">
        <f t="shared" si="5"/>
        <v>50314.459999999992</v>
      </c>
      <c r="H28" s="172">
        <f t="shared" si="6"/>
        <v>8.2335487103769537E-3</v>
      </c>
      <c r="I28" s="336"/>
      <c r="J28" s="168"/>
      <c r="K28" s="168"/>
      <c r="M28" s="359">
        <f t="shared" si="7"/>
        <v>2.314159690920798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484">
        <v>0</v>
      </c>
      <c r="D29" s="484"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484">
        <v>434923.29</v>
      </c>
      <c r="D30" s="484">
        <v>-434923.29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484">
        <v>0</v>
      </c>
      <c r="D31" s="484">
        <v>223289</v>
      </c>
      <c r="E31" s="171">
        <f t="shared" si="4"/>
        <v>223289</v>
      </c>
      <c r="F31" s="171"/>
      <c r="G31" s="171">
        <f t="shared" si="5"/>
        <v>223289</v>
      </c>
      <c r="H31" s="172">
        <f t="shared" si="6"/>
        <v>3.6539413480565226E-2</v>
      </c>
      <c r="I31" s="336"/>
      <c r="J31" s="168"/>
      <c r="K31" s="168"/>
      <c r="M31" s="359">
        <f t="shared" si="7"/>
        <v>10.269938368135406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484">
        <v>0</v>
      </c>
      <c r="D32" s="484"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484">
        <v>26185.3</v>
      </c>
      <c r="D33" s="484">
        <v>0</v>
      </c>
      <c r="E33" s="171">
        <f t="shared" si="4"/>
        <v>26185.3</v>
      </c>
      <c r="F33" s="171"/>
      <c r="G33" s="171">
        <f t="shared" si="5"/>
        <v>26185.3</v>
      </c>
      <c r="H33" s="172">
        <f t="shared" si="6"/>
        <v>4.285009578674474E-3</v>
      </c>
      <c r="I33" s="336"/>
      <c r="J33" s="168"/>
      <c r="K33" s="168"/>
      <c r="M33" s="359">
        <f t="shared" si="7"/>
        <v>1.2043648238432527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484">
        <v>25351.77</v>
      </c>
      <c r="D34" s="484">
        <v>0</v>
      </c>
      <c r="E34" s="171">
        <f t="shared" si="4"/>
        <v>25351.77</v>
      </c>
      <c r="F34" s="171"/>
      <c r="G34" s="171">
        <f t="shared" si="5"/>
        <v>25351.77</v>
      </c>
      <c r="H34" s="172">
        <f t="shared" si="6"/>
        <v>4.1486092306122968E-3</v>
      </c>
      <c r="I34" s="336"/>
      <c r="J34" s="168"/>
      <c r="K34" s="168"/>
      <c r="M34" s="359">
        <f t="shared" si="7"/>
        <v>1.1660275043694233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484">
        <v>10379.27</v>
      </c>
      <c r="D35" s="484">
        <v>0</v>
      </c>
      <c r="E35" s="171">
        <f t="shared" si="4"/>
        <v>10379.27</v>
      </c>
      <c r="F35" s="171"/>
      <c r="G35" s="171">
        <f t="shared" si="5"/>
        <v>10379.27</v>
      </c>
      <c r="H35" s="172">
        <f t="shared" si="6"/>
        <v>1.6984824069095487E-3</v>
      </c>
      <c r="I35" s="336"/>
      <c r="J35" s="168"/>
      <c r="K35" s="168"/>
      <c r="M35" s="359">
        <f t="shared" si="7"/>
        <v>0.47738340539048846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484">
        <v>78526.45</v>
      </c>
      <c r="D36" s="484">
        <v>44164</v>
      </c>
      <c r="E36" s="171">
        <f t="shared" si="4"/>
        <v>122690.45</v>
      </c>
      <c r="F36" s="171"/>
      <c r="G36" s="171">
        <f t="shared" si="5"/>
        <v>122690.45</v>
      </c>
      <c r="H36" s="172">
        <f t="shared" si="6"/>
        <v>2.0077285861222961E-2</v>
      </c>
      <c r="I36" s="336"/>
      <c r="J36" s="168"/>
      <c r="K36" s="168"/>
      <c r="M36" s="359">
        <f t="shared" si="7"/>
        <v>5.6430158219115079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484">
        <v>0</v>
      </c>
      <c r="D37" s="484"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484">
        <v>30187.08</v>
      </c>
      <c r="D38" s="484">
        <v>34362</v>
      </c>
      <c r="E38" s="171">
        <f t="shared" si="4"/>
        <v>64549.08</v>
      </c>
      <c r="F38" s="171"/>
      <c r="G38" s="171">
        <f t="shared" si="5"/>
        <v>64549.08</v>
      </c>
      <c r="H38" s="172">
        <f t="shared" si="6"/>
        <v>1.0562927524016334E-2</v>
      </c>
      <c r="I38" s="336"/>
      <c r="J38" s="168"/>
      <c r="K38" s="168"/>
      <c r="M38" s="359">
        <f t="shared" si="7"/>
        <v>2.9688657897157578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484">
        <v>40427.03</v>
      </c>
      <c r="D39" s="484">
        <v>0</v>
      </c>
      <c r="E39" s="171">
        <f t="shared" si="4"/>
        <v>40427.03</v>
      </c>
      <c r="F39" s="171"/>
      <c r="G39" s="171">
        <f t="shared" si="5"/>
        <v>40427.03</v>
      </c>
      <c r="H39" s="172">
        <f t="shared" si="6"/>
        <v>6.6155518854991279E-3</v>
      </c>
      <c r="I39" s="336"/>
      <c r="J39" s="168"/>
      <c r="K39" s="168"/>
      <c r="M39" s="359">
        <f t="shared" si="7"/>
        <v>1.8593979394719897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484">
        <v>0</v>
      </c>
      <c r="D40" s="484"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484">
        <v>320748.68</v>
      </c>
      <c r="D41" s="484">
        <v>107.8</v>
      </c>
      <c r="E41" s="171">
        <f t="shared" si="4"/>
        <v>320856.48</v>
      </c>
      <c r="F41" s="171"/>
      <c r="G41" s="171">
        <f t="shared" si="5"/>
        <v>320856.48</v>
      </c>
      <c r="H41" s="172">
        <f t="shared" si="6"/>
        <v>5.2505531354606387E-2</v>
      </c>
      <c r="I41" s="336"/>
      <c r="J41" s="168"/>
      <c r="K41" s="168"/>
      <c r="M41" s="359">
        <f t="shared" si="7"/>
        <v>14.757450096587249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484">
        <v>3366.72</v>
      </c>
      <c r="D42" s="484">
        <v>9233.18</v>
      </c>
      <c r="E42" s="171">
        <f t="shared" si="4"/>
        <v>12599.9</v>
      </c>
      <c r="F42" s="171"/>
      <c r="G42" s="171">
        <f t="shared" si="5"/>
        <v>12599.9</v>
      </c>
      <c r="H42" s="172">
        <f t="shared" si="6"/>
        <v>2.0618702932691433E-3</v>
      </c>
      <c r="I42" s="336"/>
      <c r="J42" s="168"/>
      <c r="K42" s="168"/>
      <c r="M42" s="359">
        <f t="shared" si="7"/>
        <v>0.57951890350473734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484">
        <v>0</v>
      </c>
      <c r="D43" s="484"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484">
        <v>98772.36</v>
      </c>
      <c r="D44" s="484">
        <v>-98772.36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484">
        <v>0</v>
      </c>
      <c r="D45" s="484"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484">
        <v>5360.81</v>
      </c>
      <c r="D46" s="484">
        <v>0</v>
      </c>
      <c r="E46" s="171">
        <f t="shared" si="4"/>
        <v>5360.81</v>
      </c>
      <c r="F46" s="171"/>
      <c r="G46" s="171">
        <f t="shared" si="5"/>
        <v>5360.81</v>
      </c>
      <c r="H46" s="172">
        <f t="shared" si="6"/>
        <v>8.7725258826341142E-4</v>
      </c>
      <c r="I46" s="336"/>
      <c r="J46" s="168"/>
      <c r="K46" s="168"/>
      <c r="M46" s="359">
        <f t="shared" si="7"/>
        <v>0.24656471345782358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484">
        <v>104563.99</v>
      </c>
      <c r="D47" s="484">
        <v>0</v>
      </c>
      <c r="E47" s="171">
        <f t="shared" si="4"/>
        <v>104563.99</v>
      </c>
      <c r="F47" s="171"/>
      <c r="G47" s="171">
        <f t="shared" si="5"/>
        <v>104563.99</v>
      </c>
      <c r="H47" s="172">
        <f t="shared" si="6"/>
        <v>1.7111039351637061E-2</v>
      </c>
      <c r="I47" s="336"/>
      <c r="J47" s="168"/>
      <c r="K47" s="168"/>
      <c r="M47" s="359">
        <f t="shared" si="7"/>
        <v>4.8093087112501154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484">
        <v>0</v>
      </c>
      <c r="D48" s="484"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484">
        <v>0</v>
      </c>
      <c r="D49" s="484">
        <v>1278</v>
      </c>
      <c r="E49" s="171">
        <f t="shared" si="4"/>
        <v>1278</v>
      </c>
      <c r="F49" s="171"/>
      <c r="G49" s="171">
        <f t="shared" si="5"/>
        <v>1278</v>
      </c>
      <c r="H49" s="172">
        <f t="shared" si="6"/>
        <v>2.0913421811268067E-4</v>
      </c>
      <c r="I49" s="336"/>
      <c r="J49" s="168"/>
      <c r="K49" s="168"/>
      <c r="M49" s="359">
        <f t="shared" si="7"/>
        <v>5.878024100818692E-2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484">
        <v>0</v>
      </c>
      <c r="D50" s="484"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484">
        <v>0</v>
      </c>
      <c r="D51" s="484"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484">
        <v>0</v>
      </c>
      <c r="D52" s="484"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484">
        <v>0</v>
      </c>
      <c r="D53" s="484"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484">
        <v>17721.240000000002</v>
      </c>
      <c r="D54" s="484">
        <v>3763</v>
      </c>
      <c r="E54" s="171">
        <f t="shared" si="4"/>
        <v>21484.240000000002</v>
      </c>
      <c r="F54" s="171"/>
      <c r="G54" s="171">
        <f t="shared" si="5"/>
        <v>21484.240000000002</v>
      </c>
      <c r="H54" s="172">
        <f t="shared" si="6"/>
        <v>3.5157196667802652E-3</v>
      </c>
      <c r="I54" s="336"/>
      <c r="J54" s="168"/>
      <c r="K54" s="168"/>
      <c r="M54" s="359">
        <f t="shared" si="7"/>
        <v>0.98814460491215172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484">
        <v>26297.32</v>
      </c>
      <c r="D55" s="484">
        <v>-26297</v>
      </c>
      <c r="E55" s="171">
        <f t="shared" si="4"/>
        <v>0.31999999999970896</v>
      </c>
      <c r="F55" s="171"/>
      <c r="G55" s="171">
        <f t="shared" si="5"/>
        <v>0.31999999999970896</v>
      </c>
      <c r="H55" s="172">
        <f t="shared" si="6"/>
        <v>5.2365375427227659E-8</v>
      </c>
      <c r="I55" s="336"/>
      <c r="J55" s="168"/>
      <c r="K55" s="168"/>
      <c r="M55" s="359">
        <f t="shared" si="7"/>
        <v>1.4718057216434043E-5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484">
        <v>18113.78</v>
      </c>
      <c r="D56" s="484">
        <v>0</v>
      </c>
      <c r="E56" s="171">
        <f t="shared" si="4"/>
        <v>18113.78</v>
      </c>
      <c r="F56" s="171"/>
      <c r="G56" s="171">
        <f t="shared" si="5"/>
        <v>18113.78</v>
      </c>
      <c r="H56" s="172">
        <f t="shared" si="6"/>
        <v>2.9641715315845952E-3</v>
      </c>
      <c r="I56" s="336"/>
      <c r="J56" s="168"/>
      <c r="K56" s="168"/>
      <c r="M56" s="359">
        <f t="shared" si="7"/>
        <v>0.83312390764419086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484">
        <v>0</v>
      </c>
      <c r="D57" s="484">
        <v>3749</v>
      </c>
      <c r="E57" s="171">
        <f t="shared" si="4"/>
        <v>3749</v>
      </c>
      <c r="F57" s="171"/>
      <c r="G57" s="171">
        <f t="shared" si="5"/>
        <v>3749</v>
      </c>
      <c r="H57" s="172">
        <f t="shared" si="6"/>
        <v>6.1349310149017206E-4</v>
      </c>
      <c r="I57" s="336"/>
      <c r="J57" s="168"/>
      <c r="K57" s="168"/>
      <c r="M57" s="359">
        <f t="shared" si="7"/>
        <v>0.17243123907644192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484">
        <v>0</v>
      </c>
      <c r="D58" s="484"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484">
        <v>3985</v>
      </c>
      <c r="D59" s="484">
        <v>0</v>
      </c>
      <c r="E59" s="171">
        <f t="shared" si="4"/>
        <v>3985</v>
      </c>
      <c r="F59" s="171"/>
      <c r="G59" s="171">
        <f t="shared" si="5"/>
        <v>3985</v>
      </c>
      <c r="H59" s="172">
        <f t="shared" si="6"/>
        <v>6.5211256586778757E-4</v>
      </c>
      <c r="I59" s="336"/>
      <c r="J59" s="168"/>
      <c r="K59" s="168"/>
      <c r="M59" s="359">
        <f t="shared" si="7"/>
        <v>0.18328580627357188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484">
        <v>5323.85</v>
      </c>
      <c r="D60" s="484">
        <v>4592</v>
      </c>
      <c r="E60" s="171">
        <f t="shared" si="4"/>
        <v>9915.85</v>
      </c>
      <c r="F60" s="171"/>
      <c r="G60" s="171">
        <f t="shared" si="5"/>
        <v>9915.85</v>
      </c>
      <c r="H60" s="172">
        <f t="shared" si="6"/>
        <v>1.6226475247829615E-3</v>
      </c>
      <c r="I60" s="336"/>
      <c r="J60" s="168"/>
      <c r="K60" s="168"/>
      <c r="M60" s="359">
        <f t="shared" si="7"/>
        <v>0.45606889890534452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484">
        <v>1677040.9100000001</v>
      </c>
      <c r="D61" s="484">
        <v>-370301.27</v>
      </c>
      <c r="E61" s="171">
        <f t="shared" ref="E61:F61" si="8">SUM(E25:E60)</f>
        <v>1306739.6400000001</v>
      </c>
      <c r="F61" s="171">
        <f t="shared" si="8"/>
        <v>0</v>
      </c>
      <c r="G61" s="171">
        <f>SUM(G25:G60)</f>
        <v>1306739.6400000001</v>
      </c>
      <c r="H61" s="186">
        <f t="shared" si="6"/>
        <v>0.2138372244821955</v>
      </c>
      <c r="I61" s="338"/>
      <c r="J61" s="168"/>
      <c r="K61" s="168"/>
      <c r="M61" s="364">
        <f>G61/G$228</f>
        <v>60.102089964124744</v>
      </c>
      <c r="N61" s="359">
        <f>SUMMARY!J64</f>
        <v>53.728790309602623</v>
      </c>
      <c r="O61" s="354">
        <f>M61/N61-1</f>
        <v>0.11861982407936433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484">
        <v>483624.96000000002</v>
      </c>
      <c r="D64" s="484">
        <v>0</v>
      </c>
      <c r="E64" s="171">
        <f t="shared" ref="E64:E78" si="9">C64+D64</f>
        <v>483624.96000000002</v>
      </c>
      <c r="F64" s="171"/>
      <c r="G64" s="171">
        <f t="shared" ref="G64:G78" si="10">E64+F64</f>
        <v>483624.96000000002</v>
      </c>
      <c r="H64" s="172">
        <f t="shared" ref="H64:H79" si="11">IF($G$208=0,0,G64/$G$208)</f>
        <v>7.914125811375311E-2</v>
      </c>
      <c r="I64" s="336"/>
      <c r="J64" s="190"/>
      <c r="K64" s="168"/>
      <c r="M64" s="359">
        <f t="shared" ref="M64:M79" si="12">G64/G$228</f>
        <v>22.24381197681906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484">
        <v>450</v>
      </c>
      <c r="D65" s="484">
        <v>8743</v>
      </c>
      <c r="E65" s="171">
        <f t="shared" si="9"/>
        <v>9193</v>
      </c>
      <c r="F65" s="171"/>
      <c r="G65" s="171">
        <f t="shared" si="10"/>
        <v>9193</v>
      </c>
      <c r="H65" s="172">
        <f t="shared" si="11"/>
        <v>1.5043590509466929E-3</v>
      </c>
      <c r="I65" s="336"/>
      <c r="J65" s="190"/>
      <c r="K65" s="168"/>
      <c r="M65" s="359">
        <f t="shared" si="12"/>
        <v>0.42282218747125377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484">
        <v>0</v>
      </c>
      <c r="D66" s="484"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484">
        <v>38640.35</v>
      </c>
      <c r="D67" s="484">
        <v>-4968.4799999999996</v>
      </c>
      <c r="E67" s="171">
        <f t="shared" si="9"/>
        <v>33671.869999999995</v>
      </c>
      <c r="F67" s="171"/>
      <c r="G67" s="171">
        <f t="shared" si="10"/>
        <v>33671.869999999995</v>
      </c>
      <c r="H67" s="172">
        <f t="shared" si="11"/>
        <v>5.510125355901274E-3</v>
      </c>
      <c r="I67" s="336"/>
      <c r="J67" s="193"/>
      <c r="K67" s="168"/>
      <c r="M67" s="359">
        <f t="shared" si="12"/>
        <v>1.5487015913899362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484">
        <v>13215.71</v>
      </c>
      <c r="D68" s="484">
        <v>705</v>
      </c>
      <c r="E68" s="171">
        <f t="shared" si="9"/>
        <v>13920.71</v>
      </c>
      <c r="F68" s="171"/>
      <c r="G68" s="171">
        <f t="shared" si="10"/>
        <v>13920.71</v>
      </c>
      <c r="H68" s="172">
        <f t="shared" si="11"/>
        <v>2.2780100167632041E-3</v>
      </c>
      <c r="I68" s="336"/>
      <c r="J68" s="193"/>
      <c r="K68" s="168"/>
      <c r="M68" s="359">
        <f t="shared" si="12"/>
        <v>0.6402681446049121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484">
        <v>3344.28</v>
      </c>
      <c r="D69" s="484">
        <v>0</v>
      </c>
      <c r="E69" s="171">
        <f t="shared" si="9"/>
        <v>3344.28</v>
      </c>
      <c r="F69" s="171"/>
      <c r="G69" s="171">
        <f t="shared" si="10"/>
        <v>3344.28</v>
      </c>
      <c r="H69" s="172">
        <f t="shared" si="11"/>
        <v>5.472639929185257E-4</v>
      </c>
      <c r="I69" s="336"/>
      <c r="J69" s="195"/>
      <c r="K69" s="168"/>
      <c r="M69" s="359">
        <f t="shared" si="12"/>
        <v>0.15381657621194003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484">
        <v>0</v>
      </c>
      <c r="D70" s="484"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484">
        <v>0</v>
      </c>
      <c r="D71" s="484"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484">
        <v>0</v>
      </c>
      <c r="D72" s="484"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484">
        <v>0</v>
      </c>
      <c r="D73" s="484"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484">
        <v>10804.44</v>
      </c>
      <c r="D74" s="484">
        <v>12408.36</v>
      </c>
      <c r="E74" s="171">
        <f t="shared" si="9"/>
        <v>23212.800000000003</v>
      </c>
      <c r="F74" s="171"/>
      <c r="G74" s="171">
        <f t="shared" si="10"/>
        <v>23212.800000000003</v>
      </c>
      <c r="H74" s="172">
        <f t="shared" si="11"/>
        <v>3.7985843334945499E-3</v>
      </c>
      <c r="I74" s="336"/>
      <c r="J74" s="195"/>
      <c r="K74" s="168"/>
      <c r="M74" s="359">
        <f t="shared" si="12"/>
        <v>1.0676478704810966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484">
        <v>0</v>
      </c>
      <c r="D75" s="484"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484">
        <v>0</v>
      </c>
      <c r="D76" s="484">
        <v>4936.1099999999997</v>
      </c>
      <c r="E76" s="171">
        <f t="shared" si="9"/>
        <v>4936.1099999999997</v>
      </c>
      <c r="F76" s="171"/>
      <c r="G76" s="171">
        <f t="shared" si="10"/>
        <v>4936.1099999999997</v>
      </c>
      <c r="H76" s="172">
        <f t="shared" si="11"/>
        <v>8.0775391656352444E-4</v>
      </c>
      <c r="I76" s="336"/>
      <c r="J76" s="195"/>
      <c r="K76" s="168"/>
      <c r="M76" s="359">
        <f t="shared" si="12"/>
        <v>0.22703109189586973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484">
        <v>0</v>
      </c>
      <c r="D77" s="484"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484">
        <v>0</v>
      </c>
      <c r="D78" s="484"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484">
        <v>550079.74</v>
      </c>
      <c r="D79" s="484">
        <v>21823.99</v>
      </c>
      <c r="E79" s="171">
        <f t="shared" ref="E79:F79" si="13">SUM(E64:E78)</f>
        <v>571903.7300000001</v>
      </c>
      <c r="F79" s="171">
        <f t="shared" si="13"/>
        <v>0</v>
      </c>
      <c r="G79" s="171">
        <f>SUM(G64:G78)</f>
        <v>571903.7300000001</v>
      </c>
      <c r="H79" s="172">
        <f t="shared" si="11"/>
        <v>9.3587354780340887E-2</v>
      </c>
      <c r="I79" s="336"/>
      <c r="J79" s="195"/>
      <c r="K79" s="168"/>
      <c r="M79" s="359">
        <f t="shared" si="12"/>
        <v>26.304099438874072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484">
        <v>66185.03</v>
      </c>
      <c r="D82" s="484">
        <v>0</v>
      </c>
      <c r="E82" s="171">
        <f t="shared" ref="E82:E92" si="14">C82+D82</f>
        <v>66185.03</v>
      </c>
      <c r="F82" s="171"/>
      <c r="G82" s="171">
        <f t="shared" ref="G82:G92" si="15">E82+F82</f>
        <v>66185.03</v>
      </c>
      <c r="H82" s="172">
        <f t="shared" ref="H82:H93" si="16">IF($G$208=0,0,G82/$G$208)</f>
        <v>1.0830637323798367E-2</v>
      </c>
      <c r="I82" s="336"/>
      <c r="J82" s="183">
        <v>3405.77</v>
      </c>
      <c r="K82" s="183">
        <v>3486.19</v>
      </c>
      <c r="M82" s="359">
        <f t="shared" ref="M82:M92" si="17">G82/G$228</f>
        <v>3.044109557538405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484">
        <v>18155.41</v>
      </c>
      <c r="D83" s="484">
        <v>0</v>
      </c>
      <c r="E83" s="171">
        <f t="shared" si="14"/>
        <v>18155.41</v>
      </c>
      <c r="F83" s="171"/>
      <c r="G83" s="171">
        <f t="shared" si="15"/>
        <v>18155.41</v>
      </c>
      <c r="H83" s="172">
        <f t="shared" si="16"/>
        <v>2.9709839396440878E-3</v>
      </c>
      <c r="I83" s="336"/>
      <c r="J83" s="168"/>
      <c r="K83" s="168"/>
      <c r="M83" s="359">
        <f t="shared" si="17"/>
        <v>0.83503863490019314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484">
        <v>34756.11</v>
      </c>
      <c r="D84" s="484">
        <v>0</v>
      </c>
      <c r="E84" s="171">
        <f t="shared" si="14"/>
        <v>34756.11</v>
      </c>
      <c r="F84" s="171"/>
      <c r="G84" s="171">
        <f t="shared" si="15"/>
        <v>34756.11</v>
      </c>
      <c r="H84" s="172">
        <f t="shared" si="16"/>
        <v>5.6875523391927401E-3</v>
      </c>
      <c r="I84" s="336"/>
      <c r="J84" s="168"/>
      <c r="K84" s="168"/>
      <c r="M84" s="359">
        <f t="shared" si="17"/>
        <v>1.5985700487535646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484">
        <v>40799.730000000003</v>
      </c>
      <c r="D85" s="484">
        <v>916</v>
      </c>
      <c r="E85" s="171">
        <f t="shared" si="14"/>
        <v>41715.730000000003</v>
      </c>
      <c r="F85" s="171"/>
      <c r="G85" s="171">
        <f t="shared" si="15"/>
        <v>41715.730000000003</v>
      </c>
      <c r="H85" s="172">
        <f t="shared" si="16"/>
        <v>6.8264370708526582E-3</v>
      </c>
      <c r="I85" s="336"/>
      <c r="J85" s="168"/>
      <c r="K85" s="168"/>
      <c r="M85" s="359">
        <f t="shared" si="17"/>
        <v>1.9186703155183518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484">
        <v>36903.35</v>
      </c>
      <c r="D86" s="484">
        <v>0</v>
      </c>
      <c r="E86" s="171">
        <f t="shared" si="14"/>
        <v>36903.35</v>
      </c>
      <c r="F86" s="171"/>
      <c r="G86" s="171">
        <f>E86+F86</f>
        <v>36903.35</v>
      </c>
      <c r="H86" s="172">
        <f t="shared" si="16"/>
        <v>6.0389305539816857E-3</v>
      </c>
      <c r="I86" s="336"/>
      <c r="J86" s="168"/>
      <c r="K86" s="168"/>
      <c r="M86" s="359">
        <f t="shared" si="17"/>
        <v>1.6973300524330788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484">
        <v>39675.64</v>
      </c>
      <c r="D87" s="484">
        <v>0</v>
      </c>
      <c r="E87" s="171">
        <f t="shared" si="14"/>
        <v>39675.64</v>
      </c>
      <c r="F87" s="171"/>
      <c r="G87" s="171">
        <f t="shared" si="15"/>
        <v>39675.64</v>
      </c>
      <c r="H87" s="172">
        <f t="shared" si="16"/>
        <v>6.4925930747419388E-3</v>
      </c>
      <c r="I87" s="336"/>
      <c r="J87" s="168"/>
      <c r="K87" s="168"/>
      <c r="M87" s="359">
        <f t="shared" si="17"/>
        <v>1.824838561309907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484">
        <v>0</v>
      </c>
      <c r="D88" s="484"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484">
        <v>3150.85</v>
      </c>
      <c r="D89" s="484">
        <v>0</v>
      </c>
      <c r="E89" s="171">
        <f t="shared" si="14"/>
        <v>3150.85</v>
      </c>
      <c r="F89" s="171"/>
      <c r="G89" s="171">
        <f t="shared" si="15"/>
        <v>3150.85</v>
      </c>
      <c r="H89" s="172">
        <f t="shared" si="16"/>
        <v>5.156107598907198E-4</v>
      </c>
      <c r="I89" s="336"/>
      <c r="J89" s="168"/>
      <c r="K89" s="168"/>
      <c r="M89" s="359">
        <f t="shared" si="17"/>
        <v>0.14491997056388556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484">
        <v>0</v>
      </c>
      <c r="D90" s="484"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484">
        <v>90045.25</v>
      </c>
      <c r="D91" s="484">
        <v>1030</v>
      </c>
      <c r="E91" s="171">
        <f t="shared" si="14"/>
        <v>91075.25</v>
      </c>
      <c r="F91" s="171"/>
      <c r="G91" s="171">
        <f t="shared" si="15"/>
        <v>91075.25</v>
      </c>
      <c r="H91" s="172">
        <f t="shared" si="16"/>
        <v>1.490371768244673E-2</v>
      </c>
      <c r="I91" s="336"/>
      <c r="J91" s="168"/>
      <c r="K91" s="168"/>
      <c r="M91" s="359">
        <f t="shared" si="17"/>
        <v>4.1889085640695427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484">
        <v>797</v>
      </c>
      <c r="D92" s="484">
        <v>0</v>
      </c>
      <c r="E92" s="171">
        <f t="shared" si="14"/>
        <v>797</v>
      </c>
      <c r="F92" s="171"/>
      <c r="G92" s="171">
        <f t="shared" si="15"/>
        <v>797</v>
      </c>
      <c r="H92" s="172">
        <f t="shared" si="16"/>
        <v>1.3042251317355751E-4</v>
      </c>
      <c r="I92" s="336"/>
      <c r="J92" s="168"/>
      <c r="K92" s="168"/>
      <c r="M92" s="359">
        <f t="shared" si="17"/>
        <v>3.6657161254714375E-2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484">
        <v>330468.37</v>
      </c>
      <c r="D93" s="484">
        <v>1946</v>
      </c>
      <c r="E93" s="171">
        <f t="shared" ref="E93:F93" si="18">SUM(E82:E92)</f>
        <v>332414.37</v>
      </c>
      <c r="F93" s="171">
        <f t="shared" si="18"/>
        <v>0</v>
      </c>
      <c r="G93" s="171">
        <f>SUM(G82:G92)</f>
        <v>332414.37</v>
      </c>
      <c r="H93" s="172">
        <f t="shared" si="16"/>
        <v>5.4396885257722488E-2</v>
      </c>
      <c r="I93" s="336"/>
      <c r="J93" s="168"/>
      <c r="K93" s="168"/>
      <c r="M93" s="364">
        <f>G93/G$228</f>
        <v>15.289042866341642</v>
      </c>
      <c r="N93" s="359">
        <f>SUMMARY!J96</f>
        <v>11.458724454710746</v>
      </c>
      <c r="O93" s="354">
        <f>M93/N93-1</f>
        <v>0.33427092402559966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484">
        <v>217791.61</v>
      </c>
      <c r="D96" s="484">
        <v>0</v>
      </c>
      <c r="E96" s="171">
        <f t="shared" ref="E96:E101" si="19">C96+D96</f>
        <v>217791.61</v>
      </c>
      <c r="F96" s="171"/>
      <c r="G96" s="171">
        <f t="shared" ref="G96:G101" si="20">E96+F96</f>
        <v>217791.61</v>
      </c>
      <c r="H96" s="172">
        <f t="shared" ref="H96:H102" si="21">IF($G$208=0,0,G96/$G$208)</f>
        <v>3.5639810695502254E-2</v>
      </c>
      <c r="I96" s="336"/>
      <c r="J96" s="183">
        <v>17530</v>
      </c>
      <c r="K96" s="183">
        <v>18572</v>
      </c>
      <c r="M96" s="364">
        <f t="shared" ref="M96:M101" si="22">G96/G$228</f>
        <v>10.017091803881886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484">
        <v>69326.5</v>
      </c>
      <c r="D97" s="484">
        <v>0</v>
      </c>
      <c r="E97" s="171">
        <f t="shared" si="19"/>
        <v>69326.5</v>
      </c>
      <c r="F97" s="171"/>
      <c r="G97" s="171">
        <f t="shared" si="20"/>
        <v>69326.5</v>
      </c>
      <c r="H97" s="172">
        <f t="shared" si="21"/>
        <v>1.1344713123621876E-2</v>
      </c>
      <c r="I97" s="336"/>
      <c r="J97" s="168"/>
      <c r="K97" s="168"/>
      <c r="M97" s="364">
        <f t="shared" si="22"/>
        <v>3.1885981050501333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484">
        <v>4462.0600000000004</v>
      </c>
      <c r="D98" s="484">
        <v>0</v>
      </c>
      <c r="E98" s="171">
        <f t="shared" si="19"/>
        <v>4462.0600000000004</v>
      </c>
      <c r="F98" s="171"/>
      <c r="G98" s="171">
        <f t="shared" si="20"/>
        <v>4462.0600000000004</v>
      </c>
      <c r="H98" s="172">
        <f t="shared" si="21"/>
        <v>7.3017952212196249E-4</v>
      </c>
      <c r="I98" s="336"/>
      <c r="J98" s="168"/>
      <c r="K98" s="168"/>
      <c r="M98" s="364">
        <f t="shared" si="22"/>
        <v>0.20522766994756694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484">
        <v>132640.63</v>
      </c>
      <c r="D99" s="484">
        <v>0</v>
      </c>
      <c r="E99" s="171">
        <f t="shared" si="19"/>
        <v>132640.63</v>
      </c>
      <c r="F99" s="171"/>
      <c r="G99" s="171">
        <f t="shared" si="20"/>
        <v>132640.63</v>
      </c>
      <c r="H99" s="172">
        <f t="shared" si="21"/>
        <v>2.1705551208938481E-2</v>
      </c>
      <c r="I99" s="336"/>
      <c r="J99" s="168"/>
      <c r="K99" s="168"/>
      <c r="M99" s="364">
        <f t="shared" si="22"/>
        <v>6.1006636923926045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484">
        <v>4221.47</v>
      </c>
      <c r="D100" s="484">
        <v>0</v>
      </c>
      <c r="E100" s="171">
        <f t="shared" si="19"/>
        <v>4221.47</v>
      </c>
      <c r="F100" s="171"/>
      <c r="G100" s="171">
        <f t="shared" si="20"/>
        <v>4221.47</v>
      </c>
      <c r="H100" s="172">
        <f t="shared" si="21"/>
        <v>6.9080894189056197E-4</v>
      </c>
      <c r="I100" s="336"/>
      <c r="J100" s="168"/>
      <c r="K100" s="168"/>
      <c r="M100" s="364">
        <f t="shared" si="22"/>
        <v>0.19416199061723854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484">
        <v>7940.38</v>
      </c>
      <c r="D101" s="484">
        <v>0</v>
      </c>
      <c r="E101" s="171">
        <f t="shared" si="19"/>
        <v>7940.38</v>
      </c>
      <c r="F101" s="171"/>
      <c r="G101" s="171">
        <f t="shared" si="20"/>
        <v>7940.38</v>
      </c>
      <c r="H101" s="172">
        <f t="shared" si="21"/>
        <v>1.2993780616725879E-3</v>
      </c>
      <c r="I101" s="336"/>
      <c r="J101" s="168"/>
      <c r="K101" s="168"/>
      <c r="M101" s="364">
        <f t="shared" si="22"/>
        <v>0.36520927237604639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484">
        <v>436382.64999999997</v>
      </c>
      <c r="D102" s="484">
        <v>0</v>
      </c>
      <c r="E102" s="171">
        <f t="shared" ref="E102:F102" si="23">SUM(E96:E101)</f>
        <v>436382.64999999997</v>
      </c>
      <c r="F102" s="171">
        <f t="shared" si="23"/>
        <v>0</v>
      </c>
      <c r="G102" s="171">
        <f>SUM(G96:G101)</f>
        <v>436382.64999999997</v>
      </c>
      <c r="H102" s="172">
        <f t="shared" si="21"/>
        <v>7.1410441553747719E-2</v>
      </c>
      <c r="I102" s="336"/>
      <c r="J102" s="168"/>
      <c r="K102" s="168"/>
      <c r="M102" s="364">
        <f>G102/G$228</f>
        <v>20.070952534265476</v>
      </c>
      <c r="N102" s="359">
        <f>SUMMARY!J105</f>
        <v>19.901077037785338</v>
      </c>
      <c r="O102" s="354">
        <f>M102/N102-1</f>
        <v>8.5359951201435802E-3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484">
        <v>2813.2</v>
      </c>
      <c r="D105" s="484">
        <v>0</v>
      </c>
      <c r="E105" s="171">
        <f t="shared" ref="E105:E110" si="24">C105+D105</f>
        <v>2813.2</v>
      </c>
      <c r="F105" s="171"/>
      <c r="G105" s="171">
        <f t="shared" ref="G105:G110" si="25">E105+F105</f>
        <v>2813.2</v>
      </c>
      <c r="H105" s="172">
        <f t="shared" ref="H105:H111" si="26">IF($G$208=0,0,G105/$G$208)</f>
        <v>4.6035710672503386E-4</v>
      </c>
      <c r="I105" s="336"/>
      <c r="J105" s="183">
        <v>304.13</v>
      </c>
      <c r="K105" s="183">
        <v>320.11</v>
      </c>
      <c r="M105" s="364">
        <f t="shared" ref="M105:M110" si="27">G105/G$228</f>
        <v>0.12939012050409346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484">
        <v>862.11</v>
      </c>
      <c r="D106" s="484">
        <v>0</v>
      </c>
      <c r="E106" s="171">
        <f t="shared" si="24"/>
        <v>862.11</v>
      </c>
      <c r="F106" s="171"/>
      <c r="G106" s="171">
        <f t="shared" si="25"/>
        <v>862.11</v>
      </c>
      <c r="H106" s="172">
        <f t="shared" si="26"/>
        <v>1.4107723065502593E-4</v>
      </c>
      <c r="I106" s="336"/>
      <c r="J106" s="168"/>
      <c r="K106" s="168"/>
      <c r="M106" s="364">
        <f t="shared" si="27"/>
        <v>3.9651825958973416E-2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484">
        <v>12434.3</v>
      </c>
      <c r="D107" s="484">
        <v>0</v>
      </c>
      <c r="E107" s="171">
        <f t="shared" si="24"/>
        <v>12434.3</v>
      </c>
      <c r="F107" s="171"/>
      <c r="G107" s="171">
        <f t="shared" si="25"/>
        <v>12434.3</v>
      </c>
      <c r="H107" s="172">
        <f t="shared" si="26"/>
        <v>2.0347712114855282E-3</v>
      </c>
      <c r="I107" s="336"/>
      <c r="J107" s="168"/>
      <c r="K107" s="168"/>
      <c r="M107" s="364">
        <f t="shared" si="27"/>
        <v>0.57190230889522575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484">
        <v>2416.9899999999998</v>
      </c>
      <c r="D108" s="484">
        <v>0</v>
      </c>
      <c r="E108" s="171">
        <f t="shared" si="24"/>
        <v>2416.9899999999998</v>
      </c>
      <c r="F108" s="171"/>
      <c r="G108" s="171">
        <f t="shared" si="25"/>
        <v>2416.9899999999998</v>
      </c>
      <c r="H108" s="172">
        <f t="shared" si="26"/>
        <v>3.9552058985615649E-4</v>
      </c>
      <c r="I108" s="336"/>
      <c r="J108" s="168"/>
      <c r="K108" s="168"/>
      <c r="M108" s="364">
        <f t="shared" si="27"/>
        <v>0.11116686597369146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484">
        <v>18368.27</v>
      </c>
      <c r="D109" s="484">
        <v>0</v>
      </c>
      <c r="E109" s="171">
        <f t="shared" si="24"/>
        <v>18368.27</v>
      </c>
      <c r="F109" s="171"/>
      <c r="G109" s="171">
        <f t="shared" si="25"/>
        <v>18368.27</v>
      </c>
      <c r="H109" s="172">
        <f t="shared" si="26"/>
        <v>3.0058167328111183E-3</v>
      </c>
      <c r="I109" s="336"/>
      <c r="J109" s="168"/>
      <c r="K109" s="168"/>
      <c r="M109" s="364">
        <f t="shared" si="27"/>
        <v>0.84482890258485877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484">
        <v>0</v>
      </c>
      <c r="D110" s="484"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484">
        <v>36894.869999999995</v>
      </c>
      <c r="D111" s="484">
        <v>0</v>
      </c>
      <c r="E111" s="171">
        <f t="shared" ref="E111:F111" si="28">SUM(E105:E110)</f>
        <v>36894.869999999995</v>
      </c>
      <c r="F111" s="171">
        <f t="shared" si="28"/>
        <v>0</v>
      </c>
      <c r="G111" s="171">
        <f>SUM(G105:G110)</f>
        <v>36894.869999999995</v>
      </c>
      <c r="H111" s="172">
        <f t="shared" si="26"/>
        <v>6.0375428715328623E-3</v>
      </c>
      <c r="I111" s="336"/>
      <c r="J111" s="168"/>
      <c r="K111" s="168"/>
      <c r="M111" s="364">
        <f>G111/G$228</f>
        <v>1.6969400239168428</v>
      </c>
      <c r="N111" s="359">
        <f>SUMMARY!J114</f>
        <v>2.4242384372309496</v>
      </c>
      <c r="O111" s="354">
        <f>M111/N111-1</f>
        <v>-0.30001108890297634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484">
        <v>119295.79</v>
      </c>
      <c r="D114" s="484">
        <v>0</v>
      </c>
      <c r="E114" s="171">
        <f t="shared" ref="E114:E118" si="29">C114+D114</f>
        <v>119295.79</v>
      </c>
      <c r="F114" s="171"/>
      <c r="G114" s="171">
        <f>E114+F114</f>
        <v>119295.79</v>
      </c>
      <c r="H114" s="172">
        <f t="shared" ref="H114:H119" si="30">IF($G$208=0,0,G114/$G$208)</f>
        <v>1.9521777594510601E-2</v>
      </c>
      <c r="I114" s="336"/>
      <c r="J114" s="183">
        <v>12138.55</v>
      </c>
      <c r="K114" s="183">
        <v>12696.55</v>
      </c>
      <c r="M114" s="364">
        <f t="shared" ref="M114:M119" si="31">G114/G$228</f>
        <v>5.4868820715665532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484">
        <v>30750.7</v>
      </c>
      <c r="D115" s="484">
        <v>0</v>
      </c>
      <c r="E115" s="171">
        <f t="shared" si="29"/>
        <v>30750.7</v>
      </c>
      <c r="F115" s="171"/>
      <c r="G115" s="171">
        <f>E115+F115</f>
        <v>30750.7</v>
      </c>
      <c r="H115" s="172">
        <f t="shared" si="30"/>
        <v>5.0320998442234819E-3</v>
      </c>
      <c r="I115" s="336"/>
      <c r="J115" s="168"/>
      <c r="K115" s="168"/>
      <c r="M115" s="364">
        <f t="shared" si="31"/>
        <v>1.414345506393156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484">
        <v>20608.46</v>
      </c>
      <c r="D116" s="484">
        <v>0</v>
      </c>
      <c r="E116" s="171">
        <f t="shared" si="29"/>
        <v>20608.46</v>
      </c>
      <c r="F116" s="171"/>
      <c r="G116" s="171">
        <f>E116+F116</f>
        <v>20608.46</v>
      </c>
      <c r="H116" s="172">
        <f t="shared" si="30"/>
        <v>3.3724054527437051E-3</v>
      </c>
      <c r="I116" s="336"/>
      <c r="J116" s="168"/>
      <c r="K116" s="168"/>
      <c r="M116" s="364">
        <f t="shared" si="31"/>
        <v>0.94786404194646301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484">
        <v>5050</v>
      </c>
      <c r="D117" s="484">
        <v>0</v>
      </c>
      <c r="E117" s="171">
        <f t="shared" si="29"/>
        <v>5050</v>
      </c>
      <c r="F117" s="171"/>
      <c r="G117" s="171">
        <f>E117+F117</f>
        <v>5050</v>
      </c>
      <c r="H117" s="172">
        <f t="shared" si="30"/>
        <v>8.2639108096168809E-4</v>
      </c>
      <c r="I117" s="336"/>
      <c r="J117" s="168"/>
      <c r="K117" s="168"/>
      <c r="M117" s="364">
        <f t="shared" si="31"/>
        <v>0.23226934044706099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484">
        <v>597.86</v>
      </c>
      <c r="D118" s="484">
        <v>0</v>
      </c>
      <c r="E118" s="171">
        <f t="shared" si="29"/>
        <v>597.86</v>
      </c>
      <c r="F118" s="171"/>
      <c r="G118" s="171">
        <f>E118+F118</f>
        <v>597.86</v>
      </c>
      <c r="H118" s="172">
        <f t="shared" si="30"/>
        <v>9.7834885477971259E-5</v>
      </c>
      <c r="I118" s="336"/>
      <c r="J118" s="168"/>
      <c r="K118" s="168"/>
      <c r="M118" s="364">
        <f t="shared" si="31"/>
        <v>2.7497930273203939E-2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484">
        <v>176302.80999999997</v>
      </c>
      <c r="D119" s="484">
        <v>0</v>
      </c>
      <c r="E119" s="171">
        <f t="shared" ref="E119:F119" si="32">SUM(E114:E118)</f>
        <v>176302.80999999997</v>
      </c>
      <c r="F119" s="171">
        <f t="shared" si="32"/>
        <v>0</v>
      </c>
      <c r="G119" s="171">
        <f>SUM(G114:G118)</f>
        <v>176302.80999999997</v>
      </c>
      <c r="H119" s="172">
        <f t="shared" si="30"/>
        <v>2.8850508857917446E-2</v>
      </c>
      <c r="I119" s="336"/>
      <c r="J119" s="168"/>
      <c r="K119" s="168"/>
      <c r="M119" s="364">
        <f t="shared" si="31"/>
        <v>8.1088588906264363</v>
      </c>
      <c r="N119" s="359">
        <f>SUMMARY!J122</f>
        <v>6.0247597205909562</v>
      </c>
      <c r="O119" s="354">
        <f>M119/N119-1</f>
        <v>0.34592237146198679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484">
        <v>141068.64000000001</v>
      </c>
      <c r="D123" s="484">
        <v>0</v>
      </c>
      <c r="E123" s="171">
        <f t="shared" ref="E123:E127" si="33">C123+D123</f>
        <v>141068.64000000001</v>
      </c>
      <c r="F123" s="171"/>
      <c r="G123" s="171">
        <f>E123+F123</f>
        <v>141068.64000000001</v>
      </c>
      <c r="H123" s="172">
        <f>IF($G$208=0,0,G123/$G$208)</f>
        <v>2.3084725920672327E-2</v>
      </c>
      <c r="I123" s="336"/>
      <c r="J123" s="183">
        <v>3798.94</v>
      </c>
      <c r="K123" s="183">
        <v>3911.94</v>
      </c>
      <c r="M123" s="364">
        <f t="shared" ref="M123:M160" si="34">G123/G$228</f>
        <v>6.4883009842700767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484">
        <v>69014.64</v>
      </c>
      <c r="D124" s="484">
        <v>0</v>
      </c>
      <c r="E124" s="171">
        <f t="shared" si="33"/>
        <v>69014.64</v>
      </c>
      <c r="F124" s="171"/>
      <c r="G124" s="171">
        <f>E124+F124</f>
        <v>69014.64</v>
      </c>
      <c r="H124" s="172">
        <f>IF($G$208=0,0,G124/$G$208)</f>
        <v>1.1293679792432032E-2</v>
      </c>
      <c r="I124" s="336"/>
      <c r="J124" s="183">
        <v>1900.07</v>
      </c>
      <c r="K124" s="183">
        <v>1996.07</v>
      </c>
      <c r="M124" s="364">
        <f t="shared" si="34"/>
        <v>3.1742544384141294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484">
        <v>0</v>
      </c>
      <c r="D125" s="484"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484">
        <v>0</v>
      </c>
      <c r="D126" s="484"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484">
        <v>37036.629999999997</v>
      </c>
      <c r="D127" s="484">
        <v>-8</v>
      </c>
      <c r="E127" s="171">
        <f t="shared" si="33"/>
        <v>37028.629999999997</v>
      </c>
      <c r="F127" s="171"/>
      <c r="G127" s="171">
        <f>E127+F127</f>
        <v>37028.629999999997</v>
      </c>
      <c r="H127" s="172">
        <f>IF($G$208=0,0,G127/$G$208)</f>
        <v>6.0594315984614641E-3</v>
      </c>
      <c r="I127" s="336"/>
      <c r="J127" s="183">
        <v>1931.74</v>
      </c>
      <c r="K127" s="183">
        <v>2059.4899999999998</v>
      </c>
      <c r="M127" s="364">
        <f t="shared" si="34"/>
        <v>1.7030921718333178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484">
        <v>33593.279999999999</v>
      </c>
      <c r="D129" s="484">
        <v>0</v>
      </c>
      <c r="E129" s="171">
        <f t="shared" ref="E129:E133" si="35">C129+D129</f>
        <v>33593.279999999999</v>
      </c>
      <c r="F129" s="171"/>
      <c r="G129" s="171">
        <f>E129+F129</f>
        <v>33593.279999999999</v>
      </c>
      <c r="H129" s="172">
        <f>IF($G$208=0,0,G129/$G$208)</f>
        <v>5.4972647469799319E-3</v>
      </c>
      <c r="I129" s="336"/>
      <c r="J129" s="204"/>
      <c r="K129" s="204"/>
      <c r="M129" s="364">
        <f t="shared" si="34"/>
        <v>1.5450869285254345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484">
        <v>16434.75</v>
      </c>
      <c r="D130" s="484">
        <v>0</v>
      </c>
      <c r="E130" s="171">
        <f t="shared" si="35"/>
        <v>16434.75</v>
      </c>
      <c r="F130" s="171"/>
      <c r="G130" s="171">
        <f>E130+F130</f>
        <v>16434.75</v>
      </c>
      <c r="H130" s="172">
        <f>IF($G$208=0,0,G130/$G$208)</f>
        <v>2.6894120431356643E-3</v>
      </c>
      <c r="I130" s="336"/>
      <c r="J130" s="204"/>
      <c r="K130" s="204"/>
      <c r="M130" s="364">
        <f t="shared" si="34"/>
        <v>0.75589872136877934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484">
        <v>0</v>
      </c>
      <c r="D131" s="484"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484">
        <v>0</v>
      </c>
      <c r="D132" s="484"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484">
        <v>9939.5400000000009</v>
      </c>
      <c r="D133" s="484">
        <v>0</v>
      </c>
      <c r="E133" s="171">
        <f t="shared" si="35"/>
        <v>9939.5400000000009</v>
      </c>
      <c r="F133" s="171"/>
      <c r="G133" s="171">
        <f>E133+F133</f>
        <v>9939.5400000000009</v>
      </c>
      <c r="H133" s="172">
        <f>IF($G$208=0,0,G133/$G$208)</f>
        <v>1.626524198982562E-3</v>
      </c>
      <c r="I133" s="336"/>
      <c r="J133" s="168"/>
      <c r="K133" s="168"/>
      <c r="M133" s="364">
        <f t="shared" si="34"/>
        <v>0.45715849507864964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484">
        <v>474336.37</v>
      </c>
      <c r="D135" s="484">
        <v>0</v>
      </c>
      <c r="E135" s="171">
        <f t="shared" ref="E135:E138" si="36">C135+D135</f>
        <v>474336.37</v>
      </c>
      <c r="F135" s="171"/>
      <c r="G135" s="171">
        <f>E135+F135</f>
        <v>474336.37</v>
      </c>
      <c r="H135" s="172">
        <f>IF($G$208=0,0,G135/$G$208)</f>
        <v>7.7621256543315489E-2</v>
      </c>
      <c r="I135" s="336"/>
      <c r="J135" s="183">
        <v>16767.080000000002</v>
      </c>
      <c r="K135" s="183">
        <v>17532.29</v>
      </c>
      <c r="M135" s="364">
        <f t="shared" si="34"/>
        <v>21.81659322969368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484">
        <v>290893.49</v>
      </c>
      <c r="D136" s="484">
        <v>0</v>
      </c>
      <c r="E136" s="171">
        <f t="shared" si="36"/>
        <v>290893.49</v>
      </c>
      <c r="F136" s="171"/>
      <c r="G136" s="171">
        <f>E136+F136</f>
        <v>290893.49</v>
      </c>
      <c r="H136" s="172">
        <f>IF($G$208=0,0,G136/$G$208)</f>
        <v>4.7602333791251089E-2</v>
      </c>
      <c r="I136" s="336"/>
      <c r="J136" s="183">
        <v>11146.84</v>
      </c>
      <c r="K136" s="183">
        <v>11387.12</v>
      </c>
      <c r="M136" s="364">
        <f t="shared" si="34"/>
        <v>13.379334467850244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484">
        <v>430202.16</v>
      </c>
      <c r="D137" s="484">
        <v>0</v>
      </c>
      <c r="E137" s="171">
        <f t="shared" si="36"/>
        <v>430202.16</v>
      </c>
      <c r="F137" s="171"/>
      <c r="G137" s="171">
        <f>E137+F137</f>
        <v>430202.16</v>
      </c>
      <c r="H137" s="172">
        <f>IF($G$208=0,0,G137/$G$208)</f>
        <v>7.0399055056327348E-2</v>
      </c>
      <c r="I137" s="336"/>
      <c r="J137" s="183">
        <v>32783.949999999997</v>
      </c>
      <c r="K137" s="183">
        <v>34014.71</v>
      </c>
      <c r="M137" s="364">
        <f t="shared" si="34"/>
        <v>19.786687517247721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484">
        <v>158891.25</v>
      </c>
      <c r="D138" s="484">
        <v>0</v>
      </c>
      <c r="E138" s="171">
        <f t="shared" si="36"/>
        <v>158891.25</v>
      </c>
      <c r="F138" s="171"/>
      <c r="G138" s="171">
        <f>E138+F138</f>
        <v>158891.25</v>
      </c>
      <c r="H138" s="172">
        <f>IF($G$208=0,0,G138/$G$208)</f>
        <v>2.6001249869872047E-2</v>
      </c>
      <c r="I138" s="336"/>
      <c r="J138" s="183">
        <v>11959.55</v>
      </c>
      <c r="K138" s="183">
        <v>12244.27</v>
      </c>
      <c r="M138" s="364">
        <f t="shared" si="34"/>
        <v>7.3080328396651639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484">
        <v>112955.75</v>
      </c>
      <c r="D140" s="484">
        <v>0</v>
      </c>
      <c r="E140" s="171">
        <f t="shared" ref="E140:E143" si="37">C140+D140</f>
        <v>112955.75</v>
      </c>
      <c r="F140" s="171"/>
      <c r="G140" s="171">
        <f>E140+F140</f>
        <v>112955.75</v>
      </c>
      <c r="H140" s="172">
        <f>IF($G$208=0,0,G140/$G$208)</f>
        <v>1.8484282048185783E-2</v>
      </c>
      <c r="I140" s="336"/>
      <c r="J140" s="168"/>
      <c r="K140" s="168"/>
      <c r="M140" s="364">
        <f t="shared" si="34"/>
        <v>5.1952787232085367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484">
        <v>69271.710000000006</v>
      </c>
      <c r="D141" s="484">
        <v>0</v>
      </c>
      <c r="E141" s="171">
        <f t="shared" si="37"/>
        <v>69271.710000000006</v>
      </c>
      <c r="F141" s="171"/>
      <c r="G141" s="171">
        <f>E141+F141</f>
        <v>69271.710000000006</v>
      </c>
      <c r="H141" s="172">
        <f>IF($G$208=0,0,G141/$G$208)</f>
        <v>1.1335747189497938E-2</v>
      </c>
      <c r="I141" s="336"/>
      <c r="J141" s="168"/>
      <c r="K141" s="168"/>
      <c r="M141" s="364">
        <f t="shared" si="34"/>
        <v>3.1860780976911052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484">
        <v>102445.88</v>
      </c>
      <c r="D142" s="484">
        <v>0</v>
      </c>
      <c r="E142" s="171">
        <f t="shared" si="37"/>
        <v>102445.88</v>
      </c>
      <c r="F142" s="171"/>
      <c r="G142" s="171">
        <f>E142+F142</f>
        <v>102445.88</v>
      </c>
      <c r="H142" s="172">
        <f>IF($G$208=0,0,G142/$G$208)</f>
        <v>1.6764428022429979E-2</v>
      </c>
      <c r="I142" s="336"/>
      <c r="J142" s="168"/>
      <c r="K142" s="168"/>
      <c r="M142" s="364">
        <f t="shared" si="34"/>
        <v>4.7118885107165855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484">
        <v>37837.449999999997</v>
      </c>
      <c r="D143" s="484">
        <v>0</v>
      </c>
      <c r="E143" s="171">
        <f t="shared" si="37"/>
        <v>37837.449999999997</v>
      </c>
      <c r="F143" s="171"/>
      <c r="G143" s="171">
        <f>E143+F143</f>
        <v>37837.449999999997</v>
      </c>
      <c r="H143" s="172">
        <f>IF($G$208=0,0,G143/$G$208)</f>
        <v>6.1917883576898666E-3</v>
      </c>
      <c r="I143" s="336"/>
      <c r="J143" s="168"/>
      <c r="K143" s="168"/>
      <c r="M143" s="364">
        <f t="shared" si="34"/>
        <v>1.7402929813264647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O144"/>
      <c r="P144"/>
      <c r="Q144"/>
    </row>
    <row r="145" spans="1:17" s="167" customFormat="1">
      <c r="A145" s="169"/>
      <c r="B145" s="163" t="s">
        <v>232</v>
      </c>
      <c r="C145" s="484">
        <v>41507.72</v>
      </c>
      <c r="D145" s="484">
        <v>0</v>
      </c>
      <c r="E145" s="171">
        <f t="shared" ref="E145:E153" si="38">C145+D145</f>
        <v>41507.72</v>
      </c>
      <c r="F145" s="171"/>
      <c r="G145" s="171">
        <f t="shared" ref="G145:G153" si="39">E145+F145</f>
        <v>41507.72</v>
      </c>
      <c r="H145" s="172">
        <f t="shared" ref="H145:H153" si="40">IF($G$208=0,0,G145/$G$208)</f>
        <v>6.7923979404069471E-3</v>
      </c>
      <c r="I145" s="336"/>
      <c r="J145" s="183">
        <v>0</v>
      </c>
      <c r="K145" s="183" t="s">
        <v>570</v>
      </c>
      <c r="M145" s="364">
        <f t="shared" si="34"/>
        <v>1.9091031183883729</v>
      </c>
      <c r="N145" s="359">
        <f>SUMMARY!J148</f>
        <v>1.6451259729597054</v>
      </c>
      <c r="O145"/>
      <c r="P145"/>
      <c r="Q145"/>
    </row>
    <row r="146" spans="1:17" s="167" customFormat="1">
      <c r="A146" s="169"/>
      <c r="B146" s="163" t="s">
        <v>194</v>
      </c>
      <c r="C146" s="484">
        <v>11703.81</v>
      </c>
      <c r="D146" s="484">
        <v>0</v>
      </c>
      <c r="E146" s="171">
        <f t="shared" si="38"/>
        <v>11703.81</v>
      </c>
      <c r="F146" s="171"/>
      <c r="G146" s="171">
        <f t="shared" si="39"/>
        <v>11703.81</v>
      </c>
      <c r="H146" s="172">
        <f t="shared" si="40"/>
        <v>1.9152325143109337E-3</v>
      </c>
      <c r="I146" s="336"/>
      <c r="J146" s="183">
        <v>0</v>
      </c>
      <c r="K146" s="183">
        <v>225</v>
      </c>
      <c r="M146" s="364">
        <f t="shared" si="34"/>
        <v>0.53830420384509248</v>
      </c>
      <c r="N146" s="359">
        <f>SUMMARY!J149</f>
        <v>0.46540336428082985</v>
      </c>
      <c r="O146"/>
      <c r="P146"/>
      <c r="Q146"/>
    </row>
    <row r="147" spans="1:17" s="167" customFormat="1">
      <c r="A147" s="169"/>
      <c r="B147" s="163" t="s">
        <v>195</v>
      </c>
      <c r="C147" s="484">
        <v>1718.08</v>
      </c>
      <c r="D147" s="484">
        <v>0</v>
      </c>
      <c r="E147" s="171">
        <f t="shared" si="38"/>
        <v>1718.08</v>
      </c>
      <c r="F147" s="171"/>
      <c r="G147" s="171">
        <f t="shared" si="39"/>
        <v>1718.08</v>
      </c>
      <c r="H147" s="172">
        <f t="shared" si="40"/>
        <v>2.8114970066904103E-4</v>
      </c>
      <c r="I147" s="336"/>
      <c r="J147" s="183">
        <v>0</v>
      </c>
      <c r="K147" s="183">
        <v>46.8</v>
      </c>
      <c r="M147" s="364">
        <f t="shared" si="34"/>
        <v>7.9021249195106238E-2</v>
      </c>
      <c r="N147" s="359">
        <f>SUMMARY!J150</f>
        <v>0.21006426087323665</v>
      </c>
      <c r="O147"/>
      <c r="P147"/>
      <c r="Q147"/>
    </row>
    <row r="148" spans="1:17" s="167" customFormat="1">
      <c r="A148" s="169"/>
      <c r="B148" s="163" t="s">
        <v>196</v>
      </c>
      <c r="C148" s="484">
        <v>3808.23</v>
      </c>
      <c r="D148" s="484">
        <v>0</v>
      </c>
      <c r="E148" s="171">
        <f t="shared" si="38"/>
        <v>3808.23</v>
      </c>
      <c r="F148" s="171"/>
      <c r="G148" s="171">
        <f t="shared" si="39"/>
        <v>3808.23</v>
      </c>
      <c r="H148" s="172">
        <f t="shared" si="40"/>
        <v>6.2318560519816432E-4</v>
      </c>
      <c r="I148" s="336"/>
      <c r="J148" s="183">
        <v>0</v>
      </c>
      <c r="K148" s="183">
        <v>165.25</v>
      </c>
      <c r="M148" s="364">
        <f t="shared" si="34"/>
        <v>0.17515545947934871</v>
      </c>
      <c r="N148" s="359">
        <f>SUMMARY!J151</f>
        <v>0.30946371189888716</v>
      </c>
      <c r="O148"/>
      <c r="P148"/>
      <c r="Q148"/>
    </row>
    <row r="149" spans="1:17" s="167" customFormat="1">
      <c r="A149" s="169"/>
      <c r="B149" s="163" t="s">
        <v>197</v>
      </c>
      <c r="C149" s="484">
        <v>24235.52</v>
      </c>
      <c r="D149" s="484">
        <v>35038</v>
      </c>
      <c r="E149" s="171">
        <f t="shared" si="38"/>
        <v>59273.520000000004</v>
      </c>
      <c r="F149" s="171"/>
      <c r="G149" s="171">
        <f t="shared" si="39"/>
        <v>59273.520000000004</v>
      </c>
      <c r="H149" s="172">
        <f t="shared" si="40"/>
        <v>9.6996253990503448E-3</v>
      </c>
      <c r="I149" s="336"/>
      <c r="J149" s="183">
        <v>0</v>
      </c>
      <c r="K149" s="183" t="s">
        <v>499</v>
      </c>
      <c r="M149" s="364">
        <f t="shared" si="34"/>
        <v>2.7262220586882533</v>
      </c>
      <c r="N149" s="359">
        <f>SUMMARY!J152</f>
        <v>0.63962211863516594</v>
      </c>
      <c r="O149"/>
      <c r="P149"/>
      <c r="Q149"/>
    </row>
    <row r="150" spans="1:17" s="167" customFormat="1">
      <c r="A150" s="169">
        <v>110</v>
      </c>
      <c r="B150" s="167" t="s">
        <v>65</v>
      </c>
      <c r="C150" s="484">
        <v>119249.69</v>
      </c>
      <c r="D150" s="484">
        <v>0</v>
      </c>
      <c r="E150" s="171">
        <f t="shared" si="38"/>
        <v>119249.69</v>
      </c>
      <c r="F150" s="171"/>
      <c r="G150" s="171">
        <f t="shared" si="39"/>
        <v>119249.69</v>
      </c>
      <c r="H150" s="172">
        <f t="shared" si="40"/>
        <v>1.9514233707613113E-2</v>
      </c>
      <c r="I150" s="336"/>
      <c r="J150" s="168"/>
      <c r="K150" s="168"/>
      <c r="M150" s="364">
        <f t="shared" si="34"/>
        <v>5.4847617514488087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484">
        <v>433.67</v>
      </c>
      <c r="D151" s="484">
        <v>0</v>
      </c>
      <c r="E151" s="171">
        <f t="shared" si="38"/>
        <v>433.67</v>
      </c>
      <c r="F151" s="171"/>
      <c r="G151" s="171">
        <f t="shared" si="39"/>
        <v>433.67</v>
      </c>
      <c r="H151" s="172">
        <f t="shared" si="40"/>
        <v>7.0966538629832737E-5</v>
      </c>
      <c r="I151" s="336"/>
      <c r="J151" s="168"/>
      <c r="K151" s="168"/>
      <c r="M151" s="364">
        <f t="shared" si="34"/>
        <v>1.9946187103302364E-2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484">
        <v>0</v>
      </c>
      <c r="D152" s="484"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484">
        <v>0</v>
      </c>
      <c r="D153" s="484"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484">
        <v>0</v>
      </c>
      <c r="D155" s="484"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484">
        <v>0</v>
      </c>
      <c r="D156" s="484"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484">
        <v>0</v>
      </c>
      <c r="D157" s="484"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484">
        <v>0</v>
      </c>
      <c r="D158" s="484"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484">
        <v>2504.64</v>
      </c>
      <c r="D159" s="484">
        <v>0</v>
      </c>
      <c r="E159" s="171">
        <f t="shared" si="41"/>
        <v>2504.64</v>
      </c>
      <c r="F159" s="171"/>
      <c r="G159" s="171">
        <f t="shared" si="42"/>
        <v>2504.64</v>
      </c>
      <c r="H159" s="172">
        <f>IF($G$208=0,0,G159/$G$208)</f>
        <v>4.0986379346928366E-4</v>
      </c>
      <c r="I159" s="336"/>
      <c r="J159" s="168"/>
      <c r="K159" s="168"/>
      <c r="M159" s="364">
        <f t="shared" si="34"/>
        <v>0.11519823383313402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484">
        <v>6914.93</v>
      </c>
      <c r="D160" s="484">
        <v>0</v>
      </c>
      <c r="E160" s="171">
        <f t="shared" si="41"/>
        <v>6914.93</v>
      </c>
      <c r="F160" s="171"/>
      <c r="G160" s="171">
        <f t="shared" si="42"/>
        <v>6914.93</v>
      </c>
      <c r="H160" s="172">
        <f t="shared" si="43"/>
        <v>1.1315715796979021E-3</v>
      </c>
      <c r="I160" s="336"/>
      <c r="J160" s="168"/>
      <c r="K160" s="168"/>
      <c r="M160" s="364">
        <f t="shared" si="34"/>
        <v>0.31804479808665259</v>
      </c>
      <c r="N160" s="359">
        <f>SUMMARY!J163</f>
        <v>0.85264911391265397</v>
      </c>
      <c r="P160"/>
      <c r="Q160"/>
    </row>
    <row r="161" spans="1:17" s="167" customFormat="1">
      <c r="A161" s="169"/>
      <c r="B161" s="170" t="s">
        <v>233</v>
      </c>
      <c r="C161" s="484">
        <v>2195997.83</v>
      </c>
      <c r="D161" s="484">
        <v>35030</v>
      </c>
      <c r="E161" s="171">
        <f t="shared" ref="E161" si="44">SUM(E123:E160)</f>
        <v>2231027.83</v>
      </c>
      <c r="F161" s="171">
        <f>SUM(F123:F160)</f>
        <v>0</v>
      </c>
      <c r="G161" s="171">
        <f>SUM(G123:G160)</f>
        <v>2231027.83</v>
      </c>
      <c r="H161" s="172">
        <f t="shared" si="43"/>
        <v>0.3650894059582791</v>
      </c>
      <c r="I161" s="336"/>
      <c r="J161" s="168"/>
      <c r="K161" s="168"/>
      <c r="M161" s="364">
        <f>G161/G$228</f>
        <v>102.61373516695797</v>
      </c>
      <c r="N161" s="359">
        <f>SUMMARY!J164</f>
        <v>105.56901037202306</v>
      </c>
      <c r="O161" s="354">
        <f>M161/N161-1</f>
        <v>-2.7993775774261431E-2</v>
      </c>
      <c r="P161"/>
      <c r="Q161"/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17" s="221" customFormat="1">
      <c r="A164" s="215" t="s">
        <v>95</v>
      </c>
      <c r="B164" s="148" t="s">
        <v>102</v>
      </c>
      <c r="C164" s="484">
        <v>0</v>
      </c>
      <c r="D164" s="484"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20"/>
      <c r="M164" s="364">
        <f>G164/G$228</f>
        <v>0</v>
      </c>
      <c r="N164" s="359">
        <f>SUMMARY!J167</f>
        <v>0</v>
      </c>
      <c r="O164" s="220"/>
      <c r="P164"/>
      <c r="Q164"/>
    </row>
    <row r="165" spans="1:17" s="221" customFormat="1">
      <c r="A165" s="215" t="s">
        <v>123</v>
      </c>
      <c r="B165" s="148" t="s">
        <v>103</v>
      </c>
      <c r="C165" s="484">
        <v>0</v>
      </c>
      <c r="D165" s="484"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20"/>
      <c r="M165" s="364">
        <f t="shared" ref="M165:M196" si="48">G165/G$228</f>
        <v>0</v>
      </c>
      <c r="N165" s="359">
        <f>SUMMARY!J168</f>
        <v>0</v>
      </c>
      <c r="O165" s="220"/>
      <c r="P165"/>
      <c r="Q165"/>
    </row>
    <row r="166" spans="1:17" s="221" customFormat="1">
      <c r="A166" s="215" t="s">
        <v>124</v>
      </c>
      <c r="B166" s="148" t="s">
        <v>104</v>
      </c>
      <c r="C166" s="484">
        <v>279129.5</v>
      </c>
      <c r="D166" s="484">
        <v>0</v>
      </c>
      <c r="E166" s="171">
        <f t="shared" si="45"/>
        <v>279129.5</v>
      </c>
      <c r="F166" s="216"/>
      <c r="G166" s="171">
        <f t="shared" si="46"/>
        <v>279129.5</v>
      </c>
      <c r="H166" s="172">
        <f t="shared" si="47"/>
        <v>4.5677253313523868E-2</v>
      </c>
      <c r="I166" s="342"/>
      <c r="J166" s="217">
        <v>7249.83</v>
      </c>
      <c r="K166" s="217">
        <v>7605.83</v>
      </c>
      <c r="L166" s="220"/>
      <c r="M166" s="364">
        <f t="shared" si="48"/>
        <v>12.838262349369883</v>
      </c>
      <c r="N166" s="359">
        <f>SUMMARY!J169</f>
        <v>4.9060338253170936</v>
      </c>
      <c r="O166" s="220"/>
      <c r="P166"/>
      <c r="Q166"/>
    </row>
    <row r="167" spans="1:17" s="221" customFormat="1">
      <c r="A167" s="215" t="s">
        <v>157</v>
      </c>
      <c r="B167" s="148" t="s">
        <v>105</v>
      </c>
      <c r="C167" s="484">
        <v>71116.88</v>
      </c>
      <c r="D167" s="484">
        <v>0</v>
      </c>
      <c r="E167" s="171">
        <f t="shared" si="45"/>
        <v>71116.88</v>
      </c>
      <c r="F167" s="216"/>
      <c r="G167" s="171">
        <f t="shared" si="46"/>
        <v>71116.88</v>
      </c>
      <c r="H167" s="172">
        <f t="shared" si="47"/>
        <v>1.1637694126301517E-2</v>
      </c>
      <c r="I167" s="343"/>
      <c r="J167" s="222"/>
      <c r="K167" s="222"/>
      <c r="L167" s="220"/>
      <c r="M167" s="364">
        <f t="shared" si="48"/>
        <v>3.2709447152975808</v>
      </c>
      <c r="N167" s="359">
        <f>SUMMARY!J170</f>
        <v>0.8546059303297695</v>
      </c>
      <c r="O167" s="220"/>
      <c r="P167"/>
      <c r="Q167"/>
    </row>
    <row r="168" spans="1:17" s="221" customFormat="1">
      <c r="A168" s="215" t="s">
        <v>158</v>
      </c>
      <c r="B168" s="148" t="s">
        <v>316</v>
      </c>
      <c r="C168" s="484">
        <v>69930.5</v>
      </c>
      <c r="D168" s="484">
        <v>0</v>
      </c>
      <c r="E168" s="171">
        <f t="shared" si="45"/>
        <v>69930.5</v>
      </c>
      <c r="F168" s="216"/>
      <c r="G168" s="171">
        <f t="shared" si="46"/>
        <v>69930.5</v>
      </c>
      <c r="H168" s="172">
        <f t="shared" si="47"/>
        <v>1.1443552769740857E-2</v>
      </c>
      <c r="I168" s="342"/>
      <c r="J168" s="217">
        <v>1967.75</v>
      </c>
      <c r="K168" s="217">
        <v>2063.38</v>
      </c>
      <c r="L168" s="220"/>
      <c r="M168" s="364">
        <f t="shared" si="48"/>
        <v>3.2163784380461777</v>
      </c>
      <c r="N168" s="359">
        <f>SUMMARY!J171</f>
        <v>0.79511806658504303</v>
      </c>
      <c r="O168" s="220"/>
      <c r="P168"/>
      <c r="Q168"/>
    </row>
    <row r="169" spans="1:17" s="221" customFormat="1">
      <c r="A169" s="215" t="s">
        <v>86</v>
      </c>
      <c r="B169" s="148" t="s">
        <v>317</v>
      </c>
      <c r="C169" s="484">
        <v>16438.349999999999</v>
      </c>
      <c r="D169" s="484">
        <v>0</v>
      </c>
      <c r="E169" s="171">
        <f t="shared" si="45"/>
        <v>16438.349999999999</v>
      </c>
      <c r="F169" s="216"/>
      <c r="G169" s="171">
        <f t="shared" si="46"/>
        <v>16438.349999999999</v>
      </c>
      <c r="H169" s="172">
        <f t="shared" si="47"/>
        <v>2.6900011536092209E-3</v>
      </c>
      <c r="I169" s="343"/>
      <c r="J169" s="222"/>
      <c r="K169" s="222"/>
      <c r="L169" s="220"/>
      <c r="M169" s="364">
        <f t="shared" si="48"/>
        <v>0.75606429951246423</v>
      </c>
      <c r="N169" s="359">
        <f>SUMMARY!J172</f>
        <v>0.1405217057636943</v>
      </c>
      <c r="O169" s="220"/>
      <c r="P169"/>
      <c r="Q169"/>
    </row>
    <row r="170" spans="1:17" s="221" customFormat="1">
      <c r="A170" s="215" t="s">
        <v>96</v>
      </c>
      <c r="B170" s="148" t="s">
        <v>318</v>
      </c>
      <c r="C170" s="484">
        <v>0</v>
      </c>
      <c r="D170" s="484"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20"/>
      <c r="M170" s="364">
        <f t="shared" si="48"/>
        <v>0</v>
      </c>
      <c r="N170" s="359">
        <f>SUMMARY!J173</f>
        <v>0.14856138086857354</v>
      </c>
      <c r="O170" s="220"/>
      <c r="P170"/>
      <c r="Q170"/>
    </row>
    <row r="171" spans="1:17" s="221" customFormat="1">
      <c r="A171" s="215" t="s">
        <v>125</v>
      </c>
      <c r="B171" s="148" t="s">
        <v>109</v>
      </c>
      <c r="C171" s="484">
        <v>0</v>
      </c>
      <c r="D171" s="484"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20"/>
      <c r="M171" s="364">
        <f t="shared" si="48"/>
        <v>0</v>
      </c>
      <c r="N171" s="359">
        <f>SUMMARY!J174</f>
        <v>2.2545547697802093E-2</v>
      </c>
      <c r="O171" s="220"/>
      <c r="P171"/>
      <c r="Q171"/>
    </row>
    <row r="172" spans="1:17" s="221" customFormat="1">
      <c r="A172" s="215" t="s">
        <v>126</v>
      </c>
      <c r="B172" s="148" t="s">
        <v>319</v>
      </c>
      <c r="C172" s="484">
        <v>103985.34</v>
      </c>
      <c r="D172" s="484">
        <v>0</v>
      </c>
      <c r="E172" s="171">
        <f t="shared" si="45"/>
        <v>103985.34</v>
      </c>
      <c r="F172" s="216"/>
      <c r="G172" s="171">
        <f t="shared" si="46"/>
        <v>103985.34</v>
      </c>
      <c r="H172" s="172">
        <f t="shared" si="47"/>
        <v>1.7016348025102705E-2</v>
      </c>
      <c r="I172" s="342"/>
      <c r="J172" s="217">
        <v>3302.84</v>
      </c>
      <c r="K172" s="217">
        <v>3406.84</v>
      </c>
      <c r="L172" s="220"/>
      <c r="M172" s="364">
        <f t="shared" si="48"/>
        <v>4.782694324349186</v>
      </c>
      <c r="N172" s="359">
        <f>SUMMARY!J175</f>
        <v>2.8660001223726335</v>
      </c>
      <c r="O172" s="220"/>
      <c r="P172"/>
      <c r="Q172"/>
    </row>
    <row r="173" spans="1:17" s="221" customFormat="1">
      <c r="A173" s="215" t="s">
        <v>127</v>
      </c>
      <c r="B173" s="148" t="s">
        <v>111</v>
      </c>
      <c r="C173" s="484">
        <v>27722.68</v>
      </c>
      <c r="D173" s="484">
        <v>0</v>
      </c>
      <c r="E173" s="171">
        <f t="shared" si="45"/>
        <v>27722.68</v>
      </c>
      <c r="F173" s="216"/>
      <c r="G173" s="171">
        <f t="shared" si="46"/>
        <v>27722.68</v>
      </c>
      <c r="H173" s="172">
        <f t="shared" si="47"/>
        <v>4.5365892064069251E-3</v>
      </c>
      <c r="I173" s="343"/>
      <c r="J173" s="222"/>
      <c r="K173" s="222"/>
      <c r="L173" s="220"/>
      <c r="M173" s="364">
        <f t="shared" si="48"/>
        <v>1.2750749701039463</v>
      </c>
      <c r="N173" s="359">
        <f>SUMMARY!J176</f>
        <v>0.45922325087038773</v>
      </c>
      <c r="O173" s="220"/>
      <c r="P173"/>
      <c r="Q173"/>
    </row>
    <row r="174" spans="1:17" s="221" customFormat="1">
      <c r="A174" s="215" t="s">
        <v>128</v>
      </c>
      <c r="B174" s="148" t="s">
        <v>320</v>
      </c>
      <c r="C174" s="484">
        <v>0</v>
      </c>
      <c r="D174" s="484"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20"/>
      <c r="M174" s="364">
        <f t="shared" si="48"/>
        <v>0</v>
      </c>
      <c r="N174" s="359">
        <f>SUMMARY!J177</f>
        <v>0</v>
      </c>
      <c r="O174" s="220"/>
      <c r="P174"/>
      <c r="Q174"/>
    </row>
    <row r="175" spans="1:17" s="221" customFormat="1">
      <c r="A175" s="215" t="s">
        <v>129</v>
      </c>
      <c r="B175" s="148" t="s">
        <v>321</v>
      </c>
      <c r="C175" s="484">
        <v>0</v>
      </c>
      <c r="D175" s="484"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P175"/>
      <c r="Q175"/>
    </row>
    <row r="176" spans="1:17" s="221" customFormat="1">
      <c r="A176" s="224" t="s">
        <v>293</v>
      </c>
      <c r="B176" s="148" t="s">
        <v>154</v>
      </c>
      <c r="C176" s="484">
        <v>0</v>
      </c>
      <c r="D176" s="484"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P176"/>
      <c r="Q176"/>
    </row>
    <row r="177" spans="1:17" s="221" customFormat="1">
      <c r="A177" s="224" t="s">
        <v>294</v>
      </c>
      <c r="B177" s="148" t="s">
        <v>322</v>
      </c>
      <c r="C177" s="484">
        <v>9757.69</v>
      </c>
      <c r="D177" s="484">
        <v>0</v>
      </c>
      <c r="E177" s="171">
        <f t="shared" si="45"/>
        <v>9757.69</v>
      </c>
      <c r="F177" s="216"/>
      <c r="G177" s="171">
        <f t="shared" si="46"/>
        <v>9757.69</v>
      </c>
      <c r="H177" s="172">
        <f t="shared" si="47"/>
        <v>1.5967659379780307E-3</v>
      </c>
      <c r="I177" s="336"/>
      <c r="J177" s="223"/>
      <c r="K177" s="218"/>
      <c r="L177" s="220"/>
      <c r="M177" s="364">
        <f t="shared" si="48"/>
        <v>0.44879449912611535</v>
      </c>
      <c r="N177" s="359">
        <f>SUMMARY!J180</f>
        <v>0.30705480193530821</v>
      </c>
      <c r="P177"/>
      <c r="Q177"/>
    </row>
    <row r="178" spans="1:17" s="221" customFormat="1">
      <c r="A178" s="224" t="s">
        <v>295</v>
      </c>
      <c r="B178" s="148" t="s">
        <v>323</v>
      </c>
      <c r="C178" s="484">
        <v>167.95</v>
      </c>
      <c r="D178" s="484">
        <v>0</v>
      </c>
      <c r="E178" s="171">
        <f t="shared" si="45"/>
        <v>167.95</v>
      </c>
      <c r="F178" s="216"/>
      <c r="G178" s="171">
        <f t="shared" si="46"/>
        <v>167.95</v>
      </c>
      <c r="H178" s="172">
        <f t="shared" si="47"/>
        <v>2.7483640009409013E-5</v>
      </c>
      <c r="I178" s="336"/>
      <c r="J178" s="223"/>
      <c r="K178" s="218"/>
      <c r="L178" s="220"/>
      <c r="M178" s="364">
        <f t="shared" si="48"/>
        <v>7.72468034219483E-3</v>
      </c>
      <c r="N178" s="359">
        <f>SUMMARY!J181</f>
        <v>5.3584457511323957E-2</v>
      </c>
      <c r="P178"/>
      <c r="Q178"/>
    </row>
    <row r="179" spans="1:17" s="221" customFormat="1">
      <c r="A179" s="224" t="s">
        <v>296</v>
      </c>
      <c r="B179" s="148" t="s">
        <v>324</v>
      </c>
      <c r="C179" s="484">
        <v>0</v>
      </c>
      <c r="D179" s="484"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P179"/>
      <c r="Q179"/>
    </row>
    <row r="180" spans="1:17" s="221" customFormat="1">
      <c r="A180" s="224" t="s">
        <v>297</v>
      </c>
      <c r="B180" s="148" t="s">
        <v>325</v>
      </c>
      <c r="C180" s="484">
        <v>54.75</v>
      </c>
      <c r="D180" s="484">
        <v>0</v>
      </c>
      <c r="E180" s="171">
        <f t="shared" si="45"/>
        <v>54.75</v>
      </c>
      <c r="F180" s="216"/>
      <c r="G180" s="171">
        <f t="shared" si="46"/>
        <v>54.75</v>
      </c>
      <c r="H180" s="172">
        <f t="shared" si="47"/>
        <v>8.9593884520103806E-6</v>
      </c>
      <c r="I180" s="336"/>
      <c r="J180" s="223"/>
      <c r="K180" s="218"/>
      <c r="L180" s="220"/>
      <c r="M180" s="364">
        <f t="shared" si="48"/>
        <v>2.5181676018765525E-3</v>
      </c>
      <c r="N180" s="359">
        <f>SUMMARY!J183</f>
        <v>0.1333235617560114</v>
      </c>
      <c r="P180"/>
      <c r="Q180"/>
    </row>
    <row r="181" spans="1:17" s="221" customFormat="1">
      <c r="A181" s="224" t="s">
        <v>298</v>
      </c>
      <c r="B181" s="148" t="s">
        <v>117</v>
      </c>
      <c r="C181" s="484">
        <v>36275.339999999997</v>
      </c>
      <c r="D181" s="484">
        <v>0</v>
      </c>
      <c r="E181" s="171">
        <f t="shared" si="45"/>
        <v>36275.339999999997</v>
      </c>
      <c r="F181" s="216"/>
      <c r="G181" s="171">
        <f t="shared" si="46"/>
        <v>36275.339999999997</v>
      </c>
      <c r="H181" s="172">
        <f t="shared" si="47"/>
        <v>5.9361618682876758E-3</v>
      </c>
      <c r="I181" s="336"/>
      <c r="J181" s="223"/>
      <c r="K181" s="218"/>
      <c r="L181" s="220"/>
      <c r="M181" s="364">
        <f t="shared" si="48"/>
        <v>1.6684454052065125</v>
      </c>
      <c r="N181" s="359">
        <f>SUMMARY!J184</f>
        <v>0.29174571104570529</v>
      </c>
      <c r="P181"/>
      <c r="Q181"/>
    </row>
    <row r="182" spans="1:17" s="221" customFormat="1">
      <c r="A182" s="224" t="s">
        <v>132</v>
      </c>
      <c r="B182" s="148" t="s">
        <v>118</v>
      </c>
      <c r="C182" s="484">
        <v>0</v>
      </c>
      <c r="D182" s="484"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P182"/>
      <c r="Q182"/>
    </row>
    <row r="183" spans="1:17" s="221" customFormat="1">
      <c r="A183" s="224" t="s">
        <v>133</v>
      </c>
      <c r="B183" s="148" t="s">
        <v>119</v>
      </c>
      <c r="C183" s="484">
        <v>0</v>
      </c>
      <c r="D183" s="484">
        <v>11389</v>
      </c>
      <c r="E183" s="171">
        <f t="shared" si="45"/>
        <v>11389</v>
      </c>
      <c r="F183" s="216"/>
      <c r="G183" s="171">
        <f t="shared" si="46"/>
        <v>11389</v>
      </c>
      <c r="H183" s="172">
        <f t="shared" si="47"/>
        <v>1.8637164398163696E-3</v>
      </c>
      <c r="I183" s="336"/>
      <c r="J183" s="223"/>
      <c r="K183" s="218"/>
      <c r="L183" s="220"/>
      <c r="M183" s="364">
        <f t="shared" si="48"/>
        <v>0.52382485511912424</v>
      </c>
      <c r="N183" s="359">
        <f>SUMMARY!J186</f>
        <v>7.2780776577335544</v>
      </c>
      <c r="P183"/>
      <c r="Q183"/>
    </row>
    <row r="184" spans="1:17" s="221" customFormat="1">
      <c r="A184" s="224" t="s">
        <v>134</v>
      </c>
      <c r="B184" s="148" t="s">
        <v>326</v>
      </c>
      <c r="C184" s="484">
        <v>0</v>
      </c>
      <c r="D184" s="484"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L184" s="220"/>
      <c r="M184" s="364">
        <f t="shared" si="48"/>
        <v>0</v>
      </c>
      <c r="N184" s="359">
        <f>SUMMARY!J187</f>
        <v>1.7471448792019588</v>
      </c>
      <c r="P184"/>
      <c r="Q184"/>
    </row>
    <row r="185" spans="1:17" s="221" customFormat="1">
      <c r="A185" s="224" t="s">
        <v>135</v>
      </c>
      <c r="B185" s="148" t="s">
        <v>327</v>
      </c>
      <c r="C185" s="484">
        <v>0</v>
      </c>
      <c r="D185" s="484"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L185" s="220"/>
      <c r="M185" s="364">
        <f t="shared" si="48"/>
        <v>0</v>
      </c>
      <c r="N185" s="359">
        <f>SUMMARY!J188</f>
        <v>0.10202169826083787</v>
      </c>
      <c r="P185"/>
      <c r="Q185"/>
    </row>
    <row r="186" spans="1:17" s="221" customFormat="1">
      <c r="A186" s="224" t="s">
        <v>136</v>
      </c>
      <c r="B186" s="148" t="s">
        <v>328</v>
      </c>
      <c r="C186" s="484">
        <v>0</v>
      </c>
      <c r="D186" s="484"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L186" s="220"/>
      <c r="M186" s="364">
        <f t="shared" si="48"/>
        <v>0</v>
      </c>
      <c r="N186" s="359">
        <f>SUMMARY!J189</f>
        <v>5.0164683871805966</v>
      </c>
      <c r="P186"/>
      <c r="Q186"/>
    </row>
    <row r="187" spans="1:17" s="221" customFormat="1">
      <c r="A187" s="224" t="s">
        <v>137</v>
      </c>
      <c r="B187" s="148" t="s">
        <v>122</v>
      </c>
      <c r="C187" s="484">
        <v>0</v>
      </c>
      <c r="D187" s="484"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6"/>
      <c r="J187" s="223"/>
      <c r="K187" s="218"/>
      <c r="L187" s="220"/>
      <c r="M187" s="364">
        <f t="shared" si="48"/>
        <v>0</v>
      </c>
      <c r="N187" s="359">
        <f>SUMMARY!J190</f>
        <v>1.4762344610483848</v>
      </c>
      <c r="P187"/>
      <c r="Q187"/>
    </row>
    <row r="188" spans="1:17" s="221" customFormat="1">
      <c r="A188" s="224" t="s">
        <v>275</v>
      </c>
      <c r="B188" s="148" t="s">
        <v>329</v>
      </c>
      <c r="C188" s="484">
        <v>0</v>
      </c>
      <c r="D188" s="484"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L188" s="220"/>
      <c r="M188" s="364">
        <f t="shared" si="48"/>
        <v>0</v>
      </c>
      <c r="N188" s="359">
        <f>SUMMARY!J191</f>
        <v>0.3719273123267644</v>
      </c>
      <c r="P188"/>
      <c r="Q188"/>
    </row>
    <row r="189" spans="1:17" s="221" customFormat="1">
      <c r="A189" s="224" t="s">
        <v>277</v>
      </c>
      <c r="B189" s="148" t="s">
        <v>278</v>
      </c>
      <c r="C189" s="484">
        <v>0</v>
      </c>
      <c r="D189" s="484"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L189" s="220"/>
      <c r="M189" s="364">
        <f t="shared" si="48"/>
        <v>0</v>
      </c>
      <c r="N189" s="359">
        <f>SUMMARY!J192</f>
        <v>1.1168537736152406E-3</v>
      </c>
      <c r="P189"/>
      <c r="Q189"/>
    </row>
    <row r="190" spans="1:17" s="221" customFormat="1">
      <c r="A190" s="225" t="s">
        <v>279</v>
      </c>
      <c r="B190" s="226" t="s">
        <v>280</v>
      </c>
      <c r="C190" s="484">
        <v>0</v>
      </c>
      <c r="D190" s="484"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L190" s="220"/>
      <c r="M190" s="364">
        <f t="shared" si="48"/>
        <v>0</v>
      </c>
      <c r="N190" s="359">
        <f>SUMMARY!J193</f>
        <v>9.491156275925049E-3</v>
      </c>
      <c r="P190"/>
      <c r="Q190"/>
    </row>
    <row r="191" spans="1:17" s="221" customFormat="1">
      <c r="A191" s="225" t="s">
        <v>281</v>
      </c>
      <c r="B191" s="226" t="s">
        <v>282</v>
      </c>
      <c r="C191" s="484">
        <v>0</v>
      </c>
      <c r="D191" s="484"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L191" s="220"/>
      <c r="M191" s="364">
        <f t="shared" si="48"/>
        <v>0</v>
      </c>
      <c r="N191" s="359">
        <f>SUMMARY!J194</f>
        <v>1.256942821802872E-4</v>
      </c>
      <c r="P191"/>
      <c r="Q191"/>
    </row>
    <row r="192" spans="1:17" s="221" customFormat="1">
      <c r="A192" s="225" t="s">
        <v>283</v>
      </c>
      <c r="B192" s="226" t="s">
        <v>330</v>
      </c>
      <c r="C192" s="484">
        <v>28218.71</v>
      </c>
      <c r="D192" s="484">
        <v>0</v>
      </c>
      <c r="E192" s="171">
        <f t="shared" si="45"/>
        <v>28218.71</v>
      </c>
      <c r="F192" s="216"/>
      <c r="G192" s="171">
        <f t="shared" si="46"/>
        <v>28218.71</v>
      </c>
      <c r="H192" s="172">
        <f t="shared" si="47"/>
        <v>4.6177604475731481E-3</v>
      </c>
      <c r="I192" s="336"/>
      <c r="J192" s="223"/>
      <c r="K192" s="218"/>
      <c r="L192" s="220"/>
      <c r="M192" s="364">
        <f t="shared" si="48"/>
        <v>1.2978893386073038</v>
      </c>
      <c r="N192" s="359">
        <f>SUMMARY!J195</f>
        <v>6.3845219287057137E-2</v>
      </c>
      <c r="P192"/>
      <c r="Q192"/>
    </row>
    <row r="193" spans="1:17" s="221" customFormat="1">
      <c r="A193" s="225" t="s">
        <v>285</v>
      </c>
      <c r="B193" s="226" t="s">
        <v>331</v>
      </c>
      <c r="C193" s="484">
        <v>0</v>
      </c>
      <c r="D193" s="484"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L193" s="220"/>
      <c r="M193" s="364">
        <f t="shared" si="48"/>
        <v>0</v>
      </c>
      <c r="N193" s="359">
        <f>SUMMARY!J196</f>
        <v>0</v>
      </c>
      <c r="P193"/>
      <c r="Q193"/>
    </row>
    <row r="194" spans="1:17" s="221" customFormat="1">
      <c r="A194" s="224" t="s">
        <v>138</v>
      </c>
      <c r="B194" s="148" t="s">
        <v>332</v>
      </c>
      <c r="C194" s="484">
        <v>145087.17000000001</v>
      </c>
      <c r="D194" s="484">
        <v>0</v>
      </c>
      <c r="E194" s="171">
        <f t="shared" si="45"/>
        <v>145087.17000000001</v>
      </c>
      <c r="F194" s="216"/>
      <c r="G194" s="171">
        <f t="shared" si="46"/>
        <v>145087.17000000001</v>
      </c>
      <c r="H194" s="172">
        <f t="shared" si="47"/>
        <v>2.3742325396034103E-2</v>
      </c>
      <c r="I194" s="336"/>
      <c r="J194" s="223"/>
      <c r="K194" s="218"/>
      <c r="L194" s="220"/>
      <c r="M194" s="364">
        <f t="shared" si="48"/>
        <v>6.6731289669763596</v>
      </c>
      <c r="N194" s="359">
        <f>SUMMARY!J197</f>
        <v>9.4138592764245246</v>
      </c>
      <c r="P194"/>
      <c r="Q194"/>
    </row>
    <row r="195" spans="1:17" s="221" customFormat="1">
      <c r="A195" s="224" t="s">
        <v>139</v>
      </c>
      <c r="B195" s="148" t="s">
        <v>67</v>
      </c>
      <c r="C195" s="484">
        <v>0</v>
      </c>
      <c r="D195" s="484"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L195" s="220"/>
      <c r="M195" s="364">
        <f t="shared" si="48"/>
        <v>0</v>
      </c>
      <c r="N195" s="359">
        <f>SUMMARY!J198</f>
        <v>0.50303072526897752</v>
      </c>
      <c r="P195"/>
      <c r="Q195"/>
    </row>
    <row r="196" spans="1:17" s="221" customFormat="1">
      <c r="A196" s="225" t="s">
        <v>143</v>
      </c>
      <c r="B196" s="194" t="s">
        <v>333</v>
      </c>
      <c r="C196" s="484">
        <v>9317.67</v>
      </c>
      <c r="D196" s="484">
        <v>0</v>
      </c>
      <c r="E196" s="171">
        <f t="shared" si="45"/>
        <v>9317.67</v>
      </c>
      <c r="F196" s="216"/>
      <c r="G196" s="171">
        <f t="shared" si="46"/>
        <v>9317.67</v>
      </c>
      <c r="H196" s="172">
        <f t="shared" si="47"/>
        <v>1.5247602739295628E-3</v>
      </c>
      <c r="I196" s="336"/>
      <c r="J196" s="223"/>
      <c r="K196" s="218"/>
      <c r="L196" s="220"/>
      <c r="M196" s="364">
        <f t="shared" si="48"/>
        <v>0.42855625057492414</v>
      </c>
      <c r="N196" s="359">
        <f>SUMMARY!J199</f>
        <v>0.37420738931321718</v>
      </c>
      <c r="P196"/>
      <c r="Q196"/>
    </row>
    <row r="197" spans="1:17" s="167" customFormat="1">
      <c r="A197" s="163"/>
      <c r="B197" s="212" t="s">
        <v>130</v>
      </c>
      <c r="C197" s="484">
        <v>797202.52999999991</v>
      </c>
      <c r="D197" s="484">
        <v>11389</v>
      </c>
      <c r="E197" s="171">
        <f t="shared" ref="E197:F197" si="49">SUM(E164:E196)</f>
        <v>808591.52999999991</v>
      </c>
      <c r="F197" s="171">
        <f t="shared" si="49"/>
        <v>0</v>
      </c>
      <c r="G197" s="171">
        <f>SUM(G164:G196)</f>
        <v>808591.52999999991</v>
      </c>
      <c r="H197" s="172">
        <f>IF($G$208=0,0,G197/$G$208)</f>
        <v>0.13231937198676538</v>
      </c>
      <c r="I197" s="336"/>
      <c r="J197" s="168"/>
      <c r="K197" s="168"/>
      <c r="M197" s="364">
        <f>G197/G$228</f>
        <v>37.190301260233646</v>
      </c>
      <c r="N197" s="359">
        <f>SUMMARY!J200</f>
        <v>37.406784978272242</v>
      </c>
      <c r="O197" s="354"/>
      <c r="P197"/>
      <c r="Q197"/>
    </row>
    <row r="198" spans="1:17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7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7" s="167" customFormat="1">
      <c r="A200" s="169" t="s">
        <v>85</v>
      </c>
      <c r="B200" s="170" t="s">
        <v>69</v>
      </c>
      <c r="C200" s="484">
        <v>121995.84</v>
      </c>
      <c r="D200" s="484">
        <v>0</v>
      </c>
      <c r="E200" s="171">
        <f t="shared" ref="E200:E205" si="50">C200+D200</f>
        <v>121995.84</v>
      </c>
      <c r="F200" s="171"/>
      <c r="G200" s="171">
        <f t="shared" ref="G200:G205" si="51">E200+F200</f>
        <v>121995.84</v>
      </c>
      <c r="H200" s="172">
        <f t="shared" ref="H200:H206" si="52">IF($G$208=0,0,G200/$G$208)</f>
        <v>1.9963618631768147E-2</v>
      </c>
      <c r="I200" s="336"/>
      <c r="J200" s="183">
        <v>7757.16</v>
      </c>
      <c r="K200" s="183">
        <v>8230.66</v>
      </c>
      <c r="M200" s="364">
        <f t="shared" ref="M200:M205" si="53">G200/G$228</f>
        <v>5.6110679790267683</v>
      </c>
      <c r="N200" s="359">
        <f>SUMMARY!J203</f>
        <v>5.2601700809246292</v>
      </c>
      <c r="P200"/>
      <c r="Q200"/>
    </row>
    <row r="201" spans="1:17" s="167" customFormat="1">
      <c r="A201" s="169" t="s">
        <v>86</v>
      </c>
      <c r="B201" s="170" t="s">
        <v>45</v>
      </c>
      <c r="C201" s="484">
        <v>31323.48</v>
      </c>
      <c r="D201" s="484">
        <v>0</v>
      </c>
      <c r="E201" s="171">
        <f t="shared" si="50"/>
        <v>31323.48</v>
      </c>
      <c r="F201" s="171"/>
      <c r="G201" s="171">
        <f t="shared" si="51"/>
        <v>31323.48</v>
      </c>
      <c r="H201" s="172">
        <f t="shared" si="52"/>
        <v>5.1258305934023399E-3</v>
      </c>
      <c r="I201" s="336"/>
      <c r="J201" s="168"/>
      <c r="K201" s="168"/>
      <c r="M201" s="364">
        <f t="shared" si="53"/>
        <v>1.4406899089320209</v>
      </c>
      <c r="N201" s="359">
        <f>SUMMARY!J204</f>
        <v>1.0692430699343443</v>
      </c>
      <c r="P201"/>
      <c r="Q201"/>
    </row>
    <row r="202" spans="1:17" s="167" customFormat="1">
      <c r="A202" s="169" t="s">
        <v>140</v>
      </c>
      <c r="B202" s="170" t="s">
        <v>54</v>
      </c>
      <c r="C202" s="484">
        <v>13198.68</v>
      </c>
      <c r="D202" s="484">
        <v>0</v>
      </c>
      <c r="E202" s="171">
        <f t="shared" si="50"/>
        <v>13198.68</v>
      </c>
      <c r="F202" s="171"/>
      <c r="G202" s="171">
        <f t="shared" si="51"/>
        <v>13198.68</v>
      </c>
      <c r="H202" s="172">
        <f t="shared" si="52"/>
        <v>2.1598557292014683E-3</v>
      </c>
      <c r="I202" s="336"/>
      <c r="J202" s="168"/>
      <c r="K202" s="168"/>
      <c r="M202" s="364">
        <f t="shared" si="53"/>
        <v>0.60705914819243856</v>
      </c>
      <c r="N202" s="359">
        <f>SUMMARY!J205</f>
        <v>0.45326453571252473</v>
      </c>
      <c r="P202"/>
      <c r="Q202"/>
    </row>
    <row r="203" spans="1:17" s="167" customFormat="1">
      <c r="A203" s="169" t="s">
        <v>141</v>
      </c>
      <c r="B203" s="170" t="s">
        <v>70</v>
      </c>
      <c r="C203" s="484">
        <v>0</v>
      </c>
      <c r="D203" s="484"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7" s="167" customFormat="1">
      <c r="A204" s="169" t="s">
        <v>142</v>
      </c>
      <c r="B204" s="202" t="s">
        <v>71</v>
      </c>
      <c r="C204" s="484">
        <v>0</v>
      </c>
      <c r="D204" s="484"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7" s="167" customFormat="1">
      <c r="A205" s="169" t="s">
        <v>143</v>
      </c>
      <c r="B205" s="170" t="s">
        <v>312</v>
      </c>
      <c r="C205" s="484">
        <v>44132.73</v>
      </c>
      <c r="D205" s="484">
        <v>0</v>
      </c>
      <c r="E205" s="171">
        <f t="shared" si="50"/>
        <v>44132.73</v>
      </c>
      <c r="F205" s="171"/>
      <c r="G205" s="171">
        <f t="shared" si="51"/>
        <v>44132.73</v>
      </c>
      <c r="H205" s="172">
        <f t="shared" si="52"/>
        <v>7.2219592971267971E-3</v>
      </c>
      <c r="I205" s="336"/>
      <c r="J205" s="168"/>
      <c r="K205" s="168"/>
      <c r="M205" s="364">
        <f t="shared" si="53"/>
        <v>2.0298376414313313</v>
      </c>
      <c r="N205" s="359">
        <f>SUMMARY!J208</f>
        <v>0.36243287087155324</v>
      </c>
      <c r="P205"/>
      <c r="Q205"/>
    </row>
    <row r="206" spans="1:17" s="167" customFormat="1">
      <c r="A206" s="163"/>
      <c r="B206" s="170" t="s">
        <v>144</v>
      </c>
      <c r="C206" s="484">
        <v>210650.73</v>
      </c>
      <c r="D206" s="484">
        <v>0</v>
      </c>
      <c r="E206" s="171">
        <f t="shared" ref="E206:F206" si="54">SUM(E200:E205)</f>
        <v>210650.73</v>
      </c>
      <c r="F206" s="171">
        <f t="shared" si="54"/>
        <v>0</v>
      </c>
      <c r="G206" s="171">
        <f>SUM(G200:G205)</f>
        <v>210650.73</v>
      </c>
      <c r="H206" s="172">
        <f t="shared" si="52"/>
        <v>3.4471264251498754E-2</v>
      </c>
      <c r="I206" s="336"/>
      <c r="J206" s="168"/>
      <c r="K206" s="168"/>
      <c r="M206" s="364">
        <f>G206/G$228</f>
        <v>9.6886546775825604</v>
      </c>
      <c r="N206" s="359">
        <f>SUMMARY!J209</f>
        <v>7.1515095990067339</v>
      </c>
      <c r="O206" s="354">
        <f>M206/N206-1</f>
        <v>0.35477056185846534</v>
      </c>
      <c r="P206"/>
      <c r="Q206"/>
    </row>
    <row r="207" spans="1:17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7" s="167" customFormat="1">
      <c r="A208" s="227"/>
      <c r="B208" s="228" t="s">
        <v>145</v>
      </c>
      <c r="C208" s="484">
        <v>6411020.4400000004</v>
      </c>
      <c r="D208" s="484">
        <v>-300112.28000000003</v>
      </c>
      <c r="E208" s="171">
        <f t="shared" ref="E208:F208" si="55">SUM(E25:E206)/2</f>
        <v>6110908.1599999992</v>
      </c>
      <c r="F208" s="171">
        <f t="shared" si="55"/>
        <v>0</v>
      </c>
      <c r="G208" s="171">
        <f>SUM(G25:G206)/2</f>
        <v>6110908.1599999992</v>
      </c>
      <c r="H208" s="172">
        <f>IF($G$208=0,0,G208/$G$208)</f>
        <v>1</v>
      </c>
      <c r="I208" s="336"/>
      <c r="J208" s="183">
        <f>SUM(J25:J200)</f>
        <v>144954.09</v>
      </c>
      <c r="K208" s="183">
        <f>SUM(K25:K200)</f>
        <v>151362.88999999998</v>
      </c>
      <c r="M208" s="364">
        <f>G208/G$228</f>
        <v>281.06467482292334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0.83411481186832193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484">
        <v>6411020.4400000004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484"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484">
        <v>509145.30999999959</v>
      </c>
      <c r="D215" s="484">
        <v>300044.46000000002</v>
      </c>
      <c r="E215" s="171">
        <f t="shared" ref="E215:F215" si="56">E21-E208</f>
        <v>809189.77000000048</v>
      </c>
      <c r="F215" s="171">
        <f t="shared" si="56"/>
        <v>0</v>
      </c>
      <c r="G215" s="171">
        <f>G21-G208</f>
        <v>809189.77000000048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485">
        <v>14512</v>
      </c>
      <c r="D219" s="485"/>
      <c r="E219" s="235">
        <f t="shared" ref="E219:G227" si="57">C219+D219</f>
        <v>14512</v>
      </c>
      <c r="F219" s="234"/>
      <c r="G219" s="235">
        <f t="shared" si="57"/>
        <v>14512</v>
      </c>
      <c r="H219" s="172">
        <f t="shared" ref="H219:H228" si="58">IF($G$228=0,0,G219/$G$228)</f>
        <v>0.66746389476589085</v>
      </c>
      <c r="I219" s="336"/>
      <c r="J219" s="168"/>
      <c r="K219" s="168"/>
    </row>
    <row r="220" spans="1:17">
      <c r="A220" s="163"/>
      <c r="B220" s="170" t="s">
        <v>217</v>
      </c>
      <c r="C220" s="485">
        <v>0</v>
      </c>
      <c r="D220" s="485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485">
        <v>2698</v>
      </c>
      <c r="D221" s="485"/>
      <c r="E221" s="235">
        <f t="shared" si="59"/>
        <v>2698</v>
      </c>
      <c r="F221" s="234"/>
      <c r="G221" s="235">
        <f t="shared" si="57"/>
        <v>2698</v>
      </c>
      <c r="H221" s="172">
        <f t="shared" si="58"/>
        <v>0.12409161990617239</v>
      </c>
      <c r="I221" s="336"/>
      <c r="J221" s="168"/>
      <c r="K221" s="168"/>
    </row>
    <row r="222" spans="1:17">
      <c r="A222" s="163"/>
      <c r="B222" s="202" t="s">
        <v>334</v>
      </c>
      <c r="C222" s="485">
        <v>1493</v>
      </c>
      <c r="D222" s="485"/>
      <c r="E222" s="235">
        <f>C222+D222</f>
        <v>1493</v>
      </c>
      <c r="F222" s="234"/>
      <c r="G222" s="235">
        <f>E222+F222</f>
        <v>1493</v>
      </c>
      <c r="H222" s="172">
        <f t="shared" si="58"/>
        <v>6.8668935700487529E-2</v>
      </c>
      <c r="I222" s="336"/>
      <c r="J222" s="168"/>
      <c r="K222" s="168"/>
    </row>
    <row r="223" spans="1:17">
      <c r="A223" s="163"/>
      <c r="B223" s="170" t="s">
        <v>73</v>
      </c>
      <c r="C223" s="485">
        <v>0</v>
      </c>
      <c r="D223" s="485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485">
        <v>1020</v>
      </c>
      <c r="D224" s="485"/>
      <c r="E224" s="235">
        <f t="shared" si="59"/>
        <v>1020</v>
      </c>
      <c r="F224" s="234"/>
      <c r="G224" s="235">
        <f t="shared" si="57"/>
        <v>1020</v>
      </c>
      <c r="H224" s="172">
        <f t="shared" si="58"/>
        <v>4.6913807377426182E-2</v>
      </c>
      <c r="I224" s="336"/>
      <c r="J224" s="168"/>
      <c r="K224" s="168"/>
    </row>
    <row r="225" spans="1:11">
      <c r="A225" s="163"/>
      <c r="B225" s="170" t="s">
        <v>236</v>
      </c>
      <c r="C225" s="485">
        <v>1939</v>
      </c>
      <c r="D225" s="485"/>
      <c r="E225" s="235">
        <f t="shared" si="59"/>
        <v>1939</v>
      </c>
      <c r="F225" s="234"/>
      <c r="G225" s="235">
        <f t="shared" si="57"/>
        <v>1939</v>
      </c>
      <c r="H225" s="172">
        <f t="shared" si="58"/>
        <v>8.9182227945911144E-2</v>
      </c>
      <c r="I225" s="336"/>
      <c r="J225" s="168"/>
      <c r="K225" s="168"/>
    </row>
    <row r="226" spans="1:11">
      <c r="A226" s="163"/>
      <c r="B226" s="170" t="s">
        <v>235</v>
      </c>
      <c r="C226" s="485">
        <v>80</v>
      </c>
      <c r="D226" s="485"/>
      <c r="E226" s="235">
        <f>C226+D226</f>
        <v>80</v>
      </c>
      <c r="F226" s="234"/>
      <c r="G226" s="235">
        <f>E226+F226</f>
        <v>80</v>
      </c>
      <c r="H226" s="172">
        <f t="shared" si="58"/>
        <v>3.6795143041118573E-3</v>
      </c>
      <c r="I226" s="336"/>
      <c r="J226" s="168"/>
      <c r="K226" s="168"/>
    </row>
    <row r="227" spans="1:11">
      <c r="A227" s="163"/>
      <c r="B227" s="170" t="s">
        <v>179</v>
      </c>
      <c r="C227" s="485">
        <v>0</v>
      </c>
      <c r="D227" s="485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485">
        <v>21742</v>
      </c>
      <c r="D228" s="485">
        <v>0</v>
      </c>
      <c r="E228" s="237">
        <f>SUM(E219:E227)</f>
        <v>21742</v>
      </c>
      <c r="F228" s="237">
        <f>SUM(F219:F227)</f>
        <v>0</v>
      </c>
      <c r="G228" s="237">
        <f>SUM(G219:G227)</f>
        <v>21742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/>
      <c r="G230" s="232"/>
      <c r="H230" s="167"/>
      <c r="J230" s="168"/>
      <c r="K230" s="168"/>
    </row>
    <row r="231" spans="1:11">
      <c r="A231" s="163"/>
      <c r="B231" s="202" t="s">
        <v>219</v>
      </c>
      <c r="C231" s="486">
        <v>100</v>
      </c>
      <c r="D231" s="512"/>
      <c r="E231" s="235">
        <f>C231+D231</f>
        <v>100</v>
      </c>
      <c r="F231" s="235"/>
      <c r="G231" s="235">
        <f>E231</f>
        <v>100</v>
      </c>
      <c r="H231" s="167"/>
      <c r="J231" s="168"/>
      <c r="K231" s="168"/>
    </row>
    <row r="232" spans="1:11">
      <c r="A232" s="163"/>
      <c r="B232" s="202" t="s">
        <v>290</v>
      </c>
      <c r="C232" s="486">
        <v>100</v>
      </c>
      <c r="D232" s="512"/>
      <c r="E232" s="235">
        <f>C232+D232</f>
        <v>100</v>
      </c>
      <c r="F232" s="235"/>
      <c r="G232" s="235">
        <f>E232</f>
        <v>100</v>
      </c>
      <c r="H232" s="167"/>
      <c r="J232" s="168"/>
      <c r="K232" s="168"/>
    </row>
    <row r="233" spans="1:11">
      <c r="A233" s="163"/>
      <c r="B233" s="202" t="s">
        <v>76</v>
      </c>
      <c r="C233" s="486"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241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486">
        <v>36600</v>
      </c>
      <c r="D235" s="483"/>
      <c r="E235" s="234">
        <f>E231*E233</f>
        <v>36600</v>
      </c>
      <c r="F235" s="239"/>
      <c r="G235" s="234">
        <f>G231*G233</f>
        <v>36600</v>
      </c>
      <c r="H235" s="167"/>
      <c r="J235" s="168"/>
      <c r="K235" s="168"/>
    </row>
    <row r="236" spans="1:11" ht="26.5">
      <c r="A236" s="163"/>
      <c r="B236" s="243" t="s">
        <v>336</v>
      </c>
      <c r="C236" s="487">
        <v>0.59404371584699456</v>
      </c>
      <c r="D236" s="239"/>
      <c r="E236" s="244">
        <f>E228/E235</f>
        <v>0.59404371584699456</v>
      </c>
      <c r="F236" s="245"/>
      <c r="G236" s="244">
        <f>G228/G235</f>
        <v>0.59404371584699456</v>
      </c>
      <c r="H236" s="167"/>
      <c r="J236" s="168"/>
      <c r="K236" s="168"/>
    </row>
    <row r="237" spans="1:11" ht="26.5">
      <c r="A237" s="163"/>
      <c r="B237" s="243" t="s">
        <v>337</v>
      </c>
      <c r="C237" s="487">
        <v>0.39650273224043714</v>
      </c>
      <c r="D237" s="239"/>
      <c r="E237" s="244">
        <f>(E219+E220)/E235</f>
        <v>0.39650273224043714</v>
      </c>
      <c r="F237" s="245"/>
      <c r="G237" s="244">
        <f>(G219+G220)/G235</f>
        <v>0.39650273224043714</v>
      </c>
      <c r="H237" s="167"/>
      <c r="J237" s="168"/>
      <c r="K237" s="168"/>
    </row>
    <row r="238" spans="1:11" ht="26.5">
      <c r="A238" s="163"/>
      <c r="B238" s="243" t="s">
        <v>338</v>
      </c>
      <c r="C238" s="487">
        <v>0.66746389476589085</v>
      </c>
      <c r="D238" s="239"/>
      <c r="E238" s="244">
        <f>(E237/E236)</f>
        <v>0.66746389476589085</v>
      </c>
      <c r="F238" s="245"/>
      <c r="G238" s="244">
        <f>(G237/G236)</f>
        <v>0.66746389476589085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'[66]Sch B'!C85</f>
        <v>252.95486111111111</v>
      </c>
    </row>
    <row r="242" spans="2:7">
      <c r="F242" s="142" t="s">
        <v>341</v>
      </c>
      <c r="G242" s="558">
        <f>'[66]Sch B'!E85</f>
        <v>245.65305135951664</v>
      </c>
    </row>
    <row r="243" spans="2:7">
      <c r="F243" s="142" t="s">
        <v>342</v>
      </c>
      <c r="G243" s="558">
        <f>'[66]Sch B'!G85</f>
        <v>244.36532846715332</v>
      </c>
    </row>
    <row r="244" spans="2:7">
      <c r="F244" s="142" t="s">
        <v>343</v>
      </c>
      <c r="G244" s="558">
        <f>'[66]Sch B'!I85</f>
        <v>249.6566929133858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57" fitToHeight="4" orientation="landscape" horizontalDpi="300" verticalDpi="300" r:id="rId3"/>
  <headerFooter alignWithMargins="0">
    <oddFooter>&amp;R&amp;D
&amp;T
&amp;F</oddFooter>
  </headerFooter>
  <ignoredErrors>
    <ignoredError sqref="F197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28CAB"/>
  </sheetPr>
  <dimension ref="A1:T249"/>
  <sheetViews>
    <sheetView showGridLines="0" zoomScale="125" zoomScaleNormal="125" workbookViewId="0">
      <pane xSplit="2" ySplit="8" topLeftCell="C9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624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446</v>
      </c>
      <c r="C11" s="558">
        <f>'[7]Sch B'!E10</f>
        <v>69878</v>
      </c>
      <c r="D11" s="558">
        <f>'[7]Sch B'!G10</f>
        <v>0</v>
      </c>
      <c r="E11" s="171">
        <f>C11+D11</f>
        <v>69878</v>
      </c>
      <c r="F11" s="171"/>
      <c r="G11" s="171">
        <f t="shared" ref="G11:G20" si="0">E11+F11</f>
        <v>69878</v>
      </c>
      <c r="H11" s="172">
        <f t="shared" ref="H11:H21" si="1">IF($G$21=0,0,G11/$G$21)</f>
        <v>1.0786048862138064E-2</v>
      </c>
      <c r="I11" s="453"/>
      <c r="J11" s="368" t="s">
        <v>344</v>
      </c>
      <c r="K11" s="369">
        <f>G21</f>
        <v>6478554</v>
      </c>
      <c r="M11" s="359">
        <f>IFERROR(G11/G219,0)</f>
        <v>181.50129870129871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'[7]Sch B'!E15</f>
        <v>0</v>
      </c>
      <c r="D12" s="558">
        <f>'[7]Sch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6507924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'[7]Sch B'!E21</f>
        <v>3863609</v>
      </c>
      <c r="D13" s="558">
        <f>'[7]Sch B'!G21</f>
        <v>0</v>
      </c>
      <c r="E13" s="171">
        <f t="shared" si="2"/>
        <v>3863609</v>
      </c>
      <c r="F13" s="171"/>
      <c r="G13" s="171">
        <f t="shared" si="0"/>
        <v>3863609</v>
      </c>
      <c r="H13" s="172">
        <f t="shared" si="1"/>
        <v>0.59636903543599384</v>
      </c>
      <c r="J13" s="370" t="s">
        <v>346</v>
      </c>
      <c r="K13" s="371">
        <f>G228</f>
        <v>14484</v>
      </c>
      <c r="M13" s="359">
        <f t="shared" si="3"/>
        <v>521.8977441577739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'[7]Sch B'!E27</f>
        <v>2173274</v>
      </c>
      <c r="D14" s="558">
        <f>'[7]Sch B'!G27</f>
        <v>0</v>
      </c>
      <c r="E14" s="171">
        <f t="shared" si="2"/>
        <v>2173274</v>
      </c>
      <c r="F14" s="175"/>
      <c r="G14" s="175">
        <f>E14+F14</f>
        <v>2173274</v>
      </c>
      <c r="H14" s="176">
        <f t="shared" si="1"/>
        <v>0.33545664665294139</v>
      </c>
      <c r="J14" s="370" t="s">
        <v>347</v>
      </c>
      <c r="K14" s="371">
        <f>G231</f>
        <v>120</v>
      </c>
      <c r="M14" s="359">
        <f t="shared" si="3"/>
        <v>416.57542649032013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'[7]Sch B'!E32</f>
        <v>0</v>
      </c>
      <c r="D15" s="558">
        <f>'[7]Sch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J15" s="370" t="s">
        <v>348</v>
      </c>
      <c r="K15" s="371">
        <f>G235</f>
        <v>43920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'[7]Sch B'!E37</f>
        <v>326413</v>
      </c>
      <c r="D16" s="558">
        <f>'[7]Sch B'!G37</f>
        <v>0</v>
      </c>
      <c r="E16" s="171">
        <f t="shared" si="2"/>
        <v>326413</v>
      </c>
      <c r="F16" s="171"/>
      <c r="G16" s="171">
        <f t="shared" si="0"/>
        <v>326413</v>
      </c>
      <c r="H16" s="172">
        <f t="shared" si="1"/>
        <v>5.0383619554610487E-2</v>
      </c>
      <c r="J16" s="372"/>
      <c r="K16" s="371"/>
      <c r="M16" s="359">
        <f t="shared" si="3"/>
        <v>296.20054446460978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625</v>
      </c>
      <c r="C17" s="558">
        <f>'[7]Sch B'!E42</f>
        <v>0</v>
      </c>
      <c r="D17" s="558">
        <f>'[7]Sch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453"/>
      <c r="J17" s="370" t="s">
        <v>156</v>
      </c>
      <c r="K17" s="371">
        <f>J208</f>
        <v>112692.48000000001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626</v>
      </c>
      <c r="C18" s="558">
        <f>'[7]Sch B'!E47</f>
        <v>33737</v>
      </c>
      <c r="D18" s="558">
        <f>'[7]Sch B'!G47</f>
        <v>0</v>
      </c>
      <c r="E18" s="171">
        <f t="shared" si="2"/>
        <v>33737</v>
      </c>
      <c r="F18" s="171"/>
      <c r="G18" s="171">
        <f>E18+F18</f>
        <v>33737</v>
      </c>
      <c r="H18" s="172">
        <f t="shared" si="1"/>
        <v>5.2074892020657695E-3</v>
      </c>
      <c r="I18" s="453"/>
      <c r="J18" s="373" t="s">
        <v>252</v>
      </c>
      <c r="K18" s="374">
        <f>K208</f>
        <v>113447.68000000001</v>
      </c>
      <c r="M18" s="359">
        <f t="shared" si="3"/>
        <v>89.488063660477451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'[7]Sch B'!E52</f>
        <v>0</v>
      </c>
      <c r="D19" s="558">
        <f>'[7]Sch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'[7]Sch B'!E67</f>
        <v>11643</v>
      </c>
      <c r="D20" s="558">
        <f>'[7]Sch B'!G67</f>
        <v>0</v>
      </c>
      <c r="E20" s="171">
        <f t="shared" si="2"/>
        <v>11643</v>
      </c>
      <c r="F20" s="171"/>
      <c r="G20" s="171">
        <f t="shared" si="0"/>
        <v>11643</v>
      </c>
      <c r="H20" s="172">
        <f t="shared" si="1"/>
        <v>1.7971602922504002E-3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6478554</v>
      </c>
      <c r="D21" s="558">
        <f>SUM(D11:D20)</f>
        <v>0</v>
      </c>
      <c r="E21" s="171">
        <f>SUM(E11:E20)</f>
        <v>6478554</v>
      </c>
      <c r="F21" s="171">
        <f>SUM(F11:F20)</f>
        <v>0</v>
      </c>
      <c r="G21" s="171">
        <f>SUM(G11:G20)</f>
        <v>6478554</v>
      </c>
      <c r="H21" s="172">
        <f t="shared" si="1"/>
        <v>1</v>
      </c>
      <c r="I21" s="336"/>
      <c r="J21" s="168"/>
      <c r="K21" s="168"/>
      <c r="M21" s="359">
        <f>IFERROR(G21/G228,0)</f>
        <v>447.29038939519472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'[7]Sch C'!D10</f>
        <v>119697</v>
      </c>
      <c r="D25" s="558">
        <f>'[7]Sch C'!F10</f>
        <v>0</v>
      </c>
      <c r="E25" s="171">
        <f t="shared" ref="E25:E60" si="4">C25+D25</f>
        <v>119697</v>
      </c>
      <c r="F25" s="171"/>
      <c r="G25" s="182">
        <f>E25+F25</f>
        <v>119697</v>
      </c>
      <c r="H25" s="172">
        <f>IF($G$208=0,0,G25/$G$208)</f>
        <v>1.8392501203148653E-2</v>
      </c>
      <c r="I25" s="336"/>
      <c r="J25" s="183">
        <v>1984</v>
      </c>
      <c r="K25" s="183">
        <v>2080.8000000000002</v>
      </c>
      <c r="M25" s="359">
        <f>G25/G$228</f>
        <v>8.2640845070422539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'[7]Sch C'!D11</f>
        <v>0</v>
      </c>
      <c r="D26" s="558">
        <f>'[7]Sch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627</v>
      </c>
      <c r="C27" s="558">
        <f>'[7]Sch C'!D12</f>
        <v>271849</v>
      </c>
      <c r="D27" s="558">
        <f>'[7]Sch C'!F12</f>
        <v>0</v>
      </c>
      <c r="E27" s="171">
        <f t="shared" si="4"/>
        <v>271849</v>
      </c>
      <c r="F27" s="171"/>
      <c r="G27" s="171">
        <f t="shared" si="5"/>
        <v>271849</v>
      </c>
      <c r="H27" s="172">
        <f t="shared" si="6"/>
        <v>4.1771999795941074E-2</v>
      </c>
      <c r="I27" s="336"/>
      <c r="J27" s="185">
        <v>8200.32</v>
      </c>
      <c r="K27" s="185">
        <v>8320.32</v>
      </c>
      <c r="M27" s="359">
        <f t="shared" si="7"/>
        <v>18.76891742612538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628</v>
      </c>
      <c r="C28" s="558">
        <f>'[7]Sch C'!D13</f>
        <v>115163</v>
      </c>
      <c r="D28" s="558">
        <f>'[7]Sch C'!F13</f>
        <v>-75652</v>
      </c>
      <c r="E28" s="171">
        <f t="shared" si="4"/>
        <v>39511</v>
      </c>
      <c r="F28" s="171"/>
      <c r="G28" s="171">
        <f t="shared" si="5"/>
        <v>39511</v>
      </c>
      <c r="H28" s="172">
        <f t="shared" si="6"/>
        <v>6.0712141076017479E-3</v>
      </c>
      <c r="I28" s="336"/>
      <c r="J28" s="168"/>
      <c r="K28" s="168"/>
      <c r="M28" s="359">
        <f t="shared" si="7"/>
        <v>2.7279066556199947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'[7]Sch C'!D14</f>
        <v>0</v>
      </c>
      <c r="D29" s="558">
        <f>'[7]Sch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'[7]Sch C'!D15</f>
        <v>0</v>
      </c>
      <c r="D30" s="558">
        <f>'[7]Sch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'[7]Sch C'!D16</f>
        <v>0</v>
      </c>
      <c r="D31" s="558">
        <f>'[7]Sch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'[7]Sch C'!D17</f>
        <v>5630</v>
      </c>
      <c r="D32" s="558">
        <f>'[7]Sch C'!F17</f>
        <v>-5630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'[7]Sch C'!D18</f>
        <v>7929</v>
      </c>
      <c r="D33" s="558">
        <f>'[7]Sch C'!F18</f>
        <v>0</v>
      </c>
      <c r="E33" s="171">
        <f t="shared" si="4"/>
        <v>7929</v>
      </c>
      <c r="F33" s="171"/>
      <c r="G33" s="171">
        <f t="shared" si="5"/>
        <v>7929</v>
      </c>
      <c r="H33" s="172">
        <f t="shared" si="6"/>
        <v>1.2183608782155415E-3</v>
      </c>
      <c r="I33" s="336"/>
      <c r="J33" s="168"/>
      <c r="K33" s="168"/>
      <c r="M33" s="359">
        <f t="shared" si="7"/>
        <v>0.54743164871582439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'[7]Sch C'!D19</f>
        <v>22245</v>
      </c>
      <c r="D34" s="558">
        <f>'[7]Sch C'!F19</f>
        <v>0</v>
      </c>
      <c r="E34" s="171">
        <f t="shared" si="4"/>
        <v>22245</v>
      </c>
      <c r="F34" s="683">
        <f>(-875)</f>
        <v>-875</v>
      </c>
      <c r="G34" s="171">
        <f t="shared" si="5"/>
        <v>21370</v>
      </c>
      <c r="H34" s="172">
        <f t="shared" si="6"/>
        <v>3.2836892379198034E-3</v>
      </c>
      <c r="I34" s="336"/>
      <c r="J34" s="168"/>
      <c r="K34" s="168"/>
      <c r="M34" s="359">
        <f t="shared" si="7"/>
        <v>1.4754211543772437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'[7]Sch C'!D20</f>
        <v>14637</v>
      </c>
      <c r="D35" s="558">
        <f>'[7]Sch C'!F20</f>
        <v>0</v>
      </c>
      <c r="E35" s="171">
        <f t="shared" si="4"/>
        <v>14637</v>
      </c>
      <c r="F35" s="682">
        <f>(-1205)</f>
        <v>-1205</v>
      </c>
      <c r="G35" s="171">
        <f t="shared" si="5"/>
        <v>13432</v>
      </c>
      <c r="H35" s="172">
        <f t="shared" si="6"/>
        <v>2.0639454302170709E-3</v>
      </c>
      <c r="I35" s="336"/>
      <c r="J35" s="168"/>
      <c r="K35" s="168"/>
      <c r="M35" s="359">
        <f t="shared" si="7"/>
        <v>0.92736813035073185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'[7]Sch C'!D21</f>
        <v>5360</v>
      </c>
      <c r="D36" s="558">
        <f>'[7]Sch C'!F21</f>
        <v>0</v>
      </c>
      <c r="E36" s="171">
        <f t="shared" si="4"/>
        <v>5360</v>
      </c>
      <c r="F36" s="171"/>
      <c r="G36" s="171">
        <f t="shared" si="5"/>
        <v>5360</v>
      </c>
      <c r="H36" s="172">
        <f t="shared" si="6"/>
        <v>8.2361133903837845E-4</v>
      </c>
      <c r="I36" s="336"/>
      <c r="J36" s="168"/>
      <c r="K36" s="168"/>
      <c r="M36" s="359">
        <f t="shared" si="7"/>
        <v>0.37006351836509249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'[7]Sch C'!D22</f>
        <v>0</v>
      </c>
      <c r="D37" s="558">
        <f>'[7]Sch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'[7]Sch C'!D23</f>
        <v>7943</v>
      </c>
      <c r="D38" s="558">
        <f>'[7]Sch C'!F23</f>
        <v>0</v>
      </c>
      <c r="E38" s="171">
        <f t="shared" si="4"/>
        <v>7943</v>
      </c>
      <c r="F38" s="683">
        <f>(875)</f>
        <v>875</v>
      </c>
      <c r="G38" s="171">
        <f t="shared" si="5"/>
        <v>8818</v>
      </c>
      <c r="H38" s="172">
        <f t="shared" si="6"/>
        <v>1.3549635797836606E-3</v>
      </c>
      <c r="I38" s="336"/>
      <c r="J38" s="168"/>
      <c r="K38" s="168"/>
      <c r="M38" s="359">
        <f t="shared" si="7"/>
        <v>0.6088097210715272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'[7]Sch C'!D24</f>
        <v>11418</v>
      </c>
      <c r="D39" s="558">
        <f>'[7]Sch C'!F24</f>
        <v>0</v>
      </c>
      <c r="E39" s="171">
        <f t="shared" si="4"/>
        <v>11418</v>
      </c>
      <c r="F39" s="171"/>
      <c r="G39" s="171">
        <f t="shared" si="5"/>
        <v>11418</v>
      </c>
      <c r="H39" s="172">
        <f t="shared" si="6"/>
        <v>1.7544765427500383E-3</v>
      </c>
      <c r="I39" s="336"/>
      <c r="J39" s="168"/>
      <c r="K39" s="168"/>
      <c r="M39" s="359">
        <f t="shared" si="7"/>
        <v>0.78831814415907209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'[7]Sch C'!D25</f>
        <v>0</v>
      </c>
      <c r="D40" s="558">
        <f>'[7]Sch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'[7]Sch C'!D26</f>
        <v>29275</v>
      </c>
      <c r="D41" s="558">
        <f>'[7]Sch C'!F26</f>
        <v>0</v>
      </c>
      <c r="E41" s="171">
        <f t="shared" si="4"/>
        <v>29275</v>
      </c>
      <c r="F41" s="171"/>
      <c r="G41" s="171">
        <f t="shared" si="5"/>
        <v>29275</v>
      </c>
      <c r="H41" s="172">
        <f t="shared" si="6"/>
        <v>4.4983623041695018E-3</v>
      </c>
      <c r="I41" s="336"/>
      <c r="J41" s="168"/>
      <c r="K41" s="168"/>
      <c r="M41" s="359">
        <f t="shared" si="7"/>
        <v>2.0211958022645677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'[7]Sch C'!D27</f>
        <v>0</v>
      </c>
      <c r="D42" s="558">
        <f>'[7]Sch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'[7]Sch C'!D28</f>
        <v>0</v>
      </c>
      <c r="D43" s="558">
        <f>'[7]Sch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'[7]Sch C'!D29</f>
        <v>0</v>
      </c>
      <c r="D44" s="558">
        <f>'[7]Sch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'[7]Sch C'!D30</f>
        <v>0</v>
      </c>
      <c r="D45" s="558">
        <f>'[7]Sch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'[7]Sch C'!D31</f>
        <v>46729</v>
      </c>
      <c r="D46" s="558">
        <f>'[7]Sch C'!F31</f>
        <v>0</v>
      </c>
      <c r="E46" s="171">
        <f t="shared" si="4"/>
        <v>46729</v>
      </c>
      <c r="F46" s="171"/>
      <c r="G46" s="171">
        <f t="shared" si="5"/>
        <v>46729</v>
      </c>
      <c r="H46" s="172">
        <f t="shared" si="6"/>
        <v>7.1803235563291769E-3</v>
      </c>
      <c r="I46" s="336"/>
      <c r="J46" s="168"/>
      <c r="K46" s="168"/>
      <c r="M46" s="359">
        <f t="shared" si="7"/>
        <v>3.2262496547914941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'[7]Sch C'!D32</f>
        <v>20667</v>
      </c>
      <c r="D47" s="558">
        <f>'[7]Sch C'!F32</f>
        <v>0</v>
      </c>
      <c r="E47" s="171">
        <f t="shared" si="4"/>
        <v>20667</v>
      </c>
      <c r="F47" s="171"/>
      <c r="G47" s="171">
        <f t="shared" si="5"/>
        <v>20667</v>
      </c>
      <c r="H47" s="172">
        <f t="shared" si="6"/>
        <v>3.1756670790869714E-3</v>
      </c>
      <c r="I47" s="336"/>
      <c r="J47" s="168"/>
      <c r="K47" s="168"/>
      <c r="M47" s="359">
        <f t="shared" si="7"/>
        <v>1.4268848384424193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'[7]Sch C'!D33</f>
        <v>0</v>
      </c>
      <c r="D48" s="558">
        <f>'[7]Sch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'[7]Sch C'!D34</f>
        <v>0</v>
      </c>
      <c r="D49" s="558">
        <f>'[7]Sch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'[7]Sch C'!D35</f>
        <v>132</v>
      </c>
      <c r="D50" s="558">
        <f>'[7]Sch C'!F35</f>
        <v>-132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'[7]Sch C'!D36</f>
        <v>37833</v>
      </c>
      <c r="D51" s="558">
        <f>'[7]Sch C'!F36</f>
        <v>0</v>
      </c>
      <c r="E51" s="171">
        <f t="shared" si="4"/>
        <v>37833</v>
      </c>
      <c r="F51" s="171"/>
      <c r="G51" s="171">
        <f t="shared" si="5"/>
        <v>37833</v>
      </c>
      <c r="H51" s="172">
        <f t="shared" si="6"/>
        <v>5.8133745876565246E-3</v>
      </c>
      <c r="I51" s="336"/>
      <c r="J51" s="183">
        <v>2080.8000000000002</v>
      </c>
      <c r="K51" s="183">
        <v>2080.8000000000002</v>
      </c>
      <c r="M51" s="359">
        <f t="shared" si="7"/>
        <v>2.6120546810273404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'[7]Sch C'!D37</f>
        <v>0</v>
      </c>
      <c r="D52" s="558">
        <f>'[7]Sch C'!F37</f>
        <v>3817</v>
      </c>
      <c r="E52" s="171">
        <f t="shared" si="4"/>
        <v>3817</v>
      </c>
      <c r="F52" s="171"/>
      <c r="G52" s="171">
        <f t="shared" si="5"/>
        <v>3817</v>
      </c>
      <c r="H52" s="172">
        <f t="shared" si="6"/>
        <v>5.8651576140102439E-4</v>
      </c>
      <c r="I52" s="336"/>
      <c r="J52" s="168"/>
      <c r="K52" s="168"/>
      <c r="M52" s="359">
        <f t="shared" si="7"/>
        <v>0.26353217343275337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'[7]Sch C'!D38</f>
        <v>0</v>
      </c>
      <c r="D53" s="558">
        <f>'[7]Sch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'[7]Sch C'!D39</f>
        <v>1854</v>
      </c>
      <c r="D54" s="558">
        <f>'[7]Sch C'!F39</f>
        <v>0</v>
      </c>
      <c r="E54" s="171">
        <f t="shared" si="4"/>
        <v>1854</v>
      </c>
      <c r="F54" s="171"/>
      <c r="G54" s="171">
        <f t="shared" si="5"/>
        <v>1854</v>
      </c>
      <c r="H54" s="172">
        <f t="shared" si="6"/>
        <v>2.8488347436140925E-4</v>
      </c>
      <c r="I54" s="336"/>
      <c r="J54" s="168"/>
      <c r="K54" s="168"/>
      <c r="M54" s="359">
        <f t="shared" si="7"/>
        <v>0.12800331400165699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'[7]Sch C'!D40</f>
        <v>19258</v>
      </c>
      <c r="D55" s="558">
        <f>'[7]Sch C'!F40</f>
        <v>-19258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'[7]Sch C'!D41</f>
        <v>67384</v>
      </c>
      <c r="D56" s="558">
        <f>'[7]Sch C'!F41</f>
        <v>0</v>
      </c>
      <c r="E56" s="171">
        <f t="shared" si="4"/>
        <v>67384</v>
      </c>
      <c r="F56" s="683">
        <f>(-686)</f>
        <v>-686</v>
      </c>
      <c r="G56" s="171">
        <f t="shared" si="5"/>
        <v>66698</v>
      </c>
      <c r="H56" s="172">
        <f t="shared" si="6"/>
        <v>1.0248736770742867E-2</v>
      </c>
      <c r="I56" s="336"/>
      <c r="J56" s="168"/>
      <c r="K56" s="168"/>
      <c r="M56" s="359">
        <f t="shared" si="7"/>
        <v>4.6049433858050266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'[7]Sch C'!D42</f>
        <v>7543</v>
      </c>
      <c r="D57" s="558">
        <f>'[7]Sch C'!F42</f>
        <v>0</v>
      </c>
      <c r="E57" s="171">
        <f t="shared" si="4"/>
        <v>7543</v>
      </c>
      <c r="F57" s="171"/>
      <c r="G57" s="171">
        <f t="shared" si="5"/>
        <v>7543</v>
      </c>
      <c r="H57" s="172">
        <f t="shared" si="6"/>
        <v>1.1590485690982256E-3</v>
      </c>
      <c r="I57" s="336"/>
      <c r="J57" s="168"/>
      <c r="K57" s="168"/>
      <c r="M57" s="359">
        <f t="shared" si="7"/>
        <v>0.5207815520574427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'[7]Sch C'!D43</f>
        <v>13638</v>
      </c>
      <c r="D58" s="558">
        <f>'[7]Sch C'!F43</f>
        <v>-13638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'[7]Sch C'!D44</f>
        <v>0</v>
      </c>
      <c r="D59" s="558">
        <f>'[7]Sch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'[7]Sch C'!D45</f>
        <v>5514</v>
      </c>
      <c r="D60" s="558">
        <f>'[7]Sch C'!F45</f>
        <v>0</v>
      </c>
      <c r="E60" s="171">
        <f t="shared" si="4"/>
        <v>5514</v>
      </c>
      <c r="F60" s="171"/>
      <c r="G60" s="171">
        <f t="shared" si="5"/>
        <v>5514</v>
      </c>
      <c r="H60" s="172">
        <f t="shared" si="6"/>
        <v>8.4727479915254077E-4</v>
      </c>
      <c r="I60" s="336"/>
      <c r="J60" s="168"/>
      <c r="K60" s="168"/>
      <c r="M60" s="359">
        <f t="shared" si="7"/>
        <v>0.38069594034797016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831698</v>
      </c>
      <c r="D61" s="558">
        <f>SUM(D25:D60)</f>
        <v>-110493</v>
      </c>
      <c r="E61" s="171">
        <f t="shared" ref="E61:F61" si="8">SUM(E25:E60)</f>
        <v>721205</v>
      </c>
      <c r="F61" s="171">
        <f t="shared" si="8"/>
        <v>-1891</v>
      </c>
      <c r="G61" s="171">
        <f>SUM(G25:G60)</f>
        <v>719314</v>
      </c>
      <c r="H61" s="186">
        <f t="shared" si="6"/>
        <v>0.11052894901661421</v>
      </c>
      <c r="I61" s="338"/>
      <c r="J61" s="168"/>
      <c r="K61" s="168"/>
      <c r="M61" s="364">
        <f>G61/G$228</f>
        <v>49.662662247997794</v>
      </c>
      <c r="N61" s="359">
        <f>SUMMARY!J64</f>
        <v>53.728790309602623</v>
      </c>
      <c r="O61" s="354">
        <f>M61/N61-1</f>
        <v>-7.5678756922954893E-2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'[7]Sch C'!D57</f>
        <v>698226</v>
      </c>
      <c r="D64" s="558">
        <f>'[7]Sch C'!F57</f>
        <v>0</v>
      </c>
      <c r="E64" s="171">
        <f t="shared" ref="E64:E78" si="9">C64+D64</f>
        <v>698226</v>
      </c>
      <c r="F64" s="683">
        <f>(-698226)</f>
        <v>-698226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'[7]Sch C'!D58</f>
        <v>0</v>
      </c>
      <c r="D65" s="558">
        <f>'[7]Sch C'!F58</f>
        <v>0</v>
      </c>
      <c r="E65" s="171">
        <f t="shared" si="9"/>
        <v>0</v>
      </c>
      <c r="F65" s="683">
        <f>(294031)</f>
        <v>294031</v>
      </c>
      <c r="G65" s="171">
        <f t="shared" si="10"/>
        <v>294031</v>
      </c>
      <c r="H65" s="172">
        <f t="shared" si="11"/>
        <v>4.518046000537191E-2</v>
      </c>
      <c r="I65" s="336"/>
      <c r="J65" s="190"/>
      <c r="K65" s="168"/>
      <c r="M65" s="359">
        <f t="shared" si="12"/>
        <v>20.300400441866888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'[7]Sch C'!D59</f>
        <v>0</v>
      </c>
      <c r="D66" s="558">
        <f>'[7]Sch C'!F59</f>
        <v>0</v>
      </c>
      <c r="E66" s="171">
        <f t="shared" si="9"/>
        <v>0</v>
      </c>
      <c r="F66" s="683">
        <f>(382077)</f>
        <v>382077</v>
      </c>
      <c r="G66" s="171">
        <f t="shared" si="10"/>
        <v>382077</v>
      </c>
      <c r="H66" s="172">
        <f t="shared" si="11"/>
        <v>5.8709505519732558E-2</v>
      </c>
      <c r="I66" s="336"/>
      <c r="J66" s="190"/>
      <c r="K66" s="168"/>
      <c r="M66" s="359">
        <f t="shared" si="12"/>
        <v>26.379246064623032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'[7]Sch C'!D60</f>
        <v>127285</v>
      </c>
      <c r="D67" s="558">
        <f>'[7]Sch C'!F60</f>
        <v>0</v>
      </c>
      <c r="E67" s="171">
        <f t="shared" si="9"/>
        <v>127285</v>
      </c>
      <c r="F67" s="171"/>
      <c r="G67" s="171">
        <f t="shared" si="10"/>
        <v>127285</v>
      </c>
      <c r="H67" s="172">
        <f t="shared" si="11"/>
        <v>1.9558464419682835E-2</v>
      </c>
      <c r="I67" s="336"/>
      <c r="J67" s="193"/>
      <c r="K67" s="168"/>
      <c r="M67" s="359">
        <f t="shared" si="12"/>
        <v>8.7879729356531353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'[7]Sch C'!D61</f>
        <v>0</v>
      </c>
      <c r="D68" s="558">
        <f>'[7]Sch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'[7]Sch C'!D62</f>
        <v>0</v>
      </c>
      <c r="D69" s="558">
        <f>'[7]Sch C'!F62</f>
        <v>0</v>
      </c>
      <c r="E69" s="171">
        <f t="shared" si="9"/>
        <v>0</v>
      </c>
      <c r="F69" s="683">
        <f>(14313)</f>
        <v>14313</v>
      </c>
      <c r="G69" s="171">
        <f t="shared" si="10"/>
        <v>14313</v>
      </c>
      <c r="H69" s="172">
        <f t="shared" si="11"/>
        <v>2.1993188611299087E-3</v>
      </c>
      <c r="I69" s="336"/>
      <c r="J69" s="195"/>
      <c r="K69" s="168"/>
      <c r="M69" s="359">
        <f t="shared" si="12"/>
        <v>0.98819386909693452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'[7]Sch C'!D63</f>
        <v>0</v>
      </c>
      <c r="D70" s="558">
        <f>'[7]Sch C'!F63</f>
        <v>0</v>
      </c>
      <c r="E70" s="171">
        <f t="shared" si="9"/>
        <v>0</v>
      </c>
      <c r="F70" s="683">
        <f>(1695)</f>
        <v>1695</v>
      </c>
      <c r="G70" s="171">
        <f t="shared" si="10"/>
        <v>1695</v>
      </c>
      <c r="H70" s="172">
        <f t="shared" si="11"/>
        <v>2.6045172008769615E-4</v>
      </c>
      <c r="I70" s="336"/>
      <c r="J70" s="195"/>
      <c r="K70" s="168"/>
      <c r="M70" s="359">
        <f t="shared" si="12"/>
        <v>0.11702568351284176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'[7]Sch C'!D64</f>
        <v>0</v>
      </c>
      <c r="D71" s="558">
        <f>'[7]Sch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'[7]Sch C'!D65</f>
        <v>6852</v>
      </c>
      <c r="D72" s="558">
        <f>'[7]Sch C'!F65</f>
        <v>0</v>
      </c>
      <c r="E72" s="171">
        <f t="shared" si="9"/>
        <v>6852</v>
      </c>
      <c r="F72" s="171"/>
      <c r="G72" s="171">
        <f t="shared" si="10"/>
        <v>6852</v>
      </c>
      <c r="H72" s="172">
        <f t="shared" si="11"/>
        <v>1.0528703162483151E-3</v>
      </c>
      <c r="I72" s="336"/>
      <c r="J72" s="195"/>
      <c r="K72" s="168"/>
      <c r="M72" s="359">
        <f t="shared" si="12"/>
        <v>0.47307373653686829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'[7]Sch C'!D66</f>
        <v>15684</v>
      </c>
      <c r="D73" s="558">
        <f>'[7]Sch C'!F66</f>
        <v>0</v>
      </c>
      <c r="E73" s="171">
        <f t="shared" si="9"/>
        <v>15684</v>
      </c>
      <c r="F73" s="683">
        <f>-15684+686</f>
        <v>-14998</v>
      </c>
      <c r="G73" s="171">
        <f t="shared" si="10"/>
        <v>686</v>
      </c>
      <c r="H73" s="172">
        <f t="shared" si="11"/>
        <v>1.0540995869035964E-4</v>
      </c>
      <c r="I73" s="336"/>
      <c r="J73" s="195"/>
      <c r="K73" s="168"/>
      <c r="M73" s="359">
        <f t="shared" si="12"/>
        <v>4.7362607014636841E-2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'[7]Sch C'!D67</f>
        <v>0</v>
      </c>
      <c r="D74" s="558">
        <f>'[7]Sch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'[7]Sch C'!D68</f>
        <v>0</v>
      </c>
      <c r="D75" s="558">
        <f>'[7]Sch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'[7]Sch C'!D69</f>
        <v>0</v>
      </c>
      <c r="D76" s="558">
        <f>'[7]Sch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'[7]Sch C'!D70</f>
        <v>0</v>
      </c>
      <c r="D77" s="558">
        <f>'[7]Sch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'[7]Sch C'!D71</f>
        <v>0</v>
      </c>
      <c r="D78" s="558">
        <f>'[7]Sch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848047</v>
      </c>
      <c r="D79" s="558">
        <f>SUM(D64:D78)</f>
        <v>0</v>
      </c>
      <c r="E79" s="171">
        <f t="shared" ref="E79:F79" si="13">SUM(E64:E78)</f>
        <v>848047</v>
      </c>
      <c r="F79" s="171">
        <f t="shared" si="13"/>
        <v>-21108</v>
      </c>
      <c r="G79" s="171">
        <f>SUM(G64:G78)</f>
        <v>826939</v>
      </c>
      <c r="H79" s="172">
        <f t="shared" si="11"/>
        <v>0.1270664808009436</v>
      </c>
      <c r="I79" s="336"/>
      <c r="J79" s="195"/>
      <c r="K79" s="168"/>
      <c r="M79" s="359">
        <f t="shared" si="12"/>
        <v>57.093275338304338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'[7]Sch C'!D75</f>
        <v>58059</v>
      </c>
      <c r="D82" s="558">
        <f>'[7]Sch C'!F75</f>
        <v>0</v>
      </c>
      <c r="E82" s="171">
        <f t="shared" ref="E82:E92" si="14">C82+D82</f>
        <v>58059</v>
      </c>
      <c r="F82" s="171"/>
      <c r="G82" s="171">
        <f t="shared" ref="G82:G92" si="15">E82+F82</f>
        <v>58059</v>
      </c>
      <c r="H82" s="172">
        <f t="shared" ref="H82:H93" si="16">IF($G$208=0,0,G82/$G$208)</f>
        <v>8.9212781218711221E-3</v>
      </c>
      <c r="I82" s="336"/>
      <c r="J82" s="183">
        <v>1928</v>
      </c>
      <c r="K82" s="183">
        <v>2080</v>
      </c>
      <c r="M82" s="359">
        <f t="shared" ref="M82:M92" si="17">G82/G$228</f>
        <v>4.0084921292460649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'[7]Sch C'!D76</f>
        <v>4812</v>
      </c>
      <c r="D83" s="558">
        <f>'[7]Sch C'!F76</f>
        <v>2079</v>
      </c>
      <c r="E83" s="171">
        <f t="shared" si="14"/>
        <v>6891</v>
      </c>
      <c r="F83" s="171"/>
      <c r="G83" s="171">
        <f t="shared" si="15"/>
        <v>6891</v>
      </c>
      <c r="H83" s="172">
        <f t="shared" si="16"/>
        <v>1.0588630106928107E-3</v>
      </c>
      <c r="I83" s="336"/>
      <c r="J83" s="168"/>
      <c r="K83" s="168"/>
      <c r="M83" s="359">
        <f t="shared" si="17"/>
        <v>0.47576636288318142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'[7]Sch C'!D77</f>
        <v>9645</v>
      </c>
      <c r="D84" s="558">
        <f>'[7]Sch C'!F77</f>
        <v>0</v>
      </c>
      <c r="E84" s="171">
        <f t="shared" si="14"/>
        <v>9645</v>
      </c>
      <c r="F84" s="171"/>
      <c r="G84" s="171">
        <f t="shared" si="15"/>
        <v>9645</v>
      </c>
      <c r="H84" s="172">
        <f t="shared" si="16"/>
        <v>1.4820394337733507E-3</v>
      </c>
      <c r="I84" s="336"/>
      <c r="J84" s="168"/>
      <c r="K84" s="168"/>
      <c r="M84" s="359">
        <f t="shared" si="17"/>
        <v>0.66590720795360403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'[7]Sch C'!D78</f>
        <v>6067</v>
      </c>
      <c r="D85" s="558">
        <f>'[7]Sch C'!F78</f>
        <v>0</v>
      </c>
      <c r="E85" s="171">
        <f t="shared" si="14"/>
        <v>6067</v>
      </c>
      <c r="F85" s="683">
        <f>(509)</f>
        <v>509</v>
      </c>
      <c r="G85" s="171">
        <f t="shared" si="15"/>
        <v>6576</v>
      </c>
      <c r="H85" s="172">
        <f t="shared" si="16"/>
        <v>1.0104604786411149E-3</v>
      </c>
      <c r="I85" s="336"/>
      <c r="J85" s="168"/>
      <c r="K85" s="168"/>
      <c r="M85" s="359">
        <f t="shared" si="17"/>
        <v>0.45401822700911348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'[7]Sch C'!D79</f>
        <v>0</v>
      </c>
      <c r="D86" s="558">
        <f>'[7]Sch C'!F79</f>
        <v>0</v>
      </c>
      <c r="E86" s="171">
        <f t="shared" si="14"/>
        <v>0</v>
      </c>
      <c r="F86" s="683">
        <f>(1205)</f>
        <v>1205</v>
      </c>
      <c r="G86" s="171">
        <f>E86+F86</f>
        <v>1205</v>
      </c>
      <c r="H86" s="172">
        <f t="shared" si="16"/>
        <v>1.8515889245172501E-4</v>
      </c>
      <c r="I86" s="336"/>
      <c r="J86" s="168"/>
      <c r="K86" s="168"/>
      <c r="M86" s="359">
        <f t="shared" si="17"/>
        <v>8.3195249930958295E-2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'[7]Sch C'!D80</f>
        <v>21326</v>
      </c>
      <c r="D87" s="558">
        <f>'[7]Sch C'!F80</f>
        <v>0</v>
      </c>
      <c r="E87" s="171">
        <f t="shared" si="14"/>
        <v>21326</v>
      </c>
      <c r="F87" s="171"/>
      <c r="G87" s="171">
        <f t="shared" si="15"/>
        <v>21326</v>
      </c>
      <c r="H87" s="172">
        <f t="shared" si="16"/>
        <v>3.2769282493157574E-3</v>
      </c>
      <c r="I87" s="336"/>
      <c r="J87" s="168"/>
      <c r="K87" s="168"/>
      <c r="M87" s="359">
        <f t="shared" si="17"/>
        <v>1.4723833195249931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'[7]Sch C'!D81</f>
        <v>11149</v>
      </c>
      <c r="D88" s="558">
        <f>'[7]Sch C'!F81</f>
        <v>-11149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6"/>
      <c r="J88" s="168"/>
      <c r="K88" s="168"/>
      <c r="M88" s="359">
        <f t="shared" si="17"/>
        <v>0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'[7]Sch C'!D82</f>
        <v>21914</v>
      </c>
      <c r="D89" s="558">
        <f>'[7]Sch C'!F82</f>
        <v>-20108</v>
      </c>
      <c r="E89" s="171">
        <f t="shared" si="14"/>
        <v>1806</v>
      </c>
      <c r="F89" s="171"/>
      <c r="G89" s="171">
        <f t="shared" si="15"/>
        <v>1806</v>
      </c>
      <c r="H89" s="172">
        <f t="shared" si="16"/>
        <v>2.7750785042972227E-4</v>
      </c>
      <c r="I89" s="336"/>
      <c r="J89" s="168"/>
      <c r="K89" s="168"/>
      <c r="M89" s="359">
        <f t="shared" si="17"/>
        <v>0.12468931234465618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'[7]Sch C'!D83</f>
        <v>0</v>
      </c>
      <c r="D90" s="558">
        <f>'[7]Sch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'[7]Sch C'!D84</f>
        <v>117351</v>
      </c>
      <c r="D91" s="558">
        <f>'[7]Sch C'!F84</f>
        <v>0</v>
      </c>
      <c r="E91" s="171">
        <f t="shared" si="14"/>
        <v>117351</v>
      </c>
      <c r="F91" s="171"/>
      <c r="G91" s="171">
        <f t="shared" si="15"/>
        <v>117351</v>
      </c>
      <c r="H91" s="172">
        <f t="shared" si="16"/>
        <v>1.8032017583487454E-2</v>
      </c>
      <c r="I91" s="336"/>
      <c r="J91" s="168"/>
      <c r="K91" s="168"/>
      <c r="M91" s="359">
        <f t="shared" si="17"/>
        <v>8.102112676056338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'[7]Sch C'!D85</f>
        <v>761</v>
      </c>
      <c r="D92" s="558">
        <f>'[7]Sch C'!F85</f>
        <v>0</v>
      </c>
      <c r="E92" s="171">
        <f t="shared" si="14"/>
        <v>761</v>
      </c>
      <c r="F92" s="171"/>
      <c r="G92" s="171">
        <f t="shared" si="15"/>
        <v>761</v>
      </c>
      <c r="H92" s="172">
        <f t="shared" si="16"/>
        <v>1.1693437108362053E-4</v>
      </c>
      <c r="I92" s="336"/>
      <c r="J92" s="168"/>
      <c r="K92" s="168"/>
      <c r="M92" s="359">
        <f t="shared" si="17"/>
        <v>5.2540734603700637E-2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251084</v>
      </c>
      <c r="D93" s="558">
        <f>SUM(D82:D92)</f>
        <v>-29178</v>
      </c>
      <c r="E93" s="171">
        <f t="shared" ref="E93:F93" si="18">SUM(E82:E92)</f>
        <v>221906</v>
      </c>
      <c r="F93" s="171">
        <f t="shared" si="18"/>
        <v>1714</v>
      </c>
      <c r="G93" s="171">
        <f>SUM(G82:G92)</f>
        <v>223620</v>
      </c>
      <c r="H93" s="172">
        <f t="shared" si="16"/>
        <v>3.4361187991746679E-2</v>
      </c>
      <c r="I93" s="336"/>
      <c r="J93" s="168"/>
      <c r="K93" s="168"/>
      <c r="M93" s="364">
        <f>G93/G$228</f>
        <v>15.43910521955261</v>
      </c>
      <c r="N93" s="359">
        <f>SUMMARY!J96</f>
        <v>11.458724454710746</v>
      </c>
      <c r="O93" s="354">
        <f>M93/N93-1</f>
        <v>0.34736682783270068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'[7]Sch C'!D89</f>
        <v>177352</v>
      </c>
      <c r="D96" s="558">
        <f>'[7]Sch C'!F89</f>
        <v>0</v>
      </c>
      <c r="E96" s="171">
        <f t="shared" ref="E96:E101" si="19">C96+D96</f>
        <v>177352</v>
      </c>
      <c r="F96" s="171"/>
      <c r="G96" s="171">
        <f t="shared" ref="G96:G101" si="20">E96+F96</f>
        <v>177352</v>
      </c>
      <c r="H96" s="172">
        <f t="shared" ref="H96:H102" si="21">IF($G$208=0,0,G96/$G$208)</f>
        <v>2.7251701156928078E-2</v>
      </c>
      <c r="I96" s="336"/>
      <c r="J96" s="183">
        <v>11085.38</v>
      </c>
      <c r="K96" s="183">
        <v>11085.38</v>
      </c>
      <c r="M96" s="364">
        <f t="shared" ref="M96:M101" si="22">G96/G$228</f>
        <v>12.244683789008562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'[7]Sch C'!D90</f>
        <v>16100</v>
      </c>
      <c r="D97" s="558">
        <f>'[7]Sch C'!F90</f>
        <v>6349</v>
      </c>
      <c r="E97" s="171">
        <f t="shared" si="19"/>
        <v>22449</v>
      </c>
      <c r="F97" s="171"/>
      <c r="G97" s="171">
        <f t="shared" si="20"/>
        <v>22449</v>
      </c>
      <c r="H97" s="172">
        <f t="shared" si="21"/>
        <v>3.4494871175508503E-3</v>
      </c>
      <c r="I97" s="336"/>
      <c r="J97" s="168"/>
      <c r="K97" s="168"/>
      <c r="M97" s="364">
        <f t="shared" si="22"/>
        <v>1.5499171499585749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'[7]Sch C'!D91</f>
        <v>30403</v>
      </c>
      <c r="D98" s="558">
        <f>'[7]Sch C'!F91</f>
        <v>0</v>
      </c>
      <c r="E98" s="171">
        <f t="shared" si="19"/>
        <v>30403</v>
      </c>
      <c r="F98" s="171"/>
      <c r="G98" s="171">
        <f t="shared" si="20"/>
        <v>30403</v>
      </c>
      <c r="H98" s="172">
        <f t="shared" si="21"/>
        <v>4.6716894665641455E-3</v>
      </c>
      <c r="I98" s="336"/>
      <c r="J98" s="168"/>
      <c r="K98" s="168"/>
      <c r="M98" s="364">
        <f t="shared" si="22"/>
        <v>2.0990748412040872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'[7]Sch C'!D92</f>
        <v>131890</v>
      </c>
      <c r="D99" s="558">
        <f>'[7]Sch C'!F92</f>
        <v>0</v>
      </c>
      <c r="E99" s="171">
        <f t="shared" si="19"/>
        <v>131890</v>
      </c>
      <c r="F99" s="490">
        <v>-1190</v>
      </c>
      <c r="G99" s="171">
        <f t="shared" si="20"/>
        <v>130700</v>
      </c>
      <c r="H99" s="172">
        <f t="shared" si="21"/>
        <v>2.0083209330655983E-2</v>
      </c>
      <c r="I99" s="336"/>
      <c r="J99" s="168"/>
      <c r="K99" s="168"/>
      <c r="M99" s="364">
        <f t="shared" si="22"/>
        <v>9.0237503452085051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'[7]Sch C'!D93</f>
        <v>27711</v>
      </c>
      <c r="D100" s="558">
        <f>'[7]Sch C'!F93</f>
        <v>0</v>
      </c>
      <c r="E100" s="171">
        <f t="shared" si="19"/>
        <v>27711</v>
      </c>
      <c r="F100" s="171"/>
      <c r="G100" s="171">
        <f t="shared" si="20"/>
        <v>27711</v>
      </c>
      <c r="H100" s="172">
        <f t="shared" si="21"/>
        <v>4.2580398910620348E-3</v>
      </c>
      <c r="I100" s="336"/>
      <c r="J100" s="168"/>
      <c r="K100" s="168"/>
      <c r="M100" s="364">
        <f t="shared" si="22"/>
        <v>1.9132145816072907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'[7]Sch C'!D94</f>
        <v>0</v>
      </c>
      <c r="D101" s="558">
        <f>'[7]Sch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383456</v>
      </c>
      <c r="D102" s="558">
        <f>SUM(D96:D101)</f>
        <v>6349</v>
      </c>
      <c r="E102" s="171">
        <f t="shared" ref="E102:F102" si="23">SUM(E96:E101)</f>
        <v>389805</v>
      </c>
      <c r="F102" s="171">
        <f t="shared" si="23"/>
        <v>-1190</v>
      </c>
      <c r="G102" s="171">
        <f>SUM(G96:G101)</f>
        <v>388615</v>
      </c>
      <c r="H102" s="172">
        <f t="shared" si="21"/>
        <v>5.9714126962761092E-2</v>
      </c>
      <c r="I102" s="336"/>
      <c r="J102" s="168"/>
      <c r="K102" s="168"/>
      <c r="M102" s="364">
        <f>G102/G$228</f>
        <v>26.830640706987019</v>
      </c>
      <c r="N102" s="359">
        <f>SUMMARY!J105</f>
        <v>19.901077037785338</v>
      </c>
      <c r="O102" s="354">
        <f>M102/N102-1</f>
        <v>0.34820043438075277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'[7]Sch C'!D98</f>
        <v>0</v>
      </c>
      <c r="D105" s="558">
        <f>'[7]Sch C'!F98</f>
        <v>34973</v>
      </c>
      <c r="E105" s="171">
        <f t="shared" ref="E105:E110" si="24">C105+D105</f>
        <v>34973</v>
      </c>
      <c r="F105" s="171"/>
      <c r="G105" s="171">
        <f t="shared" ref="G105:G110" si="25">E105+F105</f>
        <v>34973</v>
      </c>
      <c r="H105" s="172">
        <f t="shared" ref="H105:H111" si="26">IF($G$208=0,0,G105/$G$208)</f>
        <v>5.3739103283935094E-3</v>
      </c>
      <c r="I105" s="336"/>
      <c r="J105" s="183">
        <v>3678.86</v>
      </c>
      <c r="K105" s="183">
        <v>3678.86</v>
      </c>
      <c r="M105" s="364">
        <f t="shared" ref="M105:M110" si="27">G105/G$228</f>
        <v>2.414595415631041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'[7]Sch C'!D99</f>
        <v>0</v>
      </c>
      <c r="D106" s="558">
        <f>'[7]Sch C'!F99</f>
        <v>4410</v>
      </c>
      <c r="E106" s="171">
        <f t="shared" si="24"/>
        <v>4410</v>
      </c>
      <c r="F106" s="171"/>
      <c r="G106" s="171">
        <f t="shared" si="25"/>
        <v>4410</v>
      </c>
      <c r="H106" s="172">
        <f t="shared" si="26"/>
        <v>6.7763544872374046E-4</v>
      </c>
      <c r="I106" s="336"/>
      <c r="J106" s="168"/>
      <c r="K106" s="168"/>
      <c r="M106" s="364">
        <f t="shared" si="27"/>
        <v>0.30447390223695114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'[7]Sch C'!D100</f>
        <v>2345</v>
      </c>
      <c r="D107" s="558">
        <f>'[7]Sch C'!F100</f>
        <v>0</v>
      </c>
      <c r="E107" s="171">
        <f t="shared" si="24"/>
        <v>2345</v>
      </c>
      <c r="F107" s="171"/>
      <c r="G107" s="171">
        <f t="shared" si="25"/>
        <v>2345</v>
      </c>
      <c r="H107" s="172">
        <f t="shared" si="26"/>
        <v>3.6032996082929059E-4</v>
      </c>
      <c r="I107" s="336"/>
      <c r="J107" s="168"/>
      <c r="K107" s="168"/>
      <c r="M107" s="364">
        <f t="shared" si="27"/>
        <v>0.16190278928472798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'[7]Sch C'!D101</f>
        <v>232</v>
      </c>
      <c r="D108" s="558">
        <f>'[7]Sch C'!F101</f>
        <v>0</v>
      </c>
      <c r="E108" s="171">
        <f t="shared" si="24"/>
        <v>232</v>
      </c>
      <c r="F108" s="171"/>
      <c r="G108" s="171">
        <f t="shared" si="25"/>
        <v>232</v>
      </c>
      <c r="H108" s="172">
        <f t="shared" si="26"/>
        <v>3.5648849003153691E-5</v>
      </c>
      <c r="I108" s="336"/>
      <c r="J108" s="168"/>
      <c r="K108" s="168"/>
      <c r="M108" s="364">
        <f t="shared" si="27"/>
        <v>1.6017674675504006E-2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'[7]Sch C'!D102</f>
        <v>3515</v>
      </c>
      <c r="D109" s="558">
        <f>'[7]Sch C'!F102</f>
        <v>0</v>
      </c>
      <c r="E109" s="171">
        <f t="shared" si="24"/>
        <v>3515</v>
      </c>
      <c r="F109" s="171"/>
      <c r="G109" s="171">
        <f t="shared" si="25"/>
        <v>3515</v>
      </c>
      <c r="H109" s="172">
        <f t="shared" si="26"/>
        <v>5.4011079416416054E-4</v>
      </c>
      <c r="I109" s="336"/>
      <c r="J109" s="168"/>
      <c r="K109" s="168"/>
      <c r="M109" s="364">
        <f t="shared" si="27"/>
        <v>0.24268157967412318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'[7]Sch C'!D103</f>
        <v>0</v>
      </c>
      <c r="D110" s="558">
        <f>'[7]Sch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6092</v>
      </c>
      <c r="D111" s="558">
        <f>SUM(D105:D110)</f>
        <v>39383</v>
      </c>
      <c r="E111" s="171">
        <f t="shared" ref="E111:F111" si="28">SUM(E105:E110)</f>
        <v>45475</v>
      </c>
      <c r="F111" s="171">
        <f t="shared" si="28"/>
        <v>0</v>
      </c>
      <c r="G111" s="171">
        <f>SUM(G105:G110)</f>
        <v>45475</v>
      </c>
      <c r="H111" s="172">
        <f t="shared" si="26"/>
        <v>6.9876353811138547E-3</v>
      </c>
      <c r="I111" s="336"/>
      <c r="J111" s="168"/>
      <c r="K111" s="168"/>
      <c r="M111" s="364">
        <f>G111/G$228</f>
        <v>3.1396713615023475</v>
      </c>
      <c r="N111" s="359">
        <f>SUMMARY!J114</f>
        <v>2.4242384372309496</v>
      </c>
      <c r="O111" s="354">
        <f>M111/N111-1</f>
        <v>0.2951165666231208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'[7]Sch C'!D115</f>
        <v>69945</v>
      </c>
      <c r="D114" s="558">
        <f>'[7]Sch C'!F115</f>
        <v>-34973</v>
      </c>
      <c r="E114" s="171">
        <f t="shared" ref="E114:E118" si="29">C114+D114</f>
        <v>34972</v>
      </c>
      <c r="F114" s="171"/>
      <c r="G114" s="171">
        <f>E114+F114</f>
        <v>34972</v>
      </c>
      <c r="H114" s="172">
        <f t="shared" ref="H114:H119" si="30">IF($G$208=0,0,G114/$G$208)</f>
        <v>5.3737566695615992E-3</v>
      </c>
      <c r="I114" s="336"/>
      <c r="J114" s="183">
        <v>3678.86</v>
      </c>
      <c r="K114" s="183">
        <v>3678.86</v>
      </c>
      <c r="M114" s="364">
        <f t="shared" ref="M114:M119" si="31">G114/G$228</f>
        <v>2.4145263739298537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'[7]Sch C'!D116</f>
        <v>6316</v>
      </c>
      <c r="D115" s="558">
        <f>'[7]Sch C'!F116</f>
        <v>-1906</v>
      </c>
      <c r="E115" s="171">
        <f t="shared" si="29"/>
        <v>4410</v>
      </c>
      <c r="F115" s="171"/>
      <c r="G115" s="171">
        <f>E115+F115</f>
        <v>4410</v>
      </c>
      <c r="H115" s="172">
        <f t="shared" si="30"/>
        <v>6.7763544872374046E-4</v>
      </c>
      <c r="I115" s="336"/>
      <c r="J115" s="168"/>
      <c r="K115" s="168"/>
      <c r="M115" s="364">
        <f t="shared" si="31"/>
        <v>0.30447390223695114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'[7]Sch C'!D117</f>
        <v>16883</v>
      </c>
      <c r="D116" s="558">
        <f>'[7]Sch C'!F117</f>
        <v>0</v>
      </c>
      <c r="E116" s="171">
        <f t="shared" si="29"/>
        <v>16883</v>
      </c>
      <c r="F116" s="171"/>
      <c r="G116" s="171">
        <f>E116+F116</f>
        <v>16883</v>
      </c>
      <c r="H116" s="172">
        <f t="shared" si="30"/>
        <v>2.5942220591389821E-3</v>
      </c>
      <c r="I116" s="336"/>
      <c r="J116" s="168"/>
      <c r="K116" s="168"/>
      <c r="M116" s="364">
        <f t="shared" si="31"/>
        <v>1.165631041148854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'[7]Sch C'!D118</f>
        <v>235</v>
      </c>
      <c r="D117" s="558">
        <f>'[7]Sch C'!F118</f>
        <v>0</v>
      </c>
      <c r="E117" s="171">
        <f t="shared" si="29"/>
        <v>235</v>
      </c>
      <c r="F117" s="171"/>
      <c r="G117" s="171">
        <f>E117+F117</f>
        <v>235</v>
      </c>
      <c r="H117" s="172">
        <f t="shared" si="30"/>
        <v>3.610982549888413E-5</v>
      </c>
      <c r="I117" s="336"/>
      <c r="J117" s="168"/>
      <c r="K117" s="168"/>
      <c r="M117" s="364">
        <f t="shared" si="31"/>
        <v>1.6224799779066556E-2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'[7]Sch C'!D119</f>
        <v>0</v>
      </c>
      <c r="D118" s="558">
        <f>'[7]Sch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387</v>
      </c>
      <c r="C119" s="558">
        <f>SUM(C114:C118)</f>
        <v>93379</v>
      </c>
      <c r="D119" s="558">
        <f>SUM(D114:D118)</f>
        <v>-36879</v>
      </c>
      <c r="E119" s="171">
        <f t="shared" ref="E119:F119" si="32">SUM(E114:E118)</f>
        <v>56500</v>
      </c>
      <c r="F119" s="171">
        <f t="shared" si="32"/>
        <v>0</v>
      </c>
      <c r="G119" s="171">
        <f>SUM(G114:G118)</f>
        <v>56500</v>
      </c>
      <c r="H119" s="172">
        <f t="shared" si="30"/>
        <v>8.6817240029232051E-3</v>
      </c>
      <c r="I119" s="336"/>
      <c r="J119" s="168"/>
      <c r="K119" s="168"/>
      <c r="M119" s="364">
        <f t="shared" si="31"/>
        <v>3.9008561170947251</v>
      </c>
      <c r="N119" s="359">
        <f>SUMMARY!J122</f>
        <v>6.0247597205909562</v>
      </c>
      <c r="O119" s="354">
        <f>M119/N119-1</f>
        <v>-0.35252917991688837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'[7]Sch C'!D124</f>
        <v>0</v>
      </c>
      <c r="D123" s="558">
        <f>'[7]Sch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'[7]Sch C'!D125</f>
        <v>173904</v>
      </c>
      <c r="D124" s="558">
        <f>'[7]Sch C'!F125</f>
        <v>0</v>
      </c>
      <c r="E124" s="171">
        <f t="shared" si="33"/>
        <v>173904</v>
      </c>
      <c r="F124" s="171"/>
      <c r="G124" s="171">
        <f>E124+F124</f>
        <v>173904</v>
      </c>
      <c r="H124" s="172">
        <f>IF($G$208=0,0,G124/$G$208)</f>
        <v>2.6721885504501896E-2</v>
      </c>
      <c r="I124" s="336"/>
      <c r="J124" s="183">
        <v>3710</v>
      </c>
      <c r="K124" s="183">
        <v>3710</v>
      </c>
      <c r="M124" s="364">
        <f t="shared" si="34"/>
        <v>12.006628003314002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'[7]Sch C'!D126</f>
        <v>0</v>
      </c>
      <c r="D125" s="558">
        <f>'[7]Sch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'[7]Sch C'!D127</f>
        <v>0</v>
      </c>
      <c r="D126" s="558">
        <f>'[7]Sch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'[7]Sch C'!D128</f>
        <v>41600</v>
      </c>
      <c r="D127" s="558">
        <f>'[7]Sch C'!F128</f>
        <v>0</v>
      </c>
      <c r="E127" s="171">
        <f t="shared" si="33"/>
        <v>41600</v>
      </c>
      <c r="F127" s="171"/>
      <c r="G127" s="171">
        <f>E127+F127</f>
        <v>41600</v>
      </c>
      <c r="H127" s="172">
        <f>IF($G$208=0,0,G127/$G$208)</f>
        <v>6.392207407462042E-3</v>
      </c>
      <c r="I127" s="336"/>
      <c r="J127" s="183">
        <v>1944.08</v>
      </c>
      <c r="K127" s="183">
        <v>2080.08</v>
      </c>
      <c r="M127" s="364">
        <f t="shared" si="34"/>
        <v>2.8721347694007182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'[7]Sch C'!D130</f>
        <v>0</v>
      </c>
      <c r="D129" s="558">
        <f>'[7]Sch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'[7]Sch C'!D131</f>
        <v>0</v>
      </c>
      <c r="D130" s="558">
        <f>'[7]Sch C'!F131</f>
        <v>21872</v>
      </c>
      <c r="E130" s="171">
        <f t="shared" si="35"/>
        <v>21872</v>
      </c>
      <c r="F130" s="171"/>
      <c r="G130" s="171">
        <f>E130+F130</f>
        <v>21872</v>
      </c>
      <c r="H130" s="172">
        <f>IF($G$208=0,0,G130/$G$208)</f>
        <v>3.3608259715386967E-3</v>
      </c>
      <c r="I130" s="336"/>
      <c r="J130" s="204"/>
      <c r="K130" s="204"/>
      <c r="M130" s="364">
        <f t="shared" si="34"/>
        <v>1.5100800883733776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'[7]Sch C'!D132</f>
        <v>0</v>
      </c>
      <c r="D131" s="558">
        <f>'[7]Sch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'[7]Sch C'!D133</f>
        <v>0</v>
      </c>
      <c r="D132" s="558">
        <f>'[7]Sch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'[7]Sch C'!D134</f>
        <v>0</v>
      </c>
      <c r="D133" s="558">
        <f>'[7]Sch C'!F134</f>
        <v>5232</v>
      </c>
      <c r="E133" s="171">
        <f t="shared" si="35"/>
        <v>5232</v>
      </c>
      <c r="F133" s="171"/>
      <c r="G133" s="171">
        <f>E133+F133</f>
        <v>5232</v>
      </c>
      <c r="H133" s="172">
        <f>IF($G$208=0,0,G133/$G$208)</f>
        <v>8.0394300855387982E-4</v>
      </c>
      <c r="I133" s="336"/>
      <c r="J133" s="168"/>
      <c r="K133" s="168"/>
      <c r="M133" s="364">
        <f t="shared" si="34"/>
        <v>0.36122618061309031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'[7]Sch C'!D136</f>
        <v>529739</v>
      </c>
      <c r="D135" s="558">
        <f>'[7]Sch C'!F136</f>
        <v>-39344</v>
      </c>
      <c r="E135" s="171">
        <f t="shared" ref="E135:E138" si="36">C135+D135</f>
        <v>490395</v>
      </c>
      <c r="F135" s="171"/>
      <c r="G135" s="171">
        <f>E135+F135</f>
        <v>490395</v>
      </c>
      <c r="H135" s="172">
        <f>IF($G$208=0,0,G135/$G$208)</f>
        <v>7.5353522874575668E-2</v>
      </c>
      <c r="I135" s="336"/>
      <c r="J135" s="183">
        <v>15503.62</v>
      </c>
      <c r="K135" s="183">
        <v>15503.62</v>
      </c>
      <c r="M135" s="364">
        <f t="shared" si="34"/>
        <v>33.857705053852527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'[7]Sch C'!D137</f>
        <v>274360</v>
      </c>
      <c r="D136" s="558">
        <f>'[7]Sch C'!F137</f>
        <v>27826</v>
      </c>
      <c r="E136" s="171">
        <f t="shared" si="36"/>
        <v>302186</v>
      </c>
      <c r="F136" s="171"/>
      <c r="G136" s="171">
        <f>E136+F136</f>
        <v>302186</v>
      </c>
      <c r="H136" s="172">
        <f>IF($G$208=0,0,G136/$G$208)</f>
        <v>4.6433547779599148E-2</v>
      </c>
      <c r="I136" s="336"/>
      <c r="J136" s="183">
        <v>11058.36</v>
      </c>
      <c r="K136" s="183">
        <v>11058.36</v>
      </c>
      <c r="M136" s="364">
        <f t="shared" si="34"/>
        <v>20.863435515051091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'[7]Sch C'!D138</f>
        <v>568038</v>
      </c>
      <c r="D137" s="558">
        <f>'[7]Sch C'!F138</f>
        <v>0</v>
      </c>
      <c r="E137" s="171">
        <f t="shared" si="36"/>
        <v>568038</v>
      </c>
      <c r="F137" s="171"/>
      <c r="G137" s="171">
        <f>E137+F137</f>
        <v>568038</v>
      </c>
      <c r="H137" s="172">
        <f>IF($G$208=0,0,G137/$G$208)</f>
        <v>8.7284055560575072E-2</v>
      </c>
      <c r="I137" s="336"/>
      <c r="J137" s="183">
        <v>39229</v>
      </c>
      <c r="K137" s="183">
        <v>39229</v>
      </c>
      <c r="M137" s="364">
        <f t="shared" si="34"/>
        <v>39.218309859154928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'[7]Sch C'!D139</f>
        <v>113570</v>
      </c>
      <c r="D138" s="558">
        <f>'[7]Sch C'!F139</f>
        <v>11518</v>
      </c>
      <c r="E138" s="171">
        <f t="shared" si="36"/>
        <v>125088</v>
      </c>
      <c r="F138" s="171"/>
      <c r="G138" s="171">
        <f>E138+F138</f>
        <v>125088</v>
      </c>
      <c r="H138" s="172">
        <f>IF($G$208=0,0,G138/$G$208)</f>
        <v>1.9220875965976245E-2</v>
      </c>
      <c r="I138" s="336"/>
      <c r="J138" s="183">
        <v>3957.6</v>
      </c>
      <c r="K138" s="183">
        <v>4161.6000000000004</v>
      </c>
      <c r="M138" s="364">
        <f t="shared" si="34"/>
        <v>8.6362883181441585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'[7]Sch C'!D141</f>
        <v>101953</v>
      </c>
      <c r="D140" s="558">
        <f>'[7]Sch C'!F141</f>
        <v>-40275</v>
      </c>
      <c r="E140" s="171">
        <f t="shared" ref="E140:E143" si="37">C140+D140</f>
        <v>61678</v>
      </c>
      <c r="F140" s="171"/>
      <c r="G140" s="171">
        <f>E140+F140</f>
        <v>61678</v>
      </c>
      <c r="H140" s="172">
        <f>IF($G$208=0,0,G140/$G$208)</f>
        <v>9.4773694345539373E-3</v>
      </c>
      <c r="I140" s="336"/>
      <c r="J140" s="168"/>
      <c r="K140" s="168"/>
      <c r="M140" s="364">
        <f t="shared" si="34"/>
        <v>4.2583540458436895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'[7]Sch C'!D142</f>
        <v>0</v>
      </c>
      <c r="D141" s="558">
        <f>'[7]Sch C'!F142</f>
        <v>38006</v>
      </c>
      <c r="E141" s="171">
        <f t="shared" si="37"/>
        <v>38006</v>
      </c>
      <c r="F141" s="171"/>
      <c r="G141" s="171">
        <f>E141+F141</f>
        <v>38006</v>
      </c>
      <c r="H141" s="172">
        <f>IF($G$208=0,0,G141/$G$208)</f>
        <v>5.83995756557698E-3</v>
      </c>
      <c r="I141" s="336"/>
      <c r="J141" s="168"/>
      <c r="K141" s="168"/>
      <c r="M141" s="364">
        <f t="shared" si="34"/>
        <v>2.6239988953327811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'[7]Sch C'!D143</f>
        <v>50579</v>
      </c>
      <c r="D142" s="558">
        <f>'[7]Sch C'!F143</f>
        <v>20336</v>
      </c>
      <c r="E142" s="171">
        <f t="shared" si="37"/>
        <v>70915</v>
      </c>
      <c r="F142" s="171"/>
      <c r="G142" s="171">
        <f>E142+F142</f>
        <v>70915</v>
      </c>
      <c r="H142" s="172">
        <f>IF($G$208=0,0,G142/$G$208)</f>
        <v>1.089671606490795E-2</v>
      </c>
      <c r="I142" s="336"/>
      <c r="J142" s="168"/>
      <c r="K142" s="168"/>
      <c r="M142" s="364">
        <f t="shared" si="34"/>
        <v>4.8960922397127868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'[7]Sch C'!D144</f>
        <v>0</v>
      </c>
      <c r="D143" s="558">
        <f>'[7]Sch C'!F144</f>
        <v>15732</v>
      </c>
      <c r="E143" s="171">
        <f t="shared" si="37"/>
        <v>15732</v>
      </c>
      <c r="F143" s="171"/>
      <c r="G143" s="171">
        <f>E143+F143</f>
        <v>15732</v>
      </c>
      <c r="H143" s="172">
        <f>IF($G$208=0,0,G143/$G$208)</f>
        <v>2.4173607436104049E-3</v>
      </c>
      <c r="I143" s="336"/>
      <c r="J143" s="168"/>
      <c r="K143" s="168"/>
      <c r="M143" s="364">
        <f t="shared" si="34"/>
        <v>1.0861640430820216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'[7]Sch C'!D146</f>
        <v>45000</v>
      </c>
      <c r="D145" s="558">
        <f>'[7]Sch C'!F146</f>
        <v>0</v>
      </c>
      <c r="E145" s="171">
        <f t="shared" ref="E145:E153" si="38">C145+D145</f>
        <v>45000</v>
      </c>
      <c r="F145" s="171"/>
      <c r="G145" s="171">
        <f t="shared" ref="G145:G153" si="39">E145+F145</f>
        <v>45000</v>
      </c>
      <c r="H145" s="172">
        <f t="shared" ref="H145:H153" si="40">IF($G$208=0,0,G145/$G$208)</f>
        <v>6.9146474359565351E-3</v>
      </c>
      <c r="I145" s="336"/>
      <c r="J145" s="183">
        <v>540</v>
      </c>
      <c r="K145" s="183">
        <v>540</v>
      </c>
      <c r="M145" s="364">
        <f t="shared" si="34"/>
        <v>3.1068765534382767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'[7]Sch C'!D147</f>
        <v>0</v>
      </c>
      <c r="D146" s="558">
        <f>'[7]Sch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'[7]Sch C'!D148</f>
        <v>0</v>
      </c>
      <c r="D147" s="558">
        <f>'[7]Sch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'[7]Sch C'!D149</f>
        <v>0</v>
      </c>
      <c r="D148" s="558">
        <f>'[7]Sch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'[7]Sch C'!D150</f>
        <v>16366</v>
      </c>
      <c r="D149" s="558">
        <f>'[7]Sch C'!F150</f>
        <v>0</v>
      </c>
      <c r="E149" s="171">
        <f t="shared" si="38"/>
        <v>16366</v>
      </c>
      <c r="F149" s="171"/>
      <c r="G149" s="171">
        <f t="shared" si="39"/>
        <v>16366</v>
      </c>
      <c r="H149" s="172">
        <f t="shared" si="40"/>
        <v>2.5147804430414368E-3</v>
      </c>
      <c r="I149" s="336"/>
      <c r="J149" s="183">
        <v>0</v>
      </c>
      <c r="K149" s="183">
        <v>0</v>
      </c>
      <c r="M149" s="364">
        <f t="shared" si="34"/>
        <v>1.1299364816349076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'[7]Sch C'!D151</f>
        <v>102877</v>
      </c>
      <c r="D150" s="558">
        <f>'[7]Sch C'!F151</f>
        <v>0</v>
      </c>
      <c r="E150" s="171">
        <f t="shared" si="38"/>
        <v>102877</v>
      </c>
      <c r="F150" s="171"/>
      <c r="G150" s="171">
        <f t="shared" si="39"/>
        <v>102877</v>
      </c>
      <c r="H150" s="172">
        <f t="shared" si="40"/>
        <v>1.5807959650420009E-2</v>
      </c>
      <c r="I150" s="336"/>
      <c r="J150" s="168"/>
      <c r="K150" s="168"/>
      <c r="M150" s="364">
        <f t="shared" si="34"/>
        <v>7.1028030930682133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'[7]Sch C'!D152</f>
        <v>98182</v>
      </c>
      <c r="D151" s="558">
        <f>'[7]Sch C'!F152</f>
        <v>0</v>
      </c>
      <c r="E151" s="171">
        <f t="shared" si="38"/>
        <v>98182</v>
      </c>
      <c r="F151" s="683">
        <f>(-2107)</f>
        <v>-2107</v>
      </c>
      <c r="G151" s="171">
        <f t="shared" si="39"/>
        <v>96075</v>
      </c>
      <c r="H151" s="172">
        <f t="shared" si="40"/>
        <v>1.4762772275767203E-2</v>
      </c>
      <c r="I151" s="336"/>
      <c r="J151" s="168"/>
      <c r="K151" s="168"/>
      <c r="M151" s="364">
        <f t="shared" si="34"/>
        <v>6.6331814415907209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'[7]Sch C'!D153</f>
        <v>6882</v>
      </c>
      <c r="D152" s="558">
        <f>'[7]Sch C'!F153</f>
        <v>0</v>
      </c>
      <c r="E152" s="171">
        <f t="shared" si="38"/>
        <v>6882</v>
      </c>
      <c r="F152" s="683">
        <f>-509+2107</f>
        <v>1598</v>
      </c>
      <c r="G152" s="171">
        <f t="shared" si="39"/>
        <v>8480</v>
      </c>
      <c r="H152" s="172">
        <f t="shared" si="40"/>
        <v>1.3030268945980316E-3</v>
      </c>
      <c r="I152" s="336"/>
      <c r="J152" s="168"/>
      <c r="K152" s="168"/>
      <c r="M152" s="364">
        <f t="shared" si="34"/>
        <v>0.58547362607014641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'[7]Sch C'!D154</f>
        <v>0</v>
      </c>
      <c r="D153" s="558">
        <f>'[7]Sch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'[7]Sch C'!D156</f>
        <v>0</v>
      </c>
      <c r="D155" s="558">
        <f>'[7]Sch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'[7]Sch C'!D157</f>
        <v>0</v>
      </c>
      <c r="D156" s="558">
        <f>'[7]Sch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'[7]Sch C'!D158</f>
        <v>0</v>
      </c>
      <c r="D157" s="558">
        <f>'[7]Sch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'[7]Sch C'!D159</f>
        <v>0</v>
      </c>
      <c r="D158" s="558">
        <f>'[7]Sch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'[7]Sch C'!D160</f>
        <v>0</v>
      </c>
      <c r="D159" s="558">
        <f>'[7]Sch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'[7]Sch C'!D161</f>
        <v>45446</v>
      </c>
      <c r="D160" s="558">
        <f>'[7]Sch C'!F161</f>
        <v>0</v>
      </c>
      <c r="E160" s="171">
        <f t="shared" si="41"/>
        <v>45446</v>
      </c>
      <c r="F160" s="171"/>
      <c r="G160" s="171">
        <f t="shared" si="42"/>
        <v>45446</v>
      </c>
      <c r="H160" s="172">
        <f t="shared" si="43"/>
        <v>6.9831792749884599E-3</v>
      </c>
      <c r="I160" s="336"/>
      <c r="J160" s="168"/>
      <c r="K160" s="168"/>
      <c r="M160" s="364">
        <f t="shared" si="34"/>
        <v>3.1376691521679092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2168496</v>
      </c>
      <c r="D161" s="558">
        <f>SUM(D123:D160)</f>
        <v>60903</v>
      </c>
      <c r="E161" s="171">
        <f t="shared" ref="E161:F161" si="44">SUM(E123:E160)</f>
        <v>2229399</v>
      </c>
      <c r="F161" s="171">
        <f t="shared" si="44"/>
        <v>-509</v>
      </c>
      <c r="G161" s="171">
        <f>SUM(G123:G160)</f>
        <v>2228890</v>
      </c>
      <c r="H161" s="172">
        <f t="shared" si="43"/>
        <v>0.34248863385620359</v>
      </c>
      <c r="I161" s="336"/>
      <c r="J161" s="168"/>
      <c r="K161" s="168"/>
      <c r="M161" s="364">
        <f>G161/G$228</f>
        <v>153.88635735984533</v>
      </c>
      <c r="N161" s="359">
        <f>SUMMARY!J164</f>
        <v>105.56901037202306</v>
      </c>
      <c r="O161" s="354">
        <f>M161/N161-1</f>
        <v>0.45768494767122392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'[7]Sch C'!D175</f>
        <v>0</v>
      </c>
      <c r="D164" s="558">
        <f>'[7]Sch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'[7]Sch C'!D176</f>
        <v>0</v>
      </c>
      <c r="D165" s="558">
        <f>'[7]Sch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'[7]Sch C'!D177</f>
        <v>0</v>
      </c>
      <c r="D166" s="558">
        <f>'[7]Sch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'[7]Sch C'!D178</f>
        <v>0</v>
      </c>
      <c r="D167" s="558">
        <f>'[7]Sch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'[7]Sch C'!D179</f>
        <v>0</v>
      </c>
      <c r="D168" s="558">
        <f>'[7]Sch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'[7]Sch C'!D180</f>
        <v>0</v>
      </c>
      <c r="D169" s="558">
        <f>'[7]Sch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'[7]Sch C'!D181</f>
        <v>0</v>
      </c>
      <c r="D170" s="558">
        <f>'[7]Sch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'[7]Sch C'!D182</f>
        <v>0</v>
      </c>
      <c r="D171" s="558">
        <f>'[7]Sch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'[7]Sch C'!D183</f>
        <v>0</v>
      </c>
      <c r="D172" s="558">
        <f>'[7]Sch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'[7]Sch C'!D184</f>
        <v>0</v>
      </c>
      <c r="D173" s="558">
        <f>'[7]Sch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'[7]Sch C'!D185</f>
        <v>0</v>
      </c>
      <c r="D174" s="558">
        <f>'[7]Sch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'[7]Sch C'!D186</f>
        <v>0</v>
      </c>
      <c r="D175" s="558">
        <f>'[7]Sch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'[7]Sch C'!D187</f>
        <v>0</v>
      </c>
      <c r="D176" s="558">
        <f>'[7]Sch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'[7]Sch C'!D188</f>
        <v>0</v>
      </c>
      <c r="D177" s="558">
        <f>'[7]Sch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'[7]Sch C'!D189</f>
        <v>0</v>
      </c>
      <c r="D178" s="558">
        <f>'[7]Sch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'[7]Sch C'!D190</f>
        <v>0</v>
      </c>
      <c r="D179" s="558">
        <f>'[7]Sch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'[7]Sch C'!D191</f>
        <v>0</v>
      </c>
      <c r="D180" s="558">
        <f>'[7]Sch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'[7]Sch C'!D192</f>
        <v>0</v>
      </c>
      <c r="D181" s="558">
        <f>'[7]Sch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'[7]Sch C'!D193</f>
        <v>0</v>
      </c>
      <c r="D182" s="558">
        <f>'[7]Sch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'[7]Sch C'!D194</f>
        <v>595080</v>
      </c>
      <c r="D183" s="558">
        <f>'[7]Sch C'!F194</f>
        <v>0</v>
      </c>
      <c r="E183" s="171">
        <f t="shared" si="45"/>
        <v>595080</v>
      </c>
      <c r="F183" s="216"/>
      <c r="G183" s="171">
        <f t="shared" si="46"/>
        <v>595080</v>
      </c>
      <c r="H183" s="172">
        <f t="shared" si="47"/>
        <v>9.1439297693089228E-2</v>
      </c>
      <c r="I183" s="336"/>
      <c r="J183" s="223"/>
      <c r="K183" s="218"/>
      <c r="M183" s="364">
        <f t="shared" si="48"/>
        <v>41.085335542667771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'[7]Sch C'!D195</f>
        <v>112925</v>
      </c>
      <c r="D184" s="558">
        <f>'[7]Sch C'!F195</f>
        <v>0</v>
      </c>
      <c r="E184" s="171">
        <f t="shared" si="45"/>
        <v>112925</v>
      </c>
      <c r="F184" s="216"/>
      <c r="G184" s="171">
        <f t="shared" si="46"/>
        <v>112925</v>
      </c>
      <c r="H184" s="172">
        <f t="shared" si="47"/>
        <v>1.7351923593453149E-2</v>
      </c>
      <c r="I184" s="336"/>
      <c r="J184" s="223"/>
      <c r="K184" s="218"/>
      <c r="M184" s="364">
        <f t="shared" si="48"/>
        <v>7.7965341066003866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'[7]Sch C'!D196</f>
        <v>0</v>
      </c>
      <c r="D185" s="558">
        <f>'[7]Sch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'[7]Sch C'!D197</f>
        <v>565877</v>
      </c>
      <c r="D186" s="558">
        <f>'[7]Sch C'!F197</f>
        <v>0</v>
      </c>
      <c r="E186" s="171">
        <f t="shared" si="45"/>
        <v>565877</v>
      </c>
      <c r="F186" s="216"/>
      <c r="G186" s="171">
        <f t="shared" si="46"/>
        <v>565877</v>
      </c>
      <c r="H186" s="172">
        <f t="shared" si="47"/>
        <v>8.6951998824817259E-2</v>
      </c>
      <c r="I186" s="336"/>
      <c r="J186" s="223"/>
      <c r="K186" s="218"/>
      <c r="M186" s="364">
        <f t="shared" si="48"/>
        <v>39.069110742888704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'[7]Sch C'!D198</f>
        <v>98900</v>
      </c>
      <c r="D187" s="558">
        <f>'[7]Sch C'!F198</f>
        <v>0</v>
      </c>
      <c r="E187" s="171">
        <f t="shared" si="45"/>
        <v>98900</v>
      </c>
      <c r="F187" s="216"/>
      <c r="G187" s="171">
        <f t="shared" si="46"/>
        <v>98900</v>
      </c>
      <c r="H187" s="172">
        <f t="shared" si="47"/>
        <v>1.5196858475913363E-2</v>
      </c>
      <c r="I187" s="336"/>
      <c r="J187" s="223"/>
      <c r="K187" s="218"/>
      <c r="M187" s="364">
        <f t="shared" si="48"/>
        <v>6.8282242474454566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'[7]Sch C'!D199</f>
        <v>0</v>
      </c>
      <c r="D188" s="558">
        <f>'[7]Sch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'[7]Sch C'!D200</f>
        <v>0</v>
      </c>
      <c r="D189" s="558">
        <f>'[7]Sch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'[7]Sch C'!D201</f>
        <v>0</v>
      </c>
      <c r="D190" s="558">
        <f>'[7]Sch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'[7]Sch C'!D202</f>
        <v>0</v>
      </c>
      <c r="D191" s="558">
        <f>'[7]Sch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'[7]Sch C'!D203</f>
        <v>0</v>
      </c>
      <c r="D192" s="558">
        <f>'[7]Sch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'[7]Sch C'!D204</f>
        <v>0</v>
      </c>
      <c r="D193" s="558">
        <f>'[7]Sch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'[7]Sch C'!D205</f>
        <v>530824</v>
      </c>
      <c r="D194" s="558">
        <f>'[7]Sch C'!F205</f>
        <v>0</v>
      </c>
      <c r="E194" s="171">
        <f t="shared" si="45"/>
        <v>530824</v>
      </c>
      <c r="F194" s="683">
        <f>(1190)</f>
        <v>1190</v>
      </c>
      <c r="G194" s="171">
        <f t="shared" si="46"/>
        <v>532014</v>
      </c>
      <c r="H194" s="172">
        <f t="shared" si="47"/>
        <v>8.1748649799844003E-2</v>
      </c>
      <c r="I194" s="336"/>
      <c r="J194" s="223"/>
      <c r="K194" s="218"/>
      <c r="M194" s="364">
        <f t="shared" si="48"/>
        <v>36.731151615575811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'[7]Sch C'!D206</f>
        <v>0</v>
      </c>
      <c r="D195" s="558">
        <f>'[7]Sch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'[7]Sch C'!D207</f>
        <v>0</v>
      </c>
      <c r="D196" s="558">
        <f>'[7]Sch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1903606</v>
      </c>
      <c r="D197" s="558">
        <f>SUM(D164:D196)</f>
        <v>0</v>
      </c>
      <c r="E197" s="171">
        <f t="shared" ref="E197:F197" si="49">SUM(E164:E196)</f>
        <v>1903606</v>
      </c>
      <c r="F197" s="171">
        <f t="shared" si="49"/>
        <v>1190</v>
      </c>
      <c r="G197" s="171">
        <f>SUM(G164:G196)</f>
        <v>1904796</v>
      </c>
      <c r="H197" s="172">
        <f>IF($G$208=0,0,G197/$G$208)</f>
        <v>0.29268872838711701</v>
      </c>
      <c r="I197" s="336"/>
      <c r="J197" s="168"/>
      <c r="K197" s="168"/>
      <c r="M197" s="364">
        <f>G197/G$228</f>
        <v>131.51035625517812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'[7]Sch C'!D211</f>
        <v>99250</v>
      </c>
      <c r="D200" s="558">
        <f>'[7]Sch C'!F211</f>
        <v>0</v>
      </c>
      <c r="E200" s="171">
        <f t="shared" ref="E200:E205" si="50">C200+D200</f>
        <v>99250</v>
      </c>
      <c r="F200" s="171"/>
      <c r="G200" s="171">
        <f t="shared" ref="G200:G205" si="51">E200+F200</f>
        <v>99250</v>
      </c>
      <c r="H200" s="172">
        <f t="shared" ref="H200:H206" si="52">IF($G$208=0,0,G200/$G$208)</f>
        <v>1.5250639067081915E-2</v>
      </c>
      <c r="I200" s="336"/>
      <c r="J200" s="183">
        <v>4113.6000000000004</v>
      </c>
      <c r="K200" s="183">
        <v>4160</v>
      </c>
      <c r="M200" s="364">
        <f t="shared" ref="M200:M205" si="53">G200/G$228</f>
        <v>6.852388842861088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'[7]Sch C'!D212</f>
        <v>8434</v>
      </c>
      <c r="D201" s="558">
        <f>'[7]Sch C'!F212</f>
        <v>0</v>
      </c>
      <c r="E201" s="171">
        <f t="shared" si="50"/>
        <v>8434</v>
      </c>
      <c r="F201" s="171"/>
      <c r="G201" s="171">
        <f t="shared" si="51"/>
        <v>8434</v>
      </c>
      <c r="H201" s="172">
        <f t="shared" si="52"/>
        <v>1.2959585883301648E-3</v>
      </c>
      <c r="I201" s="336"/>
      <c r="J201" s="168"/>
      <c r="K201" s="168"/>
      <c r="M201" s="364">
        <f t="shared" si="53"/>
        <v>0.58229770781552059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'[7]Sch C'!D213</f>
        <v>1453</v>
      </c>
      <c r="D202" s="558">
        <f>'[7]Sch C'!F213</f>
        <v>0</v>
      </c>
      <c r="E202" s="171">
        <f t="shared" si="50"/>
        <v>1453</v>
      </c>
      <c r="F202" s="171"/>
      <c r="G202" s="171">
        <f t="shared" si="51"/>
        <v>1453</v>
      </c>
      <c r="H202" s="172">
        <f t="shared" si="52"/>
        <v>2.2326628276544101E-4</v>
      </c>
      <c r="I202" s="336"/>
      <c r="J202" s="168"/>
      <c r="K202" s="168"/>
      <c r="M202" s="364">
        <f t="shared" si="53"/>
        <v>0.10031759182546258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'[7]Sch C'!D214</f>
        <v>0</v>
      </c>
      <c r="D203" s="558">
        <f>'[7]Sch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'[7]Sch C'!D215</f>
        <v>0</v>
      </c>
      <c r="D204" s="558">
        <f>'[7]Sch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'[7]Sch C'!D216</f>
        <v>4638</v>
      </c>
      <c r="D205" s="558">
        <f>'[7]Sch C'!F216</f>
        <v>0</v>
      </c>
      <c r="E205" s="171">
        <f t="shared" si="50"/>
        <v>4638</v>
      </c>
      <c r="F205" s="171"/>
      <c r="G205" s="171">
        <f t="shared" si="51"/>
        <v>4638</v>
      </c>
      <c r="H205" s="172">
        <f t="shared" si="52"/>
        <v>7.1266966239925359E-4</v>
      </c>
      <c r="I205" s="336"/>
      <c r="J205" s="168"/>
      <c r="K205" s="168"/>
      <c r="M205" s="364">
        <f t="shared" si="53"/>
        <v>0.32021541010770505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113775</v>
      </c>
      <c r="D206" s="558">
        <f>SUM(D200:D205)</f>
        <v>0</v>
      </c>
      <c r="E206" s="171">
        <f t="shared" ref="E206:F206" si="54">SUM(E200:E205)</f>
        <v>113775</v>
      </c>
      <c r="F206" s="171">
        <f t="shared" si="54"/>
        <v>0</v>
      </c>
      <c r="G206" s="171">
        <f>SUM(G200:G205)</f>
        <v>113775</v>
      </c>
      <c r="H206" s="172">
        <f t="shared" si="52"/>
        <v>1.7482533600576774E-2</v>
      </c>
      <c r="I206" s="336"/>
      <c r="J206" s="168"/>
      <c r="K206" s="168"/>
      <c r="M206" s="364">
        <f>G206/G$228</f>
        <v>7.8552195526097766</v>
      </c>
      <c r="N206" s="359">
        <f>SUMMARY!J209</f>
        <v>7.1515095990067339</v>
      </c>
      <c r="O206" s="354">
        <f>M206/N206-1</f>
        <v>9.8400197029838266E-2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6599633</v>
      </c>
      <c r="D208" s="558">
        <f>SUM(D25:D206)/2</f>
        <v>-69915</v>
      </c>
      <c r="E208" s="171">
        <f t="shared" ref="E208:F208" si="55">SUM(E25:E206)/2</f>
        <v>6529718</v>
      </c>
      <c r="F208" s="171">
        <f t="shared" si="55"/>
        <v>-21794</v>
      </c>
      <c r="G208" s="171">
        <f>SUM(G25:G206)/2</f>
        <v>6507924</v>
      </c>
      <c r="H208" s="172">
        <f>IF($G$208=0,0,G208/$G$208)</f>
        <v>1</v>
      </c>
      <c r="I208" s="336"/>
      <c r="J208" s="183">
        <f>SUM(J25:J200)</f>
        <v>112692.48000000001</v>
      </c>
      <c r="K208" s="183">
        <f>SUM(K25:K200)</f>
        <v>113447.68000000001</v>
      </c>
      <c r="M208" s="364">
        <f>G208/G$228</f>
        <v>449.31814415907206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1.1185610366977932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'[7]Sch C'!D221</f>
        <v>6599633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-121079</v>
      </c>
      <c r="D215" s="558">
        <f>D21-D208</f>
        <v>69915</v>
      </c>
      <c r="E215" s="171">
        <f t="shared" ref="E215:F215" si="56">E21-E208</f>
        <v>-51164</v>
      </c>
      <c r="F215" s="171">
        <f t="shared" si="56"/>
        <v>21794</v>
      </c>
      <c r="G215" s="171">
        <f>G21-G208</f>
        <v>-29370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'[7]Sch D'!C9</f>
        <v>385</v>
      </c>
      <c r="D219" s="592"/>
      <c r="E219" s="235">
        <f t="shared" ref="E219:G227" si="57">C219+D219</f>
        <v>385</v>
      </c>
      <c r="F219" s="456"/>
      <c r="G219" s="235">
        <f t="shared" si="57"/>
        <v>385</v>
      </c>
      <c r="H219" s="172">
        <f t="shared" ref="H219:H228" si="58">IF($G$228=0,0,G219/$G$228)</f>
        <v>2.6581054957194147E-2</v>
      </c>
      <c r="I219" s="336"/>
      <c r="J219" s="168"/>
      <c r="K219" s="168"/>
    </row>
    <row r="220" spans="1:17">
      <c r="A220" s="163"/>
      <c r="B220" s="170" t="s">
        <v>217</v>
      </c>
      <c r="C220" s="592">
        <f>'[7]Sch D'!D9</f>
        <v>0</v>
      </c>
      <c r="D220" s="592"/>
      <c r="E220" s="235">
        <f t="shared" si="57"/>
        <v>0</v>
      </c>
      <c r="F220" s="456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'[7]Sch D'!E9</f>
        <v>7403</v>
      </c>
      <c r="D221" s="592"/>
      <c r="E221" s="235">
        <f t="shared" si="57"/>
        <v>7403</v>
      </c>
      <c r="F221" s="456"/>
      <c r="G221" s="235">
        <f t="shared" si="57"/>
        <v>7403</v>
      </c>
      <c r="H221" s="172">
        <f t="shared" si="58"/>
        <v>0.51111571389119026</v>
      </c>
      <c r="I221" s="336"/>
      <c r="J221" s="168"/>
      <c r="K221" s="168"/>
    </row>
    <row r="222" spans="1:17">
      <c r="A222" s="163"/>
      <c r="B222" s="202" t="s">
        <v>334</v>
      </c>
      <c r="C222" s="592">
        <f>'[7]Sch D'!F9</f>
        <v>5217</v>
      </c>
      <c r="D222" s="592"/>
      <c r="E222" s="235">
        <f>C222+D222</f>
        <v>5217</v>
      </c>
      <c r="F222" s="456"/>
      <c r="G222" s="235">
        <f>E222+F222</f>
        <v>5217</v>
      </c>
      <c r="H222" s="172">
        <f t="shared" si="58"/>
        <v>0.36019055509527753</v>
      </c>
      <c r="I222" s="336"/>
      <c r="J222" s="168"/>
      <c r="K222" s="168"/>
    </row>
    <row r="223" spans="1:17">
      <c r="A223" s="163"/>
      <c r="B223" s="170" t="s">
        <v>73</v>
      </c>
      <c r="C223" s="592">
        <f>'[7]Sch D'!G9</f>
        <v>0</v>
      </c>
      <c r="D223" s="592"/>
      <c r="E223" s="235">
        <f t="shared" si="57"/>
        <v>0</v>
      </c>
      <c r="F223" s="456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'[7]Sch D'!H9</f>
        <v>1102</v>
      </c>
      <c r="D224" s="592"/>
      <c r="E224" s="235">
        <f t="shared" si="57"/>
        <v>1102</v>
      </c>
      <c r="F224" s="456"/>
      <c r="G224" s="235">
        <f t="shared" si="57"/>
        <v>1102</v>
      </c>
      <c r="H224" s="172">
        <f t="shared" si="58"/>
        <v>7.6083954708644028E-2</v>
      </c>
      <c r="I224" s="336"/>
      <c r="J224" s="168"/>
      <c r="K224" s="168"/>
    </row>
    <row r="225" spans="1:11">
      <c r="A225" s="163"/>
      <c r="B225" s="170" t="s">
        <v>236</v>
      </c>
      <c r="C225" s="592">
        <f>'[7]Sch D'!I9</f>
        <v>0</v>
      </c>
      <c r="D225" s="592"/>
      <c r="E225" s="235">
        <f t="shared" si="57"/>
        <v>0</v>
      </c>
      <c r="F225" s="456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457</v>
      </c>
      <c r="C226" s="592">
        <f>'[7]Sch D'!J9</f>
        <v>377</v>
      </c>
      <c r="D226" s="592"/>
      <c r="E226" s="235">
        <f>C226+D226</f>
        <v>377</v>
      </c>
      <c r="F226" s="456"/>
      <c r="G226" s="235">
        <f>E226+F226</f>
        <v>377</v>
      </c>
      <c r="H226" s="172">
        <f t="shared" si="58"/>
        <v>2.6028721347694007E-2</v>
      </c>
      <c r="I226" s="336"/>
      <c r="J226" s="168"/>
      <c r="K226" s="168"/>
    </row>
    <row r="227" spans="1:11">
      <c r="A227" s="163"/>
      <c r="B227" s="170" t="s">
        <v>179</v>
      </c>
      <c r="C227" s="592">
        <f>'[7]Sch D'!K9</f>
        <v>0</v>
      </c>
      <c r="D227" s="592"/>
      <c r="E227" s="235">
        <f t="shared" si="57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14484</v>
      </c>
      <c r="D228" s="592">
        <f>SUM(D219:D227)</f>
        <v>0</v>
      </c>
      <c r="E228" s="237">
        <f>SUM(E219:E227)</f>
        <v>14484</v>
      </c>
      <c r="F228" s="237">
        <f>SUM(F219:F227)</f>
        <v>0</v>
      </c>
      <c r="G228" s="237">
        <f>SUM(G219:G227)</f>
        <v>14484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'[7]Sch D'!N24</f>
        <v>1</v>
      </c>
      <c r="D232" s="559"/>
      <c r="E232" s="235">
        <f>C232+D232</f>
        <v>1</v>
      </c>
      <c r="F232" s="235">
        <v>12</v>
      </c>
      <c r="G232" s="235">
        <f>E232+F232</f>
        <v>13</v>
      </c>
      <c r="H232" s="167" t="s">
        <v>634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'[7]Sch D'!N28</f>
        <v>43920</v>
      </c>
      <c r="D235" s="483"/>
      <c r="E235" s="234">
        <f>E231*E233</f>
        <v>43920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'[7]Sch D'!N30</f>
        <v>0.32978142076502731</v>
      </c>
      <c r="D236" s="239"/>
      <c r="E236" s="244">
        <f>E228/E235</f>
        <v>0.32978142076502731</v>
      </c>
      <c r="F236" s="245"/>
      <c r="G236" s="244">
        <f>G228/G235</f>
        <v>0.32978142076502731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'[7]Sch D'!N32</f>
        <v>8.7659380692167582E-3</v>
      </c>
      <c r="D237" s="239"/>
      <c r="E237" s="244">
        <f>(E219+E220)/E235</f>
        <v>8.7659380692167582E-3</v>
      </c>
      <c r="F237" s="245"/>
      <c r="G237" s="244">
        <f>(G219+G220)/G235</f>
        <v>8.7659380692167582E-3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'[7]Sch D'!N34</f>
        <v>2.6581054957194147E-2</v>
      </c>
      <c r="D238" s="239"/>
      <c r="E238" s="244">
        <f>(E237/E236)</f>
        <v>2.6581054957194147E-2</v>
      </c>
      <c r="F238" s="245"/>
      <c r="G238" s="244">
        <f>(G237/G236)</f>
        <v>2.6581054957194147E-2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450.95394736842104</v>
      </c>
    </row>
    <row r="242" spans="2:7">
      <c r="F242" s="142" t="s">
        <v>341</v>
      </c>
      <c r="G242" s="558">
        <v>292.89306358381504</v>
      </c>
    </row>
    <row r="243" spans="2:7">
      <c r="F243" s="142" t="s">
        <v>342</v>
      </c>
      <c r="G243" s="558">
        <v>241.83387622149837</v>
      </c>
    </row>
    <row r="244" spans="2:7">
      <c r="F244" s="142" t="s">
        <v>343</v>
      </c>
      <c r="G244" s="558">
        <v>94.751724137931035</v>
      </c>
    </row>
    <row r="245" spans="2:7">
      <c r="F245" s="142"/>
    </row>
    <row r="246" spans="2:7">
      <c r="B246" s="454"/>
    </row>
    <row r="247" spans="2:7">
      <c r="B247" s="455"/>
    </row>
    <row r="248" spans="2:7">
      <c r="B248" s="455"/>
    </row>
    <row r="249" spans="2:7">
      <c r="B249" s="468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50"/>
      <c r="H1" s="472"/>
      <c r="I1" s="473"/>
    </row>
    <row r="2" spans="1:17" ht="23">
      <c r="B2" s="143" t="s">
        <v>189</v>
      </c>
      <c r="C2" s="139" t="s">
        <v>571</v>
      </c>
      <c r="D2" s="246"/>
      <c r="E2" s="144"/>
      <c r="G2" s="450"/>
    </row>
    <row r="3" spans="1:17">
      <c r="A3" s="145"/>
      <c r="B3" s="140" t="s">
        <v>79</v>
      </c>
      <c r="C3" s="489">
        <v>42186</v>
      </c>
      <c r="D3" s="144"/>
      <c r="E3" s="147"/>
      <c r="F3"/>
    </row>
    <row r="4" spans="1:17">
      <c r="A4" s="145"/>
      <c r="B4" s="148" t="s">
        <v>80</v>
      </c>
      <c r="C4" s="489">
        <v>42551</v>
      </c>
      <c r="D4" s="144"/>
      <c r="E4" s="149"/>
      <c r="F4"/>
      <c r="G4" s="150"/>
    </row>
    <row r="5" spans="1:17">
      <c r="A5" s="145"/>
      <c r="B5" s="148"/>
      <c r="C5"/>
      <c r="D5" s="144"/>
      <c r="F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'[67]Sch B'!E10</f>
        <v>2294896</v>
      </c>
      <c r="D11" s="558">
        <f>'[67]Sch B'!G10</f>
        <v>0</v>
      </c>
      <c r="E11" s="171">
        <f>C11+D11</f>
        <v>2294896</v>
      </c>
      <c r="F11" s="171">
        <v>-114878.7</v>
      </c>
      <c r="G11" s="171">
        <f t="shared" ref="G11:G20" si="0">E11+F11</f>
        <v>2180017.2999999998</v>
      </c>
      <c r="H11" s="172">
        <f t="shared" ref="H11:H21" si="1">IF($G$21=0,0,G11/$G$21)</f>
        <v>0.53687985635376256</v>
      </c>
      <c r="I11" s="555" t="s">
        <v>424</v>
      </c>
      <c r="J11" s="368" t="s">
        <v>344</v>
      </c>
      <c r="K11" s="369">
        <f>G21</f>
        <v>4060531</v>
      </c>
      <c r="M11" s="359">
        <f>IFERROR(G11/G219,0)</f>
        <v>166.80827148213328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'[67]Sch B'!E15</f>
        <v>0</v>
      </c>
      <c r="D12" s="558">
        <f>'[67]Sch B'!G15</f>
        <v>0</v>
      </c>
      <c r="E12" s="171">
        <f t="shared" ref="E12:E20" si="2">C12+D12</f>
        <v>0</v>
      </c>
      <c r="F12" s="171"/>
      <c r="G12" s="171">
        <f t="shared" si="0"/>
        <v>0</v>
      </c>
      <c r="H12" s="172">
        <f t="shared" si="1"/>
        <v>0</v>
      </c>
      <c r="I12" s="336"/>
      <c r="J12" s="370" t="s">
        <v>345</v>
      </c>
      <c r="K12" s="371">
        <f>G208</f>
        <v>3923880.12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'[67]Sch B'!E21</f>
        <v>999154</v>
      </c>
      <c r="D13" s="558">
        <f>'[67]Sch B'!G21</f>
        <v>0</v>
      </c>
      <c r="E13" s="171">
        <f t="shared" si="2"/>
        <v>999154</v>
      </c>
      <c r="F13" s="171"/>
      <c r="G13" s="171">
        <f t="shared" si="0"/>
        <v>999154</v>
      </c>
      <c r="H13" s="172">
        <f t="shared" si="1"/>
        <v>0.24606486196017222</v>
      </c>
      <c r="I13" s="336"/>
      <c r="J13" s="370" t="s">
        <v>346</v>
      </c>
      <c r="K13" s="371">
        <f>G228</f>
        <v>18519</v>
      </c>
      <c r="M13" s="359">
        <f t="shared" si="3"/>
        <v>498.33117206982541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'[67]Sch B'!E27</f>
        <v>268031</v>
      </c>
      <c r="D14" s="558">
        <f>'[67]Sch B'!G27</f>
        <v>0</v>
      </c>
      <c r="E14" s="171">
        <f t="shared" si="2"/>
        <v>268031</v>
      </c>
      <c r="F14" s="175"/>
      <c r="G14" s="175">
        <f t="shared" si="0"/>
        <v>268031</v>
      </c>
      <c r="H14" s="176">
        <f t="shared" si="1"/>
        <v>6.6008854506959799E-2</v>
      </c>
      <c r="I14" s="337"/>
      <c r="J14" s="370" t="s">
        <v>347</v>
      </c>
      <c r="K14" s="371">
        <f>G231</f>
        <v>122</v>
      </c>
      <c r="M14" s="359">
        <f t="shared" si="3"/>
        <v>440.11658456486043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'[67]Sch B'!E32</f>
        <v>0</v>
      </c>
      <c r="D15" s="558">
        <f>'[67]Sch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44652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'[67]Sch B'!E37</f>
        <v>308794</v>
      </c>
      <c r="D16" s="558">
        <f>'[67]Sch B'!G37</f>
        <v>0</v>
      </c>
      <c r="E16" s="171">
        <f t="shared" si="2"/>
        <v>308794</v>
      </c>
      <c r="F16" s="171"/>
      <c r="G16" s="171">
        <f t="shared" si="0"/>
        <v>308794</v>
      </c>
      <c r="H16" s="172">
        <f t="shared" si="1"/>
        <v>7.6047689329302004E-2</v>
      </c>
      <c r="I16" s="336"/>
      <c r="J16" s="372"/>
      <c r="K16" s="371"/>
      <c r="M16" s="359">
        <f t="shared" si="3"/>
        <v>181.00468933177021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'[67]Sch B'!E42</f>
        <v>0</v>
      </c>
      <c r="D17" s="558">
        <f>'[67]Sch B'!G42</f>
        <v>0</v>
      </c>
      <c r="E17" s="171">
        <f t="shared" si="2"/>
        <v>0</v>
      </c>
      <c r="F17" s="171"/>
      <c r="G17" s="171">
        <f t="shared" si="0"/>
        <v>0</v>
      </c>
      <c r="H17" s="172">
        <f t="shared" si="1"/>
        <v>0</v>
      </c>
      <c r="I17" s="336"/>
      <c r="J17" s="370" t="s">
        <v>156</v>
      </c>
      <c r="K17" s="371">
        <f>J208</f>
        <v>113513.94509803923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'[67]Sch B'!E47</f>
        <v>188651</v>
      </c>
      <c r="D18" s="558">
        <f>'[67]Sch B'!G47</f>
        <v>0</v>
      </c>
      <c r="E18" s="171">
        <f t="shared" si="2"/>
        <v>188651</v>
      </c>
      <c r="F18" s="171"/>
      <c r="G18" s="171">
        <f t="shared" si="0"/>
        <v>188651</v>
      </c>
      <c r="H18" s="172">
        <f t="shared" si="1"/>
        <v>4.6459687168993416E-2</v>
      </c>
      <c r="I18" s="336"/>
      <c r="J18" s="373" t="s">
        <v>252</v>
      </c>
      <c r="K18" s="374">
        <f>K208</f>
        <v>118366</v>
      </c>
      <c r="M18" s="359">
        <f t="shared" si="3"/>
        <v>166.94778761061946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'[67]Sch B'!E52</f>
        <v>0</v>
      </c>
      <c r="D19" s="558">
        <f>'[67]Sch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'[67]Sch B'!E67</f>
        <v>1005</v>
      </c>
      <c r="D20" s="558">
        <f>'[67]Sch B'!G67</f>
        <v>0</v>
      </c>
      <c r="E20" s="171">
        <f t="shared" si="2"/>
        <v>1005</v>
      </c>
      <c r="F20" s="171">
        <v>114878.7</v>
      </c>
      <c r="G20" s="171">
        <f t="shared" si="0"/>
        <v>115883.7</v>
      </c>
      <c r="H20" s="172">
        <f t="shared" si="1"/>
        <v>2.8539050680809971E-2</v>
      </c>
      <c r="I20" s="555" t="s">
        <v>699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4060531</v>
      </c>
      <c r="D21" s="558">
        <f>SUM(D11:D20)</f>
        <v>0</v>
      </c>
      <c r="E21" s="171">
        <f>SUM(E11:E20)</f>
        <v>4060531</v>
      </c>
      <c r="F21" s="171">
        <f>SUM(F11:F20)</f>
        <v>0</v>
      </c>
      <c r="G21" s="171">
        <f>SUM(G11:G20)</f>
        <v>4060531</v>
      </c>
      <c r="H21" s="172">
        <f t="shared" si="1"/>
        <v>1</v>
      </c>
      <c r="I21" s="336"/>
      <c r="J21" s="168"/>
      <c r="K21" s="168"/>
      <c r="M21" s="359">
        <f>IFERROR(G21/G228,0)</f>
        <v>219.26297316269776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/>
      <c r="G23" s="144"/>
      <c r="J23"/>
      <c r="M23" s="363"/>
      <c r="N23" s="363"/>
    </row>
    <row r="24" spans="1:17">
      <c r="A24" s="181" t="s">
        <v>161</v>
      </c>
      <c r="B24" s="148" t="s">
        <v>12</v>
      </c>
      <c r="F24"/>
      <c r="J24"/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'[67]Sch C'!D10</f>
        <v>81176</v>
      </c>
      <c r="D25" s="558">
        <f>'[67]Sch C'!F10</f>
        <v>3925</v>
      </c>
      <c r="E25" s="171">
        <f t="shared" ref="E25:E60" si="4">C25+D25</f>
        <v>85101</v>
      </c>
      <c r="F25" s="171"/>
      <c r="G25" s="182">
        <f t="shared" ref="G25:G60" si="5">E25+F25</f>
        <v>85101</v>
      </c>
      <c r="H25" s="172">
        <f>IF($G$208=0,0,G25/$G$208)</f>
        <v>2.1687971445977814E-2</v>
      </c>
      <c r="I25" s="336"/>
      <c r="J25" s="183">
        <v>1941</v>
      </c>
      <c r="K25" s="183">
        <v>2035</v>
      </c>
      <c r="M25" s="359">
        <f>G25/G$228</f>
        <v>4.5953345213024459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'[67]Sch C'!D11</f>
        <v>0</v>
      </c>
      <c r="D26" s="558">
        <f>'[67]Sch C'!F11</f>
        <v>0</v>
      </c>
      <c r="E26" s="171">
        <f t="shared" si="4"/>
        <v>0</v>
      </c>
      <c r="F26" s="171"/>
      <c r="G26" s="171">
        <f t="shared" si="5"/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'[67]Sch C'!D12</f>
        <v>135425</v>
      </c>
      <c r="D27" s="558">
        <f>'[67]Sch C'!F12</f>
        <v>6545</v>
      </c>
      <c r="E27" s="171">
        <f t="shared" si="4"/>
        <v>141970</v>
      </c>
      <c r="F27" s="171"/>
      <c r="G27" s="171">
        <f t="shared" si="5"/>
        <v>141970</v>
      </c>
      <c r="H27" s="172">
        <f t="shared" si="6"/>
        <v>3.6181023797434465E-2</v>
      </c>
      <c r="I27" s="336"/>
      <c r="J27" s="185">
        <v>8153</v>
      </c>
      <c r="K27" s="185">
        <v>8547</v>
      </c>
      <c r="M27" s="359">
        <f t="shared" si="7"/>
        <v>7.6661806793023377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'[67]Sch C'!D13</f>
        <v>420308</v>
      </c>
      <c r="D28" s="558">
        <f>'[67]Sch C'!F13</f>
        <v>-386822</v>
      </c>
      <c r="E28" s="171">
        <f t="shared" si="4"/>
        <v>33486</v>
      </c>
      <c r="F28" s="171"/>
      <c r="G28" s="171">
        <f t="shared" si="5"/>
        <v>33486</v>
      </c>
      <c r="H28" s="172">
        <f t="shared" si="6"/>
        <v>8.5338998582861897E-3</v>
      </c>
      <c r="I28" s="336"/>
      <c r="J28" s="168"/>
      <c r="K28" s="168"/>
      <c r="M28" s="359">
        <f t="shared" si="7"/>
        <v>1.8081969868783412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'[67]Sch C'!D14</f>
        <v>0</v>
      </c>
      <c r="D29" s="558">
        <f>'[67]Sch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'[67]Sch C'!D15</f>
        <v>0</v>
      </c>
      <c r="D30" s="558">
        <f>'[67]Sch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'[67]Sch C'!D16</f>
        <v>204414</v>
      </c>
      <c r="D31" s="558">
        <f>'[67]Sch C'!F16</f>
        <v>120785</v>
      </c>
      <c r="E31" s="171">
        <f t="shared" si="4"/>
        <v>325199</v>
      </c>
      <c r="F31" s="171"/>
      <c r="G31" s="171">
        <f t="shared" si="5"/>
        <v>325199</v>
      </c>
      <c r="H31" s="172">
        <f t="shared" si="6"/>
        <v>8.2876894822158834E-2</v>
      </c>
      <c r="I31" s="336"/>
      <c r="J31" s="168"/>
      <c r="K31" s="168"/>
      <c r="M31" s="359">
        <f t="shared" si="7"/>
        <v>17.560289432474757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'[67]Sch C'!D17</f>
        <v>0</v>
      </c>
      <c r="D32" s="558">
        <f>'[67]Sch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'[67]Sch C'!D18</f>
        <v>21933</v>
      </c>
      <c r="D33" s="558">
        <f>'[67]Sch C'!F18</f>
        <v>0</v>
      </c>
      <c r="E33" s="171">
        <f t="shared" si="4"/>
        <v>21933</v>
      </c>
      <c r="F33" s="171"/>
      <c r="G33" s="171">
        <f t="shared" si="5"/>
        <v>21933</v>
      </c>
      <c r="H33" s="172">
        <f t="shared" si="6"/>
        <v>5.5896203067488208E-3</v>
      </c>
      <c r="I33" s="336"/>
      <c r="J33" s="168"/>
      <c r="K33" s="168"/>
      <c r="M33" s="359">
        <f t="shared" si="7"/>
        <v>1.1843512068686215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'[67]Sch C'!D19</f>
        <v>19597</v>
      </c>
      <c r="D34" s="558">
        <f>'[67]Sch C'!F19</f>
        <v>1599.12</v>
      </c>
      <c r="E34" s="171">
        <f t="shared" si="4"/>
        <v>21196.12</v>
      </c>
      <c r="F34" s="171"/>
      <c r="G34" s="171">
        <f t="shared" si="5"/>
        <v>21196.12</v>
      </c>
      <c r="H34" s="172">
        <f t="shared" si="6"/>
        <v>5.4018265981071812E-3</v>
      </c>
      <c r="I34" s="336"/>
      <c r="J34" s="168"/>
      <c r="K34" s="168"/>
      <c r="M34" s="359">
        <f t="shared" si="7"/>
        <v>1.144560721421243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'[67]Sch C'!D20</f>
        <v>15004</v>
      </c>
      <c r="D35" s="558">
        <f>'[67]Sch C'!F20</f>
        <v>0</v>
      </c>
      <c r="E35" s="171">
        <f t="shared" si="4"/>
        <v>15004</v>
      </c>
      <c r="F35" s="171"/>
      <c r="G35" s="171">
        <f t="shared" si="5"/>
        <v>15004</v>
      </c>
      <c r="H35" s="172">
        <f t="shared" si="6"/>
        <v>3.8237661552208684E-3</v>
      </c>
      <c r="I35" s="336"/>
      <c r="J35" s="168"/>
      <c r="K35" s="168"/>
      <c r="M35" s="359">
        <f t="shared" si="7"/>
        <v>0.81019493493169181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'[67]Sch C'!D21</f>
        <v>693</v>
      </c>
      <c r="D36" s="558">
        <f>'[67]Sch C'!F21</f>
        <v>0</v>
      </c>
      <c r="E36" s="171">
        <f t="shared" si="4"/>
        <v>693</v>
      </c>
      <c r="F36" s="171"/>
      <c r="G36" s="171">
        <f t="shared" si="5"/>
        <v>693</v>
      </c>
      <c r="H36" s="172">
        <f t="shared" si="6"/>
        <v>1.7661090013116915E-4</v>
      </c>
      <c r="I36" s="336"/>
      <c r="J36" s="168"/>
      <c r="K36" s="168"/>
      <c r="M36" s="359">
        <f t="shared" si="7"/>
        <v>3.7421027053296613E-2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'[67]Sch C'!D22</f>
        <v>0</v>
      </c>
      <c r="D37" s="558">
        <f>'[67]Sch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'[67]Sch C'!D23</f>
        <v>6123</v>
      </c>
      <c r="D38" s="558">
        <f>'[67]Sch C'!F23</f>
        <v>0</v>
      </c>
      <c r="E38" s="171">
        <f t="shared" si="4"/>
        <v>6123</v>
      </c>
      <c r="F38" s="171"/>
      <c r="G38" s="171">
        <f t="shared" si="5"/>
        <v>6123</v>
      </c>
      <c r="H38" s="172">
        <f t="shared" si="6"/>
        <v>1.5604452258342694E-3</v>
      </c>
      <c r="I38" s="336"/>
      <c r="J38" s="168"/>
      <c r="K38" s="168"/>
      <c r="M38" s="359">
        <f t="shared" si="7"/>
        <v>0.33063340353150816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'[67]Sch C'!D24</f>
        <v>62806</v>
      </c>
      <c r="D39" s="558">
        <f>'[67]Sch C'!F24</f>
        <v>-10400</v>
      </c>
      <c r="E39" s="171">
        <f t="shared" si="4"/>
        <v>52406</v>
      </c>
      <c r="F39" s="171"/>
      <c r="G39" s="171">
        <f t="shared" si="5"/>
        <v>52406</v>
      </c>
      <c r="H39" s="172">
        <f t="shared" si="6"/>
        <v>1.335565776662922E-2</v>
      </c>
      <c r="I39" s="336"/>
      <c r="J39" s="168"/>
      <c r="K39" s="168"/>
      <c r="M39" s="359">
        <f t="shared" si="7"/>
        <v>2.829850423888979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'[67]Sch C'!D25</f>
        <v>19958</v>
      </c>
      <c r="D40" s="558">
        <f>'[67]Sch C'!F25</f>
        <v>0</v>
      </c>
      <c r="E40" s="171">
        <f t="shared" si="4"/>
        <v>19958</v>
      </c>
      <c r="F40" s="171"/>
      <c r="G40" s="171">
        <f t="shared" si="5"/>
        <v>19958</v>
      </c>
      <c r="H40" s="172">
        <f t="shared" si="6"/>
        <v>5.0862919838641756E-3</v>
      </c>
      <c r="I40" s="336"/>
      <c r="J40" s="168"/>
      <c r="K40" s="168"/>
      <c r="M40" s="359">
        <f t="shared" si="7"/>
        <v>1.077703979696528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'[67]Sch C'!D26</f>
        <v>291390</v>
      </c>
      <c r="D41" s="558">
        <f>'[67]Sch C'!F26</f>
        <v>0</v>
      </c>
      <c r="E41" s="171">
        <f t="shared" si="4"/>
        <v>291390</v>
      </c>
      <c r="F41" s="171"/>
      <c r="G41" s="171">
        <f t="shared" si="5"/>
        <v>291390</v>
      </c>
      <c r="H41" s="172">
        <f t="shared" si="6"/>
        <v>7.4260678483724932E-2</v>
      </c>
      <c r="I41" s="336"/>
      <c r="J41" s="168"/>
      <c r="K41" s="168"/>
      <c r="M41" s="359">
        <f t="shared" si="7"/>
        <v>15.734650899076623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'[67]Sch C'!D27</f>
        <v>0</v>
      </c>
      <c r="D42" s="558">
        <f>'[67]Sch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'[67]Sch C'!D28</f>
        <v>0</v>
      </c>
      <c r="D43" s="558">
        <f>'[67]Sch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'[67]Sch C'!D29</f>
        <v>41414</v>
      </c>
      <c r="D44" s="558">
        <f>'[67]Sch C'!F29</f>
        <v>-41414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'[67]Sch C'!D30</f>
        <v>0</v>
      </c>
      <c r="D45" s="558">
        <f>'[67]Sch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'[67]Sch C'!D31</f>
        <v>50199</v>
      </c>
      <c r="D46" s="558">
        <f>'[67]Sch C'!F31</f>
        <v>0</v>
      </c>
      <c r="E46" s="171">
        <f t="shared" si="4"/>
        <v>50199</v>
      </c>
      <c r="F46" s="171"/>
      <c r="G46" s="171">
        <f t="shared" si="5"/>
        <v>50199</v>
      </c>
      <c r="H46" s="172">
        <f t="shared" si="6"/>
        <v>1.2793204293917114E-2</v>
      </c>
      <c r="I46" s="336"/>
      <c r="J46" s="168"/>
      <c r="K46" s="168"/>
      <c r="M46" s="359">
        <f t="shared" si="7"/>
        <v>2.7106755224364165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'[67]Sch C'!D32</f>
        <v>53633</v>
      </c>
      <c r="D47" s="558">
        <f>'[67]Sch C'!F32</f>
        <v>-10937</v>
      </c>
      <c r="E47" s="171">
        <f t="shared" si="4"/>
        <v>42696</v>
      </c>
      <c r="F47" s="171"/>
      <c r="G47" s="171">
        <f t="shared" si="5"/>
        <v>42696</v>
      </c>
      <c r="H47" s="172">
        <f t="shared" si="6"/>
        <v>1.088106636652294E-2</v>
      </c>
      <c r="I47" s="336"/>
      <c r="J47" s="168"/>
      <c r="K47" s="168"/>
      <c r="M47" s="359">
        <f t="shared" si="7"/>
        <v>2.3055240563745341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'[67]Sch C'!D33</f>
        <v>0</v>
      </c>
      <c r="D48" s="558">
        <f>'[67]Sch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'[67]Sch C'!D34</f>
        <v>0</v>
      </c>
      <c r="D49" s="558">
        <f>'[67]Sch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'[67]Sch C'!D35</f>
        <v>15</v>
      </c>
      <c r="D50" s="558">
        <f>'[67]Sch C'!F35</f>
        <v>-15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'[67]Sch C'!D36</f>
        <v>0</v>
      </c>
      <c r="D51" s="558">
        <f>'[67]Sch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'[67]Sch C'!D37</f>
        <v>0</v>
      </c>
      <c r="D52" s="558">
        <f>'[67]Sch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'[67]Sch C'!D38</f>
        <v>748</v>
      </c>
      <c r="D53" s="558">
        <f>'[67]Sch C'!F38</f>
        <v>-748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'[67]Sch C'!D39</f>
        <v>3298</v>
      </c>
      <c r="D54" s="558">
        <f>'[67]Sch C'!F39</f>
        <v>0</v>
      </c>
      <c r="E54" s="171">
        <f t="shared" si="4"/>
        <v>3298</v>
      </c>
      <c r="F54" s="171"/>
      <c r="G54" s="171">
        <f t="shared" si="5"/>
        <v>3298</v>
      </c>
      <c r="H54" s="172">
        <f t="shared" si="6"/>
        <v>8.4049458677142258E-4</v>
      </c>
      <c r="I54" s="336"/>
      <c r="J54" s="168"/>
      <c r="K54" s="168"/>
      <c r="M54" s="359">
        <f t="shared" si="7"/>
        <v>0.17808736972838707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'[67]Sch C'!D40</f>
        <v>2745</v>
      </c>
      <c r="D55" s="558">
        <f>'[67]Sch C'!F40</f>
        <v>0</v>
      </c>
      <c r="E55" s="171">
        <f t="shared" si="4"/>
        <v>2745</v>
      </c>
      <c r="F55" s="171"/>
      <c r="G55" s="171">
        <f t="shared" si="5"/>
        <v>2745</v>
      </c>
      <c r="H55" s="172">
        <f t="shared" si="6"/>
        <v>6.9956265636372187E-4</v>
      </c>
      <c r="I55" s="336"/>
      <c r="J55" s="168"/>
      <c r="K55" s="168"/>
      <c r="M55" s="359">
        <f t="shared" si="7"/>
        <v>0.14822614612020088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'[67]Sch C'!D41</f>
        <v>11811</v>
      </c>
      <c r="D56" s="558">
        <f>'[67]Sch C'!F41</f>
        <v>0</v>
      </c>
      <c r="E56" s="171">
        <f t="shared" si="4"/>
        <v>11811</v>
      </c>
      <c r="F56" s="171"/>
      <c r="G56" s="171">
        <f t="shared" si="5"/>
        <v>11811</v>
      </c>
      <c r="H56" s="172">
        <f t="shared" si="6"/>
        <v>3.0100307957420473E-3</v>
      </c>
      <c r="I56" s="336"/>
      <c r="J56" s="168"/>
      <c r="K56" s="168"/>
      <c r="M56" s="359">
        <f t="shared" si="7"/>
        <v>0.63777741778713748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'[67]Sch C'!D42</f>
        <v>4559</v>
      </c>
      <c r="D57" s="558">
        <f>'[67]Sch C'!F42</f>
        <v>0</v>
      </c>
      <c r="E57" s="171">
        <f t="shared" si="4"/>
        <v>4559</v>
      </c>
      <c r="F57" s="171"/>
      <c r="G57" s="171">
        <f t="shared" si="5"/>
        <v>4559</v>
      </c>
      <c r="H57" s="172">
        <f t="shared" si="6"/>
        <v>1.1618601640663781E-3</v>
      </c>
      <c r="I57" s="336"/>
      <c r="J57" s="168"/>
      <c r="K57" s="168"/>
      <c r="M57" s="359">
        <f t="shared" si="7"/>
        <v>0.24617959933041741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'[67]Sch C'!D43</f>
        <v>8314</v>
      </c>
      <c r="D58" s="558">
        <f>'[67]Sch C'!F43</f>
        <v>0</v>
      </c>
      <c r="E58" s="171">
        <f t="shared" si="4"/>
        <v>8314</v>
      </c>
      <c r="F58" s="171"/>
      <c r="G58" s="171">
        <f t="shared" si="5"/>
        <v>8314</v>
      </c>
      <c r="H58" s="172">
        <f t="shared" si="6"/>
        <v>2.1188211020065515E-3</v>
      </c>
      <c r="I58" s="336"/>
      <c r="J58" s="168"/>
      <c r="K58" s="168"/>
      <c r="M58" s="359">
        <f t="shared" si="7"/>
        <v>0.44894432744748636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'[67]Sch C'!D44</f>
        <v>149</v>
      </c>
      <c r="D59" s="558">
        <f>'[67]Sch C'!F44</f>
        <v>0</v>
      </c>
      <c r="E59" s="171">
        <f t="shared" si="4"/>
        <v>149</v>
      </c>
      <c r="F59" s="171"/>
      <c r="G59" s="171">
        <f t="shared" si="5"/>
        <v>149</v>
      </c>
      <c r="H59" s="172">
        <f t="shared" si="6"/>
        <v>3.7972617777120064E-5</v>
      </c>
      <c r="I59" s="336"/>
      <c r="J59" s="168"/>
      <c r="K59" s="168"/>
      <c r="M59" s="359">
        <f t="shared" si="7"/>
        <v>8.0457908094389539E-3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'[67]Sch C'!D45</f>
        <v>2323</v>
      </c>
      <c r="D60" s="558">
        <f>'[67]Sch C'!F45</f>
        <v>-900</v>
      </c>
      <c r="E60" s="171">
        <f t="shared" si="4"/>
        <v>1423</v>
      </c>
      <c r="F60" s="171"/>
      <c r="G60" s="171">
        <f t="shared" si="5"/>
        <v>1423</v>
      </c>
      <c r="H60" s="172">
        <f t="shared" si="6"/>
        <v>3.6265124226068354E-4</v>
      </c>
      <c r="I60" s="336"/>
      <c r="J60" s="168"/>
      <c r="K60" s="168"/>
      <c r="M60" s="359">
        <f t="shared" si="7"/>
        <v>7.684000215994384E-2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1458035</v>
      </c>
      <c r="D61" s="558">
        <f>SUM(D25:D60)</f>
        <v>-318381.88</v>
      </c>
      <c r="E61" s="171">
        <f t="shared" ref="E61:F61" si="8">SUM(E25:E60)</f>
        <v>1139653.1200000001</v>
      </c>
      <c r="F61" s="171">
        <f t="shared" si="8"/>
        <v>0</v>
      </c>
      <c r="G61" s="171">
        <f>SUM(G25:G60)</f>
        <v>1139653.1200000001</v>
      </c>
      <c r="H61" s="186">
        <f t="shared" si="6"/>
        <v>0.29044035116954592</v>
      </c>
      <c r="I61" s="338"/>
      <c r="J61" s="168"/>
      <c r="K61" s="168"/>
      <c r="M61" s="364">
        <f>G61/G$228</f>
        <v>61.53966844862034</v>
      </c>
      <c r="N61" s="359">
        <f>SUMMARY!J64</f>
        <v>53.728790309602623</v>
      </c>
      <c r="O61" s="354">
        <f>M61/N61-1</f>
        <v>0.14537602827104279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'[67]Sch C'!D57</f>
        <v>590751</v>
      </c>
      <c r="D64" s="558">
        <f>'[67]Sch C'!F57</f>
        <v>-590751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'[67]Sch C'!D58</f>
        <v>0</v>
      </c>
      <c r="D65" s="558">
        <f>'[67]Sch C'!F58</f>
        <v>110025</v>
      </c>
      <c r="E65" s="171">
        <f t="shared" si="9"/>
        <v>110025</v>
      </c>
      <c r="F65" s="171"/>
      <c r="G65" s="171">
        <f t="shared" si="10"/>
        <v>110025</v>
      </c>
      <c r="H65" s="172">
        <f t="shared" si="11"/>
        <v>2.8039847455890166E-2</v>
      </c>
      <c r="I65" s="336"/>
      <c r="J65" s="190"/>
      <c r="K65" s="168"/>
      <c r="M65" s="359">
        <f t="shared" si="12"/>
        <v>5.9411955289162481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'[67]Sch C'!D59</f>
        <v>0</v>
      </c>
      <c r="D66" s="558">
        <f>'[67]Sch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'[67]Sch C'!D60</f>
        <v>23619</v>
      </c>
      <c r="D67" s="558">
        <f>'[67]Sch C'!F60</f>
        <v>0</v>
      </c>
      <c r="E67" s="171">
        <f t="shared" si="9"/>
        <v>23619</v>
      </c>
      <c r="F67" s="171"/>
      <c r="G67" s="171">
        <f t="shared" si="10"/>
        <v>23619</v>
      </c>
      <c r="H67" s="172">
        <f t="shared" si="11"/>
        <v>6.0192970421328769E-3</v>
      </c>
      <c r="I67" s="336"/>
      <c r="J67" s="193"/>
      <c r="K67" s="168"/>
      <c r="M67" s="359">
        <f t="shared" si="12"/>
        <v>1.2753928397861656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'[67]Sch C'!D61</f>
        <v>12114</v>
      </c>
      <c r="D68" s="558">
        <f>'[67]Sch C'!F61</f>
        <v>0</v>
      </c>
      <c r="E68" s="171">
        <f t="shared" si="9"/>
        <v>12114</v>
      </c>
      <c r="F68" s="171"/>
      <c r="G68" s="171">
        <f t="shared" si="10"/>
        <v>12114</v>
      </c>
      <c r="H68" s="172">
        <f t="shared" si="11"/>
        <v>3.0872502802149824E-3</v>
      </c>
      <c r="I68" s="336"/>
      <c r="J68" s="193"/>
      <c r="K68" s="168"/>
      <c r="M68" s="359">
        <f t="shared" si="12"/>
        <v>0.65413899238619799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'[67]Sch C'!D62</f>
        <v>0</v>
      </c>
      <c r="D69" s="558">
        <f>'[67]Sch C'!F62</f>
        <v>5966</v>
      </c>
      <c r="E69" s="171">
        <f t="shared" si="9"/>
        <v>5966</v>
      </c>
      <c r="F69" s="171"/>
      <c r="G69" s="171">
        <f t="shared" si="10"/>
        <v>5966</v>
      </c>
      <c r="H69" s="172">
        <f t="shared" si="11"/>
        <v>1.5204338097872367E-3</v>
      </c>
      <c r="I69" s="336"/>
      <c r="J69" s="195"/>
      <c r="K69" s="168"/>
      <c r="M69" s="359">
        <f t="shared" si="12"/>
        <v>0.32215562395377723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'[67]Sch C'!D63</f>
        <v>0</v>
      </c>
      <c r="D70" s="558">
        <f>'[67]Sch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'[67]Sch C'!D64</f>
        <v>0</v>
      </c>
      <c r="D71" s="558">
        <f>'[67]Sch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'[67]Sch C'!D65</f>
        <v>2413</v>
      </c>
      <c r="D72" s="558">
        <f>'[67]Sch C'!F65</f>
        <v>0</v>
      </c>
      <c r="E72" s="171">
        <f t="shared" si="9"/>
        <v>2413</v>
      </c>
      <c r="F72" s="171"/>
      <c r="G72" s="171">
        <f t="shared" si="10"/>
        <v>2413</v>
      </c>
      <c r="H72" s="172">
        <f t="shared" si="11"/>
        <v>6.1495252816235369E-4</v>
      </c>
      <c r="I72" s="336"/>
      <c r="J72" s="195"/>
      <c r="K72" s="168"/>
      <c r="M72" s="359">
        <f t="shared" si="12"/>
        <v>0.13029861223608186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'[67]Sch C'!D66</f>
        <v>2370</v>
      </c>
      <c r="D73" s="558">
        <f>'[67]Sch C'!F66</f>
        <v>0</v>
      </c>
      <c r="E73" s="171">
        <f t="shared" si="9"/>
        <v>2370</v>
      </c>
      <c r="F73" s="171"/>
      <c r="G73" s="171">
        <f t="shared" si="10"/>
        <v>2370</v>
      </c>
      <c r="H73" s="172">
        <f t="shared" si="11"/>
        <v>6.0399398746157414E-4</v>
      </c>
      <c r="I73" s="336"/>
      <c r="J73" s="195"/>
      <c r="K73" s="168"/>
      <c r="M73" s="359">
        <f t="shared" si="12"/>
        <v>0.12797667260651224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'[67]Sch C'!D67</f>
        <v>0</v>
      </c>
      <c r="D74" s="558">
        <f>'[67]Sch C'!F67</f>
        <v>90830</v>
      </c>
      <c r="E74" s="171">
        <f t="shared" si="9"/>
        <v>90830</v>
      </c>
      <c r="F74" s="171"/>
      <c r="G74" s="171">
        <f t="shared" si="10"/>
        <v>90830</v>
      </c>
      <c r="H74" s="172">
        <f t="shared" si="11"/>
        <v>2.3148005857018893E-2</v>
      </c>
      <c r="I74" s="336"/>
      <c r="J74" s="195"/>
      <c r="K74" s="168"/>
      <c r="M74" s="359">
        <f t="shared" si="12"/>
        <v>4.9046924779955718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'[67]Sch C'!D68</f>
        <v>0</v>
      </c>
      <c r="D75" s="558">
        <f>'[67]Sch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'[67]Sch C'!D69</f>
        <v>5069</v>
      </c>
      <c r="D76" s="558">
        <f>'[67]Sch C'!F69</f>
        <v>0</v>
      </c>
      <c r="E76" s="171">
        <f t="shared" si="9"/>
        <v>5069</v>
      </c>
      <c r="F76" s="171"/>
      <c r="G76" s="171">
        <f t="shared" si="10"/>
        <v>5069</v>
      </c>
      <c r="H76" s="172">
        <f t="shared" si="11"/>
        <v>1.2918335537732992E-3</v>
      </c>
      <c r="I76" s="336"/>
      <c r="J76" s="195"/>
      <c r="K76" s="168"/>
      <c r="M76" s="359">
        <f t="shared" si="12"/>
        <v>0.27371888330903399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'[67]Sch C'!D70</f>
        <v>0</v>
      </c>
      <c r="D77" s="558">
        <f>'[67]Sch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'[67]Sch C'!D71</f>
        <v>0</v>
      </c>
      <c r="D78" s="558">
        <f>'[67]Sch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636336</v>
      </c>
      <c r="D79" s="558">
        <f>SUM(D64:D78)</f>
        <v>-383930</v>
      </c>
      <c r="E79" s="171">
        <f t="shared" ref="E79:F79" si="13">SUM(E64:E78)</f>
        <v>252406</v>
      </c>
      <c r="F79" s="171">
        <f t="shared" si="13"/>
        <v>0</v>
      </c>
      <c r="G79" s="171">
        <f>SUM(G64:G78)</f>
        <v>252406</v>
      </c>
      <c r="H79" s="172">
        <f t="shared" si="11"/>
        <v>6.4325614514441382E-2</v>
      </c>
      <c r="I79" s="336"/>
      <c r="J79" s="195"/>
      <c r="K79" s="168"/>
      <c r="M79" s="359">
        <f t="shared" si="12"/>
        <v>13.62956963118959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'[67]Sch C'!D75</f>
        <v>38996</v>
      </c>
      <c r="D82" s="558">
        <f>'[67]Sch C'!F75</f>
        <v>1886</v>
      </c>
      <c r="E82" s="171">
        <f t="shared" ref="E82:E92" si="14">C82+D82</f>
        <v>40882</v>
      </c>
      <c r="F82" s="171"/>
      <c r="G82" s="171">
        <f t="shared" ref="G82:G92" si="15">E82+F82</f>
        <v>40882</v>
      </c>
      <c r="H82" s="172">
        <f t="shared" ref="H82:H93" si="16">IF($G$208=0,0,G82/$G$208)</f>
        <v>1.0418768858820284E-2</v>
      </c>
      <c r="I82" s="336"/>
      <c r="J82" s="183">
        <v>2166</v>
      </c>
      <c r="K82" s="183">
        <v>2271</v>
      </c>
      <c r="M82" s="359">
        <f t="shared" ref="M82:M92" si="17">G82/G$228</f>
        <v>2.2075706031643176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'[67]Sch C'!D76</f>
        <v>0</v>
      </c>
      <c r="D83" s="558">
        <f>'[67]Sch C'!F76</f>
        <v>6092</v>
      </c>
      <c r="E83" s="171">
        <f t="shared" si="14"/>
        <v>6092</v>
      </c>
      <c r="F83" s="171"/>
      <c r="G83" s="171">
        <f t="shared" si="15"/>
        <v>6092</v>
      </c>
      <c r="H83" s="172">
        <f t="shared" si="16"/>
        <v>1.5525448825383585E-3</v>
      </c>
      <c r="I83" s="336"/>
      <c r="J83" s="168"/>
      <c r="K83" s="168"/>
      <c r="M83" s="359">
        <f t="shared" si="17"/>
        <v>0.32895944705437657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'[67]Sch C'!D77</f>
        <v>6299</v>
      </c>
      <c r="D84" s="558">
        <f>'[67]Sch C'!F77</f>
        <v>0</v>
      </c>
      <c r="E84" s="171">
        <f t="shared" si="14"/>
        <v>6299</v>
      </c>
      <c r="F84" s="171"/>
      <c r="G84" s="171">
        <f t="shared" si="15"/>
        <v>6299</v>
      </c>
      <c r="H84" s="172">
        <f t="shared" si="16"/>
        <v>1.6052987877723441E-3</v>
      </c>
      <c r="I84" s="336"/>
      <c r="J84" s="168"/>
      <c r="K84" s="168"/>
      <c r="M84" s="359">
        <f t="shared" si="17"/>
        <v>0.34013715643393272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'[67]Sch C'!D78</f>
        <v>0</v>
      </c>
      <c r="D85" s="558">
        <f>'[67]Sch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'[67]Sch C'!D79</f>
        <v>2632</v>
      </c>
      <c r="D86" s="558">
        <f>'[67]Sch C'!F79</f>
        <v>0</v>
      </c>
      <c r="E86" s="171">
        <f t="shared" si="14"/>
        <v>2632</v>
      </c>
      <c r="F86" s="171"/>
      <c r="G86" s="171">
        <f t="shared" si="15"/>
        <v>2632</v>
      </c>
      <c r="H86" s="172">
        <f t="shared" si="16"/>
        <v>6.7076463080120805E-4</v>
      </c>
      <c r="I86" s="336"/>
      <c r="J86" s="168"/>
      <c r="K86" s="168"/>
      <c r="M86" s="359">
        <f t="shared" si="17"/>
        <v>0.14212430476807603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'[67]Sch C'!D80</f>
        <v>11974</v>
      </c>
      <c r="D87" s="558">
        <f>'[67]Sch C'!F80</f>
        <v>0</v>
      </c>
      <c r="E87" s="171">
        <f t="shared" si="14"/>
        <v>11974</v>
      </c>
      <c r="F87" s="171"/>
      <c r="G87" s="171">
        <f t="shared" si="15"/>
        <v>11974</v>
      </c>
      <c r="H87" s="172">
        <f t="shared" si="16"/>
        <v>3.0515713104915143E-3</v>
      </c>
      <c r="I87" s="336"/>
      <c r="J87" s="168"/>
      <c r="K87" s="168"/>
      <c r="M87" s="359">
        <f t="shared" si="17"/>
        <v>0.64657918894108757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'[67]Sch C'!D81</f>
        <v>9544</v>
      </c>
      <c r="D88" s="558">
        <f>'[67]Sch C'!F81</f>
        <v>0</v>
      </c>
      <c r="E88" s="171">
        <f t="shared" si="14"/>
        <v>9544</v>
      </c>
      <c r="F88" s="171"/>
      <c r="G88" s="171">
        <f t="shared" si="15"/>
        <v>9544</v>
      </c>
      <c r="H88" s="172">
        <f t="shared" si="16"/>
        <v>2.4322863360055963E-3</v>
      </c>
      <c r="I88" s="336"/>
      <c r="J88" s="168"/>
      <c r="K88" s="168"/>
      <c r="M88" s="359">
        <f t="shared" si="17"/>
        <v>0.51536260057238514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'[67]Sch C'!D82</f>
        <v>1818</v>
      </c>
      <c r="D89" s="558">
        <f>'[67]Sch C'!F82</f>
        <v>0</v>
      </c>
      <c r="E89" s="171">
        <f t="shared" si="14"/>
        <v>1818</v>
      </c>
      <c r="F89" s="171"/>
      <c r="G89" s="171">
        <f t="shared" si="15"/>
        <v>1818</v>
      </c>
      <c r="H89" s="172">
        <f t="shared" si="16"/>
        <v>4.6331690683761256E-4</v>
      </c>
      <c r="I89" s="336"/>
      <c r="J89" s="168"/>
      <c r="K89" s="168"/>
      <c r="M89" s="359">
        <f t="shared" si="17"/>
        <v>9.8169447594362552E-2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'[67]Sch C'!D83</f>
        <v>0</v>
      </c>
      <c r="D90" s="558">
        <f>'[67]Sch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'[67]Sch C'!D84</f>
        <v>101426</v>
      </c>
      <c r="D91" s="558">
        <f>'[67]Sch C'!F84</f>
        <v>0</v>
      </c>
      <c r="E91" s="171">
        <f t="shared" si="14"/>
        <v>101426</v>
      </c>
      <c r="F91" s="171"/>
      <c r="G91" s="171">
        <f t="shared" si="15"/>
        <v>101426</v>
      </c>
      <c r="H91" s="172">
        <f t="shared" si="16"/>
        <v>2.5848394165517981E-2</v>
      </c>
      <c r="I91" s="336"/>
      <c r="J91" s="168"/>
      <c r="K91" s="168"/>
      <c r="M91" s="359">
        <f t="shared" si="17"/>
        <v>5.4768616015983582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'[67]Sch C'!D85</f>
        <v>0</v>
      </c>
      <c r="D92" s="558">
        <f>'[67]Sch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172689</v>
      </c>
      <c r="D93" s="558">
        <f>SUM(D82:D92)</f>
        <v>7978</v>
      </c>
      <c r="E93" s="171">
        <f t="shared" ref="E93:F93" si="18">SUM(E82:E92)</f>
        <v>180667</v>
      </c>
      <c r="F93" s="171">
        <f t="shared" si="18"/>
        <v>0</v>
      </c>
      <c r="G93" s="171">
        <f>SUM(G82:G92)</f>
        <v>180667</v>
      </c>
      <c r="H93" s="172">
        <f t="shared" si="16"/>
        <v>4.6042945878784901E-2</v>
      </c>
      <c r="I93" s="336"/>
      <c r="J93" s="168"/>
      <c r="K93" s="168"/>
      <c r="M93" s="364">
        <f>G93/G$228</f>
        <v>9.7557643501268974</v>
      </c>
      <c r="N93" s="359">
        <f>SUMMARY!J96</f>
        <v>11.458724454710746</v>
      </c>
      <c r="O93" s="354">
        <f>M93/N93-1</f>
        <v>-0.1486168998403441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'[67]Sch C'!D89</f>
        <v>156910</v>
      </c>
      <c r="D96" s="558">
        <f>'[67]Sch C'!F89</f>
        <v>7587</v>
      </c>
      <c r="E96" s="171">
        <f t="shared" ref="E96:E101" si="19">C96+D96</f>
        <v>164497</v>
      </c>
      <c r="F96" s="171"/>
      <c r="G96" s="171">
        <f t="shared" ref="G96:G101" si="20">E96+F96</f>
        <v>164497</v>
      </c>
      <c r="H96" s="172">
        <f t="shared" ref="H96:H102" si="21">IF($G$208=0,0,G96/$G$208)</f>
        <v>4.1922024875724287E-2</v>
      </c>
      <c r="I96" s="336"/>
      <c r="J96" s="183">
        <v>12287</v>
      </c>
      <c r="K96" s="183">
        <v>12881</v>
      </c>
      <c r="M96" s="364">
        <f t="shared" ref="M96:M101" si="22">G96/G$228</f>
        <v>8.8826070522166418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'[67]Sch C'!D90</f>
        <v>0</v>
      </c>
      <c r="D97" s="558">
        <f>'[67]Sch C'!F90</f>
        <v>24511</v>
      </c>
      <c r="E97" s="171">
        <f t="shared" si="19"/>
        <v>24511</v>
      </c>
      <c r="F97" s="171"/>
      <c r="G97" s="171">
        <f t="shared" si="20"/>
        <v>24511</v>
      </c>
      <c r="H97" s="172">
        <f t="shared" si="21"/>
        <v>6.2466230492281196E-3</v>
      </c>
      <c r="I97" s="336"/>
      <c r="J97" s="168"/>
      <c r="K97" s="168"/>
      <c r="M97" s="364">
        <f t="shared" si="22"/>
        <v>1.3235595874507262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'[67]Sch C'!D91</f>
        <v>1345</v>
      </c>
      <c r="D98" s="558">
        <f>'[67]Sch C'!F91</f>
        <v>0</v>
      </c>
      <c r="E98" s="171">
        <f t="shared" si="19"/>
        <v>1345</v>
      </c>
      <c r="F98" s="171"/>
      <c r="G98" s="171">
        <f t="shared" si="20"/>
        <v>1345</v>
      </c>
      <c r="H98" s="172">
        <f t="shared" si="21"/>
        <v>3.427729591290368E-4</v>
      </c>
      <c r="I98" s="336"/>
      <c r="J98" s="168"/>
      <c r="K98" s="168"/>
      <c r="M98" s="364">
        <f t="shared" si="22"/>
        <v>7.2628111669096607E-2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'[67]Sch C'!D92</f>
        <v>111111</v>
      </c>
      <c r="D99" s="558">
        <f>'[67]Sch C'!F92</f>
        <v>0</v>
      </c>
      <c r="E99" s="171">
        <f t="shared" si="19"/>
        <v>111111</v>
      </c>
      <c r="F99" s="171"/>
      <c r="G99" s="171">
        <f t="shared" si="20"/>
        <v>111111</v>
      </c>
      <c r="H99" s="172">
        <f t="shared" si="21"/>
        <v>2.8316614321030786E-2</v>
      </c>
      <c r="I99" s="336"/>
      <c r="J99" s="168"/>
      <c r="K99" s="168"/>
      <c r="M99" s="364">
        <f t="shared" si="22"/>
        <v>5.9998380042118908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'[67]Sch C'!D93</f>
        <v>9694</v>
      </c>
      <c r="D100" s="558">
        <f>'[67]Sch C'!F93</f>
        <v>0</v>
      </c>
      <c r="E100" s="171">
        <f t="shared" si="19"/>
        <v>9694</v>
      </c>
      <c r="F100" s="171"/>
      <c r="G100" s="171">
        <f t="shared" si="20"/>
        <v>9694</v>
      </c>
      <c r="H100" s="172">
        <f t="shared" si="21"/>
        <v>2.4705138035664553E-3</v>
      </c>
      <c r="I100" s="336"/>
      <c r="J100" s="168"/>
      <c r="K100" s="168"/>
      <c r="M100" s="364">
        <f t="shared" si="22"/>
        <v>0.52346238997786054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'[67]Sch C'!D94</f>
        <v>0</v>
      </c>
      <c r="D101" s="558">
        <f>'[67]Sch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279060</v>
      </c>
      <c r="D102" s="558">
        <f>SUM(D96:D101)</f>
        <v>32098</v>
      </c>
      <c r="E102" s="171">
        <f t="shared" ref="E102:F102" si="23">SUM(E96:E101)</f>
        <v>311158</v>
      </c>
      <c r="F102" s="171">
        <f t="shared" si="23"/>
        <v>0</v>
      </c>
      <c r="G102" s="171">
        <f>SUM(G96:G101)</f>
        <v>311158</v>
      </c>
      <c r="H102" s="172">
        <f t="shared" si="21"/>
        <v>7.9298549008678679E-2</v>
      </c>
      <c r="I102" s="336"/>
      <c r="J102" s="168"/>
      <c r="K102" s="168"/>
      <c r="M102" s="364">
        <f>G102/G$228</f>
        <v>16.802095145526216</v>
      </c>
      <c r="N102" s="359">
        <f>SUMMARY!J105</f>
        <v>19.901077037785338</v>
      </c>
      <c r="O102" s="354">
        <f>M102/N102-1</f>
        <v>-0.15571930536097189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'[67]Sch C'!D98</f>
        <v>35831</v>
      </c>
      <c r="D105" s="558">
        <f>'[67]Sch C'!F98</f>
        <v>1732</v>
      </c>
      <c r="E105" s="171">
        <f t="shared" ref="E105:E110" si="24">C105+D105</f>
        <v>37563</v>
      </c>
      <c r="F105" s="171"/>
      <c r="G105" s="171">
        <f t="shared" ref="G105:G110" si="25">E105+F105</f>
        <v>37563</v>
      </c>
      <c r="H105" s="172">
        <f t="shared" ref="H105:H111" si="26">IF($G$208=0,0,G105/$G$208)</f>
        <v>9.5729224265903405E-3</v>
      </c>
      <c r="I105" s="336"/>
      <c r="J105" s="183">
        <v>4067</v>
      </c>
      <c r="K105" s="183">
        <v>4264</v>
      </c>
      <c r="M105" s="364">
        <f t="shared" ref="M105:M110" si="27">G105/G$228</f>
        <v>2.0283492629191642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'[67]Sch C'!D99</f>
        <v>0</v>
      </c>
      <c r="D106" s="558">
        <f>'[67]Sch C'!F99</f>
        <v>5598</v>
      </c>
      <c r="E106" s="171">
        <f t="shared" si="24"/>
        <v>5598</v>
      </c>
      <c r="F106" s="171"/>
      <c r="G106" s="171">
        <f t="shared" si="25"/>
        <v>5598</v>
      </c>
      <c r="H106" s="172">
        <f t="shared" si="26"/>
        <v>1.4266490893712624E-3</v>
      </c>
      <c r="I106" s="336"/>
      <c r="J106" s="168"/>
      <c r="K106" s="168"/>
      <c r="M106" s="364">
        <f t="shared" si="27"/>
        <v>0.3022841406123441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'[67]Sch C'!D100</f>
        <v>7638</v>
      </c>
      <c r="D107" s="558">
        <f>'[67]Sch C'!F100</f>
        <v>0</v>
      </c>
      <c r="E107" s="171">
        <f t="shared" si="24"/>
        <v>7638</v>
      </c>
      <c r="F107" s="171"/>
      <c r="G107" s="171">
        <f t="shared" si="25"/>
        <v>7638</v>
      </c>
      <c r="H107" s="172">
        <f t="shared" si="26"/>
        <v>1.9465426481989464E-3</v>
      </c>
      <c r="I107" s="336"/>
      <c r="J107" s="168"/>
      <c r="K107" s="168"/>
      <c r="M107" s="364">
        <f t="shared" si="27"/>
        <v>0.41244127652681029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'[67]Sch C'!D101</f>
        <v>1456</v>
      </c>
      <c r="D108" s="558">
        <f>'[67]Sch C'!F101</f>
        <v>0</v>
      </c>
      <c r="E108" s="171">
        <f t="shared" si="24"/>
        <v>1456</v>
      </c>
      <c r="F108" s="171"/>
      <c r="G108" s="171">
        <f t="shared" si="25"/>
        <v>1456</v>
      </c>
      <c r="H108" s="172">
        <f t="shared" si="26"/>
        <v>3.7106128512407252E-4</v>
      </c>
      <c r="I108" s="336"/>
      <c r="J108" s="168"/>
      <c r="K108" s="168"/>
      <c r="M108" s="364">
        <f t="shared" si="27"/>
        <v>7.8621955829148438E-2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'[67]Sch C'!D102</f>
        <v>2273</v>
      </c>
      <c r="D109" s="558">
        <f>'[67]Sch C'!F102</f>
        <v>0</v>
      </c>
      <c r="E109" s="171">
        <f t="shared" si="24"/>
        <v>2273</v>
      </c>
      <c r="F109" s="171"/>
      <c r="G109" s="171">
        <f t="shared" si="25"/>
        <v>2273</v>
      </c>
      <c r="H109" s="172">
        <f t="shared" si="26"/>
        <v>5.7927355843888524E-4</v>
      </c>
      <c r="I109" s="336"/>
      <c r="J109" s="168"/>
      <c r="K109" s="168"/>
      <c r="M109" s="364">
        <f t="shared" si="27"/>
        <v>0.12273880879097143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'[67]Sch C'!D103</f>
        <v>0</v>
      </c>
      <c r="D110" s="558">
        <f>'[67]Sch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47198</v>
      </c>
      <c r="D111" s="558">
        <f>SUM(D105:D110)</f>
        <v>7330</v>
      </c>
      <c r="E111" s="171">
        <f t="shared" ref="E111:F111" si="28">SUM(E105:E110)</f>
        <v>54528</v>
      </c>
      <c r="F111" s="171">
        <f t="shared" si="28"/>
        <v>0</v>
      </c>
      <c r="G111" s="171">
        <f>SUM(G105:G110)</f>
        <v>54528</v>
      </c>
      <c r="H111" s="172">
        <f t="shared" si="26"/>
        <v>1.3896449007723508E-2</v>
      </c>
      <c r="I111" s="336"/>
      <c r="J111" s="168"/>
      <c r="K111" s="168"/>
      <c r="M111" s="364">
        <f>G111/G$228</f>
        <v>2.9444354446784384</v>
      </c>
      <c r="N111" s="359">
        <f>SUMMARY!J114</f>
        <v>2.4242384372309496</v>
      </c>
      <c r="O111" s="354">
        <f>M111/N111-1</f>
        <v>0.21458161848208146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'[67]Sch C'!D115</f>
        <v>42978</v>
      </c>
      <c r="D114" s="558">
        <f>'[67]Sch C'!F115</f>
        <v>2078</v>
      </c>
      <c r="E114" s="171">
        <f t="shared" ref="E114:E118" si="29">C114+D114</f>
        <v>45056</v>
      </c>
      <c r="F114" s="171"/>
      <c r="G114" s="171">
        <f>E114+F114</f>
        <v>45056</v>
      </c>
      <c r="H114" s="172">
        <f t="shared" ref="H114:H119" si="30">IF($G$208=0,0,G114/$G$208)</f>
        <v>1.1482511856147124E-2</v>
      </c>
      <c r="I114" s="336"/>
      <c r="J114" s="183">
        <v>5267</v>
      </c>
      <c r="K114" s="183">
        <v>5522</v>
      </c>
      <c r="M114" s="364">
        <f t="shared" ref="M114:M119" si="31">G114/G$228</f>
        <v>2.4329607430206814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'[67]Sch C'!D116</f>
        <v>0</v>
      </c>
      <c r="D115" s="558">
        <f>'[67]Sch C'!F116</f>
        <v>6714</v>
      </c>
      <c r="E115" s="171">
        <f t="shared" si="29"/>
        <v>6714</v>
      </c>
      <c r="F115" s="171"/>
      <c r="G115" s="171">
        <f>E115+F115</f>
        <v>6714</v>
      </c>
      <c r="H115" s="172">
        <f t="shared" si="30"/>
        <v>1.7110614480240543E-3</v>
      </c>
      <c r="I115" s="336"/>
      <c r="J115" s="168"/>
      <c r="K115" s="168"/>
      <c r="M115" s="364">
        <f t="shared" si="31"/>
        <v>0.36254657378908151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'[67]Sch C'!D117</f>
        <v>11020</v>
      </c>
      <c r="D116" s="558">
        <f>'[67]Sch C'!F117</f>
        <v>0</v>
      </c>
      <c r="E116" s="171">
        <f t="shared" si="29"/>
        <v>11020</v>
      </c>
      <c r="F116" s="171"/>
      <c r="G116" s="171">
        <f>E116+F116</f>
        <v>11020</v>
      </c>
      <c r="H116" s="172">
        <f t="shared" si="30"/>
        <v>2.8084446168044502E-3</v>
      </c>
      <c r="I116" s="336"/>
      <c r="J116" s="168"/>
      <c r="K116" s="168"/>
      <c r="M116" s="364">
        <f t="shared" si="31"/>
        <v>0.59506452832226364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'[67]Sch C'!D118</f>
        <v>3910</v>
      </c>
      <c r="D117" s="558">
        <f>'[67]Sch C'!F118</f>
        <v>0</v>
      </c>
      <c r="E117" s="171">
        <f t="shared" si="29"/>
        <v>3910</v>
      </c>
      <c r="F117" s="171"/>
      <c r="G117" s="171">
        <f>E117+F117</f>
        <v>3910</v>
      </c>
      <c r="H117" s="172">
        <f t="shared" si="30"/>
        <v>9.9646265441972765E-4</v>
      </c>
      <c r="I117" s="336"/>
      <c r="J117" s="168"/>
      <c r="K117" s="168"/>
      <c r="M117" s="364">
        <f t="shared" si="31"/>
        <v>0.21113451050272694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'[67]Sch C'!D119</f>
        <v>0</v>
      </c>
      <c r="D118" s="558">
        <f>'[67]Sch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57908</v>
      </c>
      <c r="D119" s="558">
        <f>SUM(D114:D118)</f>
        <v>8792</v>
      </c>
      <c r="E119" s="171">
        <f t="shared" ref="E119:F119" si="32">SUM(E114:E118)</f>
        <v>66700</v>
      </c>
      <c r="F119" s="171">
        <f t="shared" si="32"/>
        <v>0</v>
      </c>
      <c r="G119" s="171">
        <f>SUM(G114:G118)</f>
        <v>66700</v>
      </c>
      <c r="H119" s="172">
        <f t="shared" si="30"/>
        <v>1.6998480575395356E-2</v>
      </c>
      <c r="I119" s="336"/>
      <c r="J119" s="168"/>
      <c r="K119" s="168"/>
      <c r="M119" s="364">
        <f t="shared" si="31"/>
        <v>3.6017063556347533</v>
      </c>
      <c r="N119" s="359">
        <f>SUMMARY!J122</f>
        <v>6.0247597205909562</v>
      </c>
      <c r="O119" s="354">
        <f>M119/N119-1</f>
        <v>-0.40218257280450198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'[67]Sch C'!D124</f>
        <v>0</v>
      </c>
      <c r="D123" s="558">
        <f>'[67]Sch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'[67]Sch C'!D125</f>
        <v>126926</v>
      </c>
      <c r="D124" s="558">
        <f>'[67]Sch C'!F125</f>
        <v>6137</v>
      </c>
      <c r="E124" s="171">
        <f t="shared" si="33"/>
        <v>133063</v>
      </c>
      <c r="F124" s="171"/>
      <c r="G124" s="171">
        <f>E124+F124</f>
        <v>133063</v>
      </c>
      <c r="H124" s="172">
        <f>IF($G$208=0,0,G124/$G$208)</f>
        <v>3.3911076773670647E-2</v>
      </c>
      <c r="I124" s="336"/>
      <c r="J124" s="183">
        <v>3480</v>
      </c>
      <c r="K124" s="183">
        <v>3648</v>
      </c>
      <c r="M124" s="364">
        <f t="shared" si="34"/>
        <v>7.1852151844052052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'[67]Sch C'!D126</f>
        <v>59791</v>
      </c>
      <c r="D125" s="558">
        <f>'[67]Sch C'!F126</f>
        <v>2891</v>
      </c>
      <c r="E125" s="171">
        <f t="shared" si="33"/>
        <v>62682</v>
      </c>
      <c r="F125" s="171"/>
      <c r="G125" s="171">
        <f>E125+F125</f>
        <v>62682</v>
      </c>
      <c r="H125" s="172">
        <f>IF($G$208=0,0,G125/$G$208)</f>
        <v>1.5974494144331809E-2</v>
      </c>
      <c r="I125" s="336"/>
      <c r="J125" s="183">
        <v>1785</v>
      </c>
      <c r="K125" s="183">
        <v>1871</v>
      </c>
      <c r="M125" s="364">
        <f t="shared" si="34"/>
        <v>3.3847399967600844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'[67]Sch C'!D127</f>
        <v>0</v>
      </c>
      <c r="D126" s="558">
        <f>'[67]Sch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'[67]Sch C'!D128</f>
        <v>30931</v>
      </c>
      <c r="D127" s="558">
        <f>'[67]Sch C'!F128</f>
        <v>1496</v>
      </c>
      <c r="E127" s="171">
        <f t="shared" si="33"/>
        <v>32427</v>
      </c>
      <c r="F127" s="171"/>
      <c r="G127" s="171">
        <f>E127+F127</f>
        <v>32427</v>
      </c>
      <c r="H127" s="172">
        <f>IF($G$208=0,0,G127/$G$208)</f>
        <v>8.2640139373065247E-3</v>
      </c>
      <c r="I127" s="336"/>
      <c r="J127" s="183">
        <v>2062</v>
      </c>
      <c r="K127" s="183">
        <v>2162</v>
      </c>
      <c r="M127" s="364">
        <f t="shared" si="34"/>
        <v>1.7510124736756845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'[67]Sch C'!D130</f>
        <v>0</v>
      </c>
      <c r="D129" s="558">
        <f>'[67]Sch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'[67]Sch C'!D131</f>
        <v>0</v>
      </c>
      <c r="D130" s="558">
        <f>'[67]Sch C'!F131</f>
        <v>19828</v>
      </c>
      <c r="E130" s="171">
        <f t="shared" si="35"/>
        <v>19828</v>
      </c>
      <c r="F130" s="171"/>
      <c r="G130" s="171">
        <f>E130+F130</f>
        <v>19828</v>
      </c>
      <c r="H130" s="172">
        <f>IF($G$208=0,0,G130/$G$208)</f>
        <v>5.0531615119780975E-3</v>
      </c>
      <c r="I130" s="336"/>
      <c r="J130" s="204"/>
      <c r="K130" s="204"/>
      <c r="M130" s="364">
        <f t="shared" si="34"/>
        <v>1.0706841622117824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'[67]Sch C'!D132</f>
        <v>0</v>
      </c>
      <c r="D131" s="558">
        <f>'[67]Sch C'!F132</f>
        <v>9340</v>
      </c>
      <c r="E131" s="171">
        <f t="shared" si="35"/>
        <v>9340</v>
      </c>
      <c r="F131" s="171"/>
      <c r="G131" s="171">
        <f>E131+F131</f>
        <v>9340</v>
      </c>
      <c r="H131" s="172">
        <f>IF($G$208=0,0,G131/$G$208)</f>
        <v>2.380296980122828E-3</v>
      </c>
      <c r="I131" s="336"/>
      <c r="J131" s="168"/>
      <c r="K131" s="168"/>
      <c r="M131" s="364">
        <f t="shared" si="34"/>
        <v>0.50434688698093855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'[67]Sch C'!D133</f>
        <v>0</v>
      </c>
      <c r="D132" s="558">
        <f>'[67]Sch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'[67]Sch C'!D134</f>
        <v>0</v>
      </c>
      <c r="D133" s="558">
        <f>'[67]Sch C'!F134</f>
        <v>4832</v>
      </c>
      <c r="E133" s="171">
        <f t="shared" si="35"/>
        <v>4832</v>
      </c>
      <c r="F133" s="171"/>
      <c r="G133" s="171">
        <f>E133+F133</f>
        <v>4832</v>
      </c>
      <c r="H133" s="172">
        <f>IF($G$208=0,0,G133/$G$208)</f>
        <v>1.2314341550271417E-3</v>
      </c>
      <c r="I133" s="336"/>
      <c r="J133" s="168"/>
      <c r="K133" s="168"/>
      <c r="M133" s="364">
        <f t="shared" si="34"/>
        <v>0.26092121604838275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'[67]Sch C'!D136</f>
        <v>148476</v>
      </c>
      <c r="D135" s="558">
        <f>'[67]Sch C'!F136</f>
        <v>7179</v>
      </c>
      <c r="E135" s="171">
        <f t="shared" ref="E135:E138" si="36">C135+D135</f>
        <v>155655</v>
      </c>
      <c r="F135" s="171"/>
      <c r="G135" s="171">
        <f>E135+F135</f>
        <v>155655</v>
      </c>
      <c r="H135" s="172">
        <f>IF($G$208=0,0,G135/$G$208)</f>
        <v>3.9668643087903507E-2</v>
      </c>
      <c r="I135" s="336"/>
      <c r="J135" s="183">
        <v>5999</v>
      </c>
      <c r="K135" s="183">
        <v>6289</v>
      </c>
      <c r="M135" s="364">
        <f t="shared" si="34"/>
        <v>8.4051514660618825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'[67]Sch C'!D137</f>
        <v>287878</v>
      </c>
      <c r="D136" s="558">
        <f>'[67]Sch C'!F137</f>
        <v>13919</v>
      </c>
      <c r="E136" s="171">
        <f t="shared" si="36"/>
        <v>301797</v>
      </c>
      <c r="F136" s="171"/>
      <c r="G136" s="171">
        <f>E136+F136</f>
        <v>301797</v>
      </c>
      <c r="H136" s="172">
        <f>IF($G$208=0,0,G136/$G$208)</f>
        <v>7.6912900183097335E-2</v>
      </c>
      <c r="I136" s="336"/>
      <c r="J136" s="183">
        <v>13948</v>
      </c>
      <c r="K136" s="183">
        <v>14622</v>
      </c>
      <c r="M136" s="364">
        <f t="shared" si="34"/>
        <v>16.296614288028511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'[67]Sch C'!D138</f>
        <v>411868</v>
      </c>
      <c r="D137" s="558">
        <f>'[67]Sch C'!F138</f>
        <v>18961</v>
      </c>
      <c r="E137" s="171">
        <f t="shared" si="36"/>
        <v>430829</v>
      </c>
      <c r="F137" s="171"/>
      <c r="G137" s="171">
        <f>E137+F137</f>
        <v>430829</v>
      </c>
      <c r="H137" s="172">
        <f>IF($G$208=0,0,G137/$G$208)</f>
        <v>0.10979667747851583</v>
      </c>
      <c r="I137" s="336"/>
      <c r="J137" s="183">
        <v>37092</v>
      </c>
      <c r="K137" s="183">
        <v>38969</v>
      </c>
      <c r="M137" s="364">
        <f t="shared" si="34"/>
        <v>23.264161131810575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'[67]Sch C'!D139</f>
        <v>18146</v>
      </c>
      <c r="D138" s="558">
        <f>'[67]Sch C'!F139</f>
        <v>877</v>
      </c>
      <c r="E138" s="171">
        <f t="shared" si="36"/>
        <v>19023</v>
      </c>
      <c r="F138" s="171"/>
      <c r="G138" s="171">
        <f>E138+F138</f>
        <v>19023</v>
      </c>
      <c r="H138" s="172">
        <f>IF($G$208=0,0,G138/$G$208)</f>
        <v>4.8480074360681535E-3</v>
      </c>
      <c r="I138" s="336"/>
      <c r="J138" s="183">
        <v>1727</v>
      </c>
      <c r="K138" s="183">
        <v>1810</v>
      </c>
      <c r="M138" s="364">
        <f t="shared" si="34"/>
        <v>1.0272152924023976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'[67]Sch C'!D141</f>
        <v>0</v>
      </c>
      <c r="D140" s="558">
        <f>'[67]Sch C'!F141</f>
        <v>23194</v>
      </c>
      <c r="E140" s="171">
        <f t="shared" ref="E140:E143" si="37">C140+D140</f>
        <v>23194</v>
      </c>
      <c r="F140" s="171"/>
      <c r="G140" s="171">
        <f>E140+F140</f>
        <v>23194</v>
      </c>
      <c r="H140" s="172">
        <f>IF($G$208=0,0,G140/$G$208)</f>
        <v>5.9109858840437762E-3</v>
      </c>
      <c r="I140" s="336"/>
      <c r="J140" s="168"/>
      <c r="K140" s="168"/>
      <c r="M140" s="364">
        <f t="shared" si="34"/>
        <v>1.2524434364706518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'[67]Sch C'!D142</f>
        <v>0</v>
      </c>
      <c r="D141" s="558">
        <f>'[67]Sch C'!F142</f>
        <v>44971</v>
      </c>
      <c r="E141" s="171">
        <f t="shared" si="37"/>
        <v>44971</v>
      </c>
      <c r="F141" s="171"/>
      <c r="G141" s="171">
        <f>E141+F141</f>
        <v>44971</v>
      </c>
      <c r="H141" s="172">
        <f>IF($G$208=0,0,G141/$G$208)</f>
        <v>1.1460849624529304E-2</v>
      </c>
      <c r="I141" s="336"/>
      <c r="J141" s="168"/>
      <c r="K141" s="168"/>
      <c r="M141" s="364">
        <f t="shared" si="34"/>
        <v>2.4283708623575788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'[67]Sch C'!D143</f>
        <v>0</v>
      </c>
      <c r="D142" s="558">
        <f>'[67]Sch C'!F143</f>
        <v>64340</v>
      </c>
      <c r="E142" s="171">
        <f t="shared" si="37"/>
        <v>64340</v>
      </c>
      <c r="F142" s="171"/>
      <c r="G142" s="171">
        <f>E142+F142</f>
        <v>64340</v>
      </c>
      <c r="H142" s="172">
        <f>IF($G$208=0,0,G142/$G$208)</f>
        <v>1.6397035085771172E-2</v>
      </c>
      <c r="I142" s="336"/>
      <c r="J142" s="168"/>
      <c r="K142" s="168"/>
      <c r="M142" s="364">
        <f t="shared" si="34"/>
        <v>3.4742696689886063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'[67]Sch C'!D144</f>
        <v>0</v>
      </c>
      <c r="D143" s="558">
        <f>'[67]Sch C'!F144</f>
        <v>2835</v>
      </c>
      <c r="E143" s="171">
        <f t="shared" si="37"/>
        <v>2835</v>
      </c>
      <c r="F143" s="171"/>
      <c r="G143" s="171">
        <f>E143+F143</f>
        <v>2835</v>
      </c>
      <c r="H143" s="172">
        <f>IF($G$208=0,0,G143/$G$208)</f>
        <v>7.2249913690023738E-4</v>
      </c>
      <c r="I143" s="336"/>
      <c r="J143" s="168"/>
      <c r="K143" s="168"/>
      <c r="M143" s="364">
        <f t="shared" si="34"/>
        <v>0.15308601976348615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'[67]Sch C'!D146</f>
        <v>36000</v>
      </c>
      <c r="D145" s="558">
        <f>'[67]Sch C'!F146</f>
        <v>0</v>
      </c>
      <c r="E145" s="171">
        <f t="shared" ref="E145:E153" si="38">C145+D145</f>
        <v>36000</v>
      </c>
      <c r="F145" s="171"/>
      <c r="G145" s="171">
        <f t="shared" ref="G145:G153" si="39">E145+F145</f>
        <v>36000</v>
      </c>
      <c r="H145" s="172">
        <f t="shared" ref="H145:H153" si="40">IF($G$208=0,0,G145/$G$208)</f>
        <v>9.1745922146061892E-3</v>
      </c>
      <c r="I145" s="336"/>
      <c r="J145" s="183">
        <v>0</v>
      </c>
      <c r="K145" s="183">
        <v>0</v>
      </c>
      <c r="M145" s="364">
        <f t="shared" si="34"/>
        <v>1.9439494573141098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'[67]Sch C'!D147</f>
        <v>0</v>
      </c>
      <c r="D146" s="558">
        <f>'[67]Sch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'[67]Sch C'!D148</f>
        <v>0</v>
      </c>
      <c r="D147" s="558">
        <f>'[67]Sch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'[67]Sch C'!D149</f>
        <v>2132</v>
      </c>
      <c r="D148" s="558">
        <f>'[67]Sch C'!F149</f>
        <v>0</v>
      </c>
      <c r="E148" s="171">
        <f t="shared" si="38"/>
        <v>2132</v>
      </c>
      <c r="F148" s="171"/>
      <c r="G148" s="171">
        <f t="shared" si="39"/>
        <v>2132</v>
      </c>
      <c r="H148" s="172">
        <f t="shared" si="40"/>
        <v>5.4333973893167767E-4</v>
      </c>
      <c r="I148" s="336"/>
      <c r="J148" s="183">
        <v>125.41176470588235</v>
      </c>
      <c r="K148" s="183">
        <v>0</v>
      </c>
      <c r="M148" s="364">
        <f t="shared" si="34"/>
        <v>0.11512500674982451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'[67]Sch C'!D150</f>
        <v>8408</v>
      </c>
      <c r="D149" s="558">
        <f>'[67]Sch C'!F150</f>
        <v>0</v>
      </c>
      <c r="E149" s="171">
        <f t="shared" si="38"/>
        <v>8408</v>
      </c>
      <c r="F149" s="171"/>
      <c r="G149" s="171">
        <f t="shared" si="39"/>
        <v>8408</v>
      </c>
      <c r="H149" s="172">
        <f t="shared" si="40"/>
        <v>2.1427769816780235E-3</v>
      </c>
      <c r="I149" s="336"/>
      <c r="J149" s="183">
        <v>560.5333333333333</v>
      </c>
      <c r="K149" s="183">
        <v>0</v>
      </c>
      <c r="M149" s="364">
        <f t="shared" si="34"/>
        <v>0.45402019547491768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'[67]Sch C'!D151</f>
        <v>52566</v>
      </c>
      <c r="D150" s="558">
        <f>'[67]Sch C'!F151</f>
        <v>0</v>
      </c>
      <c r="E150" s="171">
        <f t="shared" si="38"/>
        <v>52566</v>
      </c>
      <c r="F150" s="171"/>
      <c r="G150" s="171">
        <f t="shared" si="39"/>
        <v>52566</v>
      </c>
      <c r="H150" s="172">
        <f t="shared" si="40"/>
        <v>1.3396433732027471E-2</v>
      </c>
      <c r="I150" s="336"/>
      <c r="J150" s="168"/>
      <c r="K150" s="168"/>
      <c r="M150" s="364">
        <f t="shared" si="34"/>
        <v>2.8384901992548195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'[67]Sch C'!D152</f>
        <v>1871</v>
      </c>
      <c r="D151" s="558">
        <f>'[67]Sch C'!F152</f>
        <v>0</v>
      </c>
      <c r="E151" s="171">
        <f t="shared" si="38"/>
        <v>1871</v>
      </c>
      <c r="F151" s="171"/>
      <c r="G151" s="171">
        <f t="shared" si="39"/>
        <v>1871</v>
      </c>
      <c r="H151" s="172">
        <f t="shared" si="40"/>
        <v>4.7682394537578278E-4</v>
      </c>
      <c r="I151" s="336"/>
      <c r="J151" s="168"/>
      <c r="K151" s="168"/>
      <c r="M151" s="364">
        <f t="shared" si="34"/>
        <v>0.10103137318429721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'[67]Sch C'!D153</f>
        <v>0</v>
      </c>
      <c r="D152" s="558">
        <f>'[67]Sch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'[67]Sch C'!D154</f>
        <v>0</v>
      </c>
      <c r="D153" s="558">
        <f>'[67]Sch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'[67]Sch C'!D156</f>
        <v>0</v>
      </c>
      <c r="D155" s="558">
        <f>'[67]Sch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'[67]Sch C'!D157</f>
        <v>0</v>
      </c>
      <c r="D156" s="558">
        <f>'[67]Sch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'[67]Sch C'!D158</f>
        <v>0</v>
      </c>
      <c r="D157" s="558">
        <f>'[67]Sch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'[67]Sch C'!D159</f>
        <v>0</v>
      </c>
      <c r="D158" s="558">
        <f>'[67]Sch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'[67]Sch C'!D160</f>
        <v>0</v>
      </c>
      <c r="D159" s="558">
        <f>'[67]Sch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'[67]Sch C'!D161</f>
        <v>3480</v>
      </c>
      <c r="D160" s="558">
        <f>'[67]Sch C'!F161</f>
        <v>0</v>
      </c>
      <c r="E160" s="171">
        <f t="shared" si="41"/>
        <v>3480</v>
      </c>
      <c r="F160" s="171"/>
      <c r="G160" s="171">
        <f t="shared" si="42"/>
        <v>3480</v>
      </c>
      <c r="H160" s="172">
        <f t="shared" si="43"/>
        <v>8.8687724741193165E-4</v>
      </c>
      <c r="I160" s="336"/>
      <c r="J160" s="168"/>
      <c r="K160" s="168"/>
      <c r="M160" s="364">
        <f t="shared" si="34"/>
        <v>0.18791511420703061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1188473</v>
      </c>
      <c r="D161" s="558">
        <f>SUM(D123:D160)</f>
        <v>220800</v>
      </c>
      <c r="E161" s="171">
        <f t="shared" ref="E161:F161" si="44">SUM(E123:E160)</f>
        <v>1409273</v>
      </c>
      <c r="F161" s="171">
        <f t="shared" si="44"/>
        <v>0</v>
      </c>
      <c r="G161" s="171">
        <f>SUM(G123:G160)</f>
        <v>1409273</v>
      </c>
      <c r="H161" s="172">
        <f t="shared" si="43"/>
        <v>0.35915291927929743</v>
      </c>
      <c r="I161" s="336"/>
      <c r="J161" s="168"/>
      <c r="K161" s="168"/>
      <c r="M161" s="364">
        <f>G161/G$228</f>
        <v>76.098763432150761</v>
      </c>
      <c r="N161" s="359">
        <f>SUMMARY!J164</f>
        <v>105.56901037202306</v>
      </c>
      <c r="O161" s="354">
        <f>M161/N161-1</f>
        <v>-0.27915622999609202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'[67]Sch C'!D175</f>
        <v>0</v>
      </c>
      <c r="D164" s="558">
        <f>'[67]Sch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'[67]Sch C'!D176</f>
        <v>0</v>
      </c>
      <c r="D165" s="558">
        <f>'[67]Sch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'[67]Sch C'!D177</f>
        <v>153016</v>
      </c>
      <c r="D166" s="558">
        <f>'[67]Sch C'!F177</f>
        <v>7399</v>
      </c>
      <c r="E166" s="171">
        <f t="shared" si="45"/>
        <v>160415</v>
      </c>
      <c r="F166" s="216"/>
      <c r="G166" s="171">
        <f t="shared" si="46"/>
        <v>160415</v>
      </c>
      <c r="H166" s="172">
        <f t="shared" si="47"/>
        <v>4.0881728058501439E-2</v>
      </c>
      <c r="I166" s="342"/>
      <c r="J166" s="217">
        <v>5803</v>
      </c>
      <c r="K166" s="217">
        <v>6084</v>
      </c>
      <c r="L166" s="218"/>
      <c r="M166" s="364">
        <f t="shared" si="48"/>
        <v>8.6621847831956362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'[67]Sch C'!D178</f>
        <v>0</v>
      </c>
      <c r="D167" s="558">
        <f>'[67]Sch C'!F178</f>
        <v>23903</v>
      </c>
      <c r="E167" s="171">
        <f t="shared" si="45"/>
        <v>23903</v>
      </c>
      <c r="F167" s="216"/>
      <c r="G167" s="171">
        <f t="shared" si="46"/>
        <v>23903</v>
      </c>
      <c r="H167" s="172">
        <f t="shared" si="47"/>
        <v>6.0916743807147705E-3</v>
      </c>
      <c r="I167" s="343"/>
      <c r="J167" s="222"/>
      <c r="K167" s="222"/>
      <c r="L167" s="218"/>
      <c r="M167" s="364">
        <f t="shared" si="48"/>
        <v>1.2907284410605324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'[67]Sch C'!D179</f>
        <v>9111</v>
      </c>
      <c r="D168" s="558">
        <f>'[67]Sch C'!F179</f>
        <v>441</v>
      </c>
      <c r="E168" s="171">
        <f t="shared" si="45"/>
        <v>9552</v>
      </c>
      <c r="F168" s="216"/>
      <c r="G168" s="171">
        <f t="shared" si="46"/>
        <v>9552</v>
      </c>
      <c r="H168" s="172">
        <f t="shared" si="47"/>
        <v>2.4343251342755089E-3</v>
      </c>
      <c r="I168" s="342"/>
      <c r="J168" s="217">
        <v>212</v>
      </c>
      <c r="K168" s="217">
        <v>222</v>
      </c>
      <c r="L168" s="218"/>
      <c r="M168" s="364">
        <f t="shared" si="48"/>
        <v>0.51579458934067712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'[67]Sch C'!D180</f>
        <v>0</v>
      </c>
      <c r="D169" s="558">
        <f>'[67]Sch C'!F180</f>
        <v>1423</v>
      </c>
      <c r="E169" s="171">
        <f t="shared" si="45"/>
        <v>1423</v>
      </c>
      <c r="F169" s="216"/>
      <c r="G169" s="171">
        <f t="shared" si="46"/>
        <v>1423</v>
      </c>
      <c r="H169" s="172">
        <f t="shared" si="47"/>
        <v>3.6265124226068354E-4</v>
      </c>
      <c r="I169" s="343"/>
      <c r="J169" s="222"/>
      <c r="K169" s="222"/>
      <c r="L169" s="218"/>
      <c r="M169" s="364">
        <f t="shared" si="48"/>
        <v>7.684000215994384E-2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'[67]Sch C'!D181</f>
        <v>0</v>
      </c>
      <c r="D170" s="558">
        <f>'[67]Sch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'[67]Sch C'!D182</f>
        <v>0</v>
      </c>
      <c r="D171" s="558">
        <f>'[67]Sch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'[67]Sch C'!D183</f>
        <v>87740</v>
      </c>
      <c r="D172" s="558">
        <f>'[67]Sch C'!F183</f>
        <v>4242</v>
      </c>
      <c r="E172" s="171">
        <f t="shared" si="45"/>
        <v>91982</v>
      </c>
      <c r="F172" s="216"/>
      <c r="G172" s="171">
        <f t="shared" si="46"/>
        <v>91982</v>
      </c>
      <c r="H172" s="172">
        <f t="shared" si="47"/>
        <v>2.344159280788629E-2</v>
      </c>
      <c r="I172" s="342"/>
      <c r="J172" s="217">
        <v>2714</v>
      </c>
      <c r="K172" s="217">
        <v>2845</v>
      </c>
      <c r="L172" s="218"/>
      <c r="M172" s="364">
        <f t="shared" si="48"/>
        <v>4.966898860629624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'[67]Sch C'!D184</f>
        <v>0</v>
      </c>
      <c r="D173" s="558">
        <f>'[67]Sch C'!F184</f>
        <v>13706</v>
      </c>
      <c r="E173" s="171">
        <f t="shared" si="45"/>
        <v>13706</v>
      </c>
      <c r="F173" s="216"/>
      <c r="G173" s="171">
        <f t="shared" si="46"/>
        <v>13706</v>
      </c>
      <c r="H173" s="172">
        <f t="shared" si="47"/>
        <v>3.4929711359275675E-3</v>
      </c>
      <c r="I173" s="343"/>
      <c r="J173" s="222"/>
      <c r="K173" s="222"/>
      <c r="L173" s="218"/>
      <c r="M173" s="364">
        <f t="shared" si="48"/>
        <v>0.74010475727631087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'[67]Sch C'!D185</f>
        <v>0</v>
      </c>
      <c r="D174" s="558">
        <f>'[67]Sch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'[67]Sch C'!D186</f>
        <v>0</v>
      </c>
      <c r="D175" s="558">
        <f>'[67]Sch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'[67]Sch C'!D187</f>
        <v>0</v>
      </c>
      <c r="D176" s="558">
        <f>'[67]Sch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'[67]Sch C'!D188</f>
        <v>552</v>
      </c>
      <c r="D177" s="558">
        <f>'[67]Sch C'!F188</f>
        <v>0</v>
      </c>
      <c r="E177" s="171">
        <f t="shared" si="45"/>
        <v>552</v>
      </c>
      <c r="F177" s="216"/>
      <c r="G177" s="171">
        <f t="shared" si="46"/>
        <v>552</v>
      </c>
      <c r="H177" s="172">
        <f t="shared" si="47"/>
        <v>1.4067708062396158E-4</v>
      </c>
      <c r="I177" s="336"/>
      <c r="J177" s="223"/>
      <c r="K177" s="218"/>
      <c r="L177" s="220"/>
      <c r="M177" s="364">
        <f t="shared" si="48"/>
        <v>2.9807225012149684E-2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'[67]Sch C'!D189</f>
        <v>0</v>
      </c>
      <c r="D178" s="558">
        <f>'[67]Sch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'[67]Sch C'!D190</f>
        <v>0</v>
      </c>
      <c r="D179" s="558">
        <f>'[67]Sch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'[67]Sch C'!D191</f>
        <v>2500</v>
      </c>
      <c r="D180" s="558">
        <f>'[67]Sch C'!F191</f>
        <v>0</v>
      </c>
      <c r="E180" s="171">
        <f t="shared" si="45"/>
        <v>2500</v>
      </c>
      <c r="F180" s="216"/>
      <c r="G180" s="171">
        <f t="shared" si="46"/>
        <v>2500</v>
      </c>
      <c r="H180" s="172">
        <f t="shared" si="47"/>
        <v>6.3712445934765202E-4</v>
      </c>
      <c r="I180" s="336"/>
      <c r="J180" s="223"/>
      <c r="K180" s="218"/>
      <c r="L180" s="220"/>
      <c r="M180" s="364">
        <f t="shared" si="48"/>
        <v>0.13499649009125764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'[67]Sch C'!D192</f>
        <v>0</v>
      </c>
      <c r="D181" s="558">
        <f>'[67]Sch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'[67]Sch C'!D193</f>
        <v>0</v>
      </c>
      <c r="D182" s="558">
        <f>'[67]Sch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'[67]Sch C'!D194</f>
        <v>0</v>
      </c>
      <c r="D183" s="558">
        <f>'[67]Sch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'[67]Sch C'!D195</f>
        <v>0</v>
      </c>
      <c r="D184" s="558">
        <f>'[67]Sch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'[67]Sch C'!D196</f>
        <v>0</v>
      </c>
      <c r="D185" s="558">
        <f>'[67]Sch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'[67]Sch C'!D197</f>
        <v>9326</v>
      </c>
      <c r="D186" s="558">
        <f>'[67]Sch C'!F197</f>
        <v>0</v>
      </c>
      <c r="E186" s="171">
        <f t="shared" si="45"/>
        <v>9326</v>
      </c>
      <c r="F186" s="216"/>
      <c r="G186" s="171">
        <f t="shared" si="46"/>
        <v>9326</v>
      </c>
      <c r="H186" s="172">
        <f t="shared" si="47"/>
        <v>2.376729083150481E-3</v>
      </c>
      <c r="I186" s="336"/>
      <c r="J186" s="223"/>
      <c r="K186" s="218"/>
      <c r="M186" s="364">
        <f t="shared" si="48"/>
        <v>0.50359090663642747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'[67]Sch C'!D198</f>
        <v>9215</v>
      </c>
      <c r="D187" s="558">
        <f>'[67]Sch C'!F198</f>
        <v>0</v>
      </c>
      <c r="E187" s="171">
        <f t="shared" si="45"/>
        <v>9215</v>
      </c>
      <c r="F187" s="216"/>
      <c r="G187" s="171">
        <f t="shared" si="46"/>
        <v>9215</v>
      </c>
      <c r="H187" s="172">
        <f t="shared" si="47"/>
        <v>2.3484407571554454E-3</v>
      </c>
      <c r="I187" s="336"/>
      <c r="J187" s="223"/>
      <c r="K187" s="218"/>
      <c r="M187" s="364">
        <f t="shared" si="48"/>
        <v>0.49759706247637564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'[67]Sch C'!D199</f>
        <v>0</v>
      </c>
      <c r="D188" s="558">
        <f>'[67]Sch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'[67]Sch C'!D200</f>
        <v>0</v>
      </c>
      <c r="D189" s="558">
        <f>'[67]Sch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'[67]Sch C'!D201</f>
        <v>0</v>
      </c>
      <c r="D190" s="558">
        <f>'[67]Sch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'[67]Sch C'!D202</f>
        <v>0</v>
      </c>
      <c r="D191" s="558">
        <f>'[67]Sch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'[67]Sch C'!D203</f>
        <v>0</v>
      </c>
      <c r="D192" s="558">
        <f>'[67]Sch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'[67]Sch C'!D204</f>
        <v>0</v>
      </c>
      <c r="D193" s="558">
        <f>'[67]Sch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'[67]Sch C'!D205</f>
        <v>80878</v>
      </c>
      <c r="D194" s="558">
        <f>'[67]Sch C'!F205</f>
        <v>0</v>
      </c>
      <c r="E194" s="171">
        <f t="shared" si="45"/>
        <v>80878</v>
      </c>
      <c r="F194" s="216"/>
      <c r="G194" s="171">
        <f t="shared" si="46"/>
        <v>80878</v>
      </c>
      <c r="H194" s="172">
        <f t="shared" si="47"/>
        <v>2.0611740809247759E-2</v>
      </c>
      <c r="I194" s="336"/>
      <c r="J194" s="223"/>
      <c r="K194" s="218"/>
      <c r="M194" s="364">
        <f t="shared" si="48"/>
        <v>4.3672984502402938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'[67]Sch C'!D206</f>
        <v>4400</v>
      </c>
      <c r="D195" s="558">
        <f>'[67]Sch C'!F206</f>
        <v>0</v>
      </c>
      <c r="E195" s="171">
        <f t="shared" si="45"/>
        <v>4400</v>
      </c>
      <c r="F195" s="216"/>
      <c r="G195" s="171">
        <f t="shared" si="46"/>
        <v>4400</v>
      </c>
      <c r="H195" s="172">
        <f t="shared" si="47"/>
        <v>1.1213390484518676E-3</v>
      </c>
      <c r="I195" s="336"/>
      <c r="J195" s="223"/>
      <c r="K195" s="218"/>
      <c r="M195" s="364">
        <f t="shared" si="48"/>
        <v>0.23759382256061343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'[67]Sch C'!D207</f>
        <v>18911</v>
      </c>
      <c r="D196" s="558">
        <f>'[67]Sch C'!F207</f>
        <v>0</v>
      </c>
      <c r="E196" s="171">
        <f t="shared" si="45"/>
        <v>18911</v>
      </c>
      <c r="F196" s="216"/>
      <c r="G196" s="171">
        <f t="shared" si="46"/>
        <v>18911</v>
      </c>
      <c r="H196" s="172">
        <f t="shared" si="47"/>
        <v>4.8194642602893793E-3</v>
      </c>
      <c r="I196" s="336"/>
      <c r="J196" s="223"/>
      <c r="K196" s="218"/>
      <c r="M196" s="364">
        <f t="shared" si="48"/>
        <v>1.0211674496463092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375649</v>
      </c>
      <c r="D197" s="558">
        <f>SUM(D164:D196)</f>
        <v>51114</v>
      </c>
      <c r="E197" s="171">
        <f t="shared" ref="E197:F197" si="49">SUM(E164:E196)</f>
        <v>426763</v>
      </c>
      <c r="F197" s="171">
        <f t="shared" si="49"/>
        <v>0</v>
      </c>
      <c r="G197" s="171">
        <f>SUM(G164:G196)</f>
        <v>426763</v>
      </c>
      <c r="H197" s="172">
        <f>IF($G$208=0,0,G197/$G$208)</f>
        <v>0.1087604582578328</v>
      </c>
      <c r="I197" s="336"/>
      <c r="J197" s="168"/>
      <c r="K197" s="168"/>
      <c r="M197" s="364">
        <f>G197/G$228</f>
        <v>23.044602840326153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'[67]Sch C'!D211</f>
        <v>63326</v>
      </c>
      <c r="D200" s="558">
        <f>'[67]Sch C'!F211</f>
        <v>3062</v>
      </c>
      <c r="E200" s="171">
        <f t="shared" ref="E200:E205" si="50">C200+D200</f>
        <v>66388</v>
      </c>
      <c r="F200" s="171"/>
      <c r="G200" s="171">
        <f t="shared" ref="G200:G205" si="51">E200+F200</f>
        <v>66388</v>
      </c>
      <c r="H200" s="172">
        <f t="shared" ref="H200:H206" si="52">IF($G$208=0,0,G200/$G$208)</f>
        <v>1.6918967442868769E-2</v>
      </c>
      <c r="I200" s="336"/>
      <c r="J200" s="183">
        <v>4125</v>
      </c>
      <c r="K200" s="183">
        <v>4324</v>
      </c>
      <c r="M200" s="364">
        <f t="shared" ref="M200:M205" si="53">G200/G$228</f>
        <v>3.5848587936713647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'[67]Sch C'!D212</f>
        <v>0</v>
      </c>
      <c r="D201" s="558">
        <f>'[67]Sch C'!F212</f>
        <v>9893</v>
      </c>
      <c r="E201" s="171">
        <f t="shared" si="50"/>
        <v>9893</v>
      </c>
      <c r="F201" s="171"/>
      <c r="G201" s="171">
        <f t="shared" si="51"/>
        <v>9893</v>
      </c>
      <c r="H201" s="172">
        <f t="shared" si="52"/>
        <v>2.5212289105305285E-3</v>
      </c>
      <c r="I201" s="336"/>
      <c r="J201" s="168"/>
      <c r="K201" s="168"/>
      <c r="M201" s="364">
        <f t="shared" si="53"/>
        <v>0.53420811058912465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'[67]Sch C'!D213</f>
        <v>3669</v>
      </c>
      <c r="D202" s="558">
        <f>'[67]Sch C'!F213</f>
        <v>0</v>
      </c>
      <c r="E202" s="171">
        <f t="shared" si="50"/>
        <v>3669</v>
      </c>
      <c r="F202" s="171"/>
      <c r="G202" s="171">
        <f t="shared" si="51"/>
        <v>3669</v>
      </c>
      <c r="H202" s="172">
        <f t="shared" si="52"/>
        <v>9.3504385653861411E-4</v>
      </c>
      <c r="I202" s="336"/>
      <c r="J202" s="168"/>
      <c r="K202" s="168"/>
      <c r="M202" s="364">
        <f t="shared" si="53"/>
        <v>0.19812084885792969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'[67]Sch C'!D214</f>
        <v>0</v>
      </c>
      <c r="D203" s="558">
        <f>'[67]Sch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'[67]Sch C'!D215</f>
        <v>0</v>
      </c>
      <c r="D204" s="558">
        <f>'[67]Sch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'[67]Sch C'!D216</f>
        <v>2782</v>
      </c>
      <c r="D205" s="558">
        <f>'[67]Sch C'!F216</f>
        <v>0</v>
      </c>
      <c r="E205" s="171">
        <f t="shared" si="50"/>
        <v>2782</v>
      </c>
      <c r="F205" s="171"/>
      <c r="G205" s="171">
        <f t="shared" si="51"/>
        <v>2782</v>
      </c>
      <c r="H205" s="172">
        <f t="shared" si="52"/>
        <v>7.0899209836206717E-4</v>
      </c>
      <c r="I205" s="336"/>
      <c r="J205" s="168"/>
      <c r="K205" s="168"/>
      <c r="M205" s="364">
        <f t="shared" si="53"/>
        <v>0.15022409417355148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69777</v>
      </c>
      <c r="D206" s="558">
        <f>SUM(D200:D205)</f>
        <v>12955</v>
      </c>
      <c r="E206" s="171">
        <f t="shared" ref="E206:F206" si="54">SUM(E200:E205)</f>
        <v>82732</v>
      </c>
      <c r="F206" s="171">
        <f t="shared" si="54"/>
        <v>0</v>
      </c>
      <c r="G206" s="171">
        <f>SUM(G200:G205)</f>
        <v>82732</v>
      </c>
      <c r="H206" s="172">
        <f t="shared" si="52"/>
        <v>2.1084232308299977E-2</v>
      </c>
      <c r="I206" s="336"/>
      <c r="J206" s="168"/>
      <c r="K206" s="168"/>
      <c r="M206" s="364">
        <f>G206/G$228</f>
        <v>4.4674118472919702</v>
      </c>
      <c r="N206" s="359">
        <f>SUMMARY!J209</f>
        <v>7.1515095990067339</v>
      </c>
      <c r="O206" s="354">
        <f>M206/N206-1</f>
        <v>-0.37531904481923029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4285125</v>
      </c>
      <c r="D208" s="558">
        <f>SUM(D25:D206)/2</f>
        <v>-361244.88</v>
      </c>
      <c r="E208" s="171">
        <f t="shared" ref="E208:F208" si="55">SUM(E25:E206)/2</f>
        <v>3923880.12</v>
      </c>
      <c r="F208" s="171">
        <f t="shared" si="55"/>
        <v>0</v>
      </c>
      <c r="G208" s="171">
        <f>SUM(G25:G206)/2</f>
        <v>3923880.12</v>
      </c>
      <c r="H208" s="172">
        <f>IF($G$208=0,0,G208/$G$208)</f>
        <v>1</v>
      </c>
      <c r="I208" s="336"/>
      <c r="J208" s="183">
        <f>SUM(J25:J200)</f>
        <v>113513.94509803923</v>
      </c>
      <c r="K208" s="183">
        <f>SUM(K25:K200)</f>
        <v>118366</v>
      </c>
      <c r="M208" s="364">
        <f>G208/G$228</f>
        <v>211.88401749554512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-1.0010364060680161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H210"/>
      <c r="I210"/>
      <c r="J210"/>
      <c r="K210"/>
      <c r="L210"/>
      <c r="P210"/>
      <c r="Q210"/>
    </row>
    <row r="211" spans="1:17" s="167" customFormat="1">
      <c r="A211" s="163"/>
      <c r="B211" s="228" t="s">
        <v>181</v>
      </c>
      <c r="C211" s="558">
        <f>'[67]Sch C'!D221</f>
        <v>4285125.3000000007</v>
      </c>
      <c r="D211" s="196"/>
      <c r="E211" s="165"/>
      <c r="F211"/>
      <c r="G211"/>
      <c r="H211"/>
      <c r="I211"/>
      <c r="J211"/>
      <c r="K211"/>
      <c r="L211"/>
      <c r="P211"/>
      <c r="Q211"/>
    </row>
    <row r="212" spans="1:17" s="167" customFormat="1">
      <c r="A212" s="163"/>
      <c r="B212" s="170" t="s">
        <v>147</v>
      </c>
      <c r="C212" s="558">
        <f>C208-C211</f>
        <v>-0.30000000074505806</v>
      </c>
      <c r="D212" s="229"/>
      <c r="E212" s="165"/>
      <c r="F212"/>
      <c r="G212"/>
      <c r="H212"/>
      <c r="I212"/>
      <c r="J212"/>
      <c r="K212"/>
      <c r="L212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-224594</v>
      </c>
      <c r="D215" s="558">
        <f>D21-D208</f>
        <v>361244.88</v>
      </c>
      <c r="E215" s="171">
        <f t="shared" ref="E215:F215" si="56">E21-E208</f>
        <v>136650.87999999989</v>
      </c>
      <c r="F215" s="171">
        <f t="shared" si="56"/>
        <v>0</v>
      </c>
      <c r="G215" s="171">
        <f>G21-G208</f>
        <v>136650.87999999989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'[67]Sch D'!C9</f>
        <v>13069</v>
      </c>
      <c r="D219" s="592"/>
      <c r="E219" s="235">
        <f t="shared" ref="E219" si="57">C219+D219</f>
        <v>13069</v>
      </c>
      <c r="F219" s="234"/>
      <c r="G219" s="235">
        <f t="shared" ref="G219:G227" si="58">E219+F219</f>
        <v>13069</v>
      </c>
      <c r="H219" s="172">
        <f t="shared" ref="H219:H228" si="59">IF($G$228=0,0,G219/$G$228)</f>
        <v>0.70570765160105842</v>
      </c>
      <c r="I219" s="336"/>
      <c r="J219" s="168"/>
      <c r="K219" s="168"/>
    </row>
    <row r="220" spans="1:17">
      <c r="A220" s="163"/>
      <c r="B220" s="170" t="s">
        <v>217</v>
      </c>
      <c r="C220" s="592">
        <f>'[67]Sch D'!D9</f>
        <v>0</v>
      </c>
      <c r="D220" s="592"/>
      <c r="E220" s="235">
        <f t="shared" ref="E220:E227" si="60">C220+D220</f>
        <v>0</v>
      </c>
      <c r="F220" s="234"/>
      <c r="G220" s="235">
        <f t="shared" si="58"/>
        <v>0</v>
      </c>
      <c r="H220" s="172">
        <f t="shared" si="59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'[67]Sch D'!E9</f>
        <v>2005</v>
      </c>
      <c r="D221" s="592"/>
      <c r="E221" s="235">
        <f t="shared" si="60"/>
        <v>2005</v>
      </c>
      <c r="F221" s="234"/>
      <c r="G221" s="235">
        <f t="shared" si="58"/>
        <v>2005</v>
      </c>
      <c r="H221" s="172">
        <f t="shared" si="59"/>
        <v>0.10826718505318862</v>
      </c>
      <c r="I221" s="336"/>
      <c r="J221" s="168"/>
      <c r="K221" s="168"/>
    </row>
    <row r="222" spans="1:17">
      <c r="A222" s="163"/>
      <c r="B222" s="202" t="s">
        <v>334</v>
      </c>
      <c r="C222" s="592">
        <f>'[67]Sch D'!F9</f>
        <v>609</v>
      </c>
      <c r="D222" s="592"/>
      <c r="E222" s="235">
        <f>C222+D222</f>
        <v>609</v>
      </c>
      <c r="F222" s="234"/>
      <c r="G222" s="235">
        <f t="shared" si="58"/>
        <v>609</v>
      </c>
      <c r="H222" s="172">
        <f t="shared" si="59"/>
        <v>3.2885144986230359E-2</v>
      </c>
      <c r="I222" s="336"/>
      <c r="J222" s="168"/>
      <c r="K222" s="168"/>
    </row>
    <row r="223" spans="1:17">
      <c r="A223" s="163"/>
      <c r="B223" s="170" t="s">
        <v>73</v>
      </c>
      <c r="C223" s="592">
        <f>'[67]Sch D'!G9</f>
        <v>0</v>
      </c>
      <c r="D223" s="592"/>
      <c r="E223" s="235">
        <f t="shared" si="60"/>
        <v>0</v>
      </c>
      <c r="F223" s="234"/>
      <c r="G223" s="235">
        <f t="shared" si="58"/>
        <v>0</v>
      </c>
      <c r="H223" s="172">
        <f t="shared" si="59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'[67]Sch D'!H9</f>
        <v>1706</v>
      </c>
      <c r="D224" s="592"/>
      <c r="E224" s="235">
        <f t="shared" si="60"/>
        <v>1706</v>
      </c>
      <c r="F224" s="234"/>
      <c r="G224" s="235">
        <f t="shared" si="58"/>
        <v>1706</v>
      </c>
      <c r="H224" s="172">
        <f t="shared" si="59"/>
        <v>9.212160483827421E-2</v>
      </c>
      <c r="I224" s="336"/>
      <c r="J224" s="168"/>
      <c r="K224" s="168"/>
    </row>
    <row r="225" spans="1:11">
      <c r="A225" s="163"/>
      <c r="B225" s="170" t="s">
        <v>236</v>
      </c>
      <c r="C225" s="592">
        <f>'[67]Sch D'!I9</f>
        <v>0</v>
      </c>
      <c r="D225" s="592"/>
      <c r="E225" s="235">
        <f t="shared" si="60"/>
        <v>0</v>
      </c>
      <c r="F225" s="234"/>
      <c r="G225" s="235">
        <f t="shared" si="58"/>
        <v>0</v>
      </c>
      <c r="H225" s="172">
        <f t="shared" si="59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'[67]Sch D'!J9</f>
        <v>1130</v>
      </c>
      <c r="D226" s="592"/>
      <c r="E226" s="235">
        <f>C226+D226</f>
        <v>1130</v>
      </c>
      <c r="F226" s="234"/>
      <c r="G226" s="235">
        <f t="shared" si="58"/>
        <v>1130</v>
      </c>
      <c r="H226" s="172">
        <f t="shared" si="59"/>
        <v>6.1018413521248448E-2</v>
      </c>
      <c r="I226" s="336"/>
      <c r="J226" s="168"/>
      <c r="K226" s="168"/>
    </row>
    <row r="227" spans="1:11">
      <c r="A227" s="163"/>
      <c r="B227" s="170" t="s">
        <v>179</v>
      </c>
      <c r="C227" s="592">
        <f>'[67]Sch D'!K9</f>
        <v>0</v>
      </c>
      <c r="D227" s="592"/>
      <c r="E227" s="235">
        <f t="shared" si="60"/>
        <v>0</v>
      </c>
      <c r="F227" s="234"/>
      <c r="G227" s="235">
        <f t="shared" si="58"/>
        <v>0</v>
      </c>
      <c r="H227" s="172">
        <f t="shared" si="59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18519</v>
      </c>
      <c r="D228" s="592">
        <f>SUM(D219:D227)</f>
        <v>0</v>
      </c>
      <c r="E228" s="237">
        <f>SUM(E219:E227)</f>
        <v>18519</v>
      </c>
      <c r="F228" s="237">
        <f>SUM(F219:F227)</f>
        <v>0</v>
      </c>
      <c r="G228" s="237">
        <f>SUM(G219:G227)</f>
        <v>18519</v>
      </c>
      <c r="H228" s="172">
        <f t="shared" si="59"/>
        <v>1</v>
      </c>
      <c r="I228" s="336"/>
      <c r="J228" s="168"/>
      <c r="K228" s="168"/>
    </row>
    <row r="229" spans="1:11" ht="14" customHeight="1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'[67]Sch D'!N22</f>
        <v>130</v>
      </c>
      <c r="D231" s="559"/>
      <c r="E231" s="235">
        <f>C231+D231</f>
        <v>130</v>
      </c>
      <c r="F231" s="667">
        <v>-8</v>
      </c>
      <c r="G231" s="235">
        <f>SUM(E231:F231)</f>
        <v>122</v>
      </c>
      <c r="H231" s="167" t="s">
        <v>673</v>
      </c>
      <c r="J231" s="168"/>
      <c r="K231" s="168"/>
    </row>
    <row r="232" spans="1:11">
      <c r="A232" s="163"/>
      <c r="B232" s="202" t="s">
        <v>290</v>
      </c>
      <c r="C232" s="593">
        <f>'[67]Sch D'!N24</f>
        <v>130</v>
      </c>
      <c r="D232" s="559"/>
      <c r="E232" s="235">
        <f>C232+D232</f>
        <v>130</v>
      </c>
      <c r="F232" s="667">
        <v>-8</v>
      </c>
      <c r="G232" s="235">
        <f>SUM(E232:F232)</f>
        <v>122</v>
      </c>
      <c r="H232" s="167" t="s">
        <v>673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'[67]Sch D'!N28</f>
        <v>47580</v>
      </c>
      <c r="D235" s="483"/>
      <c r="E235" s="234">
        <f>E231*E233</f>
        <v>47580</v>
      </c>
      <c r="F235" s="239"/>
      <c r="G235" s="234">
        <f>G231*G233</f>
        <v>44652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'[67]Sch D'!N30</f>
        <v>0.38921815889029004</v>
      </c>
      <c r="D236" s="239"/>
      <c r="E236" s="244">
        <f>E228/E235</f>
        <v>0.38921815889029004</v>
      </c>
      <c r="F236" s="245"/>
      <c r="G236" s="244">
        <f>G228/G235</f>
        <v>0.41474066111260416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'[67]Sch D'!N32</f>
        <v>0.27467423287095416</v>
      </c>
      <c r="D237" s="239"/>
      <c r="E237" s="244">
        <f>(E219+E220)/E235</f>
        <v>0.27467423287095416</v>
      </c>
      <c r="F237" s="245"/>
      <c r="G237" s="244">
        <f>(G219+G220)/G235</f>
        <v>0.29268565797724627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'[67]Sch D'!N34</f>
        <v>0.70570765160105831</v>
      </c>
      <c r="D238" s="239"/>
      <c r="E238" s="244">
        <f>(E237/E236)</f>
        <v>0.70570765160105831</v>
      </c>
      <c r="F238" s="245"/>
      <c r="G238" s="244">
        <f>(G237/G236)</f>
        <v>0.70570765160105842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'[67]Sch B'!C85</f>
        <v>186.16997792494482</v>
      </c>
    </row>
    <row r="242" spans="2:7">
      <c r="F242" s="142" t="s">
        <v>341</v>
      </c>
      <c r="G242" s="558">
        <f>'[67]Sch B'!E85</f>
        <v>183.45038167938932</v>
      </c>
    </row>
    <row r="243" spans="2:7">
      <c r="F243" s="142" t="s">
        <v>342</v>
      </c>
      <c r="G243" s="558">
        <f>'[67]Sch B'!G85</f>
        <v>184.30357142857142</v>
      </c>
    </row>
    <row r="244" spans="2:7">
      <c r="F244" s="142" t="s">
        <v>343</v>
      </c>
      <c r="G244" s="558">
        <f>'[67]Sch B'!I85</f>
        <v>174.65251572327045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4">
    <tabColor rgb="FFE28CAB"/>
  </sheetPr>
  <dimension ref="A1:T245"/>
  <sheetViews>
    <sheetView showGridLines="0" zoomScale="125" zoomScaleNormal="125" workbookViewId="0">
      <pane xSplit="2" ySplit="8" topLeftCell="C228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27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52.5" customHeight="1">
      <c r="A1" s="138" t="str">
        <f>'ALPINE VALLEY'!A1</f>
        <v>schedules revised 7/2016</v>
      </c>
      <c r="B1" s="139" t="s">
        <v>304</v>
      </c>
      <c r="C1" s="472"/>
      <c r="D1" s="377"/>
      <c r="E1" s="472"/>
      <c r="F1" s="474"/>
      <c r="G1" s="475"/>
      <c r="H1" s="472"/>
      <c r="I1" s="473"/>
    </row>
    <row r="2" spans="1:17" ht="23">
      <c r="B2" s="143" t="s">
        <v>189</v>
      </c>
      <c r="C2" s="376" t="s">
        <v>572</v>
      </c>
      <c r="E2" s="144"/>
      <c r="F2" s="447"/>
      <c r="G2"/>
    </row>
    <row r="3" spans="1:17">
      <c r="A3" s="145"/>
      <c r="B3" s="140" t="s">
        <v>79</v>
      </c>
      <c r="C3" s="489">
        <v>42186</v>
      </c>
      <c r="D3" s="377"/>
      <c r="E3" s="147"/>
      <c r="F3" s="587" t="s">
        <v>524</v>
      </c>
      <c r="G3"/>
    </row>
    <row r="4" spans="1:17">
      <c r="A4" s="145"/>
      <c r="B4" s="148" t="s">
        <v>80</v>
      </c>
      <c r="C4" s="489">
        <v>42551</v>
      </c>
      <c r="D4" s="144"/>
      <c r="E4" s="149"/>
      <c r="F4" s="587" t="s">
        <v>573</v>
      </c>
      <c r="G4"/>
    </row>
    <row r="5" spans="1:17">
      <c r="A5" s="145"/>
      <c r="B5" s="148"/>
      <c r="C5" s="151"/>
      <c r="D5" s="144"/>
      <c r="F5" s="639" t="s">
        <v>491</v>
      </c>
      <c r="G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416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417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418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689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/>
      <c r="D10"/>
      <c r="E10" s="165"/>
      <c r="F10" s="690" t="s">
        <v>530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'[68]Sch B'!E10</f>
        <v>7468231</v>
      </c>
      <c r="D11" s="558">
        <f>'[68]Sch B'!G10</f>
        <v>0</v>
      </c>
      <c r="E11" s="171">
        <f>C11+D11</f>
        <v>7468231</v>
      </c>
      <c r="F11" s="691">
        <f>1608176-130341-54486</f>
        <v>1423349</v>
      </c>
      <c r="G11" s="171">
        <f t="shared" ref="G11:G20" si="0">E11+F11</f>
        <v>8891580</v>
      </c>
      <c r="H11" s="172">
        <f t="shared" ref="H11:H21" si="1">IF($G$21=0,0,G11/$G$21)</f>
        <v>0.60082895607997755</v>
      </c>
      <c r="I11" s="336"/>
      <c r="J11" s="368" t="s">
        <v>344</v>
      </c>
      <c r="K11" s="369">
        <f>G21</f>
        <v>14798854</v>
      </c>
      <c r="M11" s="359">
        <f>IFERROR(G11/G219,0)</f>
        <v>220.6347394540943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'[68]Sch B'!E15</f>
        <v>0</v>
      </c>
      <c r="D12" s="558">
        <f>'[68]Sch B'!G15</f>
        <v>0</v>
      </c>
      <c r="E12" s="171">
        <f t="shared" ref="E12:E20" si="2">C12+D12</f>
        <v>0</v>
      </c>
      <c r="F12" s="415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13341521.324999999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'[68]Sch B'!E21</f>
        <v>2128724</v>
      </c>
      <c r="D13" s="558">
        <f>'[68]Sch B'!G21</f>
        <v>0</v>
      </c>
      <c r="E13" s="171">
        <f t="shared" si="2"/>
        <v>2128724</v>
      </c>
      <c r="F13" s="415">
        <v>341139</v>
      </c>
      <c r="G13" s="171">
        <f t="shared" si="0"/>
        <v>2469863</v>
      </c>
      <c r="H13" s="172">
        <f t="shared" si="1"/>
        <v>0.16689555826417371</v>
      </c>
      <c r="I13" s="336"/>
      <c r="J13" s="370" t="s">
        <v>346</v>
      </c>
      <c r="K13" s="371">
        <f>G228</f>
        <v>55753</v>
      </c>
      <c r="M13" s="359">
        <f t="shared" si="3"/>
        <v>559.5521069324875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'[68]Sch B'!E27</f>
        <v>1058033</v>
      </c>
      <c r="D14" s="558">
        <f>'[68]Sch B'!G27</f>
        <v>0</v>
      </c>
      <c r="E14" s="171">
        <f t="shared" si="2"/>
        <v>1058033</v>
      </c>
      <c r="F14" s="415">
        <v>222874</v>
      </c>
      <c r="G14" s="175">
        <f>E14+F14</f>
        <v>1280907</v>
      </c>
      <c r="H14" s="176">
        <f t="shared" si="1"/>
        <v>8.6554472393605614E-2</v>
      </c>
      <c r="I14" s="337"/>
      <c r="J14" s="370" t="s">
        <v>347</v>
      </c>
      <c r="K14" s="371">
        <f>G231</f>
        <v>221</v>
      </c>
      <c r="M14" s="359">
        <f t="shared" si="3"/>
        <v>543.21755725190837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'[68]Sch B'!E32</f>
        <v>166442</v>
      </c>
      <c r="D15" s="558">
        <f>'[68]Sch B'!G32</f>
        <v>0</v>
      </c>
      <c r="E15" s="171">
        <f t="shared" si="2"/>
        <v>166442</v>
      </c>
      <c r="F15" s="415">
        <v>0</v>
      </c>
      <c r="G15" s="171">
        <f t="shared" si="0"/>
        <v>166442</v>
      </c>
      <c r="H15" s="172">
        <f t="shared" si="1"/>
        <v>1.1246951959928789E-2</v>
      </c>
      <c r="I15" s="336"/>
      <c r="J15" s="370" t="s">
        <v>348</v>
      </c>
      <c r="K15" s="371">
        <f>G235</f>
        <v>80886</v>
      </c>
      <c r="M15" s="359">
        <f t="shared" si="3"/>
        <v>1109.6133333333332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'[68]Sch B'!E37</f>
        <v>1051497</v>
      </c>
      <c r="D16" s="558">
        <f>'[68]Sch B'!G37</f>
        <v>0</v>
      </c>
      <c r="E16" s="171">
        <f t="shared" si="2"/>
        <v>1051497</v>
      </c>
      <c r="F16" s="415">
        <v>159619</v>
      </c>
      <c r="G16" s="171">
        <f t="shared" si="0"/>
        <v>1211116</v>
      </c>
      <c r="H16" s="172">
        <f t="shared" si="1"/>
        <v>8.1838499116215352E-2</v>
      </c>
      <c r="I16" s="336"/>
      <c r="J16" s="372"/>
      <c r="K16" s="371"/>
      <c r="M16" s="359">
        <f t="shared" si="3"/>
        <v>216.65760286225404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'[68]Sch B'!E42</f>
        <v>0</v>
      </c>
      <c r="D17" s="558">
        <f>'[68]Sch B'!G42</f>
        <v>0</v>
      </c>
      <c r="E17" s="171">
        <f t="shared" si="2"/>
        <v>0</v>
      </c>
      <c r="F17" s="415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343796.21960784309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'[68]Sch B'!E47</f>
        <v>443427</v>
      </c>
      <c r="D18" s="558">
        <f>'[68]Sch B'!G47</f>
        <v>0</v>
      </c>
      <c r="E18" s="171">
        <f t="shared" si="2"/>
        <v>443427</v>
      </c>
      <c r="F18" s="415">
        <v>121673</v>
      </c>
      <c r="G18" s="171">
        <f>E18+F18</f>
        <v>565100</v>
      </c>
      <c r="H18" s="172">
        <f t="shared" si="1"/>
        <v>3.8185389220003113E-2</v>
      </c>
      <c r="I18" s="336"/>
      <c r="J18" s="373" t="s">
        <v>252</v>
      </c>
      <c r="K18" s="374">
        <f>K208</f>
        <v>367936</v>
      </c>
      <c r="M18" s="359">
        <f t="shared" si="3"/>
        <v>192.14552873172391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'[68]Sch B'!E52</f>
        <v>0</v>
      </c>
      <c r="D19" s="558">
        <f>'[68]Sch B'!G52</f>
        <v>0</v>
      </c>
      <c r="E19" s="171">
        <f t="shared" si="2"/>
        <v>0</v>
      </c>
      <c r="F19" s="415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'[68]Sch B'!E67</f>
        <v>51362</v>
      </c>
      <c r="D20" s="558">
        <f>'[68]Sch B'!G67</f>
        <v>0</v>
      </c>
      <c r="E20" s="171">
        <f t="shared" si="2"/>
        <v>51362</v>
      </c>
      <c r="F20" s="691">
        <f>12857+130341-336-26706+54486-8158</f>
        <v>162484</v>
      </c>
      <c r="G20" s="171">
        <f t="shared" si="0"/>
        <v>213846</v>
      </c>
      <c r="H20" s="172">
        <f t="shared" si="1"/>
        <v>1.4450172966095888E-2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12367716</v>
      </c>
      <c r="D21" s="558">
        <f>SUM(D11:D20)</f>
        <v>0</v>
      </c>
      <c r="E21" s="171">
        <f>SUM(E11:E20)</f>
        <v>12367716</v>
      </c>
      <c r="F21" s="415">
        <f>SUM(F11:F20)</f>
        <v>2431138</v>
      </c>
      <c r="G21" s="171">
        <f>SUM(G11:G20)</f>
        <v>14798854</v>
      </c>
      <c r="H21" s="172">
        <f t="shared" si="1"/>
        <v>1</v>
      </c>
      <c r="I21" s="336"/>
      <c r="J21" s="168"/>
      <c r="K21" s="168"/>
      <c r="M21" s="359">
        <f>IFERROR(G21/G228,0)</f>
        <v>265.43601241188816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431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689" t="s">
        <v>479</v>
      </c>
      <c r="G23" s="144"/>
      <c r="M23" s="363"/>
      <c r="N23" s="363"/>
    </row>
    <row r="24" spans="1:17">
      <c r="A24" s="181" t="s">
        <v>161</v>
      </c>
      <c r="B24" s="148" t="s">
        <v>12</v>
      </c>
      <c r="F24" s="690" t="s">
        <v>530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'[68]Sch C'!D10</f>
        <v>235103</v>
      </c>
      <c r="D25" s="558">
        <f>'[68]Sch C'!F10</f>
        <v>17866</v>
      </c>
      <c r="E25" s="171">
        <f t="shared" ref="E25:E60" si="4">C25+D25</f>
        <v>252969</v>
      </c>
      <c r="F25" s="415">
        <v>65904</v>
      </c>
      <c r="G25" s="182">
        <f>E25+F25</f>
        <v>318873</v>
      </c>
      <c r="H25" s="172">
        <f>IF($G$208=0,0,G25/$G$208)</f>
        <v>2.3900797535171651E-2</v>
      </c>
      <c r="I25" s="336"/>
      <c r="J25" s="183">
        <f>3582+928</f>
        <v>4510</v>
      </c>
      <c r="K25" s="183">
        <f>3854+1005</f>
        <v>4859</v>
      </c>
      <c r="M25" s="359">
        <f>G25/G$228</f>
        <v>5.719387297544527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'[68]Sch C'!D11</f>
        <v>0</v>
      </c>
      <c r="D26" s="558">
        <f>'[68]Sch C'!F11</f>
        <v>0</v>
      </c>
      <c r="E26" s="171">
        <f t="shared" si="4"/>
        <v>0</v>
      </c>
      <c r="F26" s="415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'[68]Sch C'!D12</f>
        <v>353695</v>
      </c>
      <c r="D27" s="558">
        <f>'[68]Sch C'!F12</f>
        <v>26874</v>
      </c>
      <c r="E27" s="171">
        <f t="shared" si="4"/>
        <v>380569</v>
      </c>
      <c r="F27" s="415">
        <v>64512</v>
      </c>
      <c r="G27" s="171">
        <f t="shared" si="5"/>
        <v>445081</v>
      </c>
      <c r="H27" s="172">
        <f t="shared" si="6"/>
        <v>3.3360588283585423E-2</v>
      </c>
      <c r="I27" s="336"/>
      <c r="J27" s="185">
        <f>16489+2778</f>
        <v>19267</v>
      </c>
      <c r="K27" s="185">
        <f>17742+3007</f>
        <v>20749</v>
      </c>
      <c r="M27" s="359">
        <f t="shared" si="7"/>
        <v>7.9830861119581007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'[68]Sch C'!D13</f>
        <v>1407813</v>
      </c>
      <c r="D28" s="558">
        <f>'[68]Sch C'!F13</f>
        <v>-1266996</v>
      </c>
      <c r="E28" s="171">
        <f t="shared" si="4"/>
        <v>140817</v>
      </c>
      <c r="F28" s="415">
        <v>29124</v>
      </c>
      <c r="G28" s="171">
        <f t="shared" si="5"/>
        <v>169941</v>
      </c>
      <c r="H28" s="172">
        <f t="shared" si="6"/>
        <v>1.2737752753994868E-2</v>
      </c>
      <c r="I28" s="336"/>
      <c r="J28" s="168"/>
      <c r="K28" s="168"/>
      <c r="M28" s="359">
        <f t="shared" si="7"/>
        <v>3.0481050347066527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'[68]Sch C'!D14</f>
        <v>0</v>
      </c>
      <c r="D29" s="558">
        <f>'[68]Sch C'!F14</f>
        <v>0</v>
      </c>
      <c r="E29" s="171">
        <f t="shared" si="4"/>
        <v>0</v>
      </c>
      <c r="F29" s="415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'[68]Sch C'!D15</f>
        <v>0</v>
      </c>
      <c r="D30" s="558">
        <f>'[68]Sch C'!F15</f>
        <v>0</v>
      </c>
      <c r="E30" s="171">
        <f t="shared" si="4"/>
        <v>0</v>
      </c>
      <c r="F30" s="415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'[68]Sch C'!D16</f>
        <v>540347</v>
      </c>
      <c r="D31" s="558">
        <f>'[68]Sch C'!F16</f>
        <v>258049</v>
      </c>
      <c r="E31" s="171">
        <f t="shared" si="4"/>
        <v>798396</v>
      </c>
      <c r="F31" s="415">
        <v>152109</v>
      </c>
      <c r="G31" s="171">
        <f t="shared" si="5"/>
        <v>950505</v>
      </c>
      <c r="H31" s="172">
        <f t="shared" si="6"/>
        <v>7.1244124027962014E-2</v>
      </c>
      <c r="I31" s="336"/>
      <c r="J31" s="168"/>
      <c r="K31" s="168"/>
      <c r="M31" s="359">
        <f t="shared" si="7"/>
        <v>17.048499632306783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'[68]Sch C'!D17</f>
        <v>0</v>
      </c>
      <c r="D32" s="558">
        <f>'[68]Sch C'!F17</f>
        <v>0</v>
      </c>
      <c r="E32" s="171">
        <f t="shared" si="4"/>
        <v>0</v>
      </c>
      <c r="F32" s="415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'[68]Sch C'!D18</f>
        <v>12111</v>
      </c>
      <c r="D33" s="558">
        <f>'[68]Sch C'!F18</f>
        <v>0</v>
      </c>
      <c r="E33" s="171">
        <f t="shared" si="4"/>
        <v>12111</v>
      </c>
      <c r="F33" s="415">
        <v>4040</v>
      </c>
      <c r="G33" s="171">
        <f t="shared" si="5"/>
        <v>16151</v>
      </c>
      <c r="H33" s="172">
        <f t="shared" si="6"/>
        <v>1.2105815826067348E-3</v>
      </c>
      <c r="I33" s="336"/>
      <c r="J33" s="168"/>
      <c r="K33" s="168"/>
      <c r="M33" s="359">
        <f t="shared" si="7"/>
        <v>0.2896884472584435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'[68]Sch C'!D19</f>
        <v>27708</v>
      </c>
      <c r="D34" s="558">
        <f>'[68]Sch C'!F19</f>
        <v>-4880</v>
      </c>
      <c r="E34" s="171">
        <f t="shared" si="4"/>
        <v>22828</v>
      </c>
      <c r="F34" s="415">
        <v>6711</v>
      </c>
      <c r="G34" s="171">
        <f t="shared" si="5"/>
        <v>29539</v>
      </c>
      <c r="H34" s="172">
        <f t="shared" si="6"/>
        <v>2.2140653438561288E-3</v>
      </c>
      <c r="I34" s="336"/>
      <c r="J34" s="168"/>
      <c r="K34" s="168"/>
      <c r="M34" s="359">
        <f t="shared" si="7"/>
        <v>0.52981902319157714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'[68]Sch C'!D20</f>
        <v>25328</v>
      </c>
      <c r="D35" s="558">
        <f>'[68]Sch C'!F20</f>
        <v>0</v>
      </c>
      <c r="E35" s="171">
        <f t="shared" si="4"/>
        <v>25328</v>
      </c>
      <c r="F35" s="415">
        <v>10608</v>
      </c>
      <c r="G35" s="171">
        <f t="shared" si="5"/>
        <v>35936</v>
      </c>
      <c r="H35" s="172">
        <f t="shared" si="6"/>
        <v>2.6935458951492554E-3</v>
      </c>
      <c r="I35" s="336"/>
      <c r="J35" s="168"/>
      <c r="K35" s="168"/>
      <c r="M35" s="359">
        <f t="shared" si="7"/>
        <v>0.64455724355640054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'[68]Sch C'!D21</f>
        <v>7307</v>
      </c>
      <c r="D36" s="558">
        <f>'[68]Sch C'!F21</f>
        <v>0</v>
      </c>
      <c r="E36" s="171">
        <f t="shared" si="4"/>
        <v>7307</v>
      </c>
      <c r="F36" s="415">
        <v>1897</v>
      </c>
      <c r="G36" s="171">
        <f t="shared" si="5"/>
        <v>9204</v>
      </c>
      <c r="H36" s="172">
        <f t="shared" si="6"/>
        <v>6.8987634736625519E-4</v>
      </c>
      <c r="I36" s="336"/>
      <c r="J36" s="168"/>
      <c r="K36" s="168"/>
      <c r="M36" s="359">
        <f t="shared" si="7"/>
        <v>0.16508528689039154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'[68]Sch C'!D22</f>
        <v>0</v>
      </c>
      <c r="D37" s="558">
        <f>'[68]Sch C'!F22</f>
        <v>0</v>
      </c>
      <c r="E37" s="171">
        <f t="shared" si="4"/>
        <v>0</v>
      </c>
      <c r="F37" s="415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'[68]Sch C'!D23</f>
        <v>9505</v>
      </c>
      <c r="D38" s="558">
        <f>'[68]Sch C'!F23</f>
        <v>0</v>
      </c>
      <c r="E38" s="171">
        <f t="shared" si="4"/>
        <v>9505</v>
      </c>
      <c r="F38" s="415">
        <v>900</v>
      </c>
      <c r="G38" s="171">
        <f t="shared" si="5"/>
        <v>10405</v>
      </c>
      <c r="H38" s="172">
        <f t="shared" si="6"/>
        <v>7.798960663131122E-4</v>
      </c>
      <c r="I38" s="336"/>
      <c r="J38" s="168"/>
      <c r="K38" s="168"/>
      <c r="M38" s="359">
        <f t="shared" si="7"/>
        <v>0.18662672860653237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'[68]Sch C'!D24</f>
        <v>110985</v>
      </c>
      <c r="D39" s="558">
        <f>'[68]Sch C'!F24</f>
        <v>-25860</v>
      </c>
      <c r="E39" s="171">
        <f t="shared" si="4"/>
        <v>85125</v>
      </c>
      <c r="F39" s="415">
        <v>13372</v>
      </c>
      <c r="G39" s="171">
        <f t="shared" si="5"/>
        <v>98497</v>
      </c>
      <c r="H39" s="172">
        <f t="shared" si="6"/>
        <v>7.3827412632044799E-3</v>
      </c>
      <c r="I39" s="336"/>
      <c r="J39" s="168"/>
      <c r="K39" s="168"/>
      <c r="M39" s="359">
        <f t="shared" si="7"/>
        <v>1.7666672645418184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'[68]Sch C'!D25</f>
        <v>0</v>
      </c>
      <c r="D40" s="558">
        <f>'[68]Sch C'!F25</f>
        <v>0</v>
      </c>
      <c r="E40" s="171">
        <f t="shared" si="4"/>
        <v>0</v>
      </c>
      <c r="F40" s="415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'[68]Sch C'!D26</f>
        <v>760164</v>
      </c>
      <c r="D41" s="558">
        <f>'[68]Sch C'!F26</f>
        <v>0</v>
      </c>
      <c r="E41" s="171">
        <f t="shared" si="4"/>
        <v>760164</v>
      </c>
      <c r="F41" s="415">
        <v>135257</v>
      </c>
      <c r="G41" s="171">
        <f t="shared" si="5"/>
        <v>895421</v>
      </c>
      <c r="H41" s="172">
        <f t="shared" si="6"/>
        <v>6.7115359499678354E-2</v>
      </c>
      <c r="I41" s="336"/>
      <c r="J41" s="168"/>
      <c r="K41" s="168"/>
      <c r="M41" s="359">
        <f t="shared" si="7"/>
        <v>16.060498986601619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'[68]Sch C'!D27</f>
        <v>0</v>
      </c>
      <c r="D42" s="558">
        <f>'[68]Sch C'!F27</f>
        <v>0</v>
      </c>
      <c r="E42" s="171">
        <f t="shared" si="4"/>
        <v>0</v>
      </c>
      <c r="F42" s="415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'[68]Sch C'!D28</f>
        <v>0</v>
      </c>
      <c r="D43" s="558">
        <f>'[68]Sch C'!F28</f>
        <v>0</v>
      </c>
      <c r="E43" s="171">
        <f t="shared" si="4"/>
        <v>0</v>
      </c>
      <c r="F43" s="415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'[68]Sch C'!D29</f>
        <v>115431</v>
      </c>
      <c r="D44" s="558">
        <f>'[68]Sch C'!F29</f>
        <v>-115431</v>
      </c>
      <c r="E44" s="171">
        <f t="shared" si="4"/>
        <v>0</v>
      </c>
      <c r="F44" s="415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'[68]Sch C'!D30</f>
        <v>0</v>
      </c>
      <c r="D45" s="558">
        <f>'[68]Sch C'!F30</f>
        <v>0</v>
      </c>
      <c r="E45" s="171">
        <f t="shared" si="4"/>
        <v>0</v>
      </c>
      <c r="F45" s="415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'[68]Sch C'!D31</f>
        <v>159555</v>
      </c>
      <c r="D46" s="558">
        <f>'[68]Sch C'!F31</f>
        <v>0</v>
      </c>
      <c r="E46" s="171">
        <f t="shared" si="4"/>
        <v>159555</v>
      </c>
      <c r="F46" s="691">
        <f>28770-60394-10890</f>
        <v>-42514</v>
      </c>
      <c r="G46" s="171">
        <f t="shared" si="5"/>
        <v>117041</v>
      </c>
      <c r="H46" s="172">
        <f t="shared" si="6"/>
        <v>8.7726876979676086E-3</v>
      </c>
      <c r="I46" s="336"/>
      <c r="J46" s="168"/>
      <c r="K46" s="168"/>
      <c r="M46" s="359">
        <f t="shared" si="7"/>
        <v>2.0992771689415815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'[68]Sch C'!D32</f>
        <v>176800</v>
      </c>
      <c r="D47" s="558">
        <f>'[68]Sch C'!F32</f>
        <v>-44747</v>
      </c>
      <c r="E47" s="171">
        <f t="shared" si="4"/>
        <v>132053</v>
      </c>
      <c r="F47" s="691">
        <f>26411+1590</f>
        <v>28001</v>
      </c>
      <c r="G47" s="171">
        <f t="shared" si="5"/>
        <v>160054</v>
      </c>
      <c r="H47" s="172">
        <f t="shared" si="6"/>
        <v>1.1996682844563081E-2</v>
      </c>
      <c r="I47" s="336"/>
      <c r="J47" s="168"/>
      <c r="K47" s="168"/>
      <c r="M47" s="359">
        <f t="shared" si="7"/>
        <v>2.8707692859577065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'[68]Sch C'!D33</f>
        <v>0</v>
      </c>
      <c r="D48" s="558">
        <f>'[68]Sch C'!F33</f>
        <v>0</v>
      </c>
      <c r="E48" s="171">
        <f t="shared" si="4"/>
        <v>0</v>
      </c>
      <c r="F48" s="415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'[68]Sch C'!D34</f>
        <v>0</v>
      </c>
      <c r="D49" s="558">
        <f>'[68]Sch C'!F34</f>
        <v>0</v>
      </c>
      <c r="E49" s="171">
        <f t="shared" si="4"/>
        <v>0</v>
      </c>
      <c r="F49" s="415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'[68]Sch C'!D35</f>
        <v>0</v>
      </c>
      <c r="D50" s="558">
        <f>'[68]Sch C'!F35</f>
        <v>0</v>
      </c>
      <c r="E50" s="171">
        <f t="shared" si="4"/>
        <v>0</v>
      </c>
      <c r="F50" s="415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'[68]Sch C'!D36</f>
        <v>0</v>
      </c>
      <c r="D51" s="558">
        <f>'[68]Sch C'!F36</f>
        <v>0</v>
      </c>
      <c r="E51" s="171">
        <f t="shared" si="4"/>
        <v>0</v>
      </c>
      <c r="F51" s="415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'[68]Sch C'!D37</f>
        <v>0</v>
      </c>
      <c r="D52" s="558">
        <f>'[68]Sch C'!F37</f>
        <v>0</v>
      </c>
      <c r="E52" s="171">
        <f t="shared" si="4"/>
        <v>0</v>
      </c>
      <c r="F52" s="415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'[68]Sch C'!D38</f>
        <v>2300</v>
      </c>
      <c r="D53" s="558">
        <f>'[68]Sch C'!F38</f>
        <v>-2300</v>
      </c>
      <c r="E53" s="171">
        <f t="shared" si="4"/>
        <v>0</v>
      </c>
      <c r="F53" s="415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'[68]Sch C'!D39</f>
        <v>7711</v>
      </c>
      <c r="D54" s="558">
        <f>'[68]Sch C'!F39</f>
        <v>0</v>
      </c>
      <c r="E54" s="171">
        <f t="shared" si="4"/>
        <v>7711</v>
      </c>
      <c r="F54" s="415">
        <v>1637</v>
      </c>
      <c r="G54" s="171">
        <f t="shared" si="5"/>
        <v>9348</v>
      </c>
      <c r="H54" s="172">
        <f t="shared" si="6"/>
        <v>7.0066971916338033E-4</v>
      </c>
      <c r="I54" s="336"/>
      <c r="J54" s="168"/>
      <c r="K54" s="168"/>
      <c r="M54" s="359">
        <f t="shared" si="7"/>
        <v>0.16766810754578229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'[68]Sch C'!D40</f>
        <v>10303</v>
      </c>
      <c r="D55" s="558">
        <f>'[68]Sch C'!F40</f>
        <v>0</v>
      </c>
      <c r="E55" s="171">
        <f t="shared" si="4"/>
        <v>10303</v>
      </c>
      <c r="F55" s="415">
        <v>2104</v>
      </c>
      <c r="G55" s="171">
        <f t="shared" si="5"/>
        <v>12407</v>
      </c>
      <c r="H55" s="172">
        <f t="shared" si="6"/>
        <v>9.2995391588147848E-4</v>
      </c>
      <c r="I55" s="336"/>
      <c r="J55" s="168"/>
      <c r="K55" s="168"/>
      <c r="M55" s="359">
        <f t="shared" si="7"/>
        <v>0.2225351102182842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'[68]Sch C'!D41</f>
        <v>53534</v>
      </c>
      <c r="D56" s="558">
        <f>'[68]Sch C'!F41</f>
        <v>0</v>
      </c>
      <c r="E56" s="171">
        <f t="shared" si="4"/>
        <v>53534</v>
      </c>
      <c r="F56" s="415">
        <v>9262</v>
      </c>
      <c r="G56" s="171">
        <f t="shared" si="5"/>
        <v>62796</v>
      </c>
      <c r="H56" s="172">
        <f t="shared" si="6"/>
        <v>4.7068095511963665E-3</v>
      </c>
      <c r="I56" s="336"/>
      <c r="J56" s="168"/>
      <c r="K56" s="168"/>
      <c r="M56" s="359">
        <f t="shared" si="7"/>
        <v>1.1263250408049792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'[68]Sch C'!D42</f>
        <v>10191</v>
      </c>
      <c r="D57" s="558">
        <f>'[68]Sch C'!F42</f>
        <v>0</v>
      </c>
      <c r="E57" s="171">
        <f t="shared" si="4"/>
        <v>10191</v>
      </c>
      <c r="F57" s="415">
        <v>2040</v>
      </c>
      <c r="G57" s="171">
        <f t="shared" si="5"/>
        <v>12231</v>
      </c>
      <c r="H57" s="172">
        <f t="shared" si="6"/>
        <v>9.1676201701832534E-4</v>
      </c>
      <c r="I57" s="336"/>
      <c r="J57" s="168"/>
      <c r="K57" s="168"/>
      <c r="M57" s="359">
        <f t="shared" si="7"/>
        <v>0.21937832941725108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'[68]Sch C'!D43</f>
        <v>10127</v>
      </c>
      <c r="D58" s="558">
        <f>'[68]Sch C'!F43</f>
        <v>0</v>
      </c>
      <c r="E58" s="171">
        <f t="shared" si="4"/>
        <v>10127</v>
      </c>
      <c r="F58" s="415">
        <v>2911</v>
      </c>
      <c r="G58" s="171">
        <f t="shared" si="5"/>
        <v>13038</v>
      </c>
      <c r="H58" s="172">
        <f t="shared" si="6"/>
        <v>9.7724987146471476E-4</v>
      </c>
      <c r="I58" s="336"/>
      <c r="J58" s="168"/>
      <c r="K58" s="168"/>
      <c r="M58" s="359">
        <f t="shared" si="7"/>
        <v>0.23385288684017003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'[68]Sch C'!D44</f>
        <v>0</v>
      </c>
      <c r="D59" s="558">
        <f>'[68]Sch C'!F44</f>
        <v>0</v>
      </c>
      <c r="E59" s="171">
        <f t="shared" si="4"/>
        <v>0</v>
      </c>
      <c r="F59" s="415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'[68]Sch C'!D45</f>
        <v>26115</v>
      </c>
      <c r="D60" s="558">
        <f>'[68]Sch C'!F45</f>
        <v>-27042</v>
      </c>
      <c r="E60" s="171">
        <f t="shared" si="4"/>
        <v>-927</v>
      </c>
      <c r="F60" s="415">
        <v>-3370</v>
      </c>
      <c r="G60" s="171">
        <f t="shared" si="5"/>
        <v>-4297</v>
      </c>
      <c r="H60" s="172">
        <f t="shared" si="6"/>
        <v>-3.2207721258504981E-4</v>
      </c>
      <c r="I60" s="336"/>
      <c r="J60" s="168"/>
      <c r="K60" s="168"/>
      <c r="M60" s="359">
        <f t="shared" si="7"/>
        <v>-7.7072085807041779E-2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4062133</v>
      </c>
      <c r="D61" s="558">
        <f>SUM(D25:D60)</f>
        <v>-1184467</v>
      </c>
      <c r="E61" s="171">
        <f t="shared" ref="E61:F61" si="8">SUM(E25:E60)</f>
        <v>2877666</v>
      </c>
      <c r="F61" s="171">
        <f t="shared" si="8"/>
        <v>484505</v>
      </c>
      <c r="G61" s="171">
        <f>SUM(G25:G60)</f>
        <v>3362171</v>
      </c>
      <c r="H61" s="186">
        <f t="shared" si="6"/>
        <v>0.25200806700355816</v>
      </c>
      <c r="I61" s="338"/>
      <c r="J61" s="168"/>
      <c r="K61" s="168"/>
      <c r="M61" s="364">
        <f>G61/G$228</f>
        <v>60.304754901081559</v>
      </c>
      <c r="N61" s="359">
        <f>SUMMARY!J64</f>
        <v>53.728790309602623</v>
      </c>
      <c r="O61" s="354">
        <f>M61/N61-1</f>
        <v>0.12239182296095086</v>
      </c>
      <c r="P61"/>
      <c r="Q61"/>
    </row>
    <row r="62" spans="1:17" s="167" customFormat="1">
      <c r="A62" s="163"/>
      <c r="C62" s="165"/>
      <c r="D62" s="165"/>
      <c r="E62" s="165"/>
      <c r="F62" s="422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422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'[68]Sch C'!D57</f>
        <v>700250</v>
      </c>
      <c r="D64" s="558">
        <f>'[68]Sch C'!F57</f>
        <v>0</v>
      </c>
      <c r="E64" s="171">
        <f t="shared" ref="E64:E78" si="9">C64+D64</f>
        <v>700250</v>
      </c>
      <c r="F64" s="691">
        <f>121024-700250-121024</f>
        <v>-700250</v>
      </c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'[68]Sch C'!D58</f>
        <v>13009</v>
      </c>
      <c r="D65" s="558">
        <f>'[68]Sch C'!F58</f>
        <v>0</v>
      </c>
      <c r="E65" s="171">
        <f t="shared" si="9"/>
        <v>13009</v>
      </c>
      <c r="F65" s="691">
        <f>22910+243660+48732</f>
        <v>315302</v>
      </c>
      <c r="G65" s="171">
        <f t="shared" si="10"/>
        <v>328311</v>
      </c>
      <c r="H65" s="172">
        <f t="shared" si="11"/>
        <v>2.4608213111708233E-2</v>
      </c>
      <c r="I65" s="336"/>
      <c r="J65" s="190"/>
      <c r="K65" s="168"/>
      <c r="M65" s="359">
        <f t="shared" si="12"/>
        <v>5.8886696679999284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'[68]Sch C'!D59</f>
        <v>0</v>
      </c>
      <c r="D66" s="558">
        <f>'[68]Sch C'!F59</f>
        <v>0</v>
      </c>
      <c r="E66" s="171">
        <f t="shared" si="9"/>
        <v>0</v>
      </c>
      <c r="F66" s="415">
        <v>0</v>
      </c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'[68]Sch C'!D60</f>
        <v>121077</v>
      </c>
      <c r="D67" s="558">
        <f>'[68]Sch C'!F60</f>
        <v>0</v>
      </c>
      <c r="E67" s="171">
        <f t="shared" si="9"/>
        <v>121077</v>
      </c>
      <c r="F67" s="415">
        <v>24540</v>
      </c>
      <c r="G67" s="171">
        <f t="shared" si="10"/>
        <v>145617</v>
      </c>
      <c r="H67" s="172">
        <f t="shared" si="11"/>
        <v>1.0914572367930463E-2</v>
      </c>
      <c r="I67" s="336"/>
      <c r="J67" s="193"/>
      <c r="K67" s="168"/>
      <c r="M67" s="359">
        <f t="shared" si="12"/>
        <v>2.6118235790002333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'[68]Sch C'!D61</f>
        <v>18262</v>
      </c>
      <c r="D68" s="558">
        <f>'[68]Sch C'!F61</f>
        <v>0</v>
      </c>
      <c r="E68" s="171">
        <f t="shared" si="9"/>
        <v>18262</v>
      </c>
      <c r="F68" s="415">
        <v>3513</v>
      </c>
      <c r="G68" s="171">
        <f t="shared" si="10"/>
        <v>21775</v>
      </c>
      <c r="H68" s="172">
        <f t="shared" si="11"/>
        <v>1.6321227144611263E-3</v>
      </c>
      <c r="I68" s="336"/>
      <c r="J68" s="193"/>
      <c r="K68" s="168"/>
      <c r="M68" s="359">
        <f t="shared" si="12"/>
        <v>0.39056194285509299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'[68]Sch C'!D62</f>
        <v>7257</v>
      </c>
      <c r="D69" s="558">
        <f>'[68]Sch C'!F62</f>
        <v>0</v>
      </c>
      <c r="E69" s="171">
        <f t="shared" si="9"/>
        <v>7257</v>
      </c>
      <c r="F69" s="415">
        <v>1451</v>
      </c>
      <c r="G69" s="171">
        <f t="shared" si="10"/>
        <v>8708</v>
      </c>
      <c r="H69" s="172">
        <f t="shared" si="11"/>
        <v>6.5269917784282377E-4</v>
      </c>
      <c r="I69" s="336"/>
      <c r="J69" s="195"/>
      <c r="K69" s="168"/>
      <c r="M69" s="359">
        <f t="shared" si="12"/>
        <v>0.15618890463293456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'[68]Sch C'!D63</f>
        <v>0</v>
      </c>
      <c r="D70" s="558">
        <f>'[68]Sch C'!F63</f>
        <v>0</v>
      </c>
      <c r="E70" s="171">
        <f t="shared" si="9"/>
        <v>0</v>
      </c>
      <c r="F70" s="415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'[68]Sch C'!D64</f>
        <v>0</v>
      </c>
      <c r="D71" s="558">
        <f>'[68]Sch C'!F64</f>
        <v>0</v>
      </c>
      <c r="E71" s="171">
        <f t="shared" si="9"/>
        <v>0</v>
      </c>
      <c r="F71" s="415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'[68]Sch C'!D65</f>
        <v>8208</v>
      </c>
      <c r="D72" s="558">
        <f>'[68]Sch C'!F65</f>
        <v>0</v>
      </c>
      <c r="E72" s="171">
        <f t="shared" si="9"/>
        <v>8208</v>
      </c>
      <c r="F72" s="691">
        <f>1191-1590</f>
        <v>-399</v>
      </c>
      <c r="G72" s="171">
        <f t="shared" si="10"/>
        <v>7809</v>
      </c>
      <c r="H72" s="172">
        <f t="shared" si="11"/>
        <v>5.8531555808160436E-4</v>
      </c>
      <c r="I72" s="336"/>
      <c r="J72" s="195"/>
      <c r="K72" s="168"/>
      <c r="M72" s="359">
        <f t="shared" si="12"/>
        <v>0.14006421179129375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'[68]Sch C'!D66</f>
        <v>2028</v>
      </c>
      <c r="D73" s="558">
        <f>'[68]Sch C'!F66</f>
        <v>0</v>
      </c>
      <c r="E73" s="171">
        <f t="shared" si="9"/>
        <v>2028</v>
      </c>
      <c r="F73" s="415">
        <v>1187</v>
      </c>
      <c r="G73" s="171">
        <f t="shared" si="10"/>
        <v>3215</v>
      </c>
      <c r="H73" s="172">
        <f t="shared" si="11"/>
        <v>2.4097701616498373E-4</v>
      </c>
      <c r="I73" s="336"/>
      <c r="J73" s="195"/>
      <c r="K73" s="168"/>
      <c r="M73" s="359">
        <f t="shared" si="12"/>
        <v>5.7665058382508565E-2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'[68]Sch C'!D67</f>
        <v>118395</v>
      </c>
      <c r="D74" s="558">
        <f>'[68]Sch C'!F67</f>
        <v>0</v>
      </c>
      <c r="E74" s="171">
        <f t="shared" si="9"/>
        <v>118395</v>
      </c>
      <c r="F74" s="415">
        <v>27495</v>
      </c>
      <c r="G74" s="171">
        <f t="shared" si="10"/>
        <v>145890</v>
      </c>
      <c r="H74" s="172">
        <f t="shared" si="11"/>
        <v>1.0935034801962512E-2</v>
      </c>
      <c r="I74" s="336"/>
      <c r="J74" s="195"/>
      <c r="K74" s="168"/>
      <c r="M74" s="359">
        <f t="shared" si="12"/>
        <v>2.6167201764927448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'[68]Sch C'!D68</f>
        <v>0</v>
      </c>
      <c r="D75" s="558">
        <f>'[68]Sch C'!F68</f>
        <v>0</v>
      </c>
      <c r="E75" s="171">
        <f t="shared" si="9"/>
        <v>0</v>
      </c>
      <c r="F75" s="415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'[68]Sch C'!D69</f>
        <v>9182</v>
      </c>
      <c r="D76" s="558">
        <f>'[68]Sch C'!F69</f>
        <v>0</v>
      </c>
      <c r="E76" s="171">
        <f t="shared" si="9"/>
        <v>9182</v>
      </c>
      <c r="F76" s="415">
        <v>1848</v>
      </c>
      <c r="G76" s="171">
        <f t="shared" si="10"/>
        <v>11030</v>
      </c>
      <c r="H76" s="172">
        <f t="shared" si="11"/>
        <v>8.2674229807146833E-4</v>
      </c>
      <c r="I76" s="336"/>
      <c r="J76" s="195"/>
      <c r="K76" s="168"/>
      <c r="M76" s="359">
        <f t="shared" si="12"/>
        <v>0.19783688770111024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'[68]Sch C'!D70</f>
        <v>0</v>
      </c>
      <c r="D77" s="558">
        <f>'[68]Sch C'!F70</f>
        <v>0</v>
      </c>
      <c r="E77" s="171">
        <f t="shared" si="9"/>
        <v>0</v>
      </c>
      <c r="F77" s="415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'[68]Sch C'!D71</f>
        <v>0</v>
      </c>
      <c r="D78" s="558">
        <f>'[68]Sch C'!F71</f>
        <v>0</v>
      </c>
      <c r="E78" s="171">
        <f t="shared" si="9"/>
        <v>0</v>
      </c>
      <c r="F78" s="415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997668</v>
      </c>
      <c r="D79" s="558">
        <f>SUM(D64:D78)</f>
        <v>0</v>
      </c>
      <c r="E79" s="171">
        <f t="shared" ref="E79:F79" si="13">SUM(E64:E78)</f>
        <v>997668</v>
      </c>
      <c r="F79" s="171">
        <f t="shared" si="13"/>
        <v>-325313</v>
      </c>
      <c r="G79" s="171">
        <f>SUM(G64:G78)</f>
        <v>672355</v>
      </c>
      <c r="H79" s="172">
        <f t="shared" si="11"/>
        <v>5.0395677046223213E-2</v>
      </c>
      <c r="I79" s="336"/>
      <c r="J79" s="195"/>
      <c r="K79" s="168"/>
      <c r="M79" s="359">
        <f t="shared" si="12"/>
        <v>12.059530428855846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419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422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'[68]Sch C'!D75</f>
        <v>115270</v>
      </c>
      <c r="D82" s="558">
        <f>'[68]Sch C'!F75</f>
        <v>8759</v>
      </c>
      <c r="E82" s="171">
        <f t="shared" ref="E82:E92" si="14">C82+D82</f>
        <v>124029</v>
      </c>
      <c r="F82" s="415">
        <v>23368</v>
      </c>
      <c r="G82" s="171">
        <f t="shared" ref="G82:G92" si="15">E82+F82</f>
        <v>147397</v>
      </c>
      <c r="H82" s="172">
        <f t="shared" ref="H82:H93" si="16">IF($G$208=0,0,G82/$G$208)</f>
        <v>1.1047990435978261E-2</v>
      </c>
      <c r="I82" s="336"/>
      <c r="J82" s="183">
        <f>5339+1000</f>
        <v>6339</v>
      </c>
      <c r="K82" s="183">
        <f>5745+1083</f>
        <v>6828</v>
      </c>
      <c r="M82" s="359">
        <f t="shared" ref="M82:M92" si="17">G82/G$228</f>
        <v>2.6437501121015909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'[68]Sch C'!D76</f>
        <v>0</v>
      </c>
      <c r="D83" s="558">
        <f>'[68]Sch C'!F76</f>
        <v>16394</v>
      </c>
      <c r="E83" s="171">
        <f t="shared" si="14"/>
        <v>16394</v>
      </c>
      <c r="F83" s="415">
        <v>3203</v>
      </c>
      <c r="G83" s="171">
        <f t="shared" si="15"/>
        <v>19597</v>
      </c>
      <c r="H83" s="172">
        <f t="shared" si="16"/>
        <v>1.468872966029607E-3</v>
      </c>
      <c r="I83" s="336"/>
      <c r="J83" s="168"/>
      <c r="K83" s="168"/>
      <c r="M83" s="359">
        <f t="shared" si="17"/>
        <v>0.35149678044230803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'[68]Sch C'!D77</f>
        <v>44709</v>
      </c>
      <c r="D84" s="558">
        <f>'[68]Sch C'!F77</f>
        <v>0</v>
      </c>
      <c r="E84" s="171">
        <f t="shared" si="14"/>
        <v>44709</v>
      </c>
      <c r="F84" s="415">
        <v>9990</v>
      </c>
      <c r="G84" s="171">
        <f t="shared" si="15"/>
        <v>54699</v>
      </c>
      <c r="H84" s="172">
        <f t="shared" si="16"/>
        <v>4.0999072495205117E-3</v>
      </c>
      <c r="I84" s="336"/>
      <c r="J84" s="168"/>
      <c r="K84" s="168"/>
      <c r="M84" s="359">
        <f t="shared" si="17"/>
        <v>0.98109518770290383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'[68]Sch C'!D78</f>
        <v>0</v>
      </c>
      <c r="D85" s="558">
        <f>'[68]Sch C'!F78</f>
        <v>0</v>
      </c>
      <c r="E85" s="171">
        <f t="shared" si="14"/>
        <v>0</v>
      </c>
      <c r="F85" s="415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'[68]Sch C'!D79</f>
        <v>9148</v>
      </c>
      <c r="D86" s="558">
        <f>'[68]Sch C'!F79</f>
        <v>0</v>
      </c>
      <c r="E86" s="171">
        <f t="shared" si="14"/>
        <v>9148</v>
      </c>
      <c r="F86" s="415">
        <v>2868</v>
      </c>
      <c r="G86" s="171">
        <f>E86+F86</f>
        <v>12016</v>
      </c>
      <c r="H86" s="172">
        <f t="shared" si="16"/>
        <v>9.0064691329345091E-4</v>
      </c>
      <c r="I86" s="336"/>
      <c r="J86" s="168"/>
      <c r="K86" s="168"/>
      <c r="M86" s="359">
        <f t="shared" si="17"/>
        <v>0.21552203468871631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'[68]Sch C'!D80</f>
        <v>28651</v>
      </c>
      <c r="D87" s="558">
        <f>'[68]Sch C'!F80</f>
        <v>0</v>
      </c>
      <c r="E87" s="171">
        <f t="shared" si="14"/>
        <v>28651</v>
      </c>
      <c r="F87" s="415">
        <v>3921</v>
      </c>
      <c r="G87" s="171">
        <f t="shared" si="15"/>
        <v>32572</v>
      </c>
      <c r="H87" s="172">
        <f t="shared" si="16"/>
        <v>2.4414007373330794E-3</v>
      </c>
      <c r="I87" s="336"/>
      <c r="J87" s="168"/>
      <c r="K87" s="168"/>
      <c r="M87" s="359">
        <f t="shared" si="17"/>
        <v>0.58421968324574458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'[68]Sch C'!D81</f>
        <v>36357</v>
      </c>
      <c r="D88" s="558">
        <f>'[68]Sch C'!F81</f>
        <v>0</v>
      </c>
      <c r="E88" s="171">
        <f t="shared" si="14"/>
        <v>36357</v>
      </c>
      <c r="F88" s="415">
        <v>10581</v>
      </c>
      <c r="G88" s="171">
        <f t="shared" si="15"/>
        <v>46938</v>
      </c>
      <c r="H88" s="172">
        <f t="shared" si="16"/>
        <v>3.5181894820379492E-3</v>
      </c>
      <c r="I88" s="336"/>
      <c r="J88" s="168"/>
      <c r="K88" s="168"/>
      <c r="M88" s="359">
        <f t="shared" si="17"/>
        <v>0.84189191613007375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'[68]Sch C'!D82</f>
        <v>4601</v>
      </c>
      <c r="D89" s="558">
        <f>'[68]Sch C'!F82</f>
        <v>0</v>
      </c>
      <c r="E89" s="171">
        <f t="shared" si="14"/>
        <v>4601</v>
      </c>
      <c r="F89" s="415">
        <v>491</v>
      </c>
      <c r="G89" s="171">
        <f t="shared" si="15"/>
        <v>5092</v>
      </c>
      <c r="H89" s="172">
        <f t="shared" si="16"/>
        <v>3.8166561938167876E-4</v>
      </c>
      <c r="I89" s="336"/>
      <c r="J89" s="168"/>
      <c r="K89" s="168"/>
      <c r="M89" s="359">
        <f t="shared" si="17"/>
        <v>9.1331408175344825E-2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'[68]Sch C'!D83</f>
        <v>0</v>
      </c>
      <c r="D90" s="558">
        <f>'[68]Sch C'!F83</f>
        <v>0</v>
      </c>
      <c r="E90" s="171">
        <f t="shared" si="14"/>
        <v>0</v>
      </c>
      <c r="F90" s="415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'[68]Sch C'!D84</f>
        <v>266382</v>
      </c>
      <c r="D91" s="558">
        <f>'[68]Sch C'!F84</f>
        <v>0</v>
      </c>
      <c r="E91" s="171">
        <f t="shared" si="14"/>
        <v>266382</v>
      </c>
      <c r="F91" s="415">
        <v>52997</v>
      </c>
      <c r="G91" s="171">
        <f t="shared" si="15"/>
        <v>319379</v>
      </c>
      <c r="H91" s="172">
        <f t="shared" si="16"/>
        <v>2.3938724244403214E-2</v>
      </c>
      <c r="I91" s="336"/>
      <c r="J91" s="168"/>
      <c r="K91" s="168"/>
      <c r="M91" s="359">
        <f t="shared" si="17"/>
        <v>5.7284630423474967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'[68]Sch C'!D85</f>
        <v>0</v>
      </c>
      <c r="D92" s="558">
        <f>'[68]Sch C'!F85</f>
        <v>0</v>
      </c>
      <c r="E92" s="171">
        <f t="shared" si="14"/>
        <v>0</v>
      </c>
      <c r="F92" s="415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505118</v>
      </c>
      <c r="D93" s="558">
        <f>SUM(D82:D92)</f>
        <v>25153</v>
      </c>
      <c r="E93" s="171">
        <f t="shared" ref="E93:F93" si="18">SUM(E82:E92)</f>
        <v>530271</v>
      </c>
      <c r="F93" s="171">
        <f t="shared" si="18"/>
        <v>107419</v>
      </c>
      <c r="G93" s="171">
        <f>SUM(G82:G92)</f>
        <v>637690</v>
      </c>
      <c r="H93" s="172">
        <f t="shared" si="16"/>
        <v>4.7797397647977753E-2</v>
      </c>
      <c r="I93" s="336"/>
      <c r="J93" s="168"/>
      <c r="K93" s="168"/>
      <c r="M93" s="364">
        <f>G93/G$228</f>
        <v>11.437770164834179</v>
      </c>
      <c r="N93" s="359">
        <f>SUMMARY!J96</f>
        <v>11.458724454710746</v>
      </c>
      <c r="O93" s="354">
        <f>M93/N93-1</f>
        <v>-1.8286756051588693E-3</v>
      </c>
      <c r="P93"/>
      <c r="Q93"/>
    </row>
    <row r="94" spans="1:17" s="167" customFormat="1">
      <c r="A94" s="163"/>
      <c r="C94" s="165"/>
      <c r="D94" s="165"/>
      <c r="E94" s="165"/>
      <c r="F94" s="422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422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'[68]Sch C'!D89</f>
        <v>356625</v>
      </c>
      <c r="D96" s="558">
        <f>'[68]Sch C'!F89</f>
        <v>27100</v>
      </c>
      <c r="E96" s="171">
        <f t="shared" ref="E96:E101" si="19">C96+D96</f>
        <v>383725</v>
      </c>
      <c r="F96" s="415">
        <v>72857</v>
      </c>
      <c r="G96" s="171">
        <f t="shared" ref="G96:G101" si="20">E96+F96</f>
        <v>456582</v>
      </c>
      <c r="H96" s="172">
        <f t="shared" ref="H96:H102" si="21">IF($G$208=0,0,G96/$G$208)</f>
        <v>3.4222633901909986E-2</v>
      </c>
      <c r="I96" s="336"/>
      <c r="J96" s="183">
        <f>32718+6174</f>
        <v>38892</v>
      </c>
      <c r="K96" s="183">
        <f>35204+6684</f>
        <v>41888</v>
      </c>
      <c r="M96" s="364">
        <f t="shared" ref="M96:M101" si="22">G96/G$228</f>
        <v>8.189370975552885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'[68]Sch C'!D90</f>
        <v>0</v>
      </c>
      <c r="D97" s="558">
        <f>'[68]Sch C'!F90</f>
        <v>50720</v>
      </c>
      <c r="E97" s="171">
        <f t="shared" si="19"/>
        <v>50720</v>
      </c>
      <c r="F97" s="415">
        <v>9985</v>
      </c>
      <c r="G97" s="171">
        <f t="shared" si="20"/>
        <v>60705</v>
      </c>
      <c r="H97" s="172">
        <f t="shared" si="21"/>
        <v>4.5500807982256104E-3</v>
      </c>
      <c r="I97" s="336"/>
      <c r="J97" s="168"/>
      <c r="K97" s="168"/>
      <c r="M97" s="364">
        <f t="shared" si="22"/>
        <v>1.0888203325381594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'[68]Sch C'!D91</f>
        <v>20772</v>
      </c>
      <c r="D98" s="558">
        <f>'[68]Sch C'!F91</f>
        <v>0</v>
      </c>
      <c r="E98" s="171">
        <f t="shared" si="19"/>
        <v>20772</v>
      </c>
      <c r="F98" s="415">
        <v>3881</v>
      </c>
      <c r="G98" s="171">
        <f t="shared" si="20"/>
        <v>24653</v>
      </c>
      <c r="H98" s="172">
        <f t="shared" si="21"/>
        <v>1.8478402424620044E-3</v>
      </c>
      <c r="I98" s="336"/>
      <c r="J98" s="168"/>
      <c r="K98" s="168"/>
      <c r="M98" s="364">
        <f t="shared" si="22"/>
        <v>0.44218248345380518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'[68]Sch C'!D92</f>
        <v>268059</v>
      </c>
      <c r="D99" s="558">
        <f>'[68]Sch C'!F92</f>
        <v>0</v>
      </c>
      <c r="E99" s="171">
        <f t="shared" si="19"/>
        <v>268059</v>
      </c>
      <c r="F99" s="415">
        <v>48582</v>
      </c>
      <c r="G99" s="171">
        <f t="shared" si="20"/>
        <v>316641</v>
      </c>
      <c r="H99" s="172">
        <f t="shared" si="21"/>
        <v>2.3733500272316209E-2</v>
      </c>
      <c r="I99" s="336"/>
      <c r="J99" s="168"/>
      <c r="K99" s="168"/>
      <c r="M99" s="364">
        <f t="shared" si="22"/>
        <v>5.67935357738597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'[68]Sch C'!D93</f>
        <v>36974</v>
      </c>
      <c r="D100" s="558">
        <f>'[68]Sch C'!F93</f>
        <v>0</v>
      </c>
      <c r="E100" s="171">
        <f t="shared" si="19"/>
        <v>36974</v>
      </c>
      <c r="F100" s="415">
        <v>6798</v>
      </c>
      <c r="G100" s="171">
        <f t="shared" si="20"/>
        <v>43772</v>
      </c>
      <c r="H100" s="172">
        <f t="shared" si="21"/>
        <v>3.2808852104428206E-3</v>
      </c>
      <c r="I100" s="336"/>
      <c r="J100" s="168"/>
      <c r="K100" s="168"/>
      <c r="M100" s="364">
        <f t="shared" si="22"/>
        <v>0.78510573422058005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'[68]Sch C'!D94</f>
        <v>541</v>
      </c>
      <c r="D101" s="558">
        <f>'[68]Sch C'!F94</f>
        <v>0</v>
      </c>
      <c r="E101" s="171">
        <f t="shared" si="19"/>
        <v>541</v>
      </c>
      <c r="F101" s="415">
        <v>0</v>
      </c>
      <c r="G101" s="171">
        <f t="shared" si="20"/>
        <v>541</v>
      </c>
      <c r="H101" s="172">
        <f t="shared" si="21"/>
        <v>4.0550098210033032E-5</v>
      </c>
      <c r="I101" s="336"/>
      <c r="J101" s="168"/>
      <c r="K101" s="168"/>
      <c r="M101" s="364">
        <f t="shared" si="22"/>
        <v>9.7035137122666038E-3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682971</v>
      </c>
      <c r="D102" s="558">
        <f>SUM(D96:D101)</f>
        <v>77820</v>
      </c>
      <c r="E102" s="171">
        <f t="shared" ref="E102:F102" si="23">SUM(E96:E101)</f>
        <v>760791</v>
      </c>
      <c r="F102" s="171">
        <f t="shared" si="23"/>
        <v>142103</v>
      </c>
      <c r="G102" s="171">
        <f>SUM(G96:G101)</f>
        <v>902894</v>
      </c>
      <c r="H102" s="172">
        <f t="shared" si="21"/>
        <v>6.7675490523566667E-2</v>
      </c>
      <c r="I102" s="336"/>
      <c r="J102" s="168"/>
      <c r="K102" s="168"/>
      <c r="M102" s="364">
        <f>G102/G$228</f>
        <v>16.194536616863665</v>
      </c>
      <c r="N102" s="359">
        <f>SUMMARY!J105</f>
        <v>19.901077037785338</v>
      </c>
      <c r="O102" s="354">
        <f>M102/N102-1</f>
        <v>-0.18624823238884114</v>
      </c>
      <c r="P102"/>
      <c r="Q102"/>
    </row>
    <row r="103" spans="1:17" s="167" customFormat="1">
      <c r="A103" s="163"/>
      <c r="C103" s="165"/>
      <c r="D103" s="165"/>
      <c r="E103" s="165"/>
      <c r="F103" s="422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422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'[68]Sch C'!D98</f>
        <v>44345</v>
      </c>
      <c r="D105" s="558">
        <f>'[68]Sch C'!F98</f>
        <v>3370</v>
      </c>
      <c r="E105" s="171">
        <f t="shared" ref="E105:E110" si="24">C105+D105</f>
        <v>47715</v>
      </c>
      <c r="F105" s="415">
        <v>9304</v>
      </c>
      <c r="G105" s="171">
        <f t="shared" ref="G105:G110" si="25">E105+F105</f>
        <v>57019</v>
      </c>
      <c r="H105" s="172">
        <f t="shared" ref="H105:H111" si="26">IF($G$208=0,0,G105/$G$208)</f>
        <v>4.2738004618075292E-3</v>
      </c>
      <c r="I105" s="336"/>
      <c r="J105" s="183">
        <f>4629+897</f>
        <v>5526</v>
      </c>
      <c r="K105" s="183">
        <f>4981+971</f>
        <v>5952</v>
      </c>
      <c r="M105" s="364">
        <f t="shared" ref="M105:M110" si="27">G105/G$228</f>
        <v>1.0227072982619769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'[68]Sch C'!D99</f>
        <v>0</v>
      </c>
      <c r="D106" s="558">
        <f>'[68]Sch C'!F99</f>
        <v>6307</v>
      </c>
      <c r="E106" s="171">
        <f t="shared" si="24"/>
        <v>6307</v>
      </c>
      <c r="F106" s="415">
        <v>1275</v>
      </c>
      <c r="G106" s="171">
        <f t="shared" si="25"/>
        <v>7582</v>
      </c>
      <c r="H106" s="172">
        <f t="shared" si="26"/>
        <v>5.683010067069694E-4</v>
      </c>
      <c r="I106" s="336"/>
      <c r="J106" s="168"/>
      <c r="K106" s="168"/>
      <c r="M106" s="364">
        <f t="shared" si="27"/>
        <v>0.13599268200814307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'[68]Sch C'!D100</f>
        <v>3455</v>
      </c>
      <c r="D107" s="558">
        <f>'[68]Sch C'!F100</f>
        <v>0</v>
      </c>
      <c r="E107" s="171">
        <f t="shared" si="24"/>
        <v>3455</v>
      </c>
      <c r="F107" s="415">
        <v>107</v>
      </c>
      <c r="G107" s="171">
        <f t="shared" si="25"/>
        <v>3562</v>
      </c>
      <c r="H107" s="172">
        <f t="shared" si="26"/>
        <v>2.6698604403722301E-4</v>
      </c>
      <c r="I107" s="336"/>
      <c r="J107" s="168"/>
      <c r="K107" s="168"/>
      <c r="M107" s="364">
        <f t="shared" si="27"/>
        <v>6.3888938711818194E-2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'[68]Sch C'!D101</f>
        <v>0</v>
      </c>
      <c r="D108" s="558">
        <f>'[68]Sch C'!F101</f>
        <v>0</v>
      </c>
      <c r="E108" s="171">
        <f t="shared" si="24"/>
        <v>0</v>
      </c>
      <c r="F108" s="415">
        <v>0</v>
      </c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'[68]Sch C'!D102</f>
        <v>15928</v>
      </c>
      <c r="D109" s="558">
        <f>'[68]Sch C'!F102</f>
        <v>0</v>
      </c>
      <c r="E109" s="171">
        <f t="shared" si="24"/>
        <v>15928</v>
      </c>
      <c r="F109" s="415">
        <v>2606</v>
      </c>
      <c r="G109" s="171">
        <f t="shared" si="25"/>
        <v>18534</v>
      </c>
      <c r="H109" s="172">
        <f t="shared" si="26"/>
        <v>1.3891968950549948E-3</v>
      </c>
      <c r="I109" s="336"/>
      <c r="J109" s="168"/>
      <c r="K109" s="168"/>
      <c r="M109" s="364">
        <f t="shared" si="27"/>
        <v>0.33243054185424997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'[68]Sch C'!D103</f>
        <v>0</v>
      </c>
      <c r="D110" s="558">
        <f>'[68]Sch C'!F103</f>
        <v>0</v>
      </c>
      <c r="E110" s="171">
        <f t="shared" si="24"/>
        <v>0</v>
      </c>
      <c r="F110" s="415"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63728</v>
      </c>
      <c r="D111" s="558">
        <f>SUM(D105:D110)</f>
        <v>9677</v>
      </c>
      <c r="E111" s="171">
        <f t="shared" ref="E111:F111" si="28">SUM(E105:E110)</f>
        <v>73405</v>
      </c>
      <c r="F111" s="171">
        <f t="shared" si="28"/>
        <v>13292</v>
      </c>
      <c r="G111" s="171">
        <f>SUM(G105:G110)</f>
        <v>86697</v>
      </c>
      <c r="H111" s="172">
        <f t="shared" si="26"/>
        <v>6.4982844076067166E-3</v>
      </c>
      <c r="I111" s="336"/>
      <c r="J111" s="168"/>
      <c r="K111" s="168"/>
      <c r="M111" s="364">
        <f>G111/G$228</f>
        <v>1.5550194608361882</v>
      </c>
      <c r="N111" s="359">
        <f>SUMMARY!J114</f>
        <v>2.4242384372309496</v>
      </c>
      <c r="O111" s="354">
        <f>M111/N111-1</f>
        <v>-0.3585534174549323</v>
      </c>
      <c r="P111"/>
      <c r="Q111"/>
    </row>
    <row r="112" spans="1:17" s="167" customFormat="1">
      <c r="A112" s="163"/>
      <c r="C112" s="165"/>
      <c r="D112" s="165"/>
      <c r="E112" s="165"/>
      <c r="F112" s="422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422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'[68]Sch C'!D115</f>
        <v>179439</v>
      </c>
      <c r="D114" s="558">
        <f>'[68]Sch C'!F115</f>
        <v>13636</v>
      </c>
      <c r="E114" s="171">
        <f t="shared" ref="E114:E118" si="29">C114+D114</f>
        <v>193075</v>
      </c>
      <c r="F114" s="415">
        <v>39752</v>
      </c>
      <c r="G114" s="171">
        <f>E114+F114</f>
        <v>232827</v>
      </c>
      <c r="H114" s="172">
        <f t="shared" ref="H114:H119" si="30">IF($G$208=0,0,G114/$G$208)</f>
        <v>1.7451308162564436E-2</v>
      </c>
      <c r="I114" s="336"/>
      <c r="J114" s="183">
        <f>17575+3596</f>
        <v>21171</v>
      </c>
      <c r="K114" s="183">
        <f>18911+3893</f>
        <v>22804</v>
      </c>
      <c r="M114" s="364">
        <f t="shared" ref="M114:M119" si="31">G114/G$228</f>
        <v>4.1760443384212511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'[68]Sch C'!D116</f>
        <v>0</v>
      </c>
      <c r="D115" s="558">
        <f>'[68]Sch C'!F116</f>
        <v>25520</v>
      </c>
      <c r="E115" s="171">
        <f t="shared" si="29"/>
        <v>25520</v>
      </c>
      <c r="F115" s="415">
        <v>5448</v>
      </c>
      <c r="G115" s="171">
        <f>E115+F115</f>
        <v>30968</v>
      </c>
      <c r="H115" s="172">
        <f t="shared" si="30"/>
        <v>2.3211745681484342E-3</v>
      </c>
      <c r="I115" s="336"/>
      <c r="J115" s="168"/>
      <c r="K115" s="168"/>
      <c r="M115" s="364">
        <f t="shared" si="31"/>
        <v>0.55544993094541995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'[68]Sch C'!D117</f>
        <v>39807</v>
      </c>
      <c r="D116" s="558">
        <f>'[68]Sch C'!F117</f>
        <v>0</v>
      </c>
      <c r="E116" s="171">
        <f t="shared" si="29"/>
        <v>39807</v>
      </c>
      <c r="F116" s="415">
        <v>8351</v>
      </c>
      <c r="G116" s="171">
        <f>E116+F116</f>
        <v>48158</v>
      </c>
      <c r="H116" s="172">
        <f t="shared" si="30"/>
        <v>3.6096333264302601E-3</v>
      </c>
      <c r="I116" s="336"/>
      <c r="J116" s="168"/>
      <c r="K116" s="168"/>
      <c r="M116" s="364">
        <f t="shared" si="31"/>
        <v>0.8637741466826897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'[68]Sch C'!D118</f>
        <v>0</v>
      </c>
      <c r="D117" s="558">
        <f>'[68]Sch C'!F118</f>
        <v>0</v>
      </c>
      <c r="E117" s="171">
        <f t="shared" si="29"/>
        <v>0</v>
      </c>
      <c r="F117" s="415">
        <v>0</v>
      </c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'[68]Sch C'!D119</f>
        <v>0</v>
      </c>
      <c r="D118" s="558">
        <f>'[68]Sch C'!F119</f>
        <v>0</v>
      </c>
      <c r="E118" s="171">
        <f t="shared" si="29"/>
        <v>0</v>
      </c>
      <c r="F118" s="415">
        <v>0</v>
      </c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219246</v>
      </c>
      <c r="D119" s="558">
        <f>SUM(D114:D118)</f>
        <v>39156</v>
      </c>
      <c r="E119" s="171">
        <f t="shared" ref="E119:F119" si="32">SUM(E114:E118)</f>
        <v>258402</v>
      </c>
      <c r="F119" s="171">
        <f t="shared" si="32"/>
        <v>53551</v>
      </c>
      <c r="G119" s="171">
        <f>SUM(G114:G118)</f>
        <v>311953</v>
      </c>
      <c r="H119" s="172">
        <f t="shared" si="30"/>
        <v>2.3382116057143132E-2</v>
      </c>
      <c r="I119" s="336"/>
      <c r="J119" s="168"/>
      <c r="K119" s="168"/>
      <c r="M119" s="364">
        <f t="shared" si="31"/>
        <v>5.5952684160493602</v>
      </c>
      <c r="N119" s="359">
        <f>SUMMARY!J122</f>
        <v>6.0247597205909562</v>
      </c>
      <c r="O119" s="354">
        <f>M119/N119-1</f>
        <v>-7.1287706806582474E-2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419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422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422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'[68]Sch C'!D124</f>
        <v>0</v>
      </c>
      <c r="D123" s="558">
        <f>'[68]Sch C'!F124</f>
        <v>0</v>
      </c>
      <c r="E123" s="171">
        <f t="shared" ref="E123:E127" si="33">C123+D123</f>
        <v>0</v>
      </c>
      <c r="F123" s="415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'[68]Sch C'!D125</f>
        <v>356692</v>
      </c>
      <c r="D124" s="558">
        <f>'[68]Sch C'!F125</f>
        <v>27105</v>
      </c>
      <c r="E124" s="171">
        <f t="shared" si="33"/>
        <v>383797</v>
      </c>
      <c r="F124" s="415">
        <v>75777</v>
      </c>
      <c r="G124" s="171">
        <f>E124+F124</f>
        <v>459574</v>
      </c>
      <c r="H124" s="172">
        <f>IF($G$208=0,0,G124/$G$208)</f>
        <v>3.4446896182583585E-2</v>
      </c>
      <c r="I124" s="336"/>
      <c r="J124" s="183">
        <f>9014+1769</f>
        <v>10783</v>
      </c>
      <c r="K124" s="183">
        <f>9699+1915</f>
        <v>11614</v>
      </c>
      <c r="M124" s="364">
        <f t="shared" si="34"/>
        <v>8.2430362491704479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'[68]Sch C'!D126</f>
        <v>63909</v>
      </c>
      <c r="D125" s="558">
        <f>'[68]Sch C'!F126</f>
        <v>4856</v>
      </c>
      <c r="E125" s="171">
        <f t="shared" si="33"/>
        <v>68765</v>
      </c>
      <c r="F125" s="415">
        <v>15741</v>
      </c>
      <c r="G125" s="171">
        <f>E125+F125</f>
        <v>84506</v>
      </c>
      <c r="H125" s="172">
        <f>IF($G$208=0,0,G125/$G$208)</f>
        <v>6.3340602575546233E-3</v>
      </c>
      <c r="I125" s="336"/>
      <c r="J125" s="183">
        <f>1864+424</f>
        <v>2288</v>
      </c>
      <c r="K125" s="183">
        <f>2006+459</f>
        <v>2465</v>
      </c>
      <c r="M125" s="364">
        <f t="shared" si="34"/>
        <v>1.5157211271142359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'[68]Sch C'!D127</f>
        <v>0</v>
      </c>
      <c r="D126" s="558">
        <f>'[68]Sch C'!F127</f>
        <v>0</v>
      </c>
      <c r="E126" s="171">
        <f t="shared" si="33"/>
        <v>0</v>
      </c>
      <c r="F126" s="415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'[68]Sch C'!D128</f>
        <v>145742</v>
      </c>
      <c r="D127" s="558">
        <f>'[68]Sch C'!F128</f>
        <v>11075</v>
      </c>
      <c r="E127" s="171">
        <f t="shared" si="33"/>
        <v>156817</v>
      </c>
      <c r="F127" s="415">
        <v>15823</v>
      </c>
      <c r="G127" s="171">
        <f>E127+F127</f>
        <v>172640</v>
      </c>
      <c r="H127" s="172">
        <f>IF($G$208=0,0,G127/$G$208)</f>
        <v>1.2940053521220152E-2</v>
      </c>
      <c r="I127" s="336"/>
      <c r="J127" s="183">
        <f>3773+378</f>
        <v>4151</v>
      </c>
      <c r="K127" s="183">
        <f>4060+409</f>
        <v>4469</v>
      </c>
      <c r="M127" s="364">
        <f t="shared" si="34"/>
        <v>3.0965149857406775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419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'[68]Sch C'!D130</f>
        <v>0</v>
      </c>
      <c r="D129" s="558">
        <f>'[68]Sch C'!F130</f>
        <v>0</v>
      </c>
      <c r="E129" s="171">
        <f t="shared" ref="E129:E133" si="35">C129+D129</f>
        <v>0</v>
      </c>
      <c r="F129" s="415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'[68]Sch C'!D131</f>
        <v>0</v>
      </c>
      <c r="D130" s="558">
        <f>'[68]Sch C'!F131</f>
        <v>50730</v>
      </c>
      <c r="E130" s="171">
        <f t="shared" si="35"/>
        <v>50730</v>
      </c>
      <c r="F130" s="415">
        <v>10385</v>
      </c>
      <c r="G130" s="171">
        <f>E130+F130</f>
        <v>61115</v>
      </c>
      <c r="H130" s="172">
        <f>IF($G$208=0,0,G130/$G$208)</f>
        <v>4.5808119262590917E-3</v>
      </c>
      <c r="I130" s="336"/>
      <c r="J130" s="204"/>
      <c r="K130" s="204"/>
      <c r="M130" s="364">
        <f t="shared" si="34"/>
        <v>1.0961741969042025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'[68]Sch C'!D132</f>
        <v>0</v>
      </c>
      <c r="D131" s="558">
        <f>'[68]Sch C'!F132</f>
        <v>9089</v>
      </c>
      <c r="E131" s="171">
        <f t="shared" si="35"/>
        <v>9089</v>
      </c>
      <c r="F131" s="415">
        <v>2158</v>
      </c>
      <c r="G131" s="171">
        <f>E131+F131</f>
        <v>11247</v>
      </c>
      <c r="H131" s="172">
        <f>IF($G$208=0,0,G131/$G$208)</f>
        <v>8.4300730973796954E-4</v>
      </c>
      <c r="I131" s="336"/>
      <c r="J131" s="168"/>
      <c r="K131" s="168"/>
      <c r="M131" s="364">
        <f t="shared" si="34"/>
        <v>0.20172905493874768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'[68]Sch C'!D133</f>
        <v>0</v>
      </c>
      <c r="D132" s="558">
        <f>'[68]Sch C'!F133</f>
        <v>0</v>
      </c>
      <c r="E132" s="171">
        <f t="shared" si="35"/>
        <v>0</v>
      </c>
      <c r="F132" s="415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'[68]Sch C'!D134</f>
        <v>0</v>
      </c>
      <c r="D133" s="558">
        <f>'[68]Sch C'!F134</f>
        <v>20728</v>
      </c>
      <c r="E133" s="171">
        <f t="shared" si="35"/>
        <v>20728</v>
      </c>
      <c r="F133" s="415">
        <v>2168</v>
      </c>
      <c r="G133" s="171">
        <f>E133+F133</f>
        <v>22896</v>
      </c>
      <c r="H133" s="172">
        <f>IF($G$208=0,0,G133/$G$208)</f>
        <v>1.7161461157429137E-3</v>
      </c>
      <c r="I133" s="336"/>
      <c r="J133" s="168"/>
      <c r="K133" s="168"/>
      <c r="M133" s="364">
        <f t="shared" si="34"/>
        <v>0.41066848420712787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419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'[68]Sch C'!D136</f>
        <v>1169410</v>
      </c>
      <c r="D135" s="558">
        <f>'[68]Sch C'!F136</f>
        <v>88864</v>
      </c>
      <c r="E135" s="171">
        <f t="shared" ref="E135:E138" si="36">C135+D135</f>
        <v>1258274</v>
      </c>
      <c r="F135" s="415">
        <v>221861</v>
      </c>
      <c r="G135" s="171">
        <f>E135+F135</f>
        <v>1480135</v>
      </c>
      <c r="H135" s="172">
        <f>IF($G$208=0,0,G135/$G$208)</f>
        <v>0.11094199558984703</v>
      </c>
      <c r="I135" s="336"/>
      <c r="J135" s="183">
        <f>40324+7067</f>
        <v>47391</v>
      </c>
      <c r="K135" s="183">
        <f>43388+7651</f>
        <v>51039</v>
      </c>
      <c r="M135" s="364">
        <f t="shared" si="34"/>
        <v>26.548078130324825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'[68]Sch C'!D137</f>
        <v>251043</v>
      </c>
      <c r="D136" s="558">
        <f>'[68]Sch C'!F137</f>
        <v>19077</v>
      </c>
      <c r="E136" s="171">
        <f t="shared" si="36"/>
        <v>270120</v>
      </c>
      <c r="F136" s="415">
        <v>47407</v>
      </c>
      <c r="G136" s="171">
        <f>E136+F136</f>
        <v>317527</v>
      </c>
      <c r="H136" s="172">
        <f>IF($G$208=0,0,G136/$G$208)</f>
        <v>2.3799909490456857E-2</v>
      </c>
      <c r="I136" s="336"/>
      <c r="J136" s="183">
        <f>10306+1798</f>
        <v>12104</v>
      </c>
      <c r="K136" s="183">
        <f>11089+1946</f>
        <v>13035</v>
      </c>
      <c r="M136" s="364">
        <f t="shared" si="34"/>
        <v>5.695245098918444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'[68]Sch C'!D138</f>
        <v>1443936</v>
      </c>
      <c r="D137" s="558">
        <f>'[68]Sch C'!F138</f>
        <v>109725</v>
      </c>
      <c r="E137" s="171">
        <f t="shared" si="36"/>
        <v>1553661</v>
      </c>
      <c r="F137" s="415">
        <v>304991</v>
      </c>
      <c r="G137" s="171">
        <f>E137+F137</f>
        <v>1858652</v>
      </c>
      <c r="H137" s="172">
        <f>IF($G$208=0,0,G137/$G$208)</f>
        <v>0.13931334776021131</v>
      </c>
      <c r="I137" s="336"/>
      <c r="J137" s="183">
        <f>108485+21166</f>
        <v>129651</v>
      </c>
      <c r="K137" s="183">
        <f>116729+22915</f>
        <v>139644</v>
      </c>
      <c r="M137" s="364">
        <f t="shared" si="34"/>
        <v>33.337255394328558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'[68]Sch C'!D139</f>
        <v>64181</v>
      </c>
      <c r="D138" s="558">
        <f>'[68]Sch C'!F139</f>
        <v>4877</v>
      </c>
      <c r="E138" s="171">
        <f t="shared" si="36"/>
        <v>69058</v>
      </c>
      <c r="F138" s="415">
        <v>20950</v>
      </c>
      <c r="G138" s="171">
        <f>E138+F138</f>
        <v>90008</v>
      </c>
      <c r="H138" s="172">
        <f>IF($G$208=0,0,G138/$G$208)</f>
        <v>6.7464570049697841E-3</v>
      </c>
      <c r="I138" s="336"/>
      <c r="J138" s="183">
        <f>3880+1170</f>
        <v>5050</v>
      </c>
      <c r="K138" s="183">
        <f>4175+1267</f>
        <v>5442</v>
      </c>
      <c r="M138" s="364">
        <f t="shared" si="34"/>
        <v>1.6144063996556239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419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'[68]Sch C'!D141</f>
        <v>0</v>
      </c>
      <c r="D140" s="558">
        <f>'[68]Sch C'!F141</f>
        <v>166317</v>
      </c>
      <c r="E140" s="171">
        <f t="shared" ref="E140:E143" si="37">C140+D140</f>
        <v>166317</v>
      </c>
      <c r="F140" s="415">
        <v>30405</v>
      </c>
      <c r="G140" s="171">
        <f>E140+F140</f>
        <v>196722</v>
      </c>
      <c r="H140" s="172">
        <f>IF($G$208=0,0,G140/$G$208)</f>
        <v>1.4745095046347722E-2</v>
      </c>
      <c r="I140" s="336"/>
      <c r="J140" s="168"/>
      <c r="K140" s="168"/>
      <c r="M140" s="364">
        <f t="shared" si="34"/>
        <v>3.5284558678456763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'[68]Sch C'!D142</f>
        <v>0</v>
      </c>
      <c r="D141" s="558">
        <f>'[68]Sch C'!F142</f>
        <v>35704</v>
      </c>
      <c r="E141" s="171">
        <f t="shared" si="37"/>
        <v>35704</v>
      </c>
      <c r="F141" s="415">
        <v>6497</v>
      </c>
      <c r="G141" s="171">
        <f>E141+F141</f>
        <v>42201</v>
      </c>
      <c r="H141" s="172">
        <f>IF($G$208=0,0,G141/$G$208)</f>
        <v>3.1631325222950166E-3</v>
      </c>
      <c r="I141" s="336"/>
      <c r="J141" s="168"/>
      <c r="K141" s="168"/>
      <c r="M141" s="364">
        <f t="shared" si="34"/>
        <v>0.75692787832044917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'[68]Sch C'!D143</f>
        <v>0</v>
      </c>
      <c r="D142" s="558">
        <f>'[68]Sch C'!F143</f>
        <v>205360</v>
      </c>
      <c r="E142" s="171">
        <f t="shared" si="37"/>
        <v>205360</v>
      </c>
      <c r="F142" s="415">
        <v>41798</v>
      </c>
      <c r="G142" s="171">
        <f>E142+F142</f>
        <v>247158</v>
      </c>
      <c r="H142" s="172">
        <f>IF($G$208=0,0,G142/$G$208)</f>
        <v>1.8525473518290838E-2</v>
      </c>
      <c r="I142" s="336"/>
      <c r="J142" s="168"/>
      <c r="K142" s="168"/>
      <c r="M142" s="364">
        <f t="shared" si="34"/>
        <v>4.4330888023962833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'[68]Sch C'!D144</f>
        <v>0</v>
      </c>
      <c r="D143" s="558">
        <f>'[68]Sch C'!F144</f>
        <v>9128</v>
      </c>
      <c r="E143" s="171">
        <f t="shared" si="37"/>
        <v>9128</v>
      </c>
      <c r="F143" s="415">
        <v>2871</v>
      </c>
      <c r="G143" s="171">
        <f>E143+F143</f>
        <v>11999</v>
      </c>
      <c r="H143" s="172">
        <f>IF($G$208=0,0,G143/$G$208)</f>
        <v>8.9937269578962357E-4</v>
      </c>
      <c r="I143" s="336"/>
      <c r="J143" s="168"/>
      <c r="K143" s="168"/>
      <c r="M143" s="364">
        <f t="shared" si="34"/>
        <v>0.21521711836134377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419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'[68]Sch C'!D146</f>
        <v>83000</v>
      </c>
      <c r="D145" s="558">
        <f>'[68]Sch C'!F146</f>
        <v>0</v>
      </c>
      <c r="E145" s="171">
        <f t="shared" ref="E145:E153" si="38">C145+D145</f>
        <v>83000</v>
      </c>
      <c r="F145" s="415">
        <v>18200</v>
      </c>
      <c r="G145" s="171">
        <f t="shared" ref="G145:G153" si="39">E145+F145</f>
        <v>101200</v>
      </c>
      <c r="H145" s="172">
        <f t="shared" ref="H145:H153" si="40">IF($G$208=0,0,G145/$G$208)</f>
        <v>7.5853418463130186E-3</v>
      </c>
      <c r="I145" s="336"/>
      <c r="J145" s="183">
        <v>0</v>
      </c>
      <c r="K145" s="183">
        <v>0</v>
      </c>
      <c r="M145" s="364">
        <f t="shared" si="34"/>
        <v>1.8151489605940487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'[68]Sch C'!D147</f>
        <v>0</v>
      </c>
      <c r="D146" s="558">
        <f>'[68]Sch C'!F147</f>
        <v>0</v>
      </c>
      <c r="E146" s="171">
        <f t="shared" si="38"/>
        <v>0</v>
      </c>
      <c r="F146" s="415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'[68]Sch C'!D148</f>
        <v>0</v>
      </c>
      <c r="D147" s="558">
        <f>'[68]Sch C'!F148</f>
        <v>0</v>
      </c>
      <c r="E147" s="171">
        <f t="shared" si="38"/>
        <v>0</v>
      </c>
      <c r="F147" s="415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'[68]Sch C'!D149</f>
        <v>975</v>
      </c>
      <c r="D148" s="558">
        <f>'[68]Sch C'!F149</f>
        <v>0</v>
      </c>
      <c r="E148" s="171">
        <f t="shared" si="38"/>
        <v>975</v>
      </c>
      <c r="F148" s="415">
        <v>0</v>
      </c>
      <c r="G148" s="171">
        <f t="shared" si="39"/>
        <v>975</v>
      </c>
      <c r="H148" s="172">
        <f t="shared" si="40"/>
        <v>7.3080121543035509E-5</v>
      </c>
      <c r="I148" s="336"/>
      <c r="J148" s="183">
        <v>57.352941176470587</v>
      </c>
      <c r="K148" s="183">
        <v>0</v>
      </c>
      <c r="M148" s="364">
        <f t="shared" si="34"/>
        <v>1.7487848187541479E-2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'[68]Sch C'!D150</f>
        <v>31888</v>
      </c>
      <c r="D149" s="558">
        <f>'[68]Sch C'!F150</f>
        <v>0</v>
      </c>
      <c r="E149" s="171">
        <f t="shared" si="38"/>
        <v>31888</v>
      </c>
      <c r="F149" s="415">
        <v>7905</v>
      </c>
      <c r="G149" s="171">
        <f t="shared" si="39"/>
        <v>39793</v>
      </c>
      <c r="H149" s="172">
        <f t="shared" si="40"/>
        <v>2.9826433605764221E-3</v>
      </c>
      <c r="I149" s="336"/>
      <c r="J149" s="183">
        <v>2125.8666666666668</v>
      </c>
      <c r="K149" s="183">
        <v>0</v>
      </c>
      <c r="M149" s="364">
        <f t="shared" si="34"/>
        <v>0.71373737736085952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'[68]Sch C'!D151</f>
        <v>244951</v>
      </c>
      <c r="D150" s="558">
        <f>'[68]Sch C'!F151</f>
        <v>0</v>
      </c>
      <c r="E150" s="171">
        <f t="shared" si="38"/>
        <v>244951</v>
      </c>
      <c r="F150" s="415">
        <v>44706</v>
      </c>
      <c r="G150" s="171">
        <f t="shared" si="39"/>
        <v>289657</v>
      </c>
      <c r="H150" s="172">
        <f t="shared" si="40"/>
        <v>2.171094232388824E-2</v>
      </c>
      <c r="I150" s="336"/>
      <c r="J150" s="168"/>
      <c r="K150" s="168" t="s">
        <v>574</v>
      </c>
      <c r="M150" s="364">
        <f t="shared" si="34"/>
        <v>5.1953616845730277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'[68]Sch C'!D152</f>
        <v>567</v>
      </c>
      <c r="D151" s="558">
        <f>'[68]Sch C'!F152</f>
        <v>0</v>
      </c>
      <c r="E151" s="171">
        <f t="shared" si="38"/>
        <v>567</v>
      </c>
      <c r="F151" s="415">
        <v>0</v>
      </c>
      <c r="G151" s="171">
        <f t="shared" si="39"/>
        <v>567</v>
      </c>
      <c r="H151" s="172">
        <f t="shared" si="40"/>
        <v>4.2498901451180648E-5</v>
      </c>
      <c r="I151" s="336"/>
      <c r="J151" s="168"/>
      <c r="K151" s="168" t="s">
        <v>575</v>
      </c>
      <c r="M151" s="364">
        <f t="shared" si="34"/>
        <v>1.0169856330601044E-2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'[68]Sch C'!D153</f>
        <v>0</v>
      </c>
      <c r="D152" s="558">
        <f>'[68]Sch C'!F153</f>
        <v>0</v>
      </c>
      <c r="E152" s="171">
        <f t="shared" si="38"/>
        <v>0</v>
      </c>
      <c r="F152" s="415">
        <v>960</v>
      </c>
      <c r="G152" s="171">
        <f t="shared" si="39"/>
        <v>960</v>
      </c>
      <c r="H152" s="172">
        <f t="shared" si="40"/>
        <v>7.1955811980834957E-5</v>
      </c>
      <c r="I152" s="336"/>
      <c r="J152" s="168"/>
      <c r="K152" s="168"/>
      <c r="M152" s="364">
        <f t="shared" si="34"/>
        <v>1.7218804369271607E-2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'[68]Sch C'!D154</f>
        <v>0</v>
      </c>
      <c r="D153" s="558">
        <f>'[68]Sch C'!F154</f>
        <v>0</v>
      </c>
      <c r="E153" s="171">
        <f t="shared" si="38"/>
        <v>0</v>
      </c>
      <c r="F153" s="415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42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'[68]Sch C'!D156</f>
        <v>0</v>
      </c>
      <c r="D155" s="558">
        <f>'[68]Sch C'!F156</f>
        <v>0</v>
      </c>
      <c r="E155" s="171">
        <f t="shared" ref="E155:E160" si="41">C155+D155</f>
        <v>0</v>
      </c>
      <c r="F155" s="415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'[68]Sch C'!D157</f>
        <v>0</v>
      </c>
      <c r="D156" s="558">
        <f>'[68]Sch C'!F157</f>
        <v>0</v>
      </c>
      <c r="E156" s="171">
        <f t="shared" si="41"/>
        <v>0</v>
      </c>
      <c r="F156" s="415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'[68]Sch C'!D158</f>
        <v>0</v>
      </c>
      <c r="D157" s="558">
        <f>'[68]Sch C'!F158</f>
        <v>0</v>
      </c>
      <c r="E157" s="171">
        <f t="shared" si="41"/>
        <v>0</v>
      </c>
      <c r="F157" s="415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'[68]Sch C'!D159</f>
        <v>0</v>
      </c>
      <c r="D158" s="558">
        <f>'[68]Sch C'!F159</f>
        <v>0</v>
      </c>
      <c r="E158" s="171">
        <f t="shared" si="41"/>
        <v>0</v>
      </c>
      <c r="F158" s="415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'[68]Sch C'!D160</f>
        <v>0</v>
      </c>
      <c r="D159" s="558">
        <f>'[68]Sch C'!F160</f>
        <v>0</v>
      </c>
      <c r="E159" s="171">
        <f t="shared" si="41"/>
        <v>0</v>
      </c>
      <c r="F159" s="415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'[68]Sch C'!D161</f>
        <v>1278</v>
      </c>
      <c r="D160" s="558">
        <f>'[68]Sch C'!F161</f>
        <v>0</v>
      </c>
      <c r="E160" s="171">
        <f t="shared" si="41"/>
        <v>1278</v>
      </c>
      <c r="F160" s="415">
        <v>303</v>
      </c>
      <c r="G160" s="171">
        <f t="shared" si="42"/>
        <v>1581</v>
      </c>
      <c r="H160" s="172">
        <f t="shared" si="43"/>
        <v>1.1850222785593757E-4</v>
      </c>
      <c r="I160" s="336"/>
      <c r="J160" s="168"/>
      <c r="K160" s="168"/>
      <c r="M160" s="364">
        <f t="shared" si="34"/>
        <v>2.8357218445644181E-2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3857572</v>
      </c>
      <c r="D161" s="558">
        <f>SUM(D123:D160)</f>
        <v>762635</v>
      </c>
      <c r="E161" s="171">
        <f t="shared" ref="E161:F161" si="44">SUM(E123:E160)</f>
        <v>4620207</v>
      </c>
      <c r="F161" s="171">
        <f t="shared" si="44"/>
        <v>870906</v>
      </c>
      <c r="G161" s="171">
        <f>SUM(G123:G160)</f>
        <v>5491113</v>
      </c>
      <c r="H161" s="172">
        <f t="shared" si="43"/>
        <v>0.4115807235349152</v>
      </c>
      <c r="I161" s="336"/>
      <c r="J161" s="168"/>
      <c r="K161" s="168"/>
      <c r="M161" s="364">
        <f>G161/G$228</f>
        <v>98.490000538087642</v>
      </c>
      <c r="N161" s="359">
        <f>SUMMARY!J164</f>
        <v>105.56901037202306</v>
      </c>
      <c r="O161" s="354">
        <f>M161/N161-1</f>
        <v>-6.705575631512628E-2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419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432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'[68]Sch C'!D175</f>
        <v>0</v>
      </c>
      <c r="D164" s="558">
        <f>'[68]Sch C'!F175</f>
        <v>0</v>
      </c>
      <c r="E164" s="171">
        <f t="shared" ref="E164:E196" si="45">C164+D164</f>
        <v>0</v>
      </c>
      <c r="F164" s="421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'[68]Sch C'!D176</f>
        <v>0</v>
      </c>
      <c r="D165" s="558">
        <f>'[68]Sch C'!F176</f>
        <v>0</v>
      </c>
      <c r="E165" s="171">
        <f t="shared" si="45"/>
        <v>0</v>
      </c>
      <c r="F165" s="421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'[68]Sch C'!D177</f>
        <v>295710</v>
      </c>
      <c r="D166" s="558">
        <f>'[68]Sch C'!F177</f>
        <v>22471</v>
      </c>
      <c r="E166" s="171">
        <f t="shared" si="45"/>
        <v>318181</v>
      </c>
      <c r="F166" s="421">
        <v>63393</v>
      </c>
      <c r="G166" s="171">
        <f t="shared" si="46"/>
        <v>381574</v>
      </c>
      <c r="H166" s="172">
        <f t="shared" si="47"/>
        <v>2.8600486459140748E-2</v>
      </c>
      <c r="I166" s="342"/>
      <c r="J166" s="217">
        <f>10880+2154</f>
        <v>13034</v>
      </c>
      <c r="K166" s="217">
        <f>11707+2332</f>
        <v>14039</v>
      </c>
      <c r="L166" s="218"/>
      <c r="M166" s="364">
        <f t="shared" si="48"/>
        <v>6.8440083941671297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'[68]Sch C'!D178</f>
        <v>0</v>
      </c>
      <c r="D167" s="558">
        <f>'[68]Sch C'!F178</f>
        <v>42057</v>
      </c>
      <c r="E167" s="171">
        <f t="shared" si="45"/>
        <v>42057</v>
      </c>
      <c r="F167" s="421">
        <v>8688</v>
      </c>
      <c r="G167" s="171">
        <f t="shared" si="46"/>
        <v>50745</v>
      </c>
      <c r="H167" s="172">
        <f t="shared" si="47"/>
        <v>3.8035392489244478E-3</v>
      </c>
      <c r="I167" s="343"/>
      <c r="J167" s="222"/>
      <c r="K167" s="222"/>
      <c r="L167" s="218"/>
      <c r="M167" s="364">
        <f t="shared" si="48"/>
        <v>0.91017523720696647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'[68]Sch C'!D179</f>
        <v>86381</v>
      </c>
      <c r="D168" s="558">
        <f>'[68]Sch C'!F179</f>
        <v>6564</v>
      </c>
      <c r="E168" s="171">
        <f t="shared" si="45"/>
        <v>92945</v>
      </c>
      <c r="F168" s="421">
        <v>18647</v>
      </c>
      <c r="G168" s="171">
        <f t="shared" si="46"/>
        <v>111592</v>
      </c>
      <c r="H168" s="172">
        <f t="shared" si="47"/>
        <v>8.3642635110055558E-3</v>
      </c>
      <c r="I168" s="342"/>
      <c r="J168" s="217">
        <f>2351+469</f>
        <v>2820</v>
      </c>
      <c r="K168" s="217">
        <f>2530+508</f>
        <v>3038</v>
      </c>
      <c r="L168" s="218"/>
      <c r="M168" s="364">
        <f t="shared" si="48"/>
        <v>2.0015425178914139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'[68]Sch C'!D180</f>
        <v>0</v>
      </c>
      <c r="D169" s="558">
        <f>'[68]Sch C'!F180</f>
        <v>12286</v>
      </c>
      <c r="E169" s="171">
        <f t="shared" si="45"/>
        <v>12286</v>
      </c>
      <c r="F169" s="421">
        <v>2555</v>
      </c>
      <c r="G169" s="171">
        <f t="shared" si="46"/>
        <v>14841</v>
      </c>
      <c r="H169" s="172">
        <f t="shared" si="47"/>
        <v>1.1123918808412204E-3</v>
      </c>
      <c r="I169" s="343"/>
      <c r="J169" s="222"/>
      <c r="K169" s="222"/>
      <c r="L169" s="218"/>
      <c r="M169" s="364">
        <f t="shared" si="48"/>
        <v>0.2661919537962083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'[68]Sch C'!D181</f>
        <v>0</v>
      </c>
      <c r="D170" s="558">
        <f>'[68]Sch C'!F181</f>
        <v>0</v>
      </c>
      <c r="E170" s="171">
        <f t="shared" si="45"/>
        <v>0</v>
      </c>
      <c r="F170" s="421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'[68]Sch C'!D182</f>
        <v>0</v>
      </c>
      <c r="D171" s="558">
        <f>'[68]Sch C'!F182</f>
        <v>0</v>
      </c>
      <c r="E171" s="171">
        <f t="shared" si="45"/>
        <v>0</v>
      </c>
      <c r="F171" s="421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'[68]Sch C'!D183</f>
        <v>144082</v>
      </c>
      <c r="D172" s="558">
        <f>'[68]Sch C'!F183</f>
        <v>10949</v>
      </c>
      <c r="E172" s="171">
        <f t="shared" si="45"/>
        <v>155031</v>
      </c>
      <c r="F172" s="421">
        <v>29278</v>
      </c>
      <c r="G172" s="171">
        <f t="shared" si="46"/>
        <v>184309</v>
      </c>
      <c r="H172" s="172">
        <f t="shared" si="47"/>
        <v>1.3814691406641365E-2</v>
      </c>
      <c r="I172" s="342"/>
      <c r="J172" s="217">
        <f>4558+856</f>
        <v>5414</v>
      </c>
      <c r="K172" s="217">
        <f>4904+927</f>
        <v>5831</v>
      </c>
      <c r="L172" s="218"/>
      <c r="M172" s="364">
        <f t="shared" si="48"/>
        <v>3.3058131401000841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'[68]Sch C'!D184</f>
        <v>0</v>
      </c>
      <c r="D173" s="558">
        <f>'[68]Sch C'!F184</f>
        <v>20492</v>
      </c>
      <c r="E173" s="171">
        <f t="shared" si="45"/>
        <v>20492</v>
      </c>
      <c r="F173" s="421">
        <v>4012</v>
      </c>
      <c r="G173" s="171">
        <f t="shared" si="46"/>
        <v>24504</v>
      </c>
      <c r="H173" s="172">
        <f t="shared" si="47"/>
        <v>1.8366721008108123E-3</v>
      </c>
      <c r="I173" s="343"/>
      <c r="J173" s="222"/>
      <c r="K173" s="222"/>
      <c r="L173" s="218"/>
      <c r="M173" s="364">
        <f t="shared" si="48"/>
        <v>0.43950998152565779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'[68]Sch C'!D185</f>
        <v>0</v>
      </c>
      <c r="D174" s="558">
        <f>'[68]Sch C'!F185</f>
        <v>0</v>
      </c>
      <c r="E174" s="171">
        <f t="shared" si="45"/>
        <v>0</v>
      </c>
      <c r="F174" s="421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'[68]Sch C'!D186</f>
        <v>0</v>
      </c>
      <c r="D175" s="558">
        <f>'[68]Sch C'!F186</f>
        <v>0</v>
      </c>
      <c r="E175" s="171">
        <f t="shared" si="45"/>
        <v>0</v>
      </c>
      <c r="F175" s="421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'[68]Sch C'!D187</f>
        <v>0</v>
      </c>
      <c r="D176" s="558">
        <f>'[68]Sch C'!F187</f>
        <v>0</v>
      </c>
      <c r="E176" s="171">
        <f t="shared" si="45"/>
        <v>0</v>
      </c>
      <c r="F176" s="421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'[68]Sch C'!D188</f>
        <v>4301</v>
      </c>
      <c r="D177" s="558">
        <f>'[68]Sch C'!F188</f>
        <v>0</v>
      </c>
      <c r="E177" s="171">
        <f t="shared" si="45"/>
        <v>4301</v>
      </c>
      <c r="F177" s="421">
        <v>264</v>
      </c>
      <c r="G177" s="171">
        <f t="shared" si="46"/>
        <v>4565</v>
      </c>
      <c r="H177" s="172">
        <f t="shared" si="47"/>
        <v>3.4216487676303289E-4</v>
      </c>
      <c r="I177" s="336"/>
      <c r="J177" s="223"/>
      <c r="K177" s="218"/>
      <c r="L177" s="220"/>
      <c r="M177" s="364">
        <f t="shared" si="48"/>
        <v>8.1879002026796766E-2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'[68]Sch C'!D189</f>
        <v>333</v>
      </c>
      <c r="D178" s="558">
        <f>'[68]Sch C'!F189</f>
        <v>0</v>
      </c>
      <c r="E178" s="171">
        <f t="shared" si="45"/>
        <v>333</v>
      </c>
      <c r="F178" s="421">
        <v>0</v>
      </c>
      <c r="G178" s="171">
        <f t="shared" si="46"/>
        <v>333</v>
      </c>
      <c r="H178" s="172">
        <f t="shared" si="47"/>
        <v>2.4959672280852125E-5</v>
      </c>
      <c r="I178" s="336"/>
      <c r="J178" s="223"/>
      <c r="K178" s="218"/>
      <c r="L178" s="220"/>
      <c r="M178" s="364">
        <f t="shared" si="48"/>
        <v>5.9727727655910891E-3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'[68]Sch C'!D190</f>
        <v>0</v>
      </c>
      <c r="D179" s="558">
        <f>'[68]Sch C'!F190</f>
        <v>0</v>
      </c>
      <c r="E179" s="171">
        <f t="shared" si="45"/>
        <v>0</v>
      </c>
      <c r="F179" s="421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'[68]Sch C'!D191</f>
        <v>258</v>
      </c>
      <c r="D180" s="558">
        <f>'[68]Sch C'!F191</f>
        <v>0</v>
      </c>
      <c r="E180" s="171">
        <f t="shared" si="45"/>
        <v>258</v>
      </c>
      <c r="F180" s="421">
        <v>36</v>
      </c>
      <c r="G180" s="171">
        <f t="shared" si="46"/>
        <v>294</v>
      </c>
      <c r="H180" s="172">
        <f t="shared" si="47"/>
        <v>2.2036467419130704E-5</v>
      </c>
      <c r="I180" s="336"/>
      <c r="J180" s="223"/>
      <c r="K180" s="218"/>
      <c r="L180" s="220"/>
      <c r="M180" s="364">
        <f t="shared" si="48"/>
        <v>5.2732588380894297E-3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'[68]Sch C'!D192</f>
        <v>0</v>
      </c>
      <c r="D181" s="558">
        <f>'[68]Sch C'!F192</f>
        <v>0</v>
      </c>
      <c r="E181" s="171">
        <f t="shared" si="45"/>
        <v>0</v>
      </c>
      <c r="F181" s="421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'[68]Sch C'!D193</f>
        <v>0</v>
      </c>
      <c r="D182" s="558">
        <f>'[68]Sch C'!F193</f>
        <v>0</v>
      </c>
      <c r="E182" s="171">
        <f t="shared" si="45"/>
        <v>0</v>
      </c>
      <c r="F182" s="421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'[68]Sch C'!D194</f>
        <v>0</v>
      </c>
      <c r="D183" s="558">
        <f>'[68]Sch C'!F194</f>
        <v>0</v>
      </c>
      <c r="E183" s="171">
        <f t="shared" si="45"/>
        <v>0</v>
      </c>
      <c r="F183" s="421">
        <v>0</v>
      </c>
      <c r="G183" s="171">
        <f t="shared" si="46"/>
        <v>0</v>
      </c>
      <c r="H183" s="172">
        <f t="shared" si="47"/>
        <v>0</v>
      </c>
      <c r="I183" s="336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'[68]Sch C'!D195</f>
        <v>15015</v>
      </c>
      <c r="D184" s="558">
        <f>'[68]Sch C'!F195</f>
        <v>0</v>
      </c>
      <c r="E184" s="171">
        <f t="shared" si="45"/>
        <v>15015</v>
      </c>
      <c r="F184" s="421">
        <v>1659</v>
      </c>
      <c r="G184" s="171">
        <f t="shared" si="46"/>
        <v>16674</v>
      </c>
      <c r="H184" s="172">
        <f t="shared" si="47"/>
        <v>1.2497825093421271E-3</v>
      </c>
      <c r="I184" s="336"/>
      <c r="J184" s="223"/>
      <c r="K184" s="218"/>
      <c r="M184" s="364">
        <f t="shared" si="48"/>
        <v>0.29906910838878625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'[68]Sch C'!D196</f>
        <v>0</v>
      </c>
      <c r="D185" s="558">
        <f>'[68]Sch C'!F196</f>
        <v>0</v>
      </c>
      <c r="E185" s="171">
        <f t="shared" si="45"/>
        <v>0</v>
      </c>
      <c r="F185" s="421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'[68]Sch C'!D197</f>
        <v>0</v>
      </c>
      <c r="D186" s="558">
        <f>'[68]Sch C'!F197</f>
        <v>0</v>
      </c>
      <c r="E186" s="171">
        <f t="shared" si="45"/>
        <v>0</v>
      </c>
      <c r="F186" s="421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'[68]Sch C'!D198</f>
        <v>57358</v>
      </c>
      <c r="D187" s="558">
        <f>'[68]Sch C'!F198</f>
        <v>0</v>
      </c>
      <c r="E187" s="171">
        <f t="shared" si="45"/>
        <v>57358</v>
      </c>
      <c r="F187" s="421">
        <v>7833</v>
      </c>
      <c r="G187" s="171">
        <f t="shared" si="46"/>
        <v>65191</v>
      </c>
      <c r="H187" s="172">
        <f t="shared" si="47"/>
        <v>4.886324311294387E-3</v>
      </c>
      <c r="I187" s="336"/>
      <c r="J187" s="223"/>
      <c r="K187" s="218"/>
      <c r="M187" s="364">
        <f t="shared" si="48"/>
        <v>1.1692823704554014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'[68]Sch C'!D199</f>
        <v>325487</v>
      </c>
      <c r="D188" s="558">
        <f>'[68]Sch C'!F199</f>
        <v>0</v>
      </c>
      <c r="E188" s="171">
        <f t="shared" si="45"/>
        <v>325487</v>
      </c>
      <c r="F188" s="421">
        <v>54738</v>
      </c>
      <c r="G188" s="171">
        <f t="shared" si="46"/>
        <v>380225</v>
      </c>
      <c r="H188" s="172">
        <f t="shared" si="47"/>
        <v>2.8499373552513512E-2</v>
      </c>
      <c r="I188" s="336"/>
      <c r="J188" s="223"/>
      <c r="K188" s="218"/>
      <c r="M188" s="364">
        <f t="shared" si="48"/>
        <v>6.819812386777393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'[68]Sch C'!D200</f>
        <v>0</v>
      </c>
      <c r="D189" s="558">
        <f>'[68]Sch C'!F200</f>
        <v>0</v>
      </c>
      <c r="E189" s="171">
        <f t="shared" si="45"/>
        <v>0</v>
      </c>
      <c r="F189" s="421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'[68]Sch C'!D201</f>
        <v>0</v>
      </c>
      <c r="D190" s="558">
        <f>'[68]Sch C'!F201</f>
        <v>0</v>
      </c>
      <c r="E190" s="171">
        <f t="shared" si="45"/>
        <v>0</v>
      </c>
      <c r="F190" s="421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'[68]Sch C'!D202</f>
        <v>0</v>
      </c>
      <c r="D191" s="558">
        <f>'[68]Sch C'!F202</f>
        <v>0</v>
      </c>
      <c r="E191" s="171">
        <f t="shared" si="45"/>
        <v>0</v>
      </c>
      <c r="F191" s="421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'[68]Sch C'!D203</f>
        <v>0</v>
      </c>
      <c r="D192" s="558">
        <f>'[68]Sch C'!F203</f>
        <v>0</v>
      </c>
      <c r="E192" s="171">
        <f t="shared" si="45"/>
        <v>0</v>
      </c>
      <c r="F192" s="421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'[68]Sch C'!D204</f>
        <v>0</v>
      </c>
      <c r="D193" s="558">
        <f>'[68]Sch C'!F204</f>
        <v>0</v>
      </c>
      <c r="E193" s="171">
        <f t="shared" si="45"/>
        <v>0</v>
      </c>
      <c r="F193" s="421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'[68]Sch C'!D205</f>
        <v>257192</v>
      </c>
      <c r="D194" s="558">
        <f>'[68]Sch C'!F205</f>
        <v>-14</v>
      </c>
      <c r="E194" s="171">
        <f t="shared" si="45"/>
        <v>257178</v>
      </c>
      <c r="F194" s="421">
        <v>48563</v>
      </c>
      <c r="G194" s="171">
        <f t="shared" si="46"/>
        <v>305741</v>
      </c>
      <c r="H194" s="172">
        <f t="shared" si="47"/>
        <v>2.2916501990450481E-2</v>
      </c>
      <c r="I194" s="336"/>
      <c r="J194" s="223"/>
      <c r="K194" s="218"/>
      <c r="M194" s="364">
        <f t="shared" si="48"/>
        <v>5.4838484027765322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'[68]Sch C'!D206</f>
        <v>21510</v>
      </c>
      <c r="D195" s="558">
        <f>'[68]Sch C'!F206</f>
        <v>0</v>
      </c>
      <c r="E195" s="171">
        <f t="shared" si="45"/>
        <v>21510</v>
      </c>
      <c r="F195" s="421">
        <v>3678</v>
      </c>
      <c r="G195" s="171">
        <f t="shared" si="46"/>
        <v>25188</v>
      </c>
      <c r="H195" s="172">
        <f t="shared" si="47"/>
        <v>1.8879406168471572E-3</v>
      </c>
      <c r="I195" s="336"/>
      <c r="J195" s="223"/>
      <c r="K195" s="218"/>
      <c r="M195" s="364">
        <f t="shared" si="48"/>
        <v>0.45177837963876383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'[68]Sch C'!D207</f>
        <v>46269</v>
      </c>
      <c r="D196" s="558">
        <f>'[68]Sch C'!F207</f>
        <v>-72.674999999999997</v>
      </c>
      <c r="E196" s="171">
        <f t="shared" si="45"/>
        <v>46196.324999999997</v>
      </c>
      <c r="F196" s="421">
        <v>5298</v>
      </c>
      <c r="G196" s="171">
        <f t="shared" si="46"/>
        <v>51494.324999999997</v>
      </c>
      <c r="H196" s="172">
        <f t="shared" si="47"/>
        <v>3.8597041331041759E-3</v>
      </c>
      <c r="I196" s="336"/>
      <c r="J196" s="223"/>
      <c r="K196" s="218"/>
      <c r="M196" s="364">
        <f t="shared" si="48"/>
        <v>0.92361532114863765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1253896</v>
      </c>
      <c r="D197" s="558">
        <f>SUM(D164:D196)</f>
        <v>114732.325</v>
      </c>
      <c r="E197" s="171">
        <f t="shared" ref="E197:F197" si="49">SUM(E164:E196)</f>
        <v>1368628.325</v>
      </c>
      <c r="F197" s="171">
        <f t="shared" si="49"/>
        <v>248642</v>
      </c>
      <c r="G197" s="171">
        <f>SUM(G164:G196)</f>
        <v>1617270.325</v>
      </c>
      <c r="H197" s="172">
        <f>IF($G$208=0,0,G197/$G$208)</f>
        <v>0.12122083273737901</v>
      </c>
      <c r="I197" s="336"/>
      <c r="J197" s="168"/>
      <c r="K197" s="168"/>
      <c r="M197" s="364">
        <f>G197/G$228</f>
        <v>29.007772227503452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422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422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'[68]Sch C'!D211</f>
        <v>162600</v>
      </c>
      <c r="D200" s="558">
        <f>'[68]Sch C'!F211</f>
        <v>12356</v>
      </c>
      <c r="E200" s="171">
        <f t="shared" ref="E200:E205" si="50">C200+D200</f>
        <v>174956</v>
      </c>
      <c r="F200" s="415">
        <v>31817</v>
      </c>
      <c r="G200" s="171">
        <f t="shared" ref="G200:G205" si="51">E200+F200</f>
        <v>206773</v>
      </c>
      <c r="H200" s="172">
        <f t="shared" ref="H200:H206" si="52">IF($G$208=0,0,G200/$G$208)</f>
        <v>1.5498457406992903E-2</v>
      </c>
      <c r="I200" s="336"/>
      <c r="J200" s="183">
        <f>11198+2024</f>
        <v>13222</v>
      </c>
      <c r="K200" s="183">
        <f>12049+2191</f>
        <v>14240</v>
      </c>
      <c r="M200" s="364">
        <f t="shared" ref="M200:M205" si="53">G200/G$228</f>
        <v>3.7087331623410398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'[68]Sch C'!D212</f>
        <v>0</v>
      </c>
      <c r="D201" s="558">
        <f>'[68]Sch C'!F212</f>
        <v>23125</v>
      </c>
      <c r="E201" s="171">
        <f t="shared" si="50"/>
        <v>23125</v>
      </c>
      <c r="F201" s="415">
        <v>4360</v>
      </c>
      <c r="G201" s="171">
        <f t="shared" si="51"/>
        <v>27485</v>
      </c>
      <c r="H201" s="172">
        <f t="shared" si="52"/>
        <v>2.0601098878054677E-3</v>
      </c>
      <c r="I201" s="336"/>
      <c r="J201" s="168"/>
      <c r="K201" s="168"/>
      <c r="M201" s="364">
        <f t="shared" si="53"/>
        <v>0.49297795634315644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'[68]Sch C'!D213</f>
        <v>11097</v>
      </c>
      <c r="D202" s="558">
        <f>'[68]Sch C'!F213</f>
        <v>0</v>
      </c>
      <c r="E202" s="171">
        <f t="shared" si="50"/>
        <v>11097</v>
      </c>
      <c r="F202" s="415">
        <v>1588</v>
      </c>
      <c r="G202" s="171">
        <f t="shared" si="51"/>
        <v>12685</v>
      </c>
      <c r="H202" s="172">
        <f t="shared" si="52"/>
        <v>9.5079111976759524E-4</v>
      </c>
      <c r="I202" s="336"/>
      <c r="J202" s="168"/>
      <c r="K202" s="168"/>
      <c r="M202" s="364">
        <f t="shared" si="53"/>
        <v>0.22752138898355245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'[68]Sch C'!D214</f>
        <v>0</v>
      </c>
      <c r="D203" s="558">
        <f>'[68]Sch C'!F214</f>
        <v>0</v>
      </c>
      <c r="E203" s="171">
        <f t="shared" si="50"/>
        <v>0</v>
      </c>
      <c r="F203" s="415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'[68]Sch C'!D215</f>
        <v>0</v>
      </c>
      <c r="D204" s="558">
        <f>'[68]Sch C'!F215</f>
        <v>0</v>
      </c>
      <c r="E204" s="171">
        <f t="shared" si="50"/>
        <v>0</v>
      </c>
      <c r="F204" s="415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'[68]Sch C'!D216</f>
        <v>10095</v>
      </c>
      <c r="D205" s="558">
        <f>'[68]Sch C'!F216</f>
        <v>0</v>
      </c>
      <c r="E205" s="171">
        <f t="shared" si="50"/>
        <v>10095</v>
      </c>
      <c r="F205" s="415">
        <v>2340</v>
      </c>
      <c r="G205" s="171">
        <f t="shared" si="51"/>
        <v>12435</v>
      </c>
      <c r="H205" s="172">
        <f t="shared" si="52"/>
        <v>9.3205262706425279E-4</v>
      </c>
      <c r="I205" s="336"/>
      <c r="J205" s="168"/>
      <c r="K205" s="168"/>
      <c r="M205" s="364">
        <f t="shared" si="53"/>
        <v>0.22303732534572129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183792</v>
      </c>
      <c r="D206" s="558">
        <f>SUM(D200:D205)</f>
        <v>35481</v>
      </c>
      <c r="E206" s="171">
        <f t="shared" ref="E206:F206" si="54">SUM(E200:E205)</f>
        <v>219273</v>
      </c>
      <c r="F206" s="171">
        <f t="shared" si="54"/>
        <v>40105</v>
      </c>
      <c r="G206" s="171">
        <f>SUM(G200:G205)</f>
        <v>259378</v>
      </c>
      <c r="H206" s="172">
        <f t="shared" si="52"/>
        <v>1.9441411041630219E-2</v>
      </c>
      <c r="I206" s="336"/>
      <c r="J206" s="168"/>
      <c r="K206" s="168"/>
      <c r="M206" s="364">
        <f>G206/G$228</f>
        <v>4.6522698330134702</v>
      </c>
      <c r="N206" s="359">
        <f>SUMMARY!J209</f>
        <v>7.1515095990067339</v>
      </c>
      <c r="O206" s="354">
        <f>M206/N206-1</f>
        <v>-0.3494702386109334</v>
      </c>
      <c r="P206"/>
      <c r="Q206"/>
    </row>
    <row r="207" spans="1:19" s="167" customFormat="1">
      <c r="A207" s="163"/>
      <c r="C207" s="165"/>
      <c r="D207" s="165"/>
      <c r="E207" s="165"/>
      <c r="F207" s="422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11826124</v>
      </c>
      <c r="D208" s="558">
        <f>SUM(D25:D206)/2</f>
        <v>-119812.67499999999</v>
      </c>
      <c r="E208" s="171">
        <f t="shared" ref="E208:F208" si="55">SUM(E25:E206)/2</f>
        <v>11706311.324999999</v>
      </c>
      <c r="F208" s="171">
        <f t="shared" si="55"/>
        <v>1635210</v>
      </c>
      <c r="G208" s="171">
        <f>SUM(G25:G206)/2</f>
        <v>13341521.324999999</v>
      </c>
      <c r="H208" s="172">
        <f>IF($G$208=0,0,G208/$G$208)</f>
        <v>1</v>
      </c>
      <c r="I208" s="336"/>
      <c r="J208" s="183">
        <f>SUM(J25:J200)</f>
        <v>343796.21960784309</v>
      </c>
      <c r="K208" s="183">
        <f>SUM(K25:K200)</f>
        <v>367936</v>
      </c>
      <c r="M208" s="364">
        <f>G208/G$228</f>
        <v>239.29692258712535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-0.91205220422062361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'[68]Sch C'!D221</f>
        <v>11826124</v>
      </c>
      <c r="D211" s="196"/>
      <c r="E211" s="165"/>
      <c r="F211" s="587" t="s">
        <v>524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587" t="s">
        <v>573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639" t="s">
        <v>491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422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541592</v>
      </c>
      <c r="D215" s="558">
        <f>D21-D208</f>
        <v>119812.67499999999</v>
      </c>
      <c r="E215" s="171">
        <f t="shared" ref="E215:F215" si="56">E21-E208</f>
        <v>661404.67500000075</v>
      </c>
      <c r="F215" s="171">
        <f t="shared" si="56"/>
        <v>795928</v>
      </c>
      <c r="G215" s="171">
        <f>G21-G208</f>
        <v>1457332.6750000007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419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419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422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'[68]Sch D'!C9</f>
        <v>34309</v>
      </c>
      <c r="D219" s="592"/>
      <c r="E219" s="235">
        <f t="shared" ref="E219:G227" si="57">C219+D219</f>
        <v>34309</v>
      </c>
      <c r="F219" s="424">
        <v>5991</v>
      </c>
      <c r="G219" s="235">
        <f t="shared" si="57"/>
        <v>40300</v>
      </c>
      <c r="H219" s="172">
        <f>IF($G$228=0,0,G219/$G$228)</f>
        <v>0.72283105841838102</v>
      </c>
      <c r="I219" s="336"/>
      <c r="J219" s="168"/>
      <c r="K219" s="168"/>
    </row>
    <row r="220" spans="1:17">
      <c r="A220" s="163"/>
      <c r="B220" s="170" t="s">
        <v>217</v>
      </c>
      <c r="C220" s="592">
        <f>'[68]Sch D'!D9</f>
        <v>0</v>
      </c>
      <c r="D220" s="592"/>
      <c r="E220" s="235">
        <f t="shared" ref="E220:E227" si="58">C220+D220</f>
        <v>0</v>
      </c>
      <c r="F220" s="424">
        <v>0</v>
      </c>
      <c r="G220" s="235">
        <f t="shared" si="57"/>
        <v>0</v>
      </c>
      <c r="H220" s="172">
        <f t="shared" ref="H220:H228" si="59">IF($G$228=0,0,G220/$G$228)</f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'[68]Sch D'!E9</f>
        <v>3818</v>
      </c>
      <c r="D221" s="592"/>
      <c r="E221" s="235">
        <f t="shared" si="58"/>
        <v>3818</v>
      </c>
      <c r="F221" s="424">
        <v>596</v>
      </c>
      <c r="G221" s="235">
        <f t="shared" si="57"/>
        <v>4414</v>
      </c>
      <c r="H221" s="172">
        <f t="shared" si="59"/>
        <v>7.9170627589546752E-2</v>
      </c>
      <c r="I221" s="336"/>
      <c r="J221" s="168"/>
      <c r="K221" s="168"/>
    </row>
    <row r="222" spans="1:17">
      <c r="A222" s="163"/>
      <c r="B222" s="202" t="s">
        <v>334</v>
      </c>
      <c r="C222" s="592">
        <f>'[68]Sch D'!F9</f>
        <v>1948</v>
      </c>
      <c r="D222" s="592"/>
      <c r="E222" s="235">
        <f>C222+D222</f>
        <v>1948</v>
      </c>
      <c r="F222" s="424">
        <v>410</v>
      </c>
      <c r="G222" s="235">
        <f>E222+F222</f>
        <v>2358</v>
      </c>
      <c r="H222" s="172">
        <f t="shared" si="59"/>
        <v>4.229368823202339E-2</v>
      </c>
      <c r="I222" s="336"/>
      <c r="J222" s="168"/>
      <c r="K222" s="168"/>
    </row>
    <row r="223" spans="1:17">
      <c r="A223" s="163"/>
      <c r="B223" s="170" t="s">
        <v>73</v>
      </c>
      <c r="C223" s="592">
        <f>'[68]Sch D'!G9</f>
        <v>150</v>
      </c>
      <c r="D223" s="592"/>
      <c r="E223" s="235">
        <f t="shared" si="58"/>
        <v>150</v>
      </c>
      <c r="F223" s="424">
        <v>0</v>
      </c>
      <c r="G223" s="235">
        <f t="shared" si="57"/>
        <v>150</v>
      </c>
      <c r="H223" s="172">
        <f t="shared" si="59"/>
        <v>2.6904381826986889E-3</v>
      </c>
      <c r="I223" s="336"/>
      <c r="J223" s="168"/>
      <c r="K223" s="168"/>
    </row>
    <row r="224" spans="1:17">
      <c r="A224" s="163"/>
      <c r="B224" s="170" t="s">
        <v>74</v>
      </c>
      <c r="C224" s="592">
        <f>'[68]Sch D'!H9</f>
        <v>4842</v>
      </c>
      <c r="D224" s="592"/>
      <c r="E224" s="235">
        <f t="shared" si="58"/>
        <v>4842</v>
      </c>
      <c r="F224" s="424">
        <v>748</v>
      </c>
      <c r="G224" s="235">
        <f t="shared" si="57"/>
        <v>5590</v>
      </c>
      <c r="H224" s="172">
        <f t="shared" si="59"/>
        <v>0.10026366294190447</v>
      </c>
      <c r="I224" s="336"/>
      <c r="J224" s="168"/>
      <c r="K224" s="168"/>
    </row>
    <row r="225" spans="1:11">
      <c r="A225" s="163"/>
      <c r="B225" s="170" t="s">
        <v>236</v>
      </c>
      <c r="C225" s="592">
        <f>'[68]Sch D'!I9</f>
        <v>0</v>
      </c>
      <c r="D225" s="592"/>
      <c r="E225" s="235">
        <f t="shared" si="58"/>
        <v>0</v>
      </c>
      <c r="F225" s="424">
        <v>0</v>
      </c>
      <c r="G225" s="235">
        <f t="shared" si="57"/>
        <v>0</v>
      </c>
      <c r="H225" s="172">
        <f t="shared" si="59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'[68]Sch D'!J9</f>
        <v>2297</v>
      </c>
      <c r="D226" s="592"/>
      <c r="E226" s="235">
        <f>C226+D226</f>
        <v>2297</v>
      </c>
      <c r="F226" s="424">
        <v>644</v>
      </c>
      <c r="G226" s="235">
        <f>E226+F226</f>
        <v>2941</v>
      </c>
      <c r="H226" s="172">
        <f t="shared" si="59"/>
        <v>5.2750524635445627E-2</v>
      </c>
      <c r="I226" s="336"/>
      <c r="J226" s="168"/>
      <c r="K226" s="168"/>
    </row>
    <row r="227" spans="1:11">
      <c r="A227" s="163"/>
      <c r="B227" s="170" t="s">
        <v>179</v>
      </c>
      <c r="C227" s="592">
        <f>'[68]Sch D'!K9</f>
        <v>0</v>
      </c>
      <c r="D227" s="592"/>
      <c r="E227" s="235">
        <f t="shared" si="58"/>
        <v>0</v>
      </c>
      <c r="F227" s="424">
        <v>0</v>
      </c>
      <c r="G227" s="235">
        <f t="shared" si="57"/>
        <v>0</v>
      </c>
      <c r="H227" s="172">
        <f t="shared" si="59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47364</v>
      </c>
      <c r="D228" s="592">
        <f>SUM(D219:D227)</f>
        <v>0</v>
      </c>
      <c r="E228" s="237">
        <f>SUM(E219:E227)</f>
        <v>47364</v>
      </c>
      <c r="F228" s="425">
        <f>SUM(F219:F227)</f>
        <v>8389</v>
      </c>
      <c r="G228" s="237">
        <f>SUM(G219:G227)</f>
        <v>55753</v>
      </c>
      <c r="H228" s="172">
        <f t="shared" si="59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42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423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'[68]Sch D'!N22</f>
        <v>221</v>
      </c>
      <c r="D231" s="559"/>
      <c r="E231" s="235">
        <f>C231+D231</f>
        <v>221</v>
      </c>
      <c r="F231" s="429"/>
      <c r="G231" s="235">
        <f>E231+F231</f>
        <v>221</v>
      </c>
      <c r="H231" s="167"/>
      <c r="J231" s="168"/>
      <c r="K231" s="168"/>
    </row>
    <row r="232" spans="1:11">
      <c r="A232" s="163"/>
      <c r="B232" s="202" t="s">
        <v>290</v>
      </c>
      <c r="C232" s="593">
        <f>'[68]Sch D'!N24</f>
        <v>221</v>
      </c>
      <c r="D232" s="559"/>
      <c r="E232" s="235">
        <f>C232+D232</f>
        <v>221</v>
      </c>
      <c r="F232" s="429"/>
      <c r="G232" s="235">
        <f>E232+F232</f>
        <v>221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$C$4-$C$3+1-61</f>
        <v>305</v>
      </c>
      <c r="D233" s="483"/>
      <c r="E233" s="235">
        <f>C233+D233</f>
        <v>305</v>
      </c>
      <c r="F233" s="426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426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'[68]Sch D'!N28</f>
        <v>67405</v>
      </c>
      <c r="D235" s="483"/>
      <c r="E235" s="234">
        <f>E231*E233</f>
        <v>67405</v>
      </c>
      <c r="F235"/>
      <c r="G235" s="234">
        <f>G231*G233</f>
        <v>80886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'[68]Sch D'!N30</f>
        <v>0.70267784288999335</v>
      </c>
      <c r="D236" s="239"/>
      <c r="E236" s="244">
        <f>E228/E235</f>
        <v>0.70267784288999335</v>
      </c>
      <c r="F236" s="430"/>
      <c r="G236" s="244">
        <f>G228/G235</f>
        <v>0.68927873797690575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'[68]Sch D'!N32</f>
        <v>0.50899784882427124</v>
      </c>
      <c r="D237" s="239"/>
      <c r="E237" s="244">
        <f>(E219+E220)/E235</f>
        <v>0.50899784882427124</v>
      </c>
      <c r="F237" s="430"/>
      <c r="G237" s="244">
        <f>(G219+G220)/G235</f>
        <v>0.49823207971713274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'[68]Sch D'!N34</f>
        <v>0.72436871885820453</v>
      </c>
      <c r="D238" s="239"/>
      <c r="E238" s="244">
        <f>(E237/E236)</f>
        <v>0.72436871885820453</v>
      </c>
      <c r="F238" s="430"/>
      <c r="G238" s="244">
        <f>(G237/G236)</f>
        <v>0.72283105841838102</v>
      </c>
      <c r="H238" s="167"/>
      <c r="J238" s="168"/>
      <c r="K238" s="168"/>
    </row>
    <row r="241" spans="2:7">
      <c r="B241" s="148" t="s">
        <v>339</v>
      </c>
      <c r="F241" s="410" t="s">
        <v>340</v>
      </c>
      <c r="G241" s="558">
        <v>209.20628122769452</v>
      </c>
    </row>
    <row r="242" spans="2:7">
      <c r="F242" s="410" t="s">
        <v>341</v>
      </c>
      <c r="G242" s="558">
        <v>205.57717717717719</v>
      </c>
    </row>
    <row r="243" spans="2:7">
      <c r="F243" s="410" t="s">
        <v>342</v>
      </c>
      <c r="G243" s="558">
        <v>238.83653846153845</v>
      </c>
    </row>
    <row r="244" spans="2:7">
      <c r="F244" s="410" t="s">
        <v>343</v>
      </c>
      <c r="G244" s="558">
        <f>213.646875*1/3+213*2/3</f>
        <v>213.21562499999999</v>
      </c>
    </row>
    <row r="245" spans="2:7">
      <c r="F245" s="410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E28CAB"/>
  </sheetPr>
  <dimension ref="A1:T245"/>
  <sheetViews>
    <sheetView showGridLines="0" zoomScale="115" zoomScaleNormal="115" workbookViewId="0">
      <pane xSplit="2" ySplit="9" topLeftCell="C10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407</v>
      </c>
      <c r="D2" s="144"/>
      <c r="E2" s="460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'[69]Sch B'!E10</f>
        <v>1600345</v>
      </c>
      <c r="D11" s="558">
        <f>'[69]Sch B'!G10</f>
        <v>0</v>
      </c>
      <c r="E11" s="171">
        <f>C11+D11</f>
        <v>1600345</v>
      </c>
      <c r="F11" s="171"/>
      <c r="G11" s="171">
        <f t="shared" ref="G11:G20" si="0">E11+F11</f>
        <v>1600345</v>
      </c>
      <c r="H11" s="172">
        <f t="shared" ref="H11:H21" si="1">IF($G$21=0,0,G11/$G$21)</f>
        <v>0.17366179299484324</v>
      </c>
      <c r="I11" s="336"/>
      <c r="J11" s="368" t="s">
        <v>344</v>
      </c>
      <c r="K11" s="369">
        <f>G21</f>
        <v>9215297</v>
      </c>
      <c r="M11" s="359">
        <f>IFERROR(G11/G219,0)</f>
        <v>177.59904561091997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'[69]Sch B'!E15</f>
        <v>0</v>
      </c>
      <c r="D12" s="558">
        <f>'[69]Sch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8365756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'[69]Sch B'!E21</f>
        <v>6421496</v>
      </c>
      <c r="D13" s="558">
        <f>'[69]Sch B'!G21</f>
        <v>0</v>
      </c>
      <c r="E13" s="171">
        <f t="shared" si="2"/>
        <v>6421496</v>
      </c>
      <c r="F13" s="171"/>
      <c r="G13" s="171">
        <f t="shared" si="0"/>
        <v>6421496</v>
      </c>
      <c r="H13" s="172">
        <f t="shared" si="1"/>
        <v>0.69683006418566873</v>
      </c>
      <c r="I13" s="336"/>
      <c r="J13" s="370" t="s">
        <v>346</v>
      </c>
      <c r="K13" s="371">
        <f>G228</f>
        <v>23890</v>
      </c>
      <c r="M13" s="359">
        <f t="shared" si="3"/>
        <v>664.47599337748341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'[69]Sch B'!E27</f>
        <v>515389</v>
      </c>
      <c r="D14" s="558">
        <f>'[69]Sch B'!G27</f>
        <v>0</v>
      </c>
      <c r="E14" s="171">
        <f t="shared" si="2"/>
        <v>515389</v>
      </c>
      <c r="F14" s="171"/>
      <c r="G14" s="175">
        <f>E14+F14</f>
        <v>515389</v>
      </c>
      <c r="H14" s="176">
        <f t="shared" si="1"/>
        <v>5.5927551765287652E-2</v>
      </c>
      <c r="I14" s="337"/>
      <c r="J14" s="370" t="s">
        <v>347</v>
      </c>
      <c r="K14" s="371">
        <f>G231</f>
        <v>120</v>
      </c>
      <c r="M14" s="359">
        <f t="shared" si="3"/>
        <v>134.77745815899581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'[69]Sch B'!E32</f>
        <v>0</v>
      </c>
      <c r="D15" s="558">
        <f>'[69]Sch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43920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'[69]Sch B'!E37</f>
        <v>625229</v>
      </c>
      <c r="D16" s="558">
        <f>'[69]Sch B'!G37</f>
        <v>0</v>
      </c>
      <c r="E16" s="171">
        <f t="shared" si="2"/>
        <v>625229</v>
      </c>
      <c r="F16" s="171"/>
      <c r="G16" s="171">
        <f t="shared" si="0"/>
        <v>625229</v>
      </c>
      <c r="H16" s="172">
        <f t="shared" si="1"/>
        <v>6.7846863752736353E-2</v>
      </c>
      <c r="I16" s="508"/>
      <c r="J16" s="372"/>
      <c r="K16" s="371"/>
      <c r="M16" s="359">
        <f t="shared" si="3"/>
        <v>532.56303236797271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'[69]Sch B'!E42</f>
        <v>0</v>
      </c>
      <c r="D17" s="558">
        <f>'[69]Sch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J17" s="370" t="s">
        <v>156</v>
      </c>
      <c r="K17" s="371">
        <f>J208</f>
        <v>202852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'[69]Sch B'!E47</f>
        <v>51161</v>
      </c>
      <c r="D18" s="558">
        <f>'[69]Sch B'!G47</f>
        <v>0</v>
      </c>
      <c r="E18" s="171">
        <f t="shared" si="2"/>
        <v>51161</v>
      </c>
      <c r="F18" s="171"/>
      <c r="G18" s="171">
        <f>E18+F18</f>
        <v>51161</v>
      </c>
      <c r="H18" s="172">
        <f t="shared" si="1"/>
        <v>5.5517472741247516E-3</v>
      </c>
      <c r="J18" s="373" t="s">
        <v>252</v>
      </c>
      <c r="K18" s="374">
        <f>K208</f>
        <v>203663</v>
      </c>
      <c r="M18" s="359">
        <f t="shared" si="3"/>
        <v>235.76497695852535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'[69]Sch B'!E52</f>
        <v>0</v>
      </c>
      <c r="D19" s="558">
        <f>'[69]Sch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'[69]Sch B'!E67</f>
        <v>1677</v>
      </c>
      <c r="D20" s="558">
        <f>'[69]Sch B'!G67</f>
        <v>0</v>
      </c>
      <c r="E20" s="171">
        <f t="shared" si="2"/>
        <v>1677</v>
      </c>
      <c r="F20" s="171"/>
      <c r="G20" s="171">
        <f t="shared" si="0"/>
        <v>1677</v>
      </c>
      <c r="H20" s="172">
        <f t="shared" si="1"/>
        <v>1.8198002733932505E-4</v>
      </c>
      <c r="I20" s="508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9215297</v>
      </c>
      <c r="D21" s="558">
        <f>SUM(D11:D20)</f>
        <v>0</v>
      </c>
      <c r="E21" s="171">
        <f>SUM(E11:E20)</f>
        <v>9215297</v>
      </c>
      <c r="F21" s="171">
        <f>SUM(F11:F20)</f>
        <v>0</v>
      </c>
      <c r="G21" s="171">
        <f>SUM(G11:G20)</f>
        <v>9215297</v>
      </c>
      <c r="H21" s="172">
        <f t="shared" si="1"/>
        <v>1</v>
      </c>
      <c r="I21" s="336"/>
      <c r="J21" s="168"/>
      <c r="K21" s="168"/>
      <c r="M21" s="359">
        <f>IFERROR(G21/G228,0)</f>
        <v>385.73867727082461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'[69]Sch C'!D10</f>
        <v>135477</v>
      </c>
      <c r="D25" s="558">
        <f>'[69]Sch C'!F10</f>
        <v>0</v>
      </c>
      <c r="E25" s="171">
        <f t="shared" ref="E25:E60" si="4">C25+D25</f>
        <v>135477</v>
      </c>
      <c r="F25" s="171"/>
      <c r="G25" s="182">
        <f>E25+F25</f>
        <v>135477</v>
      </c>
      <c r="H25" s="172">
        <f>IF($G$208=0,0,G25/$G$208)</f>
        <v>1.6194232774658979E-2</v>
      </c>
      <c r="I25" s="336"/>
      <c r="J25" s="183">
        <v>2121</v>
      </c>
      <c r="K25" s="183">
        <v>2301</v>
      </c>
      <c r="M25" s="359">
        <f>G25/G$228</f>
        <v>5.6708664713269155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'[69]Sch C'!D11</f>
        <v>0</v>
      </c>
      <c r="D26" s="558">
        <f>'[69]Sch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'[69]Sch C'!D12</f>
        <v>190848</v>
      </c>
      <c r="D27" s="558">
        <f>'[69]Sch C'!F12</f>
        <v>0</v>
      </c>
      <c r="E27" s="171">
        <f t="shared" si="4"/>
        <v>190848</v>
      </c>
      <c r="F27" s="171"/>
      <c r="G27" s="171">
        <f t="shared" si="5"/>
        <v>190848</v>
      </c>
      <c r="H27" s="172">
        <f t="shared" si="6"/>
        <v>2.2813001000746375E-2</v>
      </c>
      <c r="I27" s="336"/>
      <c r="J27" s="185">
        <v>7693</v>
      </c>
      <c r="K27" s="185">
        <v>8234</v>
      </c>
      <c r="M27" s="359">
        <f t="shared" si="7"/>
        <v>7.9886144830473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'[69]Sch C'!D13</f>
        <v>653239</v>
      </c>
      <c r="D28" s="558">
        <f>'[69]Sch C'!F13</f>
        <v>-600664</v>
      </c>
      <c r="E28" s="171">
        <f t="shared" si="4"/>
        <v>52575</v>
      </c>
      <c r="F28" s="171"/>
      <c r="G28" s="171">
        <f t="shared" si="5"/>
        <v>52575</v>
      </c>
      <c r="H28" s="172">
        <f t="shared" si="6"/>
        <v>6.2845485811443696E-3</v>
      </c>
      <c r="I28" s="336"/>
      <c r="J28" s="168"/>
      <c r="K28" s="168"/>
      <c r="M28" s="359">
        <f t="shared" si="7"/>
        <v>2.2007115948095439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'[69]Sch C'!D14</f>
        <v>0</v>
      </c>
      <c r="D29" s="558">
        <f>'[69]Sch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'[69]Sch C'!D15</f>
        <v>0</v>
      </c>
      <c r="D30" s="558">
        <f>'[69]Sch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'[69]Sch C'!D16</f>
        <v>460000</v>
      </c>
      <c r="D31" s="558">
        <f>'[69]Sch C'!F16</f>
        <v>-273886</v>
      </c>
      <c r="E31" s="171">
        <f t="shared" si="4"/>
        <v>186114</v>
      </c>
      <c r="F31" s="490">
        <v>-9765</v>
      </c>
      <c r="G31" s="171">
        <f t="shared" si="5"/>
        <v>176349</v>
      </c>
      <c r="H31" s="172">
        <f t="shared" si="6"/>
        <v>2.1079864150950613E-2</v>
      </c>
      <c r="I31" s="336"/>
      <c r="J31" s="168"/>
      <c r="K31" s="168"/>
      <c r="M31" s="359">
        <f t="shared" si="7"/>
        <v>7.3817078275429049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'[69]Sch C'!D17</f>
        <v>0</v>
      </c>
      <c r="D32" s="558">
        <f>'[69]Sch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'[69]Sch C'!D18</f>
        <v>8557</v>
      </c>
      <c r="D33" s="558">
        <f>'[69]Sch C'!F18</f>
        <v>0</v>
      </c>
      <c r="E33" s="171">
        <f t="shared" si="4"/>
        <v>8557</v>
      </c>
      <c r="F33" s="171"/>
      <c r="G33" s="171">
        <f t="shared" si="5"/>
        <v>8557</v>
      </c>
      <c r="H33" s="172">
        <f t="shared" si="6"/>
        <v>1.0228603368302876E-3</v>
      </c>
      <c r="I33" s="336"/>
      <c r="J33" s="168"/>
      <c r="K33" s="168"/>
      <c r="M33" s="359">
        <f t="shared" si="7"/>
        <v>0.35818334030975302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'[69]Sch C'!D19</f>
        <v>25118</v>
      </c>
      <c r="D34" s="558">
        <f>'[69]Sch C'!F19</f>
        <v>0</v>
      </c>
      <c r="E34" s="171">
        <f t="shared" si="4"/>
        <v>25118</v>
      </c>
      <c r="F34" s="171"/>
      <c r="G34" s="171">
        <f t="shared" si="5"/>
        <v>25118</v>
      </c>
      <c r="H34" s="172">
        <f t="shared" si="6"/>
        <v>3.0024781980253789E-3</v>
      </c>
      <c r="I34" s="336"/>
      <c r="J34" s="168"/>
      <c r="K34" s="168"/>
      <c r="M34" s="359">
        <f t="shared" si="7"/>
        <v>1.0514022603599833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'[69]Sch C'!D20</f>
        <v>25997</v>
      </c>
      <c r="D35" s="558">
        <f>'[69]Sch C'!F20</f>
        <v>0</v>
      </c>
      <c r="E35" s="171">
        <f t="shared" si="4"/>
        <v>25997</v>
      </c>
      <c r="F35" s="490">
        <v>-1570</v>
      </c>
      <c r="G35" s="171">
        <f t="shared" si="5"/>
        <v>24427</v>
      </c>
      <c r="H35" s="172">
        <f t="shared" si="6"/>
        <v>2.9198795661742943E-3</v>
      </c>
      <c r="I35" s="336"/>
      <c r="J35" s="168"/>
      <c r="K35" s="168"/>
      <c r="M35" s="359">
        <f t="shared" si="7"/>
        <v>1.0224780242779405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'[69]Sch C'!D21</f>
        <v>15888</v>
      </c>
      <c r="D36" s="558">
        <f>'[69]Sch C'!F21</f>
        <v>0</v>
      </c>
      <c r="E36" s="171">
        <f t="shared" si="4"/>
        <v>15888</v>
      </c>
      <c r="F36" s="171"/>
      <c r="G36" s="171">
        <f t="shared" si="5"/>
        <v>15888</v>
      </c>
      <c r="H36" s="172">
        <f t="shared" si="6"/>
        <v>1.8991708579595198E-3</v>
      </c>
      <c r="I36" s="336"/>
      <c r="J36" s="168"/>
      <c r="K36" s="168"/>
      <c r="M36" s="359">
        <f t="shared" si="7"/>
        <v>0.6650481372959397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'[69]Sch C'!D22</f>
        <v>0</v>
      </c>
      <c r="D37" s="558">
        <f>'[69]Sch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'[69]Sch C'!D23</f>
        <v>62260</v>
      </c>
      <c r="D38" s="558">
        <f>'[69]Sch C'!F23</f>
        <v>0</v>
      </c>
      <c r="E38" s="171">
        <f t="shared" si="4"/>
        <v>62260</v>
      </c>
      <c r="F38" s="490">
        <v>-61316</v>
      </c>
      <c r="G38" s="171">
        <f t="shared" si="5"/>
        <v>944</v>
      </c>
      <c r="H38" s="172">
        <f t="shared" si="6"/>
        <v>1.1284096739135112E-4</v>
      </c>
      <c r="I38" s="336"/>
      <c r="J38" s="168"/>
      <c r="K38" s="168"/>
      <c r="M38" s="359">
        <f t="shared" si="7"/>
        <v>3.9514441188781918E-2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'[69]Sch C'!D24</f>
        <v>2195</v>
      </c>
      <c r="D39" s="558">
        <f>'[69]Sch C'!F24</f>
        <v>0</v>
      </c>
      <c r="E39" s="171">
        <f t="shared" si="4"/>
        <v>2195</v>
      </c>
      <c r="F39" s="490">
        <v>61316</v>
      </c>
      <c r="G39" s="171">
        <f t="shared" si="5"/>
        <v>63511</v>
      </c>
      <c r="H39" s="172">
        <f t="shared" si="6"/>
        <v>7.5917824999916323E-3</v>
      </c>
      <c r="I39" s="336"/>
      <c r="J39" s="168"/>
      <c r="K39" s="168"/>
      <c r="M39" s="359">
        <f t="shared" si="7"/>
        <v>2.6584763499372124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'[69]Sch C'!D25</f>
        <v>0</v>
      </c>
      <c r="D40" s="558">
        <f>'[69]Sch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'[69]Sch C'!D26</f>
        <v>187475</v>
      </c>
      <c r="D41" s="558">
        <f>'[69]Sch C'!F26</f>
        <v>0</v>
      </c>
      <c r="E41" s="171">
        <f t="shared" si="4"/>
        <v>187475</v>
      </c>
      <c r="F41" s="171"/>
      <c r="G41" s="171">
        <f t="shared" si="5"/>
        <v>187475</v>
      </c>
      <c r="H41" s="172">
        <f t="shared" si="6"/>
        <v>2.2409809705183848E-2</v>
      </c>
      <c r="I41" s="336"/>
      <c r="J41" s="168"/>
      <c r="K41" s="168"/>
      <c r="M41" s="359">
        <f t="shared" si="7"/>
        <v>7.84742570113018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'[69]Sch C'!D27</f>
        <v>22045</v>
      </c>
      <c r="D42" s="558">
        <f>'[69]Sch C'!F27</f>
        <v>-99</v>
      </c>
      <c r="E42" s="171">
        <f t="shared" si="4"/>
        <v>21946</v>
      </c>
      <c r="F42" s="171"/>
      <c r="G42" s="171">
        <f t="shared" si="5"/>
        <v>21946</v>
      </c>
      <c r="H42" s="172">
        <f t="shared" si="6"/>
        <v>2.6233134220027456E-3</v>
      </c>
      <c r="I42" s="336"/>
      <c r="J42" s="168"/>
      <c r="K42" s="168"/>
      <c r="M42" s="359">
        <f t="shared" si="7"/>
        <v>0.91862704060276268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'[69]Sch C'!D28</f>
        <v>0</v>
      </c>
      <c r="D43" s="558">
        <f>'[69]Sch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'[69]Sch C'!D29</f>
        <v>40963</v>
      </c>
      <c r="D44" s="558">
        <f>'[69]Sch C'!F29</f>
        <v>-40963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'[69]Sch C'!D30</f>
        <v>100</v>
      </c>
      <c r="D45" s="558">
        <f>'[69]Sch C'!F30</f>
        <v>-100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'[69]Sch C'!D31</f>
        <v>67731</v>
      </c>
      <c r="D46" s="558">
        <f>'[69]Sch C'!F31</f>
        <v>0</v>
      </c>
      <c r="E46" s="171">
        <f t="shared" si="4"/>
        <v>67731</v>
      </c>
      <c r="F46" s="171"/>
      <c r="G46" s="171">
        <f t="shared" si="5"/>
        <v>67731</v>
      </c>
      <c r="H46" s="172">
        <f t="shared" si="6"/>
        <v>8.0962198754063585E-3</v>
      </c>
      <c r="I46" s="336"/>
      <c r="J46" s="168"/>
      <c r="K46" s="168"/>
      <c r="M46" s="359">
        <f t="shared" si="7"/>
        <v>2.8351192967768939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'[69]Sch C'!D32</f>
        <v>39826</v>
      </c>
      <c r="D47" s="558">
        <f>'[69]Sch C'!F32</f>
        <v>0</v>
      </c>
      <c r="E47" s="171">
        <f t="shared" si="4"/>
        <v>39826</v>
      </c>
      <c r="F47" s="171"/>
      <c r="G47" s="171">
        <f t="shared" si="5"/>
        <v>39826</v>
      </c>
      <c r="H47" s="172">
        <f t="shared" si="6"/>
        <v>4.7605978467457092E-3</v>
      </c>
      <c r="I47" s="336"/>
      <c r="J47" s="168"/>
      <c r="K47" s="168"/>
      <c r="M47" s="359">
        <f t="shared" si="7"/>
        <v>1.6670573461699456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'[69]Sch C'!D33</f>
        <v>0</v>
      </c>
      <c r="D48" s="558">
        <f>'[69]Sch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'[69]Sch C'!D34</f>
        <v>0</v>
      </c>
      <c r="D49" s="558">
        <f>'[69]Sch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'[69]Sch C'!D35</f>
        <v>0</v>
      </c>
      <c r="D50" s="558">
        <f>'[69]Sch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'[69]Sch C'!D36</f>
        <v>94722</v>
      </c>
      <c r="D51" s="558">
        <f>'[69]Sch C'!F36</f>
        <v>0</v>
      </c>
      <c r="E51" s="171">
        <f t="shared" si="4"/>
        <v>94722</v>
      </c>
      <c r="F51" s="171"/>
      <c r="G51" s="171">
        <f t="shared" si="5"/>
        <v>94722</v>
      </c>
      <c r="H51" s="172">
        <f t="shared" si="6"/>
        <v>1.132258698436818E-2</v>
      </c>
      <c r="I51" s="336"/>
      <c r="J51" s="183">
        <v>5015</v>
      </c>
      <c r="K51" s="183">
        <v>5414</v>
      </c>
      <c r="M51" s="359">
        <f t="shared" si="7"/>
        <v>3.9649225617413144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'[69]Sch C'!D37</f>
        <v>0</v>
      </c>
      <c r="D52" s="558">
        <f>'[69]Sch C'!F37</f>
        <v>15260</v>
      </c>
      <c r="E52" s="171">
        <f t="shared" si="4"/>
        <v>15260</v>
      </c>
      <c r="F52" s="171"/>
      <c r="G52" s="171">
        <f t="shared" si="5"/>
        <v>15260</v>
      </c>
      <c r="H52" s="172">
        <f t="shared" si="6"/>
        <v>1.824102926262731E-3</v>
      </c>
      <c r="I52" s="336"/>
      <c r="J52" s="168"/>
      <c r="K52" s="168"/>
      <c r="M52" s="359">
        <f t="shared" si="7"/>
        <v>0.63876098786102975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'[69]Sch C'!D38</f>
        <v>0</v>
      </c>
      <c r="D53" s="558">
        <f>'[69]Sch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'[69]Sch C'!D39</f>
        <v>527</v>
      </c>
      <c r="D54" s="558">
        <f>'[69]Sch C'!F39</f>
        <v>0</v>
      </c>
      <c r="E54" s="171">
        <f t="shared" si="4"/>
        <v>527</v>
      </c>
      <c r="F54" s="171"/>
      <c r="G54" s="171">
        <f t="shared" si="5"/>
        <v>527</v>
      </c>
      <c r="H54" s="172">
        <f t="shared" si="6"/>
        <v>6.2994904465298772E-5</v>
      </c>
      <c r="I54" s="336"/>
      <c r="J54" s="168"/>
      <c r="K54" s="168"/>
      <c r="M54" s="359">
        <f t="shared" si="7"/>
        <v>2.2059439095856007E-2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'[69]Sch C'!D40</f>
        <v>8112</v>
      </c>
      <c r="D55" s="558">
        <f>'[69]Sch C'!F40</f>
        <v>0</v>
      </c>
      <c r="E55" s="171">
        <f t="shared" si="4"/>
        <v>8112</v>
      </c>
      <c r="F55" s="171"/>
      <c r="G55" s="171">
        <f t="shared" si="5"/>
        <v>8112</v>
      </c>
      <c r="H55" s="172">
        <f t="shared" si="6"/>
        <v>9.6966729605788167E-4</v>
      </c>
      <c r="I55" s="336"/>
      <c r="J55" s="168"/>
      <c r="K55" s="168"/>
      <c r="M55" s="359">
        <f t="shared" si="7"/>
        <v>0.33955629970699036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'[69]Sch C'!D41</f>
        <v>0</v>
      </c>
      <c r="D56" s="558">
        <f>'[69]Sch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'[69]Sch C'!D42</f>
        <v>8646</v>
      </c>
      <c r="D57" s="558">
        <f>'[69]Sch C'!F42</f>
        <v>0</v>
      </c>
      <c r="E57" s="171">
        <f t="shared" si="4"/>
        <v>8646</v>
      </c>
      <c r="F57" s="171"/>
      <c r="G57" s="171">
        <f t="shared" si="5"/>
        <v>8646</v>
      </c>
      <c r="H57" s="172">
        <f t="shared" si="6"/>
        <v>1.0334989449847689E-3</v>
      </c>
      <c r="I57" s="336"/>
      <c r="J57" s="168"/>
      <c r="K57" s="168"/>
      <c r="M57" s="359">
        <f t="shared" si="7"/>
        <v>0.36190874843030557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'[69]Sch C'!D43</f>
        <v>10448</v>
      </c>
      <c r="D58" s="558">
        <f>'[69]Sch C'!F43</f>
        <v>0</v>
      </c>
      <c r="E58" s="171">
        <f t="shared" si="4"/>
        <v>10448</v>
      </c>
      <c r="F58" s="171"/>
      <c r="G58" s="171">
        <f t="shared" si="5"/>
        <v>10448</v>
      </c>
      <c r="H58" s="172">
        <f t="shared" si="6"/>
        <v>1.248900876382242E-3</v>
      </c>
      <c r="I58" s="336"/>
      <c r="J58" s="168"/>
      <c r="K58" s="168"/>
      <c r="M58" s="359">
        <f t="shared" si="7"/>
        <v>0.43733779824194224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'[69]Sch C'!D44</f>
        <v>0</v>
      </c>
      <c r="D59" s="558">
        <f>'[69]Sch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'[69]Sch C'!D45</f>
        <v>14073</v>
      </c>
      <c r="D60" s="558">
        <f>'[69]Sch C'!F45</f>
        <v>0</v>
      </c>
      <c r="E60" s="171">
        <f t="shared" si="4"/>
        <v>14073</v>
      </c>
      <c r="F60" s="171"/>
      <c r="G60" s="171">
        <f t="shared" si="5"/>
        <v>14073</v>
      </c>
      <c r="H60" s="172">
        <f t="shared" si="6"/>
        <v>1.6822149725619537E-3</v>
      </c>
      <c r="I60" s="336"/>
      <c r="J60" s="168"/>
      <c r="K60" s="168"/>
      <c r="M60" s="359">
        <f t="shared" si="7"/>
        <v>0.5890749267475931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2074247</v>
      </c>
      <c r="D61" s="558">
        <f>SUM(D25:D60)</f>
        <v>-900452</v>
      </c>
      <c r="E61" s="171">
        <f t="shared" ref="E61:F61" si="8">SUM(E25:E60)</f>
        <v>1173795</v>
      </c>
      <c r="F61" s="171">
        <f t="shared" si="8"/>
        <v>-11335</v>
      </c>
      <c r="G61" s="171">
        <f>SUM(G25:G60)</f>
        <v>1162460</v>
      </c>
      <c r="H61" s="186">
        <f t="shared" si="6"/>
        <v>0.13895456668829451</v>
      </c>
      <c r="I61" s="338"/>
      <c r="J61" s="168"/>
      <c r="K61" s="168"/>
      <c r="M61" s="364">
        <f>G61/G$228</f>
        <v>48.65885307660109</v>
      </c>
      <c r="N61" s="359">
        <f>SUMMARY!J64</f>
        <v>53.728790309602623</v>
      </c>
      <c r="O61" s="354">
        <f>M61/N61-1</f>
        <v>-9.4361648639154527E-2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'[69]Sch C'!D57</f>
        <v>0</v>
      </c>
      <c r="D64" s="558">
        <f>'[69]Sch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'[69]Sch C'!D58</f>
        <v>443441</v>
      </c>
      <c r="D65" s="558">
        <f>'[69]Sch C'!F58</f>
        <v>0</v>
      </c>
      <c r="E65" s="171">
        <f t="shared" si="9"/>
        <v>443441</v>
      </c>
      <c r="F65" s="490">
        <f>(-124658-21334+1958)</f>
        <v>-144034</v>
      </c>
      <c r="G65" s="171">
        <f t="shared" si="10"/>
        <v>299407</v>
      </c>
      <c r="H65" s="172">
        <f t="shared" si="11"/>
        <v>3.5789592715828669E-2</v>
      </c>
      <c r="I65" s="336"/>
      <c r="J65" s="190"/>
      <c r="K65" s="168"/>
      <c r="M65" s="359">
        <f t="shared" si="12"/>
        <v>12.532733361239012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'[69]Sch C'!D59</f>
        <v>409185</v>
      </c>
      <c r="D66" s="558">
        <f>'[69]Sch C'!F59</f>
        <v>0</v>
      </c>
      <c r="E66" s="171">
        <f t="shared" si="9"/>
        <v>409185</v>
      </c>
      <c r="F66" s="171"/>
      <c r="G66" s="171">
        <f t="shared" si="10"/>
        <v>409185</v>
      </c>
      <c r="H66" s="172">
        <f t="shared" si="11"/>
        <v>4.8911897502150435E-2</v>
      </c>
      <c r="I66" s="336"/>
      <c r="J66" s="190"/>
      <c r="K66" s="168"/>
      <c r="M66" s="359">
        <f t="shared" si="12"/>
        <v>17.12787777312683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'[69]Sch C'!D60</f>
        <v>74246</v>
      </c>
      <c r="D67" s="558">
        <f>'[69]Sch C'!F60</f>
        <v>0</v>
      </c>
      <c r="E67" s="171">
        <f t="shared" si="9"/>
        <v>74246</v>
      </c>
      <c r="F67" s="171"/>
      <c r="G67" s="171">
        <f t="shared" si="10"/>
        <v>74246</v>
      </c>
      <c r="H67" s="172">
        <f t="shared" si="11"/>
        <v>8.8749898992989996E-3</v>
      </c>
      <c r="I67" s="336"/>
      <c r="J67" s="193"/>
      <c r="K67" s="168"/>
      <c r="M67" s="359">
        <f t="shared" si="12"/>
        <v>3.1078275429049813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'[69]Sch C'!D61</f>
        <v>0</v>
      </c>
      <c r="D68" s="558">
        <f>'[69]Sch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'[69]Sch C'!D62</f>
        <v>0</v>
      </c>
      <c r="D69" s="558">
        <f>'[69]Sch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'[69]Sch C'!D63</f>
        <v>0</v>
      </c>
      <c r="D70" s="558">
        <f>'[69]Sch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'[69]Sch C'!D64</f>
        <v>0</v>
      </c>
      <c r="D71" s="558">
        <f>'[69]Sch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'[69]Sch C'!D65</f>
        <v>2155</v>
      </c>
      <c r="D72" s="558">
        <f>'[69]Sch C'!F65</f>
        <v>0</v>
      </c>
      <c r="E72" s="171">
        <f t="shared" si="9"/>
        <v>2155</v>
      </c>
      <c r="F72" s="171"/>
      <c r="G72" s="171">
        <f t="shared" si="10"/>
        <v>2155</v>
      </c>
      <c r="H72" s="172">
        <f t="shared" si="11"/>
        <v>2.5759775924614586E-4</v>
      </c>
      <c r="I72" s="336"/>
      <c r="J72" s="195"/>
      <c r="K72" s="168"/>
      <c r="M72" s="359">
        <f t="shared" si="12"/>
        <v>9.0205106739221427E-2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'[69]Sch C'!D66</f>
        <v>38526</v>
      </c>
      <c r="D73" s="558">
        <f>'[69]Sch C'!F66</f>
        <v>0</v>
      </c>
      <c r="E73" s="171">
        <f t="shared" si="9"/>
        <v>38526</v>
      </c>
      <c r="F73" s="490">
        <v>-815</v>
      </c>
      <c r="G73" s="171">
        <f t="shared" si="10"/>
        <v>37711</v>
      </c>
      <c r="H73" s="172">
        <f t="shared" si="11"/>
        <v>4.507781484422926E-3</v>
      </c>
      <c r="I73" s="336"/>
      <c r="J73" s="195"/>
      <c r="K73" s="168"/>
      <c r="M73" s="359">
        <f t="shared" si="12"/>
        <v>1.5785265801590624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'[69]Sch C'!D67</f>
        <v>0</v>
      </c>
      <c r="D74" s="558">
        <f>'[69]Sch C'!F67</f>
        <v>0</v>
      </c>
      <c r="E74" s="171">
        <f t="shared" si="9"/>
        <v>0</v>
      </c>
      <c r="F74" s="490">
        <f>(124658+228)</f>
        <v>124886</v>
      </c>
      <c r="G74" s="171">
        <f t="shared" si="10"/>
        <v>124886</v>
      </c>
      <c r="H74" s="172">
        <f t="shared" si="11"/>
        <v>1.4928238404275717E-2</v>
      </c>
      <c r="I74" s="336"/>
      <c r="J74" s="195"/>
      <c r="K74" s="168"/>
      <c r="M74" s="359">
        <f t="shared" si="12"/>
        <v>5.2275429049811635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'[69]Sch C'!D68</f>
        <v>0</v>
      </c>
      <c r="D75" s="558">
        <f>'[69]Sch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'[69]Sch C'!D69</f>
        <v>0</v>
      </c>
      <c r="D76" s="558">
        <f>'[69]Sch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'[69]Sch C'!D70</f>
        <v>0</v>
      </c>
      <c r="D77" s="558">
        <f>'[69]Sch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'[69]Sch C'!D71</f>
        <v>0</v>
      </c>
      <c r="D78" s="558">
        <f>'[69]Sch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967553</v>
      </c>
      <c r="D79" s="558">
        <f>SUM(D64:D78)</f>
        <v>0</v>
      </c>
      <c r="E79" s="171">
        <f t="shared" ref="E79:F79" si="13">SUM(E64:E78)</f>
        <v>967553</v>
      </c>
      <c r="F79" s="171">
        <f t="shared" si="13"/>
        <v>-19963</v>
      </c>
      <c r="G79" s="171">
        <f>SUM(G64:G78)</f>
        <v>947590</v>
      </c>
      <c r="H79" s="172">
        <f t="shared" si="11"/>
        <v>0.11327009776522289</v>
      </c>
      <c r="I79" s="336"/>
      <c r="J79" s="195"/>
      <c r="K79" s="168"/>
      <c r="M79" s="359">
        <f t="shared" si="12"/>
        <v>39.664713269150269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'[69]Sch C'!D75</f>
        <v>54055</v>
      </c>
      <c r="D82" s="558">
        <f>'[69]Sch C'!F75</f>
        <v>0</v>
      </c>
      <c r="E82" s="171">
        <f t="shared" ref="E82:E92" si="14">C82+D82</f>
        <v>54055</v>
      </c>
      <c r="F82" s="171"/>
      <c r="G82" s="171">
        <f t="shared" ref="G82:G92" si="15">E82+F82</f>
        <v>54055</v>
      </c>
      <c r="H82" s="172">
        <f t="shared" ref="H82:H93" si="16">IF($G$208=0,0,G82/$G$208)</f>
        <v>6.4614602673087763E-3</v>
      </c>
      <c r="I82" s="336"/>
      <c r="J82" s="183">
        <v>2378</v>
      </c>
      <c r="K82" s="183">
        <v>2569</v>
      </c>
      <c r="M82" s="359">
        <f t="shared" ref="M82:M92" si="17">G82/G$228</f>
        <v>2.2626622017580575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'[69]Sch C'!D76</f>
        <v>0</v>
      </c>
      <c r="D83" s="558">
        <f>'[69]Sch C'!F76</f>
        <v>8709</v>
      </c>
      <c r="E83" s="171">
        <f t="shared" si="14"/>
        <v>8709</v>
      </c>
      <c r="F83" s="171"/>
      <c r="G83" s="171">
        <f t="shared" si="15"/>
        <v>8709</v>
      </c>
      <c r="H83" s="172">
        <f t="shared" si="16"/>
        <v>1.0410296451390645E-3</v>
      </c>
      <c r="I83" s="336"/>
      <c r="J83" s="168"/>
      <c r="K83" s="168"/>
      <c r="M83" s="359">
        <f t="shared" si="17"/>
        <v>0.36454583507743826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'[69]Sch C'!D77</f>
        <v>24194</v>
      </c>
      <c r="D84" s="558">
        <f>'[69]Sch C'!F77</f>
        <v>0</v>
      </c>
      <c r="E84" s="171">
        <f t="shared" si="14"/>
        <v>24194</v>
      </c>
      <c r="F84" s="171"/>
      <c r="G84" s="171">
        <f t="shared" si="15"/>
        <v>24194</v>
      </c>
      <c r="H84" s="172">
        <f t="shared" si="16"/>
        <v>2.8920279290957089E-3</v>
      </c>
      <c r="I84" s="336"/>
      <c r="J84" s="168"/>
      <c r="K84" s="168"/>
      <c r="M84" s="359">
        <f t="shared" si="17"/>
        <v>1.0127249895353705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'[69]Sch C'!D78</f>
        <v>0</v>
      </c>
      <c r="D85" s="558">
        <f>'[69]Sch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'[69]Sch C'!D79</f>
        <v>53159</v>
      </c>
      <c r="D86" s="558">
        <f>'[69]Sch C'!F79</f>
        <v>0</v>
      </c>
      <c r="E86" s="171">
        <f t="shared" si="14"/>
        <v>53159</v>
      </c>
      <c r="F86" s="490">
        <v>-6374</v>
      </c>
      <c r="G86" s="171">
        <f>E86+F86</f>
        <v>46785</v>
      </c>
      <c r="H86" s="172">
        <f t="shared" si="16"/>
        <v>5.5924413764876718E-3</v>
      </c>
      <c r="I86" s="336"/>
      <c r="J86" s="168"/>
      <c r="K86" s="168"/>
      <c r="M86" s="359">
        <f t="shared" si="17"/>
        <v>1.9583507743825868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'[69]Sch C'!D80</f>
        <v>69403</v>
      </c>
      <c r="D87" s="558">
        <f>'[69]Sch C'!F80</f>
        <v>0</v>
      </c>
      <c r="E87" s="171">
        <f t="shared" si="14"/>
        <v>69403</v>
      </c>
      <c r="F87" s="490">
        <f>(-16500-23500)</f>
        <v>-40000</v>
      </c>
      <c r="G87" s="171">
        <f t="shared" si="15"/>
        <v>29403</v>
      </c>
      <c r="H87" s="172">
        <f t="shared" si="16"/>
        <v>3.514685343440569E-3</v>
      </c>
      <c r="I87" s="336"/>
      <c r="J87" s="168"/>
      <c r="K87" s="168"/>
      <c r="M87" s="359">
        <f t="shared" si="17"/>
        <v>1.2307660108832148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'[69]Sch C'!D81</f>
        <v>9127</v>
      </c>
      <c r="D88" s="558">
        <f>'[69]Sch C'!F81</f>
        <v>0</v>
      </c>
      <c r="E88" s="171">
        <f t="shared" si="14"/>
        <v>9127</v>
      </c>
      <c r="F88" s="171"/>
      <c r="G88" s="171">
        <f t="shared" si="15"/>
        <v>9127</v>
      </c>
      <c r="H88" s="172">
        <f t="shared" si="16"/>
        <v>1.0909952429882009E-3</v>
      </c>
      <c r="I88" s="336"/>
      <c r="J88" s="168"/>
      <c r="K88" s="168"/>
      <c r="M88" s="359">
        <f t="shared" si="17"/>
        <v>0.38204269568857263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'[69]Sch C'!D82</f>
        <v>10504</v>
      </c>
      <c r="D89" s="558">
        <f>'[69]Sch C'!F82</f>
        <v>0</v>
      </c>
      <c r="E89" s="171">
        <f t="shared" si="14"/>
        <v>10504</v>
      </c>
      <c r="F89" s="171"/>
      <c r="G89" s="171">
        <f t="shared" si="15"/>
        <v>10504</v>
      </c>
      <c r="H89" s="172">
        <f t="shared" si="16"/>
        <v>1.2555948320749494E-3</v>
      </c>
      <c r="I89" s="336"/>
      <c r="J89" s="168"/>
      <c r="K89" s="168"/>
      <c r="M89" s="359">
        <f t="shared" si="17"/>
        <v>0.43968187526161573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'[69]Sch C'!D83</f>
        <v>6939</v>
      </c>
      <c r="D90" s="558">
        <f>'[69]Sch C'!F83</f>
        <v>0</v>
      </c>
      <c r="E90" s="171">
        <f t="shared" si="14"/>
        <v>6939</v>
      </c>
      <c r="F90" s="171"/>
      <c r="G90" s="171">
        <f t="shared" si="15"/>
        <v>6939</v>
      </c>
      <c r="H90" s="172">
        <f t="shared" si="16"/>
        <v>8.2945283128028121E-4</v>
      </c>
      <c r="I90" s="336"/>
      <c r="J90" s="168"/>
      <c r="K90" s="168"/>
      <c r="M90" s="359">
        <f t="shared" si="17"/>
        <v>0.29045625784847218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'[69]Sch C'!D84</f>
        <v>170579</v>
      </c>
      <c r="D91" s="558">
        <f>'[69]Sch C'!F84</f>
        <v>0</v>
      </c>
      <c r="E91" s="171">
        <f t="shared" si="14"/>
        <v>170579</v>
      </c>
      <c r="F91" s="171"/>
      <c r="G91" s="171">
        <f t="shared" si="15"/>
        <v>170579</v>
      </c>
      <c r="H91" s="172">
        <f t="shared" si="16"/>
        <v>2.0390147644755597E-2</v>
      </c>
      <c r="I91" s="336"/>
      <c r="J91" s="168"/>
      <c r="K91" s="168"/>
      <c r="M91" s="359">
        <f t="shared" si="17"/>
        <v>7.1401841774801174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'[69]Sch C'!D85</f>
        <v>761</v>
      </c>
      <c r="D92" s="558">
        <f>'[69]Sch C'!F85</f>
        <v>0</v>
      </c>
      <c r="E92" s="171">
        <f t="shared" si="14"/>
        <v>761</v>
      </c>
      <c r="F92" s="171"/>
      <c r="G92" s="171">
        <f t="shared" si="15"/>
        <v>761</v>
      </c>
      <c r="H92" s="172">
        <f t="shared" si="16"/>
        <v>9.0966076466968441E-5</v>
      </c>
      <c r="I92" s="336"/>
      <c r="J92" s="168"/>
      <c r="K92" s="168"/>
      <c r="M92" s="359">
        <f t="shared" si="17"/>
        <v>3.1854332356634575E-2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398721</v>
      </c>
      <c r="D93" s="558">
        <f>SUM(D82:D92)</f>
        <v>8709</v>
      </c>
      <c r="E93" s="171">
        <f t="shared" ref="E93:F93" si="18">SUM(E82:E92)</f>
        <v>407430</v>
      </c>
      <c r="F93" s="171">
        <f t="shared" si="18"/>
        <v>-46374</v>
      </c>
      <c r="G93" s="171">
        <f>SUM(G82:G92)</f>
        <v>361056</v>
      </c>
      <c r="H93" s="172">
        <f t="shared" si="16"/>
        <v>4.3158801189037789E-2</v>
      </c>
      <c r="I93" s="336"/>
      <c r="J93" s="168"/>
      <c r="K93" s="168"/>
      <c r="M93" s="364">
        <f>G93/G$228</f>
        <v>15.11326915027208</v>
      </c>
      <c r="N93" s="359">
        <f>SUMMARY!J96</f>
        <v>11.458724454710746</v>
      </c>
      <c r="O93" s="354">
        <f>M93/N93-1</f>
        <v>0.31893119605113895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'[69]Sch C'!D89</f>
        <v>370961</v>
      </c>
      <c r="D96" s="558">
        <f>'[69]Sch C'!F89</f>
        <v>0</v>
      </c>
      <c r="E96" s="171">
        <f t="shared" ref="E96:E101" si="19">C96+D96</f>
        <v>370961</v>
      </c>
      <c r="F96" s="171"/>
      <c r="G96" s="171">
        <f t="shared" ref="G96:G101" si="20">E96+F96</f>
        <v>370961</v>
      </c>
      <c r="H96" s="172">
        <f t="shared" ref="H96:H102" si="21">IF($G$208=0,0,G96/$G$208)</f>
        <v>4.4342794602185383E-2</v>
      </c>
      <c r="I96" s="336"/>
      <c r="J96" s="183">
        <v>28219</v>
      </c>
      <c r="K96" s="183">
        <v>30708</v>
      </c>
      <c r="M96" s="364">
        <f t="shared" ref="M96:M101" si="22">G96/G$228</f>
        <v>15.527877773126832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'[69]Sch C'!D90</f>
        <v>0</v>
      </c>
      <c r="D97" s="558">
        <f>'[69]Sch C'!F90</f>
        <v>59764</v>
      </c>
      <c r="E97" s="171">
        <f t="shared" si="19"/>
        <v>59764</v>
      </c>
      <c r="F97" s="171"/>
      <c r="G97" s="171">
        <f t="shared" si="20"/>
        <v>59764</v>
      </c>
      <c r="H97" s="172">
        <f t="shared" si="21"/>
        <v>7.1438851431956654E-3</v>
      </c>
      <c r="I97" s="336"/>
      <c r="J97" s="168"/>
      <c r="K97" s="168"/>
      <c r="M97" s="364">
        <f t="shared" si="22"/>
        <v>2.5016324822101299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'[69]Sch C'!D91</f>
        <v>17742</v>
      </c>
      <c r="D98" s="558">
        <f>'[69]Sch C'!F91</f>
        <v>0</v>
      </c>
      <c r="E98" s="171">
        <f t="shared" si="19"/>
        <v>17742</v>
      </c>
      <c r="F98" s="171"/>
      <c r="G98" s="171">
        <f t="shared" si="20"/>
        <v>17742</v>
      </c>
      <c r="H98" s="172">
        <f t="shared" si="21"/>
        <v>2.1207886053573638E-3</v>
      </c>
      <c r="I98" s="336"/>
      <c r="J98" s="168"/>
      <c r="K98" s="168"/>
      <c r="M98" s="364">
        <f t="shared" si="22"/>
        <v>0.7426538300544161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'[69]Sch C'!D92</f>
        <v>209543</v>
      </c>
      <c r="D99" s="558">
        <f>'[69]Sch C'!F92</f>
        <v>-1578</v>
      </c>
      <c r="E99" s="171">
        <f t="shared" si="19"/>
        <v>207965</v>
      </c>
      <c r="F99" s="171"/>
      <c r="G99" s="171">
        <f t="shared" si="20"/>
        <v>207965</v>
      </c>
      <c r="H99" s="172">
        <f t="shared" si="21"/>
        <v>2.4859080279176205E-2</v>
      </c>
      <c r="I99" s="336"/>
      <c r="J99" s="168"/>
      <c r="K99" s="168"/>
      <c r="M99" s="364">
        <f t="shared" si="22"/>
        <v>8.7051067392214314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'[69]Sch C'!D93</f>
        <v>37399</v>
      </c>
      <c r="D100" s="558">
        <f>'[69]Sch C'!F93</f>
        <v>0</v>
      </c>
      <c r="E100" s="171">
        <f t="shared" si="19"/>
        <v>37399</v>
      </c>
      <c r="F100" s="171"/>
      <c r="G100" s="171">
        <f t="shared" si="20"/>
        <v>37399</v>
      </c>
      <c r="H100" s="172">
        <f t="shared" si="21"/>
        <v>4.4704865884206994E-3</v>
      </c>
      <c r="I100" s="336"/>
      <c r="J100" s="168"/>
      <c r="K100" s="168"/>
      <c r="M100" s="364">
        <f t="shared" si="22"/>
        <v>1.5654667224780243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'[69]Sch C'!D94</f>
        <v>8463</v>
      </c>
      <c r="D101" s="558">
        <f>'[69]Sch C'!F94</f>
        <v>0</v>
      </c>
      <c r="E101" s="171">
        <f t="shared" si="19"/>
        <v>8463</v>
      </c>
      <c r="F101" s="171"/>
      <c r="G101" s="171">
        <f t="shared" si="20"/>
        <v>8463</v>
      </c>
      <c r="H101" s="172">
        <f t="shared" si="21"/>
        <v>1.0116240540603862E-3</v>
      </c>
      <c r="I101" s="336"/>
      <c r="J101" s="168"/>
      <c r="K101" s="168"/>
      <c r="M101" s="364">
        <f t="shared" si="22"/>
        <v>0.35424863959815822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644108</v>
      </c>
      <c r="D102" s="558">
        <f>SUM(D96:D101)</f>
        <v>58186</v>
      </c>
      <c r="E102" s="171">
        <f t="shared" ref="E102:F102" si="23">SUM(E96:E101)</f>
        <v>702294</v>
      </c>
      <c r="F102" s="171">
        <f t="shared" si="23"/>
        <v>0</v>
      </c>
      <c r="G102" s="171">
        <f>SUM(G96:G101)</f>
        <v>702294</v>
      </c>
      <c r="H102" s="172">
        <f t="shared" si="21"/>
        <v>8.3948659272395698E-2</v>
      </c>
      <c r="I102" s="336"/>
      <c r="J102" s="168"/>
      <c r="K102" s="168"/>
      <c r="M102" s="364">
        <f>G102/G$228</f>
        <v>29.396986186688991</v>
      </c>
      <c r="N102" s="359">
        <f>SUMMARY!J105</f>
        <v>19.901077037785338</v>
      </c>
      <c r="O102" s="354">
        <f>M102/N102-1</f>
        <v>0.47715553941498601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'[69]Sch C'!D98</f>
        <v>0</v>
      </c>
      <c r="D105" s="558">
        <f>'[69]Sch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'[69]Sch C'!D99</f>
        <v>0</v>
      </c>
      <c r="D106" s="558">
        <f>'[69]Sch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'[69]Sch C'!D100</f>
        <v>17732</v>
      </c>
      <c r="D107" s="558">
        <f>'[69]Sch C'!F100</f>
        <v>0</v>
      </c>
      <c r="E107" s="171">
        <f t="shared" si="24"/>
        <v>17732</v>
      </c>
      <c r="F107" s="171"/>
      <c r="G107" s="171">
        <f t="shared" si="25"/>
        <v>17732</v>
      </c>
      <c r="H107" s="172">
        <f t="shared" si="26"/>
        <v>2.1195932561265235E-3</v>
      </c>
      <c r="I107" s="336"/>
      <c r="J107" s="168"/>
      <c r="K107" s="168"/>
      <c r="M107" s="364">
        <f t="shared" si="27"/>
        <v>0.7422352448723315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'[69]Sch C'!D101</f>
        <v>0</v>
      </c>
      <c r="D108" s="558">
        <f>'[69]Sch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'[69]Sch C'!D102</f>
        <v>3588</v>
      </c>
      <c r="D109" s="558">
        <f>'[69]Sch C'!F102</f>
        <v>0</v>
      </c>
      <c r="E109" s="171">
        <f t="shared" si="24"/>
        <v>3588</v>
      </c>
      <c r="F109" s="171"/>
      <c r="G109" s="171">
        <f t="shared" si="25"/>
        <v>3588</v>
      </c>
      <c r="H109" s="172">
        <f t="shared" si="26"/>
        <v>4.288913040256015E-4</v>
      </c>
      <c r="I109" s="336"/>
      <c r="J109" s="168"/>
      <c r="K109" s="168"/>
      <c r="M109" s="364">
        <f t="shared" si="27"/>
        <v>0.15018836333193805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'[69]Sch C'!D103</f>
        <v>0</v>
      </c>
      <c r="D110" s="558">
        <f>'[69]Sch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21320</v>
      </c>
      <c r="D111" s="558">
        <f>SUM(D105:D110)</f>
        <v>0</v>
      </c>
      <c r="E111" s="171">
        <f t="shared" ref="E111:F111" si="28">SUM(E105:E110)</f>
        <v>21320</v>
      </c>
      <c r="F111" s="171">
        <f t="shared" si="28"/>
        <v>0</v>
      </c>
      <c r="G111" s="171">
        <f>SUM(G105:G110)</f>
        <v>21320</v>
      </c>
      <c r="H111" s="172">
        <f t="shared" si="26"/>
        <v>2.5484845601521249E-3</v>
      </c>
      <c r="I111" s="336"/>
      <c r="J111" s="168"/>
      <c r="K111" s="168"/>
      <c r="M111" s="364">
        <f>G111/G$228</f>
        <v>0.89242360820426958</v>
      </c>
      <c r="N111" s="359">
        <f>SUMMARY!J114</f>
        <v>2.4242384372309496</v>
      </c>
      <c r="O111" s="354">
        <f>M111/N111-1</f>
        <v>-0.63187465618125116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'[69]Sch C'!D115</f>
        <v>116992</v>
      </c>
      <c r="D114" s="558">
        <f>'[69]Sch C'!F115</f>
        <v>0</v>
      </c>
      <c r="E114" s="171">
        <f t="shared" ref="E114:E118" si="29">C114+D114</f>
        <v>116992</v>
      </c>
      <c r="F114" s="171"/>
      <c r="G114" s="171">
        <f>E114+F114</f>
        <v>116992</v>
      </c>
      <c r="H114" s="172">
        <f t="shared" ref="H114:H119" si="30">IF($G$208=0,0,G114/$G$208)</f>
        <v>1.398462972145016E-2</v>
      </c>
      <c r="I114" s="336"/>
      <c r="J114" s="183">
        <v>11227</v>
      </c>
      <c r="K114" s="183">
        <v>12318</v>
      </c>
      <c r="M114" s="364">
        <f t="shared" ref="M114:M119" si="31">G114/G$228</f>
        <v>4.8971117622436164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'[69]Sch C'!D116</f>
        <v>0</v>
      </c>
      <c r="D115" s="558">
        <f>'[69]Sch C'!F116</f>
        <v>18848</v>
      </c>
      <c r="E115" s="171">
        <f t="shared" si="29"/>
        <v>18848</v>
      </c>
      <c r="F115" s="171"/>
      <c r="G115" s="171">
        <f>E115+F115</f>
        <v>18848</v>
      </c>
      <c r="H115" s="172">
        <f t="shared" si="30"/>
        <v>2.2529942302883326E-3</v>
      </c>
      <c r="I115" s="336"/>
      <c r="J115" s="168"/>
      <c r="K115" s="168"/>
      <c r="M115" s="364">
        <f t="shared" si="31"/>
        <v>0.78894935119296772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'[69]Sch C'!D117</f>
        <v>27567</v>
      </c>
      <c r="D116" s="558">
        <f>'[69]Sch C'!F117</f>
        <v>0</v>
      </c>
      <c r="E116" s="171">
        <f t="shared" si="29"/>
        <v>27567</v>
      </c>
      <c r="F116" s="171"/>
      <c r="G116" s="171">
        <f>E116+F116</f>
        <v>27567</v>
      </c>
      <c r="H116" s="172">
        <f t="shared" si="30"/>
        <v>3.2952192246582376E-3</v>
      </c>
      <c r="I116" s="336"/>
      <c r="J116" s="168"/>
      <c r="K116" s="168"/>
      <c r="M116" s="364">
        <f t="shared" si="31"/>
        <v>1.1539137714524905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'[69]Sch C'!D118</f>
        <v>0</v>
      </c>
      <c r="D117" s="558">
        <f>'[69]Sch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'[69]Sch C'!D119</f>
        <v>3369</v>
      </c>
      <c r="D118" s="558">
        <f>'[69]Sch C'!F119</f>
        <v>0</v>
      </c>
      <c r="E118" s="171">
        <f t="shared" si="29"/>
        <v>3369</v>
      </c>
      <c r="F118" s="171"/>
      <c r="G118" s="171">
        <f>E118+F118</f>
        <v>3369</v>
      </c>
      <c r="H118" s="172">
        <f t="shared" si="30"/>
        <v>4.0271315587019275E-4</v>
      </c>
      <c r="I118" s="336"/>
      <c r="J118" s="168"/>
      <c r="K118" s="168"/>
      <c r="M118" s="364">
        <f t="shared" si="31"/>
        <v>0.1410213478442863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147928</v>
      </c>
      <c r="D119" s="558">
        <f>SUM(D114:D118)</f>
        <v>18848</v>
      </c>
      <c r="E119" s="171">
        <f t="shared" ref="E119:F119" si="32">SUM(E114:E118)</f>
        <v>166776</v>
      </c>
      <c r="F119" s="171">
        <f t="shared" si="32"/>
        <v>0</v>
      </c>
      <c r="G119" s="171">
        <f>SUM(G114:G118)</f>
        <v>166776</v>
      </c>
      <c r="H119" s="172">
        <f t="shared" si="30"/>
        <v>1.9935556332266922E-2</v>
      </c>
      <c r="I119" s="336"/>
      <c r="J119" s="168"/>
      <c r="K119" s="168"/>
      <c r="M119" s="364">
        <f t="shared" si="31"/>
        <v>6.9809962327333617</v>
      </c>
      <c r="N119" s="359">
        <f>SUMMARY!J122</f>
        <v>6.0247597205909562</v>
      </c>
      <c r="O119" s="354">
        <f>M119/N119-1</f>
        <v>0.15871778402618353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'[69]Sch C'!D124</f>
        <v>0</v>
      </c>
      <c r="D123" s="558">
        <f>'[69]Sch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'[69]Sch C'!D125</f>
        <v>317080</v>
      </c>
      <c r="D124" s="558">
        <f>'[69]Sch C'!F125</f>
        <v>0</v>
      </c>
      <c r="E124" s="171">
        <f t="shared" si="33"/>
        <v>317080</v>
      </c>
      <c r="F124" s="171"/>
      <c r="G124" s="171">
        <f>E124+F124</f>
        <v>317080</v>
      </c>
      <c r="H124" s="172">
        <f>IF($G$208=0,0,G124/$G$208)</f>
        <v>3.7902133411493233E-2</v>
      </c>
      <c r="I124" s="336"/>
      <c r="J124" s="183">
        <v>6383</v>
      </c>
      <c r="K124" s="183">
        <v>6762</v>
      </c>
      <c r="M124" s="364">
        <f t="shared" si="34"/>
        <v>13.272498953537045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'[69]Sch C'!D126</f>
        <v>0</v>
      </c>
      <c r="D125" s="558">
        <f>'[69]Sch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'[69]Sch C'!D127</f>
        <v>0</v>
      </c>
      <c r="D126" s="558">
        <f>'[69]Sch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'[69]Sch C'!D128</f>
        <v>107288</v>
      </c>
      <c r="D127" s="558">
        <f>'[69]Sch C'!F128</f>
        <v>0</v>
      </c>
      <c r="E127" s="171">
        <f t="shared" si="33"/>
        <v>107288</v>
      </c>
      <c r="F127" s="171"/>
      <c r="G127" s="171">
        <f>E127+F127</f>
        <v>107288</v>
      </c>
      <c r="H127" s="172">
        <f>IF($G$208=0,0,G127/$G$208)</f>
        <v>1.2824662827842457E-2</v>
      </c>
      <c r="I127" s="336"/>
      <c r="J127" s="183">
        <v>5114</v>
      </c>
      <c r="K127" s="183">
        <v>5949</v>
      </c>
      <c r="M127" s="364">
        <f t="shared" si="34"/>
        <v>4.4909167015487652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'[69]Sch C'!D130</f>
        <v>0</v>
      </c>
      <c r="D129" s="558">
        <f>'[69]Sch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'[69]Sch C'!D131</f>
        <v>0</v>
      </c>
      <c r="D130" s="558">
        <f>'[69]Sch C'!F131</f>
        <v>51084</v>
      </c>
      <c r="E130" s="171">
        <f t="shared" si="35"/>
        <v>51084</v>
      </c>
      <c r="F130" s="171"/>
      <c r="G130" s="171">
        <f>E130+F130</f>
        <v>51084</v>
      </c>
      <c r="H130" s="172">
        <f>IF($G$208=0,0,G130/$G$208)</f>
        <v>6.1063220108260388E-3</v>
      </c>
      <c r="I130" s="336"/>
      <c r="J130" s="204"/>
      <c r="K130" s="204"/>
      <c r="M130" s="364">
        <f t="shared" si="34"/>
        <v>2.1383005441607366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'[69]Sch C'!D132</f>
        <v>0</v>
      </c>
      <c r="D131" s="558">
        <f>'[69]Sch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'[69]Sch C'!D133</f>
        <v>0</v>
      </c>
      <c r="D132" s="558">
        <f>'[69]Sch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'[69]Sch C'!D134</f>
        <v>0</v>
      </c>
      <c r="D133" s="558">
        <f>'[69]Sch C'!F134</f>
        <v>17285</v>
      </c>
      <c r="E133" s="171">
        <f t="shared" si="35"/>
        <v>17285</v>
      </c>
      <c r="F133" s="171"/>
      <c r="G133" s="171">
        <f>E133+F133</f>
        <v>17285</v>
      </c>
      <c r="H133" s="172">
        <f>IF($G$208=0,0,G133/$G$208)</f>
        <v>2.0661611455079494E-3</v>
      </c>
      <c r="I133" s="336"/>
      <c r="J133" s="168"/>
      <c r="K133" s="168"/>
      <c r="M133" s="364">
        <f t="shared" si="34"/>
        <v>0.72352448723315199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'[69]Sch C'!D136</f>
        <v>758874</v>
      </c>
      <c r="D135" s="558">
        <f>'[69]Sch C'!F136</f>
        <v>0</v>
      </c>
      <c r="E135" s="171">
        <f t="shared" ref="E135:E138" si="36">C135+D135</f>
        <v>758874</v>
      </c>
      <c r="F135" s="171"/>
      <c r="G135" s="171">
        <f>E135+F135</f>
        <v>758874</v>
      </c>
      <c r="H135" s="172">
        <f>IF($G$208=0,0,G135/$G$208)</f>
        <v>9.0711945220491724E-2</v>
      </c>
      <c r="I135" s="336"/>
      <c r="J135" s="183">
        <v>6383</v>
      </c>
      <c r="K135" s="183">
        <v>6762</v>
      </c>
      <c r="M135" s="364">
        <f t="shared" si="34"/>
        <v>31.765341146923397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'[69]Sch C'!D137</f>
        <v>374824</v>
      </c>
      <c r="D136" s="558">
        <f>'[69]Sch C'!F137</f>
        <v>0</v>
      </c>
      <c r="E136" s="171">
        <f t="shared" si="36"/>
        <v>374824</v>
      </c>
      <c r="F136" s="171"/>
      <c r="G136" s="171">
        <f>E136+F136</f>
        <v>374824</v>
      </c>
      <c r="H136" s="172">
        <f>IF($G$208=0,0,G136/$G$208)</f>
        <v>4.4804558010059101E-2</v>
      </c>
      <c r="I136" s="336"/>
      <c r="J136" s="183">
        <v>14520</v>
      </c>
      <c r="K136" s="183">
        <v>1550</v>
      </c>
      <c r="M136" s="364">
        <f t="shared" si="34"/>
        <v>15.689577228966094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'[69]Sch C'!D138</f>
        <v>870229</v>
      </c>
      <c r="D137" s="558">
        <f>'[69]Sch C'!F138</f>
        <v>0</v>
      </c>
      <c r="E137" s="171">
        <f t="shared" si="36"/>
        <v>870229</v>
      </c>
      <c r="F137" s="171"/>
      <c r="G137" s="171">
        <f>E137+F137</f>
        <v>870229</v>
      </c>
      <c r="H137" s="172">
        <f>IF($G$208=0,0,G137/$G$208)</f>
        <v>0.10402275658051705</v>
      </c>
      <c r="I137" s="336"/>
      <c r="J137" s="183">
        <v>73275</v>
      </c>
      <c r="K137" s="183">
        <v>77307</v>
      </c>
      <c r="M137" s="364">
        <f t="shared" si="34"/>
        <v>36.42649644202595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'[69]Sch C'!D139</f>
        <v>0</v>
      </c>
      <c r="D138" s="558">
        <f>'[69]Sch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'[69]Sch C'!D141</f>
        <v>0</v>
      </c>
      <c r="D140" s="558">
        <f>'[69]Sch C'!F141</f>
        <v>122259</v>
      </c>
      <c r="E140" s="171">
        <f t="shared" ref="E140:E143" si="37">C140+D140</f>
        <v>122259</v>
      </c>
      <c r="F140" s="171"/>
      <c r="G140" s="171">
        <f>E140+F140</f>
        <v>122259</v>
      </c>
      <c r="H140" s="172">
        <f>IF($G$208=0,0,G140/$G$208)</f>
        <v>1.4614220161333895E-2</v>
      </c>
      <c r="I140" s="336"/>
      <c r="J140" s="168"/>
      <c r="K140" s="168"/>
      <c r="M140" s="364">
        <f t="shared" si="34"/>
        <v>5.1175805776475514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'[69]Sch C'!D142</f>
        <v>0</v>
      </c>
      <c r="D141" s="558">
        <f>'[69]Sch C'!F142</f>
        <v>60386</v>
      </c>
      <c r="E141" s="171">
        <f t="shared" si="37"/>
        <v>60386</v>
      </c>
      <c r="F141" s="171"/>
      <c r="G141" s="171">
        <f>E141+F141</f>
        <v>60386</v>
      </c>
      <c r="H141" s="172">
        <f>IF($G$208=0,0,G141/$G$208)</f>
        <v>7.2182358653539499E-3</v>
      </c>
      <c r="I141" s="336"/>
      <c r="J141" s="168"/>
      <c r="K141" s="168"/>
      <c r="M141" s="364">
        <f t="shared" si="34"/>
        <v>2.5276684805357892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'[69]Sch C'!D143</f>
        <v>0</v>
      </c>
      <c r="D142" s="558">
        <f>'[69]Sch C'!F143</f>
        <v>140199</v>
      </c>
      <c r="E142" s="171">
        <f t="shared" si="37"/>
        <v>140199</v>
      </c>
      <c r="F142" s="171"/>
      <c r="G142" s="171">
        <f>E142+F142</f>
        <v>140199</v>
      </c>
      <c r="H142" s="172">
        <f>IF($G$208=0,0,G142/$G$208)</f>
        <v>1.6758676681461901E-2</v>
      </c>
      <c r="I142" s="336"/>
      <c r="J142" s="168"/>
      <c r="K142" s="168"/>
      <c r="M142" s="364">
        <f t="shared" si="34"/>
        <v>5.8685223943072415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'[69]Sch C'!D144</f>
        <v>0</v>
      </c>
      <c r="D143" s="558">
        <f>'[69]Sch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'[69]Sch C'!D146</f>
        <v>30027</v>
      </c>
      <c r="D145" s="558">
        <f>'[69]Sch C'!F146</f>
        <v>0</v>
      </c>
      <c r="E145" s="171">
        <f t="shared" ref="E145:E153" si="38">C145+D145</f>
        <v>30027</v>
      </c>
      <c r="F145" s="171"/>
      <c r="G145" s="171">
        <f t="shared" ref="G145:G153" si="39">E145+F145</f>
        <v>30027</v>
      </c>
      <c r="H145" s="172">
        <f t="shared" ref="H145:H153" si="40">IF($G$208=0,0,G145/$G$208)</f>
        <v>3.5892751354450214E-3</v>
      </c>
      <c r="I145" s="336"/>
      <c r="J145" s="183">
        <v>0</v>
      </c>
      <c r="K145" s="183">
        <v>0</v>
      </c>
      <c r="M145" s="364">
        <f t="shared" si="34"/>
        <v>1.2568857262452908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'[69]Sch C'!D147</f>
        <v>0</v>
      </c>
      <c r="D146" s="558">
        <f>'[69]Sch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'[69]Sch C'!D148</f>
        <v>0</v>
      </c>
      <c r="D147" s="558">
        <f>'[69]Sch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'[69]Sch C'!D149</f>
        <v>0</v>
      </c>
      <c r="D148" s="558">
        <f>'[69]Sch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'[69]Sch C'!D150</f>
        <v>13540</v>
      </c>
      <c r="D149" s="558">
        <f>'[69]Sch C'!F150</f>
        <v>0</v>
      </c>
      <c r="E149" s="171">
        <f t="shared" si="38"/>
        <v>13540</v>
      </c>
      <c r="F149" s="171"/>
      <c r="G149" s="171">
        <f t="shared" si="39"/>
        <v>13540</v>
      </c>
      <c r="H149" s="172">
        <f t="shared" si="40"/>
        <v>1.6185028585581505E-3</v>
      </c>
      <c r="I149" s="336"/>
      <c r="J149" s="183">
        <v>0</v>
      </c>
      <c r="K149" s="183">
        <v>0</v>
      </c>
      <c r="M149" s="364">
        <f t="shared" si="34"/>
        <v>0.56676433654248637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'[69]Sch C'!D151</f>
        <v>215005</v>
      </c>
      <c r="D150" s="558">
        <f>'[69]Sch C'!F151</f>
        <v>0</v>
      </c>
      <c r="E150" s="171">
        <f t="shared" si="38"/>
        <v>215005</v>
      </c>
      <c r="F150" s="171"/>
      <c r="G150" s="171">
        <f t="shared" si="39"/>
        <v>215005</v>
      </c>
      <c r="H150" s="172">
        <f t="shared" si="40"/>
        <v>2.5700606137687973E-2</v>
      </c>
      <c r="I150" s="336"/>
      <c r="J150" s="168"/>
      <c r="K150" s="168"/>
      <c r="M150" s="364">
        <f t="shared" si="34"/>
        <v>8.9997907074089571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'[69]Sch C'!D152</f>
        <v>4330</v>
      </c>
      <c r="D151" s="558">
        <f>'[69]Sch C'!F152</f>
        <v>0</v>
      </c>
      <c r="E151" s="171">
        <f t="shared" si="38"/>
        <v>4330</v>
      </c>
      <c r="F151" s="171"/>
      <c r="G151" s="171">
        <f t="shared" si="39"/>
        <v>4330</v>
      </c>
      <c r="H151" s="172">
        <f t="shared" si="40"/>
        <v>5.175862169539728E-4</v>
      </c>
      <c r="I151" s="336"/>
      <c r="J151" s="168"/>
      <c r="K151" s="168"/>
      <c r="M151" s="364">
        <f t="shared" si="34"/>
        <v>0.18124738384261196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'[69]Sch C'!D153</f>
        <v>0</v>
      </c>
      <c r="D152" s="558">
        <f>'[69]Sch C'!F153</f>
        <v>0</v>
      </c>
      <c r="E152" s="171">
        <f t="shared" si="38"/>
        <v>0</v>
      </c>
      <c r="F152" s="490">
        <v>815</v>
      </c>
      <c r="G152" s="171">
        <f t="shared" si="39"/>
        <v>815</v>
      </c>
      <c r="H152" s="172">
        <f t="shared" si="40"/>
        <v>9.7420962313507592E-5</v>
      </c>
      <c r="I152" s="336"/>
      <c r="J152" s="168"/>
      <c r="K152" s="168"/>
      <c r="M152" s="364">
        <f t="shared" si="34"/>
        <v>3.4114692339891166E-2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'[69]Sch C'!D154</f>
        <v>0</v>
      </c>
      <c r="D153" s="558">
        <f>'[69]Sch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'[69]Sch C'!D156</f>
        <v>0</v>
      </c>
      <c r="D155" s="558">
        <f>'[69]Sch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'[69]Sch C'!D157</f>
        <v>0</v>
      </c>
      <c r="D156" s="558">
        <f>'[69]Sch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'[69]Sch C'!D158</f>
        <v>0</v>
      </c>
      <c r="D157" s="558">
        <f>'[69]Sch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'[69]Sch C'!D159</f>
        <v>0</v>
      </c>
      <c r="D158" s="558">
        <f>'[69]Sch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'[69]Sch C'!D160</f>
        <v>0</v>
      </c>
      <c r="D159" s="558">
        <f>'[69]Sch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'[69]Sch C'!D161</f>
        <v>2522</v>
      </c>
      <c r="D160" s="558">
        <f>'[69]Sch C'!F161</f>
        <v>0</v>
      </c>
      <c r="E160" s="171">
        <f t="shared" si="41"/>
        <v>2522</v>
      </c>
      <c r="F160" s="490">
        <v>1570</v>
      </c>
      <c r="G160" s="171">
        <f t="shared" si="42"/>
        <v>4092</v>
      </c>
      <c r="H160" s="172">
        <f t="shared" si="43"/>
        <v>4.8913690525996696E-4</v>
      </c>
      <c r="I160" s="508"/>
      <c r="J160" s="168"/>
      <c r="K160" s="168"/>
      <c r="M160" s="364">
        <f t="shared" si="34"/>
        <v>0.17128505650899958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2693719</v>
      </c>
      <c r="D161" s="558">
        <f>SUM(D123:D160)</f>
        <v>391213</v>
      </c>
      <c r="E161" s="171">
        <f t="shared" ref="E161:F161" si="44">SUM(E123:E160)</f>
        <v>3084932</v>
      </c>
      <c r="F161" s="171">
        <f t="shared" si="44"/>
        <v>2385</v>
      </c>
      <c r="G161" s="171">
        <f>SUM(G123:G160)</f>
        <v>3087317</v>
      </c>
      <c r="H161" s="172">
        <f t="shared" si="43"/>
        <v>0.36904220013110589</v>
      </c>
      <c r="I161" s="336"/>
      <c r="J161" s="168"/>
      <c r="K161" s="168"/>
      <c r="M161" s="364">
        <f>G161/G$228</f>
        <v>129.23051485977396</v>
      </c>
      <c r="N161" s="359">
        <f>SUMMARY!J164</f>
        <v>105.56901037202306</v>
      </c>
      <c r="O161" s="354">
        <f>M161/N161-1</f>
        <v>0.22413305196637001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'[69]Sch C'!D175</f>
        <v>0</v>
      </c>
      <c r="D164" s="558">
        <f>'[69]Sch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'[69]Sch C'!D176</f>
        <v>0</v>
      </c>
      <c r="D165" s="558">
        <f>'[69]Sch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'[69]Sch C'!D177</f>
        <v>323334</v>
      </c>
      <c r="D166" s="558">
        <f>'[69]Sch C'!F177</f>
        <v>0</v>
      </c>
      <c r="E166" s="171">
        <f t="shared" si="45"/>
        <v>323334</v>
      </c>
      <c r="F166" s="216"/>
      <c r="G166" s="171">
        <f t="shared" si="46"/>
        <v>323334</v>
      </c>
      <c r="H166" s="172">
        <f t="shared" si="47"/>
        <v>3.8649704820460935E-2</v>
      </c>
      <c r="I166" s="342"/>
      <c r="J166" s="217">
        <v>22608</v>
      </c>
      <c r="K166" s="217">
        <v>24059</v>
      </c>
      <c r="L166" s="218"/>
      <c r="M166" s="364">
        <f t="shared" si="48"/>
        <v>13.534282126412725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'[69]Sch C'!D178</f>
        <v>0</v>
      </c>
      <c r="D167" s="558">
        <f>'[69]Sch C'!F178</f>
        <v>52091</v>
      </c>
      <c r="E167" s="171">
        <f t="shared" si="45"/>
        <v>52091</v>
      </c>
      <c r="F167" s="216"/>
      <c r="G167" s="171">
        <f t="shared" si="46"/>
        <v>52091</v>
      </c>
      <c r="H167" s="172">
        <f t="shared" si="47"/>
        <v>6.2266936783716854E-3</v>
      </c>
      <c r="I167" s="343"/>
      <c r="J167" s="222"/>
      <c r="K167" s="222"/>
      <c r="L167" s="218"/>
      <c r="M167" s="364">
        <f t="shared" si="48"/>
        <v>2.1804520719966511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'[69]Sch C'!D179</f>
        <v>0</v>
      </c>
      <c r="D168" s="558">
        <f>'[69]Sch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'[69]Sch C'!D180</f>
        <v>0</v>
      </c>
      <c r="D169" s="558">
        <f>'[69]Sch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'[69]Sch C'!D181</f>
        <v>0</v>
      </c>
      <c r="D170" s="558">
        <f>'[69]Sch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'[69]Sch C'!D182</f>
        <v>0</v>
      </c>
      <c r="D171" s="558">
        <f>'[69]Sch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'[69]Sch C'!D183</f>
        <v>242662</v>
      </c>
      <c r="D172" s="558">
        <f>'[69]Sch C'!F183</f>
        <v>0</v>
      </c>
      <c r="E172" s="171">
        <f t="shared" si="45"/>
        <v>242662</v>
      </c>
      <c r="F172" s="216"/>
      <c r="G172" s="171">
        <f t="shared" si="46"/>
        <v>242662</v>
      </c>
      <c r="H172" s="172">
        <f t="shared" si="47"/>
        <v>2.9006583505423778E-2</v>
      </c>
      <c r="I172" s="342"/>
      <c r="J172" s="217">
        <v>12634</v>
      </c>
      <c r="K172" s="217">
        <v>14043</v>
      </c>
      <c r="L172" s="218"/>
      <c r="M172" s="364">
        <f t="shared" si="48"/>
        <v>10.15747174550021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'[69]Sch C'!D184</f>
        <v>0</v>
      </c>
      <c r="D173" s="558">
        <f>'[69]Sch C'!F184</f>
        <v>39094</v>
      </c>
      <c r="E173" s="171">
        <f t="shared" si="45"/>
        <v>39094</v>
      </c>
      <c r="F173" s="216"/>
      <c r="G173" s="171">
        <f t="shared" si="46"/>
        <v>39094</v>
      </c>
      <c r="H173" s="172">
        <f t="shared" si="47"/>
        <v>4.6730982830481792E-3</v>
      </c>
      <c r="I173" s="343"/>
      <c r="J173" s="222"/>
      <c r="K173" s="222"/>
      <c r="L173" s="218"/>
      <c r="M173" s="364">
        <f t="shared" si="48"/>
        <v>1.6364169108413562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'[69]Sch C'!D185</f>
        <v>0</v>
      </c>
      <c r="D174" s="558">
        <f>'[69]Sch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'[69]Sch C'!D186</f>
        <v>0</v>
      </c>
      <c r="D175" s="558">
        <f>'[69]Sch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'[69]Sch C'!D187</f>
        <v>0</v>
      </c>
      <c r="D176" s="558">
        <f>'[69]Sch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'[69]Sch C'!D188</f>
        <v>29710</v>
      </c>
      <c r="D177" s="558">
        <f>'[69]Sch C'!F188</f>
        <v>0</v>
      </c>
      <c r="E177" s="171">
        <f t="shared" si="45"/>
        <v>29710</v>
      </c>
      <c r="F177" s="216"/>
      <c r="G177" s="171">
        <f t="shared" si="46"/>
        <v>29710</v>
      </c>
      <c r="H177" s="172">
        <f t="shared" si="47"/>
        <v>3.551382564827375E-3</v>
      </c>
      <c r="I177" s="336"/>
      <c r="J177" s="223"/>
      <c r="K177" s="218"/>
      <c r="L177" s="220"/>
      <c r="M177" s="364">
        <f t="shared" si="48"/>
        <v>1.2436165759732105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'[69]Sch C'!D189</f>
        <v>299</v>
      </c>
      <c r="D178" s="558">
        <f>'[69]Sch C'!F189</f>
        <v>0</v>
      </c>
      <c r="E178" s="171">
        <f t="shared" si="45"/>
        <v>299</v>
      </c>
      <c r="F178" s="216"/>
      <c r="G178" s="171">
        <f t="shared" si="46"/>
        <v>299</v>
      </c>
      <c r="H178" s="172">
        <f t="shared" si="47"/>
        <v>3.5740942002133456E-5</v>
      </c>
      <c r="I178" s="336"/>
      <c r="J178" s="223"/>
      <c r="K178" s="218"/>
      <c r="L178" s="220"/>
      <c r="M178" s="364">
        <f t="shared" si="48"/>
        <v>1.2515696944328171E-2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'[69]Sch C'!D190</f>
        <v>0</v>
      </c>
      <c r="D179" s="558">
        <f>'[69]Sch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'[69]Sch C'!D191</f>
        <v>0</v>
      </c>
      <c r="D180" s="558">
        <f>'[69]Sch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'[69]Sch C'!D192</f>
        <v>0</v>
      </c>
      <c r="D181" s="558">
        <f>'[69]Sch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'[69]Sch C'!D193</f>
        <v>0</v>
      </c>
      <c r="D182" s="558">
        <f>'[69]Sch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'[69]Sch C'!D194</f>
        <v>283990</v>
      </c>
      <c r="D183" s="558">
        <f>'[69]Sch C'!F194</f>
        <v>0</v>
      </c>
      <c r="E183" s="171">
        <f t="shared" si="45"/>
        <v>283990</v>
      </c>
      <c r="F183" s="216"/>
      <c r="G183" s="171">
        <f t="shared" si="46"/>
        <v>283990</v>
      </c>
      <c r="H183" s="172">
        <f t="shared" si="47"/>
        <v>3.3946722806641745E-2</v>
      </c>
      <c r="I183" s="336"/>
      <c r="J183" s="223"/>
      <c r="K183" s="218"/>
      <c r="M183" s="364">
        <f t="shared" si="48"/>
        <v>11.887400586019256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'[69]Sch C'!D195</f>
        <v>77624</v>
      </c>
      <c r="D184" s="558">
        <f>'[69]Sch C'!F195</f>
        <v>0</v>
      </c>
      <c r="E184" s="171">
        <f t="shared" si="45"/>
        <v>77624</v>
      </c>
      <c r="F184" s="216"/>
      <c r="G184" s="171">
        <f t="shared" si="46"/>
        <v>77624</v>
      </c>
      <c r="H184" s="172">
        <f t="shared" si="47"/>
        <v>9.2787788694769485E-3</v>
      </c>
      <c r="I184" s="336"/>
      <c r="J184" s="223"/>
      <c r="K184" s="218"/>
      <c r="M184" s="364">
        <f t="shared" si="48"/>
        <v>3.2492256174131438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'[69]Sch C'!D196</f>
        <v>0</v>
      </c>
      <c r="D185" s="558">
        <f>'[69]Sch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'[69]Sch C'!D197</f>
        <v>101429</v>
      </c>
      <c r="D186" s="558">
        <f>'[69]Sch C'!F197</f>
        <v>0</v>
      </c>
      <c r="E186" s="171">
        <f t="shared" si="45"/>
        <v>101429</v>
      </c>
      <c r="F186" s="216"/>
      <c r="G186" s="171">
        <f t="shared" si="46"/>
        <v>101429</v>
      </c>
      <c r="H186" s="172">
        <f t="shared" si="47"/>
        <v>1.2124307713492958E-2</v>
      </c>
      <c r="I186" s="336"/>
      <c r="J186" s="223"/>
      <c r="K186" s="218"/>
      <c r="M186" s="364">
        <f t="shared" si="48"/>
        <v>4.245667643365425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'[69]Sch C'!D198</f>
        <v>151401</v>
      </c>
      <c r="D187" s="558">
        <f>'[69]Sch C'!F198</f>
        <v>0</v>
      </c>
      <c r="E187" s="171">
        <f t="shared" si="45"/>
        <v>151401</v>
      </c>
      <c r="F187" s="216"/>
      <c r="G187" s="171">
        <f t="shared" si="46"/>
        <v>151401</v>
      </c>
      <c r="H187" s="172">
        <f t="shared" si="47"/>
        <v>1.8097706889849526E-2</v>
      </c>
      <c r="I187" s="336"/>
      <c r="J187" s="223"/>
      <c r="K187" s="218"/>
      <c r="M187" s="364">
        <f t="shared" si="48"/>
        <v>6.3374215152783595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'[69]Sch C'!D199</f>
        <v>0</v>
      </c>
      <c r="D188" s="558">
        <f>'[69]Sch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'[69]Sch C'!D200</f>
        <v>0</v>
      </c>
      <c r="D189" s="558">
        <f>'[69]Sch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524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'[69]Sch C'!D201</f>
        <v>0</v>
      </c>
      <c r="D190" s="558">
        <f>'[69]Sch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'[69]Sch C'!D202</f>
        <v>0</v>
      </c>
      <c r="D191" s="558">
        <f>'[69]Sch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'[69]Sch C'!D203</f>
        <v>0</v>
      </c>
      <c r="D192" s="558">
        <f>'[69]Sch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'[69]Sch C'!D204</f>
        <v>0</v>
      </c>
      <c r="D193" s="558">
        <f>'[69]Sch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'[69]Sch C'!D205</f>
        <v>450133</v>
      </c>
      <c r="D194" s="558">
        <f>'[69]Sch C'!F205</f>
        <v>0</v>
      </c>
      <c r="E194" s="171">
        <f t="shared" si="45"/>
        <v>450133</v>
      </c>
      <c r="F194" s="216"/>
      <c r="G194" s="171">
        <f t="shared" si="46"/>
        <v>450133</v>
      </c>
      <c r="H194" s="172">
        <f t="shared" si="47"/>
        <v>5.3806613532596456E-2</v>
      </c>
      <c r="I194" s="336"/>
      <c r="J194" s="223"/>
      <c r="K194" s="218"/>
      <c r="M194" s="364">
        <f t="shared" si="48"/>
        <v>18.841900376726663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'[69]Sch C'!D206</f>
        <v>28257</v>
      </c>
      <c r="D195" s="558">
        <f>'[69]Sch C'!F206</f>
        <v>0</v>
      </c>
      <c r="E195" s="171">
        <f t="shared" si="45"/>
        <v>28257</v>
      </c>
      <c r="F195" s="216"/>
      <c r="G195" s="171">
        <f t="shared" si="46"/>
        <v>28257</v>
      </c>
      <c r="H195" s="172">
        <f t="shared" si="47"/>
        <v>3.3776983215862378E-3</v>
      </c>
      <c r="I195" s="336"/>
      <c r="J195" s="223"/>
      <c r="K195" s="218"/>
      <c r="M195" s="364">
        <f t="shared" si="48"/>
        <v>1.1827961490163248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'[69]Sch C'!D207</f>
        <v>2555</v>
      </c>
      <c r="D196" s="558">
        <f>'[69]Sch C'!F207</f>
        <v>0</v>
      </c>
      <c r="E196" s="171">
        <f t="shared" si="45"/>
        <v>2555</v>
      </c>
      <c r="F196" s="216"/>
      <c r="G196" s="171">
        <f t="shared" si="46"/>
        <v>2555</v>
      </c>
      <c r="H196" s="172">
        <f t="shared" si="47"/>
        <v>3.0541172847976919E-4</v>
      </c>
      <c r="I196" s="336"/>
      <c r="J196" s="223"/>
      <c r="K196" s="218"/>
      <c r="M196" s="364">
        <f t="shared" si="48"/>
        <v>0.10694851402260359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1691394</v>
      </c>
      <c r="D197" s="558">
        <f>SUM(D164:D196)</f>
        <v>91185</v>
      </c>
      <c r="E197" s="171">
        <f t="shared" ref="E197:F197" si="49">SUM(E164:E196)</f>
        <v>1782579</v>
      </c>
      <c r="F197" s="171">
        <f t="shared" si="49"/>
        <v>0</v>
      </c>
      <c r="G197" s="171">
        <f>SUM(G164:G196)</f>
        <v>1782579</v>
      </c>
      <c r="H197" s="172">
        <f>IF($G$208=0,0,G197/$G$208)</f>
        <v>0.21308044365625772</v>
      </c>
      <c r="I197" s="336"/>
      <c r="J197" s="168"/>
      <c r="K197" s="168"/>
      <c r="M197" s="364">
        <f>G197/G$228</f>
        <v>74.616115529510253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'[69]Sch C'!D211</f>
        <v>97361</v>
      </c>
      <c r="D200" s="558">
        <f>'[69]Sch C'!F211</f>
        <v>0</v>
      </c>
      <c r="E200" s="171">
        <f t="shared" ref="E200:E205" si="50">C200+D200</f>
        <v>97361</v>
      </c>
      <c r="F200" s="171"/>
      <c r="G200" s="171">
        <f t="shared" ref="G200:G205" si="51">E200+F200</f>
        <v>97361</v>
      </c>
      <c r="H200" s="172">
        <f t="shared" ref="H200:H206" si="52">IF($G$208=0,0,G200/$G$208)</f>
        <v>1.1638039646387009E-2</v>
      </c>
      <c r="I200" s="336"/>
      <c r="J200" s="183">
        <v>5282</v>
      </c>
      <c r="K200" s="183">
        <v>5687</v>
      </c>
      <c r="M200" s="364">
        <f t="shared" ref="M200:M205" si="53">G200/G$228</f>
        <v>4.0753871912934283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'[69]Sch C'!D212</f>
        <v>0</v>
      </c>
      <c r="D201" s="558">
        <f>'[69]Sch C'!F212</f>
        <v>15685</v>
      </c>
      <c r="E201" s="171">
        <f t="shared" si="50"/>
        <v>15685</v>
      </c>
      <c r="F201" s="171"/>
      <c r="G201" s="171">
        <f t="shared" si="51"/>
        <v>15685</v>
      </c>
      <c r="H201" s="172">
        <f t="shared" si="52"/>
        <v>1.8749052685734559E-3</v>
      </c>
      <c r="I201" s="336"/>
      <c r="J201" s="168"/>
      <c r="K201" s="168"/>
      <c r="M201" s="364">
        <f t="shared" si="53"/>
        <v>0.65655085809962332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'[69]Sch C'!D213</f>
        <v>15803</v>
      </c>
      <c r="D202" s="558">
        <f>'[69]Sch C'!F213</f>
        <v>0</v>
      </c>
      <c r="E202" s="171">
        <f t="shared" si="50"/>
        <v>15803</v>
      </c>
      <c r="F202" s="171"/>
      <c r="G202" s="171">
        <f t="shared" si="51"/>
        <v>15803</v>
      </c>
      <c r="H202" s="172">
        <f t="shared" si="52"/>
        <v>1.8890103894973747E-3</v>
      </c>
      <c r="I202" s="336"/>
      <c r="J202" s="168"/>
      <c r="K202" s="168"/>
      <c r="M202" s="364">
        <f t="shared" si="53"/>
        <v>0.66149016324822096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'[69]Sch C'!D214</f>
        <v>0</v>
      </c>
      <c r="D203" s="558">
        <f>'[69]Sch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'[69]Sch C'!D215</f>
        <v>0</v>
      </c>
      <c r="D204" s="558">
        <f>'[69]Sch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'[69]Sch C'!D216</f>
        <v>5515</v>
      </c>
      <c r="D205" s="558">
        <f>'[69]Sch C'!F216</f>
        <v>0</v>
      </c>
      <c r="E205" s="171">
        <f t="shared" si="50"/>
        <v>5515</v>
      </c>
      <c r="F205" s="171"/>
      <c r="G205" s="171">
        <f t="shared" si="51"/>
        <v>5515</v>
      </c>
      <c r="H205" s="172">
        <f t="shared" si="52"/>
        <v>6.5923510080858206E-4</v>
      </c>
      <c r="I205" s="336"/>
      <c r="J205" s="168"/>
      <c r="K205" s="168"/>
      <c r="M205" s="364">
        <f t="shared" si="53"/>
        <v>0.23084972791963165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118679</v>
      </c>
      <c r="D206" s="558">
        <f>SUM(D200:D205)</f>
        <v>15685</v>
      </c>
      <c r="E206" s="171">
        <f t="shared" ref="E206:F206" si="54">SUM(E200:E205)</f>
        <v>134364</v>
      </c>
      <c r="F206" s="171">
        <f t="shared" si="54"/>
        <v>0</v>
      </c>
      <c r="G206" s="171">
        <f>SUM(G200:G205)</f>
        <v>134364</v>
      </c>
      <c r="H206" s="172">
        <f t="shared" si="52"/>
        <v>1.6061190405266421E-2</v>
      </c>
      <c r="I206" s="336"/>
      <c r="J206" s="168"/>
      <c r="K206" s="168"/>
      <c r="M206" s="364">
        <f>G206/G$228</f>
        <v>5.624277940560904</v>
      </c>
      <c r="N206" s="359">
        <f>SUMMARY!J209</f>
        <v>7.1515095990067339</v>
      </c>
      <c r="O206" s="354">
        <f>M206/N206-1</f>
        <v>-0.2135537451642302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8757669</v>
      </c>
      <c r="D208" s="558">
        <f>SUM(D25:D206)/2</f>
        <v>-316626</v>
      </c>
      <c r="E208" s="171">
        <f t="shared" ref="E208:F208" si="55">SUM(E25:E206)/2</f>
        <v>8441043</v>
      </c>
      <c r="F208" s="171">
        <f t="shared" si="55"/>
        <v>-75287</v>
      </c>
      <c r="G208" s="171">
        <f>SUM(G25:G206)/2</f>
        <v>8365756</v>
      </c>
      <c r="H208" s="172">
        <f>IF($G$208=0,0,G208/$G$208)</f>
        <v>1</v>
      </c>
      <c r="I208" s="336"/>
      <c r="J208" s="183">
        <f>SUM(J25:J200)</f>
        <v>202852</v>
      </c>
      <c r="K208" s="183">
        <f>SUM(K25:K200)</f>
        <v>203663</v>
      </c>
      <c r="M208" s="364">
        <f>G208/G$228</f>
        <v>350.1781498534952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0.23914752147404261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'[69]Sch C'!D221</f>
        <v>8757669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457628</v>
      </c>
      <c r="D215" s="558">
        <f>D21-D208</f>
        <v>316626</v>
      </c>
      <c r="E215" s="171">
        <f t="shared" ref="E215:F215" si="56">E21-E208</f>
        <v>774254</v>
      </c>
      <c r="F215" s="171">
        <f t="shared" si="56"/>
        <v>75287</v>
      </c>
      <c r="G215" s="171">
        <f>G21-G208</f>
        <v>849541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'[69]Sch D'!C9</f>
        <v>9011</v>
      </c>
      <c r="D219" s="592"/>
      <c r="E219" s="235">
        <f t="shared" ref="E219:G227" si="57">C219+D219</f>
        <v>9011</v>
      </c>
      <c r="F219" s="234"/>
      <c r="G219" s="235">
        <f t="shared" si="57"/>
        <v>9011</v>
      </c>
      <c r="H219" s="172">
        <f t="shared" ref="H219:H228" si="58">IF($G$228=0,0,G219/$G$228)</f>
        <v>0.37718710757639179</v>
      </c>
      <c r="I219" s="336"/>
      <c r="J219" s="168"/>
      <c r="K219" s="168"/>
    </row>
    <row r="220" spans="1:17">
      <c r="A220" s="163"/>
      <c r="B220" s="170" t="s">
        <v>217</v>
      </c>
      <c r="C220" s="592">
        <f>'[69]Sch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'[69]Sch D'!E9</f>
        <v>9664</v>
      </c>
      <c r="D221" s="592"/>
      <c r="E221" s="235">
        <f t="shared" si="59"/>
        <v>9664</v>
      </c>
      <c r="F221" s="234"/>
      <c r="G221" s="235">
        <f t="shared" si="57"/>
        <v>9664</v>
      </c>
      <c r="H221" s="172">
        <f t="shared" si="58"/>
        <v>0.40452071996651318</v>
      </c>
      <c r="I221" s="336"/>
      <c r="J221" s="168"/>
      <c r="K221" s="168"/>
    </row>
    <row r="222" spans="1:17">
      <c r="A222" s="163"/>
      <c r="B222" s="202" t="s">
        <v>334</v>
      </c>
      <c r="C222" s="592">
        <f>'[69]Sch D'!F9</f>
        <v>2544</v>
      </c>
      <c r="D222" s="592"/>
      <c r="E222" s="235">
        <f>C222+D222</f>
        <v>2544</v>
      </c>
      <c r="F222" s="234">
        <v>1280</v>
      </c>
      <c r="G222" s="235">
        <f>E222+F222</f>
        <v>3824</v>
      </c>
      <c r="H222" s="172">
        <f t="shared" si="58"/>
        <v>0.16006697362913352</v>
      </c>
      <c r="I222" s="336"/>
      <c r="J222" s="168"/>
      <c r="K222" s="168"/>
    </row>
    <row r="223" spans="1:17">
      <c r="A223" s="163"/>
      <c r="B223" s="170" t="s">
        <v>73</v>
      </c>
      <c r="C223" s="592">
        <f>'[69]Sch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'[69]Sch D'!H9</f>
        <v>2454</v>
      </c>
      <c r="D224" s="592"/>
      <c r="E224" s="235">
        <f t="shared" si="59"/>
        <v>2454</v>
      </c>
      <c r="F224" s="234">
        <v>-1280</v>
      </c>
      <c r="G224" s="235">
        <f t="shared" si="57"/>
        <v>1174</v>
      </c>
      <c r="H224" s="172">
        <f t="shared" si="58"/>
        <v>4.9141900376726666E-2</v>
      </c>
      <c r="I224" s="336"/>
      <c r="J224" s="168"/>
      <c r="K224" s="168"/>
    </row>
    <row r="225" spans="1:11">
      <c r="A225" s="163"/>
      <c r="B225" s="170" t="s">
        <v>236</v>
      </c>
      <c r="C225" s="592">
        <f>'[69]Sch D'!I9</f>
        <v>0</v>
      </c>
      <c r="D225" s="592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'[69]Sch D'!J9</f>
        <v>217</v>
      </c>
      <c r="D226" s="592"/>
      <c r="E226" s="235">
        <f>C226+D226</f>
        <v>217</v>
      </c>
      <c r="F226" s="234"/>
      <c r="G226" s="235">
        <f>E226+F226</f>
        <v>217</v>
      </c>
      <c r="H226" s="172">
        <f t="shared" si="58"/>
        <v>9.0832984512348256E-3</v>
      </c>
      <c r="I226" s="336"/>
      <c r="J226" s="168"/>
      <c r="K226" s="168"/>
    </row>
    <row r="227" spans="1:11">
      <c r="A227" s="163"/>
      <c r="B227" s="170" t="s">
        <v>179</v>
      </c>
      <c r="C227" s="592">
        <f>'[69]Sch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23890</v>
      </c>
      <c r="D228" s="592">
        <f>SUM(D219:D227)</f>
        <v>0</v>
      </c>
      <c r="E228" s="237">
        <f>SUM(E219:E227)</f>
        <v>23890</v>
      </c>
      <c r="F228" s="237">
        <f>SUM(F219:F227)</f>
        <v>0</v>
      </c>
      <c r="G228" s="237">
        <f>SUM(G219:G227)</f>
        <v>23890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506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'[69]Sch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'[69]Sch D'!N24</f>
        <v>82</v>
      </c>
      <c r="D232" s="559"/>
      <c r="E232" s="235">
        <f>C232+D232</f>
        <v>82</v>
      </c>
      <c r="F232" s="507"/>
      <c r="G232" s="235">
        <f>E232+F232</f>
        <v>82</v>
      </c>
      <c r="H232" s="508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'[69]Sch D'!N28</f>
        <v>43920</v>
      </c>
      <c r="D235" s="483"/>
      <c r="E235" s="234">
        <f>E231*E233</f>
        <v>43920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'[69]Sch D'!N30</f>
        <v>0.54394353369763204</v>
      </c>
      <c r="D236" s="239"/>
      <c r="E236" s="244">
        <f>E228/E235</f>
        <v>0.54394353369763204</v>
      </c>
      <c r="F236" s="245"/>
      <c r="G236" s="244">
        <f>G228/G235</f>
        <v>0.54394353369763204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'[69]Sch D'!N32</f>
        <v>0.20516848816029143</v>
      </c>
      <c r="D237" s="239"/>
      <c r="E237" s="244">
        <f>(E219+E220)/E235</f>
        <v>0.20516848816029143</v>
      </c>
      <c r="F237" s="245"/>
      <c r="G237" s="244">
        <f>(G219+G220)/G235</f>
        <v>0.20516848816029143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'[69]Sch D'!N34</f>
        <v>0.37718710757639179</v>
      </c>
      <c r="D238" s="239"/>
      <c r="E238" s="244">
        <f>(E237/E236)</f>
        <v>0.37718710757639179</v>
      </c>
      <c r="F238" s="245"/>
      <c r="G238" s="244">
        <f>(G237/G236)</f>
        <v>0.37718710757639179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v>373.90713101160861</v>
      </c>
    </row>
    <row r="242" spans="2:7">
      <c r="B242" s="640"/>
      <c r="F242" s="142" t="s">
        <v>341</v>
      </c>
      <c r="G242" s="558">
        <v>339.19191919191917</v>
      </c>
    </row>
    <row r="243" spans="2:7">
      <c r="B243" s="641"/>
      <c r="F243" s="142" t="s">
        <v>342</v>
      </c>
      <c r="G243" s="558">
        <v>200.07082152974505</v>
      </c>
    </row>
    <row r="244" spans="2:7">
      <c r="B244" s="641"/>
      <c r="F244" s="142" t="s">
        <v>343</v>
      </c>
      <c r="G244" s="558">
        <v>139.4046153846154</v>
      </c>
    </row>
    <row r="245" spans="2:7">
      <c r="B245" s="641"/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460</v>
      </c>
      <c r="D2" s="144"/>
      <c r="E2" s="460"/>
    </row>
    <row r="3" spans="1:17">
      <c r="A3" s="145"/>
      <c r="B3" s="140" t="s">
        <v>79</v>
      </c>
      <c r="C3" s="489">
        <v>42186</v>
      </c>
      <c r="D3" s="438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'[70]Sch B'!E10</f>
        <v>154469</v>
      </c>
      <c r="D11" s="558">
        <f>'[70]Sch B'!G10</f>
        <v>0</v>
      </c>
      <c r="E11" s="171">
        <f>C11+D11</f>
        <v>154469</v>
      </c>
      <c r="F11" s="171"/>
      <c r="G11" s="171">
        <f t="shared" ref="G11:G20" si="0">E11+F11</f>
        <v>154469</v>
      </c>
      <c r="H11" s="172">
        <f t="shared" ref="H11:H21" si="1">IF($G$21=0,0,G11/$G$21)</f>
        <v>2.5228712737716052E-2</v>
      </c>
      <c r="I11" s="336"/>
      <c r="J11" s="368" t="s">
        <v>344</v>
      </c>
      <c r="K11" s="369">
        <f>G21</f>
        <v>6122746</v>
      </c>
      <c r="M11" s="359">
        <f>IFERROR(G11/G219,0)</f>
        <v>163.63241525423729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'[70]Sch B'!E15</f>
        <v>0</v>
      </c>
      <c r="D12" s="558">
        <f>'[70]Sch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5676784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'[70]Sch B'!E21</f>
        <v>5060997</v>
      </c>
      <c r="D13" s="558">
        <f>'[70]Sch B'!G21</f>
        <v>0</v>
      </c>
      <c r="E13" s="171">
        <f t="shared" si="2"/>
        <v>5060997</v>
      </c>
      <c r="F13" s="171"/>
      <c r="G13" s="171">
        <f t="shared" si="0"/>
        <v>5060997</v>
      </c>
      <c r="H13" s="172">
        <f t="shared" si="1"/>
        <v>0.82658940939245229</v>
      </c>
      <c r="I13" s="336"/>
      <c r="J13" s="370" t="s">
        <v>346</v>
      </c>
      <c r="K13" s="371">
        <f>G228</f>
        <v>13141</v>
      </c>
      <c r="M13" s="359">
        <f t="shared" si="3"/>
        <v>530.11385775636325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'[70]Sch B'!E27</f>
        <v>549994</v>
      </c>
      <c r="D14" s="558">
        <f>'[70]Sch B'!G27</f>
        <v>0</v>
      </c>
      <c r="E14" s="171">
        <f t="shared" si="2"/>
        <v>549994</v>
      </c>
      <c r="F14" s="175"/>
      <c r="G14" s="175">
        <f>E14+F14</f>
        <v>549994</v>
      </c>
      <c r="H14" s="176">
        <f t="shared" si="1"/>
        <v>8.9827995477846048E-2</v>
      </c>
      <c r="I14" s="337"/>
      <c r="J14" s="370" t="s">
        <v>347</v>
      </c>
      <c r="K14" s="371">
        <f>G231</f>
        <v>52</v>
      </c>
      <c r="M14" s="359">
        <f t="shared" si="3"/>
        <v>476.59792027729634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'[70]Sch B'!E32</f>
        <v>0</v>
      </c>
      <c r="D15" s="558">
        <f>'[70]Sch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19032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'[70]Sch B'!E37</f>
        <v>342533</v>
      </c>
      <c r="D16" s="558">
        <f>'[70]Sch B'!G37</f>
        <v>0</v>
      </c>
      <c r="E16" s="171">
        <f t="shared" si="2"/>
        <v>342533</v>
      </c>
      <c r="F16" s="171"/>
      <c r="G16" s="171">
        <f t="shared" si="0"/>
        <v>342533</v>
      </c>
      <c r="H16" s="172">
        <f t="shared" si="1"/>
        <v>5.5944342620125022E-2</v>
      </c>
      <c r="I16" s="336"/>
      <c r="J16" s="372"/>
      <c r="K16" s="371"/>
      <c r="M16" s="359">
        <f t="shared" si="3"/>
        <v>238.20097357440889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'[70]Sch B'!E42</f>
        <v>0</v>
      </c>
      <c r="D17" s="558">
        <f>'[70]Sch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135936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'[70]Sch B'!E47</f>
        <v>12979</v>
      </c>
      <c r="D18" s="558">
        <f>'[70]Sch B'!G47</f>
        <v>0</v>
      </c>
      <c r="E18" s="171">
        <f t="shared" si="2"/>
        <v>12979</v>
      </c>
      <c r="F18" s="171"/>
      <c r="G18" s="171">
        <f>E18+F18</f>
        <v>12979</v>
      </c>
      <c r="H18" s="172">
        <f t="shared" si="1"/>
        <v>2.1198004947453318E-3</v>
      </c>
      <c r="I18" s="336"/>
      <c r="J18" s="373" t="s">
        <v>252</v>
      </c>
      <c r="K18" s="374">
        <f>K208</f>
        <v>144204</v>
      </c>
      <c r="M18" s="359">
        <f t="shared" si="3"/>
        <v>223.77586206896552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'[70]Sch B'!E52</f>
        <v>0</v>
      </c>
      <c r="D19" s="558">
        <f>'[70]Sch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'[70]Sch B'!E67</f>
        <v>1774</v>
      </c>
      <c r="D20" s="558">
        <f>'[70]Sch B'!G67</f>
        <v>0</v>
      </c>
      <c r="E20" s="171">
        <f t="shared" si="2"/>
        <v>1774</v>
      </c>
      <c r="F20" s="171"/>
      <c r="G20" s="171">
        <f t="shared" si="0"/>
        <v>1774</v>
      </c>
      <c r="H20" s="172">
        <f t="shared" si="1"/>
        <v>2.8973927711520287E-4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6122746</v>
      </c>
      <c r="D21" s="558">
        <f>SUM(D11:D20)</f>
        <v>0</v>
      </c>
      <c r="E21" s="171">
        <f>SUM(E11:E20)</f>
        <v>6122746</v>
      </c>
      <c r="F21" s="171">
        <f>SUM(F11:F20)</f>
        <v>0</v>
      </c>
      <c r="G21" s="171">
        <f>SUM(G11:G20)</f>
        <v>6122746</v>
      </c>
      <c r="H21" s="172">
        <f t="shared" si="1"/>
        <v>1</v>
      </c>
      <c r="I21" s="336"/>
      <c r="J21" s="168"/>
      <c r="K21" s="168"/>
      <c r="M21" s="359">
        <f>IFERROR(G21/G228,0)</f>
        <v>465.92694619891944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'[70]Sch C'!D10</f>
        <v>96599</v>
      </c>
      <c r="D25" s="558">
        <f>'[70]Sch C'!F10</f>
        <v>0</v>
      </c>
      <c r="E25" s="171">
        <f t="shared" ref="E25:E60" si="4">C25+D25</f>
        <v>96599</v>
      </c>
      <c r="F25" s="171"/>
      <c r="G25" s="182">
        <f>E25+F25</f>
        <v>96599</v>
      </c>
      <c r="H25" s="172">
        <f>IF($G$208=0,0,G25/$G$208)</f>
        <v>1.7016500892054375E-2</v>
      </c>
      <c r="I25" s="336"/>
      <c r="J25" s="183">
        <v>1952</v>
      </c>
      <c r="K25" s="183">
        <v>2109</v>
      </c>
      <c r="M25" s="359">
        <f>G25/G$228</f>
        <v>7.350962636024656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'[70]Sch C'!D11</f>
        <v>0</v>
      </c>
      <c r="D26" s="558">
        <f>'[70]Sch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'[70]Sch C'!D12</f>
        <v>141821</v>
      </c>
      <c r="D27" s="558">
        <f>'[70]Sch C'!F12</f>
        <v>0</v>
      </c>
      <c r="E27" s="171">
        <f t="shared" si="4"/>
        <v>141821</v>
      </c>
      <c r="F27" s="171"/>
      <c r="G27" s="171">
        <f t="shared" si="5"/>
        <v>141821</v>
      </c>
      <c r="H27" s="172">
        <f t="shared" si="6"/>
        <v>2.4982631010797663E-2</v>
      </c>
      <c r="I27" s="336"/>
      <c r="J27" s="185">
        <v>7247</v>
      </c>
      <c r="K27" s="185">
        <v>7767</v>
      </c>
      <c r="M27" s="359">
        <f t="shared" si="7"/>
        <v>10.79225325317708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'[70]Sch C'!D13</f>
        <v>483736</v>
      </c>
      <c r="D28" s="558">
        <f>'[70]Sch C'!F13</f>
        <v>-438893</v>
      </c>
      <c r="E28" s="171">
        <f t="shared" si="4"/>
        <v>44843</v>
      </c>
      <c r="F28" s="171"/>
      <c r="G28" s="171">
        <f t="shared" si="5"/>
        <v>44843</v>
      </c>
      <c r="H28" s="172">
        <f t="shared" si="6"/>
        <v>7.899366965521324E-3</v>
      </c>
      <c r="I28" s="336"/>
      <c r="J28" s="168"/>
      <c r="K28" s="168"/>
      <c r="M28" s="359">
        <f t="shared" si="7"/>
        <v>3.4124495852674834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'[70]Sch C'!D14</f>
        <v>0</v>
      </c>
      <c r="D29" s="558">
        <f>'[70]Sch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'[70]Sch C'!D15</f>
        <v>0</v>
      </c>
      <c r="D30" s="558">
        <f>'[70]Sch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'[70]Sch C'!D16</f>
        <v>218000</v>
      </c>
      <c r="D31" s="558">
        <f>'[70]Sch C'!F16</f>
        <v>-115489</v>
      </c>
      <c r="E31" s="171">
        <f t="shared" si="4"/>
        <v>102511</v>
      </c>
      <c r="F31" s="171"/>
      <c r="G31" s="171">
        <f t="shared" si="5"/>
        <v>102511</v>
      </c>
      <c r="H31" s="172">
        <f t="shared" si="6"/>
        <v>1.8057935619886188E-2</v>
      </c>
      <c r="I31" s="336"/>
      <c r="J31" s="168"/>
      <c r="K31" s="168"/>
      <c r="M31" s="359">
        <f t="shared" si="7"/>
        <v>7.8008522943459404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'[70]Sch C'!D17</f>
        <v>0</v>
      </c>
      <c r="D32" s="558">
        <f>'[70]Sch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'[70]Sch C'!D18</f>
        <v>14509</v>
      </c>
      <c r="D33" s="558">
        <f>'[70]Sch C'!F18</f>
        <v>0</v>
      </c>
      <c r="E33" s="171">
        <f t="shared" si="4"/>
        <v>14509</v>
      </c>
      <c r="F33" s="171"/>
      <c r="G33" s="171">
        <f t="shared" si="5"/>
        <v>14509</v>
      </c>
      <c r="H33" s="172">
        <f t="shared" si="6"/>
        <v>2.5558485226846749E-3</v>
      </c>
      <c r="I33" s="336"/>
      <c r="J33" s="168"/>
      <c r="K33" s="168"/>
      <c r="M33" s="359">
        <f t="shared" si="7"/>
        <v>1.1041016665398371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'[70]Sch C'!D19</f>
        <v>18148</v>
      </c>
      <c r="D34" s="558">
        <f>'[70]Sch C'!F19</f>
        <v>0</v>
      </c>
      <c r="E34" s="171">
        <f t="shared" si="4"/>
        <v>18148</v>
      </c>
      <c r="F34" s="171"/>
      <c r="G34" s="171">
        <f t="shared" si="5"/>
        <v>18148</v>
      </c>
      <c r="H34" s="172">
        <f t="shared" si="6"/>
        <v>3.1968804872618017E-3</v>
      </c>
      <c r="I34" s="336"/>
      <c r="J34" s="168"/>
      <c r="K34" s="168"/>
      <c r="M34" s="359">
        <f t="shared" si="7"/>
        <v>1.3810212312609391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'[70]Sch C'!D20</f>
        <v>10189</v>
      </c>
      <c r="D35" s="558">
        <f>'[70]Sch C'!F20</f>
        <v>0</v>
      </c>
      <c r="E35" s="171">
        <f t="shared" si="4"/>
        <v>10189</v>
      </c>
      <c r="F35" s="171"/>
      <c r="G35" s="171">
        <f t="shared" si="5"/>
        <v>10189</v>
      </c>
      <c r="H35" s="172">
        <f t="shared" si="6"/>
        <v>1.7948542696005344E-3</v>
      </c>
      <c r="I35" s="336"/>
      <c r="J35" s="168"/>
      <c r="K35" s="168"/>
      <c r="M35" s="359">
        <f t="shared" si="7"/>
        <v>0.77535956167719355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'[70]Sch C'!D21</f>
        <v>12017</v>
      </c>
      <c r="D36" s="558">
        <f>'[70]Sch C'!F21</f>
        <v>0</v>
      </c>
      <c r="E36" s="171">
        <f t="shared" si="4"/>
        <v>12017</v>
      </c>
      <c r="F36" s="171"/>
      <c r="G36" s="171">
        <f t="shared" si="5"/>
        <v>12017</v>
      </c>
      <c r="H36" s="172">
        <f t="shared" si="6"/>
        <v>2.1168675785444716E-3</v>
      </c>
      <c r="I36" s="336"/>
      <c r="J36" s="168"/>
      <c r="K36" s="168"/>
      <c r="M36" s="359">
        <f t="shared" si="7"/>
        <v>0.9144661745681455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'[70]Sch C'!D22</f>
        <v>0</v>
      </c>
      <c r="D37" s="558">
        <f>'[70]Sch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'[70]Sch C'!D23</f>
        <v>48079</v>
      </c>
      <c r="D38" s="558">
        <f>'[70]Sch C'!F23</f>
        <v>0</v>
      </c>
      <c r="E38" s="171">
        <f t="shared" si="4"/>
        <v>48079</v>
      </c>
      <c r="F38" s="171"/>
      <c r="G38" s="171">
        <f t="shared" si="5"/>
        <v>48079</v>
      </c>
      <c r="H38" s="172">
        <f t="shared" si="6"/>
        <v>8.469408031026018E-3</v>
      </c>
      <c r="I38" s="336"/>
      <c r="J38" s="168"/>
      <c r="K38" s="168"/>
      <c r="M38" s="359">
        <f t="shared" si="7"/>
        <v>3.6587017730766305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'[70]Sch C'!D24</f>
        <v>2133</v>
      </c>
      <c r="D39" s="558">
        <f>'[70]Sch C'!F24</f>
        <v>0</v>
      </c>
      <c r="E39" s="171">
        <f t="shared" si="4"/>
        <v>2133</v>
      </c>
      <c r="F39" s="171"/>
      <c r="G39" s="171">
        <f t="shared" si="5"/>
        <v>2133</v>
      </c>
      <c r="H39" s="172">
        <f t="shared" si="6"/>
        <v>3.7574091246029445E-4</v>
      </c>
      <c r="I39" s="336"/>
      <c r="J39" s="168"/>
      <c r="K39" s="168"/>
      <c r="M39" s="359">
        <f t="shared" si="7"/>
        <v>0.1623164142759303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'[70]Sch C'!D25</f>
        <v>0</v>
      </c>
      <c r="D40" s="558">
        <f>'[70]Sch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'[70]Sch C'!D26</f>
        <v>46313</v>
      </c>
      <c r="D41" s="558">
        <f>'[70]Sch C'!F26</f>
        <v>0</v>
      </c>
      <c r="E41" s="171">
        <f t="shared" si="4"/>
        <v>46313</v>
      </c>
      <c r="F41" s="171"/>
      <c r="G41" s="171">
        <f t="shared" si="5"/>
        <v>46313</v>
      </c>
      <c r="H41" s="172">
        <f t="shared" si="6"/>
        <v>8.158316398862454E-3</v>
      </c>
      <c r="I41" s="336"/>
      <c r="J41" s="168"/>
      <c r="K41" s="168"/>
      <c r="M41" s="359">
        <f t="shared" si="7"/>
        <v>3.5243132181721331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'[70]Sch C'!D27</f>
        <v>13</v>
      </c>
      <c r="D42" s="558">
        <f>'[70]Sch C'!F27</f>
        <v>-86</v>
      </c>
      <c r="E42" s="171">
        <f t="shared" si="4"/>
        <v>-73</v>
      </c>
      <c r="F42" s="171"/>
      <c r="G42" s="171">
        <f t="shared" si="5"/>
        <v>-73</v>
      </c>
      <c r="H42" s="172">
        <f t="shared" si="6"/>
        <v>-1.2859393628505154E-5</v>
      </c>
      <c r="I42" s="336"/>
      <c r="J42" s="168"/>
      <c r="K42" s="168"/>
      <c r="M42" s="359">
        <f t="shared" si="7"/>
        <v>-5.5551327905030059E-3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'[70]Sch C'!D28</f>
        <v>0</v>
      </c>
      <c r="D43" s="558">
        <f>'[70]Sch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'[70]Sch C'!D29</f>
        <v>1338</v>
      </c>
      <c r="D44" s="558">
        <f>'[70]Sch C'!F29</f>
        <v>-1338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'[70]Sch C'!D30</f>
        <v>0</v>
      </c>
      <c r="D45" s="558">
        <f>'[70]Sch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'[70]Sch C'!D31</f>
        <v>51028</v>
      </c>
      <c r="D46" s="558">
        <f>'[70]Sch C'!F31</f>
        <v>0</v>
      </c>
      <c r="E46" s="171">
        <f t="shared" si="4"/>
        <v>51028</v>
      </c>
      <c r="F46" s="171"/>
      <c r="G46" s="171">
        <f t="shared" si="5"/>
        <v>51028</v>
      </c>
      <c r="H46" s="172">
        <f t="shared" si="6"/>
        <v>8.9888923024022058E-3</v>
      </c>
      <c r="I46" s="336"/>
      <c r="J46" s="168"/>
      <c r="K46" s="168"/>
      <c r="M46" s="359">
        <f t="shared" si="7"/>
        <v>3.8831139182710599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'[70]Sch C'!D32</f>
        <v>250</v>
      </c>
      <c r="D47" s="558">
        <f>'[70]Sch C'!F32</f>
        <v>0</v>
      </c>
      <c r="E47" s="171">
        <f t="shared" si="4"/>
        <v>250</v>
      </c>
      <c r="F47" s="171"/>
      <c r="G47" s="171">
        <f t="shared" si="5"/>
        <v>250</v>
      </c>
      <c r="H47" s="172">
        <f t="shared" si="6"/>
        <v>4.4039019275702578E-5</v>
      </c>
      <c r="I47" s="336"/>
      <c r="J47" s="168"/>
      <c r="K47" s="168"/>
      <c r="M47" s="359">
        <f t="shared" si="7"/>
        <v>1.9024427364736321E-2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'[70]Sch C'!D33</f>
        <v>0</v>
      </c>
      <c r="D48" s="558">
        <f>'[70]Sch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'[70]Sch C'!D34</f>
        <v>0</v>
      </c>
      <c r="D49" s="558">
        <f>'[70]Sch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'[70]Sch C'!D35</f>
        <v>0</v>
      </c>
      <c r="D50" s="558">
        <f>'[70]Sch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'[70]Sch C'!D36</f>
        <v>57601</v>
      </c>
      <c r="D51" s="558">
        <f>'[70]Sch C'!F36</f>
        <v>0</v>
      </c>
      <c r="E51" s="171">
        <f t="shared" si="4"/>
        <v>57601</v>
      </c>
      <c r="F51" s="171"/>
      <c r="G51" s="171">
        <f t="shared" si="5"/>
        <v>57601</v>
      </c>
      <c r="H51" s="172">
        <f t="shared" si="6"/>
        <v>1.0146766197198977E-2</v>
      </c>
      <c r="I51" s="336"/>
      <c r="J51" s="183">
        <v>3180</v>
      </c>
      <c r="K51" s="183">
        <v>3376</v>
      </c>
      <c r="M51" s="359">
        <f t="shared" si="7"/>
        <v>4.3833041625447073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'[70]Sch C'!D37</f>
        <v>0</v>
      </c>
      <c r="D52" s="558">
        <f>'[70]Sch C'!F37</f>
        <v>10834</v>
      </c>
      <c r="E52" s="171">
        <f t="shared" si="4"/>
        <v>10834</v>
      </c>
      <c r="F52" s="171"/>
      <c r="G52" s="171">
        <f t="shared" si="5"/>
        <v>10834</v>
      </c>
      <c r="H52" s="172">
        <f t="shared" si="6"/>
        <v>1.908474939331847E-3</v>
      </c>
      <c r="I52" s="336"/>
      <c r="J52" s="168"/>
      <c r="K52" s="168"/>
      <c r="M52" s="359">
        <f t="shared" si="7"/>
        <v>0.82444258427821326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'[70]Sch C'!D38</f>
        <v>0</v>
      </c>
      <c r="D53" s="558">
        <f>'[70]Sch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'[70]Sch C'!D39</f>
        <v>3018</v>
      </c>
      <c r="D54" s="558">
        <f>'[70]Sch C'!F39</f>
        <v>0</v>
      </c>
      <c r="E54" s="171">
        <f t="shared" si="4"/>
        <v>3018</v>
      </c>
      <c r="F54" s="171"/>
      <c r="G54" s="171">
        <f t="shared" si="5"/>
        <v>3018</v>
      </c>
      <c r="H54" s="172">
        <f t="shared" si="6"/>
        <v>5.3163904069628151E-4</v>
      </c>
      <c r="I54" s="336"/>
      <c r="J54" s="168"/>
      <c r="K54" s="168"/>
      <c r="M54" s="359">
        <f t="shared" si="7"/>
        <v>0.22966288714709687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'[70]Sch C'!D40</f>
        <v>10543</v>
      </c>
      <c r="D55" s="558">
        <f>'[70]Sch C'!F40</f>
        <v>0</v>
      </c>
      <c r="E55" s="171">
        <f t="shared" si="4"/>
        <v>10543</v>
      </c>
      <c r="F55" s="171"/>
      <c r="G55" s="171">
        <f t="shared" si="5"/>
        <v>10543</v>
      </c>
      <c r="H55" s="172">
        <f t="shared" si="6"/>
        <v>1.8572135208949293E-3</v>
      </c>
      <c r="I55" s="336"/>
      <c r="J55" s="168"/>
      <c r="K55" s="168"/>
      <c r="M55" s="359">
        <f t="shared" si="7"/>
        <v>0.80229815082566014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'[70]Sch C'!D41</f>
        <v>0</v>
      </c>
      <c r="D56" s="558">
        <f>'[70]Sch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'[70]Sch C'!D42</f>
        <v>3345</v>
      </c>
      <c r="D57" s="558">
        <f>'[70]Sch C'!F42</f>
        <v>0</v>
      </c>
      <c r="E57" s="171">
        <f t="shared" si="4"/>
        <v>3345</v>
      </c>
      <c r="F57" s="171"/>
      <c r="G57" s="171">
        <f t="shared" si="5"/>
        <v>3345</v>
      </c>
      <c r="H57" s="172">
        <f t="shared" si="6"/>
        <v>5.8924207790890049E-4</v>
      </c>
      <c r="I57" s="336"/>
      <c r="J57" s="168"/>
      <c r="K57" s="168"/>
      <c r="M57" s="359">
        <f t="shared" si="7"/>
        <v>0.25454683814017198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'[70]Sch C'!D43</f>
        <v>10702</v>
      </c>
      <c r="D58" s="558">
        <f>'[70]Sch C'!F43</f>
        <v>0</v>
      </c>
      <c r="E58" s="171">
        <f t="shared" si="4"/>
        <v>10702</v>
      </c>
      <c r="F58" s="171"/>
      <c r="G58" s="171">
        <f t="shared" si="5"/>
        <v>10702</v>
      </c>
      <c r="H58" s="172">
        <f t="shared" si="6"/>
        <v>1.8852223371542761E-3</v>
      </c>
      <c r="I58" s="336"/>
      <c r="J58" s="168"/>
      <c r="K58" s="168"/>
      <c r="M58" s="359">
        <f t="shared" si="7"/>
        <v>0.81439768662963241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'[70]Sch C'!D44</f>
        <v>0</v>
      </c>
      <c r="D59" s="558">
        <f>'[70]Sch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'[70]Sch C'!D45</f>
        <v>13404</v>
      </c>
      <c r="D60" s="558">
        <f>'[70]Sch C'!F45</f>
        <v>-108</v>
      </c>
      <c r="E60" s="171">
        <f t="shared" si="4"/>
        <v>13296</v>
      </c>
      <c r="F60" s="171"/>
      <c r="G60" s="171">
        <f t="shared" si="5"/>
        <v>13296</v>
      </c>
      <c r="H60" s="172">
        <f t="shared" si="6"/>
        <v>2.3421712011589659E-3</v>
      </c>
      <c r="I60" s="336"/>
      <c r="J60" s="168"/>
      <c r="K60" s="168"/>
      <c r="M60" s="359">
        <f t="shared" si="7"/>
        <v>1.0117951449661364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1242786</v>
      </c>
      <c r="D61" s="558">
        <f>SUM(D25:D60)</f>
        <v>-545080</v>
      </c>
      <c r="E61" s="171">
        <f t="shared" ref="E61:F61" si="8">SUM(E25:E60)</f>
        <v>697706</v>
      </c>
      <c r="F61" s="171">
        <f t="shared" si="8"/>
        <v>0</v>
      </c>
      <c r="G61" s="171">
        <f>SUM(G25:G60)</f>
        <v>697706</v>
      </c>
      <c r="H61" s="186">
        <f t="shared" si="6"/>
        <v>0.12290515193109337</v>
      </c>
      <c r="I61" s="338"/>
      <c r="J61" s="168"/>
      <c r="K61" s="168"/>
      <c r="M61" s="364">
        <f>G61/G$228</f>
        <v>53.093828475762876</v>
      </c>
      <c r="N61" s="359">
        <f>SUMMARY!J64</f>
        <v>53.728790309602623</v>
      </c>
      <c r="O61" s="354">
        <f>M61/N61-1</f>
        <v>-1.1817906753174401E-2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'[70]Sch C'!D57</f>
        <v>0</v>
      </c>
      <c r="D64" s="558">
        <f>'[70]Sch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'[70]Sch C'!D58</f>
        <v>372643</v>
      </c>
      <c r="D65" s="558">
        <f>'[70]Sch C'!F58</f>
        <v>0</v>
      </c>
      <c r="E65" s="171">
        <f t="shared" si="9"/>
        <v>372643</v>
      </c>
      <c r="F65" s="171"/>
      <c r="G65" s="171">
        <f t="shared" si="10"/>
        <v>372643</v>
      </c>
      <c r="H65" s="172">
        <f t="shared" si="11"/>
        <v>6.5643329039822548E-2</v>
      </c>
      <c r="I65" s="336"/>
      <c r="J65" s="190"/>
      <c r="K65" s="168"/>
      <c r="M65" s="359">
        <f t="shared" si="12"/>
        <v>28.357278745909749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'[70]Sch C'!D59</f>
        <v>301795</v>
      </c>
      <c r="D66" s="558">
        <f>'[70]Sch C'!F59</f>
        <v>0</v>
      </c>
      <c r="E66" s="171">
        <f t="shared" si="9"/>
        <v>301795</v>
      </c>
      <c r="F66" s="171"/>
      <c r="G66" s="171">
        <f t="shared" si="10"/>
        <v>301795</v>
      </c>
      <c r="H66" s="172">
        <f t="shared" si="11"/>
        <v>5.316302328924264E-2</v>
      </c>
      <c r="I66" s="336"/>
      <c r="J66" s="190"/>
      <c r="K66" s="168"/>
      <c r="M66" s="359">
        <f t="shared" si="12"/>
        <v>22.965908226162391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'[70]Sch C'!D60</f>
        <v>89037</v>
      </c>
      <c r="D67" s="558">
        <f>'[70]Sch C'!F60</f>
        <v>0</v>
      </c>
      <c r="E67" s="171">
        <f t="shared" si="9"/>
        <v>89037</v>
      </c>
      <c r="F67" s="171"/>
      <c r="G67" s="171">
        <f t="shared" si="10"/>
        <v>89037</v>
      </c>
      <c r="H67" s="172">
        <f t="shared" si="11"/>
        <v>1.5684408637002923E-2</v>
      </c>
      <c r="I67" s="336"/>
      <c r="J67" s="193"/>
      <c r="K67" s="168"/>
      <c r="M67" s="359">
        <f t="shared" si="12"/>
        <v>6.775511757096111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'[70]Sch C'!D61</f>
        <v>25878</v>
      </c>
      <c r="D68" s="558">
        <f>'[70]Sch C'!F61</f>
        <v>0</v>
      </c>
      <c r="E68" s="171">
        <f t="shared" si="9"/>
        <v>25878</v>
      </c>
      <c r="F68" s="171"/>
      <c r="G68" s="171">
        <f t="shared" si="10"/>
        <v>25878</v>
      </c>
      <c r="H68" s="172">
        <f t="shared" si="11"/>
        <v>4.5585669632665256E-3</v>
      </c>
      <c r="I68" s="336"/>
      <c r="J68" s="193"/>
      <c r="K68" s="168"/>
      <c r="M68" s="359">
        <f t="shared" si="12"/>
        <v>1.9692565253785861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'[70]Sch C'!D62</f>
        <v>0</v>
      </c>
      <c r="D69" s="558">
        <f>'[70]Sch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'[70]Sch C'!D63</f>
        <v>0</v>
      </c>
      <c r="D70" s="558">
        <f>'[70]Sch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'[70]Sch C'!D64</f>
        <v>0</v>
      </c>
      <c r="D71" s="558">
        <f>'[70]Sch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'[70]Sch C'!D65</f>
        <v>1560</v>
      </c>
      <c r="D72" s="558">
        <f>'[70]Sch C'!F65</f>
        <v>0</v>
      </c>
      <c r="E72" s="171">
        <f t="shared" si="9"/>
        <v>1560</v>
      </c>
      <c r="F72" s="171"/>
      <c r="G72" s="171">
        <f t="shared" si="10"/>
        <v>1560</v>
      </c>
      <c r="H72" s="172">
        <f t="shared" si="11"/>
        <v>2.748034802803841E-4</v>
      </c>
      <c r="I72" s="336"/>
      <c r="J72" s="195"/>
      <c r="K72" s="168"/>
      <c r="M72" s="359">
        <f t="shared" si="12"/>
        <v>0.11871242675595464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'[70]Sch C'!D66</f>
        <v>32126</v>
      </c>
      <c r="D73" s="558">
        <f>'[70]Sch C'!F66</f>
        <v>0</v>
      </c>
      <c r="E73" s="171">
        <f t="shared" si="9"/>
        <v>32126</v>
      </c>
      <c r="F73" s="171"/>
      <c r="G73" s="171">
        <f t="shared" si="10"/>
        <v>32126</v>
      </c>
      <c r="H73" s="172">
        <f t="shared" si="11"/>
        <v>5.6591901330048846E-3</v>
      </c>
      <c r="I73" s="336"/>
      <c r="J73" s="195"/>
      <c r="K73" s="168"/>
      <c r="M73" s="359">
        <f t="shared" si="12"/>
        <v>2.4447150140780765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'[70]Sch C'!D67</f>
        <v>0</v>
      </c>
      <c r="D74" s="558">
        <f>'[70]Sch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'[70]Sch C'!D68</f>
        <v>0</v>
      </c>
      <c r="D75" s="558">
        <f>'[70]Sch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'[70]Sch C'!D69</f>
        <v>1624</v>
      </c>
      <c r="D76" s="558">
        <f>'[70]Sch C'!F69</f>
        <v>0</v>
      </c>
      <c r="E76" s="171">
        <f t="shared" si="9"/>
        <v>1624</v>
      </c>
      <c r="F76" s="171"/>
      <c r="G76" s="171">
        <f t="shared" si="10"/>
        <v>1624</v>
      </c>
      <c r="H76" s="172">
        <f t="shared" si="11"/>
        <v>2.8607746921496395E-4</v>
      </c>
      <c r="I76" s="336"/>
      <c r="J76" s="195"/>
      <c r="K76" s="168"/>
      <c r="M76" s="359">
        <f t="shared" si="12"/>
        <v>0.12358268016132715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'[70]Sch C'!D70</f>
        <v>0</v>
      </c>
      <c r="D77" s="558">
        <f>'[70]Sch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'[70]Sch C'!D71</f>
        <v>0</v>
      </c>
      <c r="D78" s="558">
        <f>'[70]Sch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824663</v>
      </c>
      <c r="D79" s="558">
        <f>SUM(D64:D78)</f>
        <v>0</v>
      </c>
      <c r="E79" s="171">
        <f t="shared" ref="E79:F79" si="13">SUM(E64:E78)</f>
        <v>824663</v>
      </c>
      <c r="F79" s="171">
        <f t="shared" si="13"/>
        <v>0</v>
      </c>
      <c r="G79" s="171">
        <f>SUM(G64:G78)</f>
        <v>824663</v>
      </c>
      <c r="H79" s="172">
        <f t="shared" si="11"/>
        <v>0.14526939901183486</v>
      </c>
      <c r="I79" s="336"/>
      <c r="J79" s="195"/>
      <c r="K79" s="168"/>
      <c r="M79" s="359">
        <f t="shared" si="12"/>
        <v>62.754965375542199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'[70]Sch C'!D75</f>
        <v>41422</v>
      </c>
      <c r="D82" s="558">
        <f>'[70]Sch C'!F75</f>
        <v>0</v>
      </c>
      <c r="E82" s="171">
        <f t="shared" ref="E82:E92" si="14">C82+D82</f>
        <v>41422</v>
      </c>
      <c r="F82" s="171"/>
      <c r="G82" s="171">
        <f t="shared" ref="G82:G92" si="15">E82+F82</f>
        <v>41422</v>
      </c>
      <c r="H82" s="172">
        <f t="shared" ref="H82:H93" si="16">IF($G$208=0,0,G82/$G$208)</f>
        <v>7.2967370257526094E-3</v>
      </c>
      <c r="I82" s="336"/>
      <c r="J82" s="183">
        <v>1952</v>
      </c>
      <c r="K82" s="183">
        <v>2080</v>
      </c>
      <c r="M82" s="359">
        <f t="shared" ref="M82:M92" si="17">G82/G$228</f>
        <v>3.1521193212084317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'[70]Sch C'!D76</f>
        <v>0</v>
      </c>
      <c r="D83" s="558">
        <f>'[70]Sch C'!F76</f>
        <v>7791</v>
      </c>
      <c r="E83" s="171">
        <f t="shared" si="14"/>
        <v>7791</v>
      </c>
      <c r="F83" s="171"/>
      <c r="G83" s="171">
        <f t="shared" si="15"/>
        <v>7791</v>
      </c>
      <c r="H83" s="172">
        <f t="shared" si="16"/>
        <v>1.3724319967079951E-3</v>
      </c>
      <c r="I83" s="336"/>
      <c r="J83" s="168"/>
      <c r="K83" s="168"/>
      <c r="M83" s="359">
        <f t="shared" si="17"/>
        <v>0.59287725439464267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'[70]Sch C'!D77</f>
        <v>3679</v>
      </c>
      <c r="D84" s="558">
        <f>'[70]Sch C'!F77</f>
        <v>0</v>
      </c>
      <c r="E84" s="171">
        <f t="shared" si="14"/>
        <v>3679</v>
      </c>
      <c r="F84" s="171"/>
      <c r="G84" s="171">
        <f t="shared" si="15"/>
        <v>3679</v>
      </c>
      <c r="H84" s="172">
        <f t="shared" si="16"/>
        <v>6.4807820766123918E-4</v>
      </c>
      <c r="I84" s="336"/>
      <c r="J84" s="168"/>
      <c r="K84" s="168"/>
      <c r="M84" s="359">
        <f t="shared" si="17"/>
        <v>0.27996347309945968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'[70]Sch C'!D78</f>
        <v>0</v>
      </c>
      <c r="D85" s="558">
        <f>'[70]Sch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'[70]Sch C'!D79</f>
        <v>39324</v>
      </c>
      <c r="D86" s="558">
        <f>'[70]Sch C'!F79</f>
        <v>0</v>
      </c>
      <c r="E86" s="171">
        <f t="shared" si="14"/>
        <v>39324</v>
      </c>
      <c r="F86" s="171"/>
      <c r="G86" s="171">
        <f>E86+F86</f>
        <v>39324</v>
      </c>
      <c r="H86" s="172">
        <f t="shared" si="16"/>
        <v>6.9271615759909132E-3</v>
      </c>
      <c r="I86" s="336"/>
      <c r="J86" s="168"/>
      <c r="K86" s="168"/>
      <c r="M86" s="359">
        <f t="shared" si="17"/>
        <v>2.9924663267635645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'[70]Sch C'!D80</f>
        <v>11428</v>
      </c>
      <c r="D87" s="558">
        <f>'[70]Sch C'!F80</f>
        <v>0</v>
      </c>
      <c r="E87" s="171">
        <f t="shared" si="14"/>
        <v>11428</v>
      </c>
      <c r="F87" s="171"/>
      <c r="G87" s="171">
        <f t="shared" si="15"/>
        <v>11428</v>
      </c>
      <c r="H87" s="172">
        <f t="shared" si="16"/>
        <v>2.0131116491309163E-3</v>
      </c>
      <c r="I87" s="336"/>
      <c r="J87" s="168"/>
      <c r="K87" s="168"/>
      <c r="M87" s="359">
        <f t="shared" si="17"/>
        <v>0.86964462369682671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'[70]Sch C'!D81</f>
        <v>10892</v>
      </c>
      <c r="D88" s="558">
        <f>'[70]Sch C'!F81</f>
        <v>0</v>
      </c>
      <c r="E88" s="171">
        <f t="shared" si="14"/>
        <v>10892</v>
      </c>
      <c r="F88" s="171"/>
      <c r="G88" s="171">
        <f t="shared" si="15"/>
        <v>10892</v>
      </c>
      <c r="H88" s="172">
        <f t="shared" si="16"/>
        <v>1.91869199180381E-3</v>
      </c>
      <c r="I88" s="336"/>
      <c r="J88" s="168"/>
      <c r="K88" s="168"/>
      <c r="M88" s="359">
        <f t="shared" si="17"/>
        <v>0.82885625142683206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'[70]Sch C'!D82</f>
        <v>3174</v>
      </c>
      <c r="D89" s="558">
        <f>'[70]Sch C'!F82</f>
        <v>0</v>
      </c>
      <c r="E89" s="171">
        <f t="shared" si="14"/>
        <v>3174</v>
      </c>
      <c r="F89" s="171"/>
      <c r="G89" s="171">
        <f t="shared" si="15"/>
        <v>3174</v>
      </c>
      <c r="H89" s="172">
        <f t="shared" si="16"/>
        <v>5.5911938872431994E-4</v>
      </c>
      <c r="I89" s="336"/>
      <c r="J89" s="168"/>
      <c r="K89" s="168"/>
      <c r="M89" s="359">
        <f t="shared" si="17"/>
        <v>0.24153412982269234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'[70]Sch C'!D83</f>
        <v>5585</v>
      </c>
      <c r="D90" s="558">
        <f>'[70]Sch C'!F83</f>
        <v>0</v>
      </c>
      <c r="E90" s="171">
        <f t="shared" si="14"/>
        <v>5585</v>
      </c>
      <c r="F90" s="171"/>
      <c r="G90" s="171">
        <f t="shared" si="15"/>
        <v>5585</v>
      </c>
      <c r="H90" s="172">
        <f t="shared" si="16"/>
        <v>9.8383169061919563E-4</v>
      </c>
      <c r="I90" s="336"/>
      <c r="J90" s="168"/>
      <c r="K90" s="168"/>
      <c r="M90" s="359">
        <f t="shared" si="17"/>
        <v>0.42500570732820941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'[70]Sch C'!D84</f>
        <v>70292</v>
      </c>
      <c r="D91" s="558">
        <f>'[70]Sch C'!F84</f>
        <v>0</v>
      </c>
      <c r="E91" s="171">
        <f t="shared" si="14"/>
        <v>70292</v>
      </c>
      <c r="F91" s="171"/>
      <c r="G91" s="171">
        <f t="shared" si="15"/>
        <v>70292</v>
      </c>
      <c r="H91" s="172">
        <f t="shared" si="16"/>
        <v>1.2382362971710744E-2</v>
      </c>
      <c r="I91" s="336"/>
      <c r="J91" s="168"/>
      <c r="K91" s="168"/>
      <c r="M91" s="359">
        <f t="shared" si="17"/>
        <v>5.3490601932881816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'[70]Sch C'!D85</f>
        <v>0</v>
      </c>
      <c r="D92" s="558">
        <f>'[70]Sch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185796</v>
      </c>
      <c r="D93" s="558">
        <f>SUM(D82:D92)</f>
        <v>7791</v>
      </c>
      <c r="E93" s="171">
        <f t="shared" ref="E93:F93" si="18">SUM(E82:E92)</f>
        <v>193587</v>
      </c>
      <c r="F93" s="171">
        <f t="shared" si="18"/>
        <v>0</v>
      </c>
      <c r="G93" s="171">
        <f>SUM(G82:G92)</f>
        <v>193587</v>
      </c>
      <c r="H93" s="172">
        <f t="shared" si="16"/>
        <v>3.410152649810174E-2</v>
      </c>
      <c r="I93" s="336"/>
      <c r="J93" s="168"/>
      <c r="K93" s="168"/>
      <c r="M93" s="364">
        <f>G93/G$228</f>
        <v>14.731527281028841</v>
      </c>
      <c r="N93" s="359">
        <f>SUMMARY!J96</f>
        <v>11.458724454710746</v>
      </c>
      <c r="O93" s="354">
        <f>M93/N93-1</f>
        <v>0.2856166791734509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'[70]Sch C'!D89</f>
        <v>218367</v>
      </c>
      <c r="D96" s="558">
        <f>'[70]Sch C'!F89</f>
        <v>0</v>
      </c>
      <c r="E96" s="171">
        <f t="shared" ref="E96:E101" si="19">C96+D96</f>
        <v>218367</v>
      </c>
      <c r="F96" s="171"/>
      <c r="G96" s="171">
        <f t="shared" ref="G96:G101" si="20">E96+F96</f>
        <v>218367</v>
      </c>
      <c r="H96" s="172">
        <f t="shared" ref="H96:H102" si="21">IF($G$208=0,0,G96/$G$208)</f>
        <v>3.8466674088709379E-2</v>
      </c>
      <c r="I96" s="336"/>
      <c r="J96" s="183">
        <v>15281</v>
      </c>
      <c r="K96" s="183">
        <v>16220</v>
      </c>
      <c r="M96" s="364">
        <f t="shared" ref="M96:M101" si="22">G96/G$228</f>
        <v>16.617228521421506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'[70]Sch C'!D90</f>
        <v>0</v>
      </c>
      <c r="D97" s="558">
        <f>'[70]Sch C'!F90</f>
        <v>41071</v>
      </c>
      <c r="E97" s="171">
        <f t="shared" si="19"/>
        <v>41071</v>
      </c>
      <c r="F97" s="171"/>
      <c r="G97" s="171">
        <f t="shared" si="20"/>
        <v>41071</v>
      </c>
      <c r="H97" s="172">
        <f t="shared" si="21"/>
        <v>7.2349062426895231E-3</v>
      </c>
      <c r="I97" s="336"/>
      <c r="J97" s="168"/>
      <c r="K97" s="168"/>
      <c r="M97" s="364">
        <f t="shared" si="22"/>
        <v>3.125409025188342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'[70]Sch C'!D91</f>
        <v>18177</v>
      </c>
      <c r="D98" s="558">
        <f>'[70]Sch C'!F91</f>
        <v>0</v>
      </c>
      <c r="E98" s="171">
        <f t="shared" si="19"/>
        <v>18177</v>
      </c>
      <c r="F98" s="171"/>
      <c r="G98" s="171">
        <f t="shared" si="20"/>
        <v>18177</v>
      </c>
      <c r="H98" s="172">
        <f t="shared" si="21"/>
        <v>3.2019890134977833E-3</v>
      </c>
      <c r="I98" s="336"/>
      <c r="J98" s="168"/>
      <c r="K98" s="168"/>
      <c r="M98" s="364">
        <f t="shared" si="22"/>
        <v>1.3832280648352484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'[70]Sch C'!D92</f>
        <v>91983</v>
      </c>
      <c r="D99" s="558">
        <f>'[70]Sch C'!F92</f>
        <v>-1580</v>
      </c>
      <c r="E99" s="171">
        <f t="shared" si="19"/>
        <v>90403</v>
      </c>
      <c r="F99" s="171"/>
      <c r="G99" s="171">
        <f t="shared" si="20"/>
        <v>90403</v>
      </c>
      <c r="H99" s="172">
        <f t="shared" si="21"/>
        <v>1.592503783832536E-2</v>
      </c>
      <c r="I99" s="336"/>
      <c r="J99" s="168"/>
      <c r="K99" s="168"/>
      <c r="M99" s="364">
        <f t="shared" si="22"/>
        <v>6.8794612282170311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'[70]Sch C'!D93</f>
        <v>11278</v>
      </c>
      <c r="D100" s="558">
        <f>'[70]Sch C'!F93</f>
        <v>0</v>
      </c>
      <c r="E100" s="171">
        <f t="shared" si="19"/>
        <v>11278</v>
      </c>
      <c r="F100" s="171"/>
      <c r="G100" s="171">
        <f t="shared" si="20"/>
        <v>11278</v>
      </c>
      <c r="H100" s="172">
        <f t="shared" si="21"/>
        <v>1.986688237565495E-3</v>
      </c>
      <c r="I100" s="336"/>
      <c r="J100" s="168"/>
      <c r="K100" s="168"/>
      <c r="M100" s="364">
        <f t="shared" si="22"/>
        <v>0.85822996727798495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'[70]Sch C'!D94</f>
        <v>2031</v>
      </c>
      <c r="D101" s="558">
        <f>'[70]Sch C'!F94</f>
        <v>0</v>
      </c>
      <c r="E101" s="171">
        <f t="shared" si="19"/>
        <v>2031</v>
      </c>
      <c r="F101" s="171"/>
      <c r="G101" s="171">
        <f t="shared" si="20"/>
        <v>2031</v>
      </c>
      <c r="H101" s="172">
        <f t="shared" si="21"/>
        <v>3.5777299259580776E-4</v>
      </c>
      <c r="I101" s="336"/>
      <c r="J101" s="168"/>
      <c r="K101" s="168"/>
      <c r="M101" s="364">
        <f t="shared" si="22"/>
        <v>0.15455444791111789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341836</v>
      </c>
      <c r="D102" s="558">
        <f>SUM(D96:D101)</f>
        <v>39491</v>
      </c>
      <c r="E102" s="171">
        <f t="shared" ref="E102:F102" si="23">SUM(E96:E101)</f>
        <v>381327</v>
      </c>
      <c r="F102" s="171">
        <f t="shared" si="23"/>
        <v>0</v>
      </c>
      <c r="G102" s="171">
        <f>SUM(G96:G101)</f>
        <v>381327</v>
      </c>
      <c r="H102" s="172">
        <f t="shared" si="21"/>
        <v>6.7173068413383358E-2</v>
      </c>
      <c r="I102" s="336"/>
      <c r="J102" s="168"/>
      <c r="K102" s="168"/>
      <c r="M102" s="364">
        <f>G102/G$228</f>
        <v>29.018111254851227</v>
      </c>
      <c r="N102" s="359">
        <f>SUMMARY!J105</f>
        <v>19.901077037785338</v>
      </c>
      <c r="O102" s="354">
        <f>M102/N102-1</f>
        <v>0.45811762849597337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'[70]Sch C'!D98</f>
        <v>0</v>
      </c>
      <c r="D105" s="558">
        <f>'[70]Sch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'[70]Sch C'!D99</f>
        <v>0</v>
      </c>
      <c r="D106" s="558">
        <f>'[70]Sch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'[70]Sch C'!D100</f>
        <v>2780</v>
      </c>
      <c r="D107" s="558">
        <f>'[70]Sch C'!F100</f>
        <v>0</v>
      </c>
      <c r="E107" s="171">
        <f t="shared" si="24"/>
        <v>2780</v>
      </c>
      <c r="F107" s="171"/>
      <c r="G107" s="171">
        <f t="shared" si="25"/>
        <v>2780</v>
      </c>
      <c r="H107" s="172">
        <f t="shared" si="26"/>
        <v>4.897138943458127E-4</v>
      </c>
      <c r="I107" s="336"/>
      <c r="J107" s="168"/>
      <c r="K107" s="168"/>
      <c r="M107" s="364">
        <f t="shared" si="27"/>
        <v>0.2115516322958679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'[70]Sch C'!D101</f>
        <v>0</v>
      </c>
      <c r="D108" s="558">
        <f>'[70]Sch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'[70]Sch C'!D102</f>
        <v>0</v>
      </c>
      <c r="D109" s="558">
        <f>'[70]Sch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'[70]Sch C'!D103</f>
        <v>0</v>
      </c>
      <c r="D110" s="558">
        <f>'[70]Sch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2780</v>
      </c>
      <c r="D111" s="558">
        <f>SUM(D105:D110)</f>
        <v>0</v>
      </c>
      <c r="E111" s="171">
        <f t="shared" ref="E111:F111" si="28">SUM(E105:E110)</f>
        <v>2780</v>
      </c>
      <c r="F111" s="171">
        <f t="shared" si="28"/>
        <v>0</v>
      </c>
      <c r="G111" s="171">
        <f>SUM(G105:G110)</f>
        <v>2780</v>
      </c>
      <c r="H111" s="172">
        <f t="shared" si="26"/>
        <v>4.897138943458127E-4</v>
      </c>
      <c r="I111" s="336"/>
      <c r="J111" s="168"/>
      <c r="K111" s="168"/>
      <c r="M111" s="364">
        <f>G111/G$228</f>
        <v>0.2115516322958679</v>
      </c>
      <c r="N111" s="359">
        <f>SUMMARY!J114</f>
        <v>2.4242384372309496</v>
      </c>
      <c r="O111" s="354">
        <f>M111/N111-1</f>
        <v>-0.91273480815793451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'[70]Sch C'!D115</f>
        <v>80896</v>
      </c>
      <c r="D114" s="558">
        <f>'[70]Sch C'!F115</f>
        <v>0</v>
      </c>
      <c r="E114" s="171">
        <f t="shared" ref="E114:E118" si="29">C114+D114</f>
        <v>80896</v>
      </c>
      <c r="F114" s="171"/>
      <c r="G114" s="171">
        <f>E114+F114</f>
        <v>80896</v>
      </c>
      <c r="H114" s="172">
        <f t="shared" ref="H114:H119" si="30">IF($G$208=0,0,G114/$G$208)</f>
        <v>1.4250322013308944E-2</v>
      </c>
      <c r="I114" s="336"/>
      <c r="J114" s="183">
        <v>7310</v>
      </c>
      <c r="K114" s="183">
        <v>7655</v>
      </c>
      <c r="M114" s="364">
        <f t="shared" ref="M114:M119" si="31">G114/G$228</f>
        <v>6.1560003043908376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'[70]Sch C'!D116</f>
        <v>0</v>
      </c>
      <c r="D115" s="558">
        <f>'[70]Sch C'!F116</f>
        <v>15215</v>
      </c>
      <c r="E115" s="171">
        <f t="shared" si="29"/>
        <v>15215</v>
      </c>
      <c r="F115" s="171"/>
      <c r="G115" s="171">
        <f>E115+F115</f>
        <v>15215</v>
      </c>
      <c r="H115" s="172">
        <f t="shared" si="30"/>
        <v>2.6802147131192592E-3</v>
      </c>
      <c r="I115" s="336"/>
      <c r="J115" s="168"/>
      <c r="K115" s="168"/>
      <c r="M115" s="364">
        <f t="shared" si="31"/>
        <v>1.1578266494178526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'[70]Sch C'!D117</f>
        <v>14845</v>
      </c>
      <c r="D116" s="558">
        <f>'[70]Sch C'!F117</f>
        <v>0</v>
      </c>
      <c r="E116" s="171">
        <f t="shared" si="29"/>
        <v>14845</v>
      </c>
      <c r="F116" s="171"/>
      <c r="G116" s="171">
        <f>E116+F116</f>
        <v>14845</v>
      </c>
      <c r="H116" s="172">
        <f t="shared" si="30"/>
        <v>2.6150369645912192E-3</v>
      </c>
      <c r="I116" s="336"/>
      <c r="J116" s="168"/>
      <c r="K116" s="168"/>
      <c r="M116" s="364">
        <f t="shared" si="31"/>
        <v>1.1296704969180427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'[70]Sch C'!D118</f>
        <v>0</v>
      </c>
      <c r="D117" s="558">
        <f>'[70]Sch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'[70]Sch C'!D119</f>
        <v>722</v>
      </c>
      <c r="D118" s="558">
        <f>'[70]Sch C'!F119</f>
        <v>0</v>
      </c>
      <c r="E118" s="171">
        <f t="shared" si="29"/>
        <v>722</v>
      </c>
      <c r="F118" s="171"/>
      <c r="G118" s="171">
        <f>E118+F118</f>
        <v>722</v>
      </c>
      <c r="H118" s="172">
        <f t="shared" si="30"/>
        <v>1.2718468766822905E-4</v>
      </c>
      <c r="I118" s="336"/>
      <c r="J118" s="168"/>
      <c r="K118" s="168"/>
      <c r="M118" s="364">
        <f t="shared" si="31"/>
        <v>5.4942546229358499E-2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96463</v>
      </c>
      <c r="D119" s="558">
        <f>SUM(D114:D118)</f>
        <v>15215</v>
      </c>
      <c r="E119" s="171">
        <f t="shared" ref="E119:F119" si="32">SUM(E114:E118)</f>
        <v>111678</v>
      </c>
      <c r="F119" s="171">
        <f t="shared" si="32"/>
        <v>0</v>
      </c>
      <c r="G119" s="171">
        <f>SUM(G114:G118)</f>
        <v>111678</v>
      </c>
      <c r="H119" s="172">
        <f t="shared" si="30"/>
        <v>1.9672758378687653E-2</v>
      </c>
      <c r="I119" s="336"/>
      <c r="J119" s="168"/>
      <c r="K119" s="168"/>
      <c r="M119" s="364">
        <f t="shared" si="31"/>
        <v>8.4984399969560922</v>
      </c>
      <c r="N119" s="359">
        <f>SUMMARY!J122</f>
        <v>6.0247597205909562</v>
      </c>
      <c r="O119" s="354">
        <f>M119/N119-1</f>
        <v>0.41058571479801653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'[70]Sch C'!D124</f>
        <v>0</v>
      </c>
      <c r="D123" s="558">
        <f>'[70]Sch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'[70]Sch C'!D125</f>
        <v>183783</v>
      </c>
      <c r="D124" s="558">
        <f>'[70]Sch C'!F125</f>
        <v>0</v>
      </c>
      <c r="E124" s="171">
        <f t="shared" si="33"/>
        <v>183783</v>
      </c>
      <c r="F124" s="171"/>
      <c r="G124" s="171">
        <f>E124+F124</f>
        <v>183783</v>
      </c>
      <c r="H124" s="172">
        <f>IF($G$208=0,0,G124/$G$208)</f>
        <v>3.2374492318185788E-2</v>
      </c>
      <c r="I124" s="336"/>
      <c r="J124" s="183">
        <v>5895</v>
      </c>
      <c r="K124" s="183">
        <v>6408</v>
      </c>
      <c r="M124" s="364">
        <f t="shared" si="34"/>
        <v>13.985465337493341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'[70]Sch C'!D126</f>
        <v>0</v>
      </c>
      <c r="D125" s="558">
        <f>'[70]Sch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'[70]Sch C'!D127</f>
        <v>0</v>
      </c>
      <c r="D126" s="558">
        <f>'[70]Sch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'[70]Sch C'!D128</f>
        <v>85982</v>
      </c>
      <c r="D127" s="558">
        <f>'[70]Sch C'!F128</f>
        <v>0</v>
      </c>
      <c r="E127" s="171">
        <f t="shared" si="33"/>
        <v>85982</v>
      </c>
      <c r="F127" s="171"/>
      <c r="G127" s="171">
        <f>E127+F127</f>
        <v>85982</v>
      </c>
      <c r="H127" s="172">
        <f>IF($G$208=0,0,G127/$G$208)</f>
        <v>1.5146251821453837E-2</v>
      </c>
      <c r="I127" s="336"/>
      <c r="J127" s="183">
        <v>1952</v>
      </c>
      <c r="K127" s="183">
        <v>2080</v>
      </c>
      <c r="M127" s="364">
        <f t="shared" si="34"/>
        <v>6.5430332546990337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'[70]Sch C'!D130</f>
        <v>0</v>
      </c>
      <c r="D129" s="558">
        <f>'[70]Sch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'[70]Sch C'!D131</f>
        <v>0</v>
      </c>
      <c r="D130" s="558">
        <f>'[70]Sch C'!F131</f>
        <v>34566</v>
      </c>
      <c r="E130" s="171">
        <f t="shared" si="35"/>
        <v>34566</v>
      </c>
      <c r="F130" s="171"/>
      <c r="G130" s="171">
        <f>E130+F130</f>
        <v>34566</v>
      </c>
      <c r="H130" s="172">
        <f>IF($G$208=0,0,G130/$G$208)</f>
        <v>6.0890109611357419E-3</v>
      </c>
      <c r="I130" s="336"/>
      <c r="J130" s="204"/>
      <c r="K130" s="204"/>
      <c r="M130" s="364">
        <f t="shared" si="34"/>
        <v>2.6303934251579029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'[70]Sch C'!D132</f>
        <v>0</v>
      </c>
      <c r="D131" s="558">
        <f>'[70]Sch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'[70]Sch C'!D133</f>
        <v>0</v>
      </c>
      <c r="D132" s="558">
        <f>'[70]Sch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'[70]Sch C'!D134</f>
        <v>0</v>
      </c>
      <c r="D133" s="558">
        <f>'[70]Sch C'!F134</f>
        <v>16172</v>
      </c>
      <c r="E133" s="171">
        <f t="shared" si="35"/>
        <v>16172</v>
      </c>
      <c r="F133" s="171"/>
      <c r="G133" s="171">
        <f>E133+F133</f>
        <v>16172</v>
      </c>
      <c r="H133" s="172">
        <f>IF($G$208=0,0,G133/$G$208)</f>
        <v>2.8487960789066484E-3</v>
      </c>
      <c r="I133" s="336"/>
      <c r="J133" s="168"/>
      <c r="K133" s="168"/>
      <c r="M133" s="364">
        <f t="shared" si="34"/>
        <v>1.2306521573700631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'[70]Sch C'!D136</f>
        <v>432097</v>
      </c>
      <c r="D135" s="558">
        <f>'[70]Sch C'!F136</f>
        <v>0</v>
      </c>
      <c r="E135" s="171">
        <f t="shared" ref="E135:E138" si="36">C135+D135</f>
        <v>432097</v>
      </c>
      <c r="F135" s="171"/>
      <c r="G135" s="171">
        <f>E135+F135</f>
        <v>432097</v>
      </c>
      <c r="H135" s="172">
        <f>IF($G$208=0,0,G135/$G$208)</f>
        <v>7.6116512447893026E-2</v>
      </c>
      <c r="I135" s="336"/>
      <c r="J135" s="183">
        <v>14327</v>
      </c>
      <c r="K135" s="183">
        <v>15437</v>
      </c>
      <c r="M135" s="364">
        <f t="shared" si="34"/>
        <v>32.881591964081878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'[70]Sch C'!D137</f>
        <v>284834</v>
      </c>
      <c r="D136" s="558">
        <f>'[70]Sch C'!F137</f>
        <v>0</v>
      </c>
      <c r="E136" s="171">
        <f t="shared" si="36"/>
        <v>284834</v>
      </c>
      <c r="F136" s="171"/>
      <c r="G136" s="171">
        <f>E136+F136</f>
        <v>284834</v>
      </c>
      <c r="H136" s="172">
        <f>IF($G$208=0,0,G136/$G$208)</f>
        <v>5.0175240065501878E-2</v>
      </c>
      <c r="I136" s="336"/>
      <c r="J136" s="183">
        <v>10722</v>
      </c>
      <c r="K136" s="183">
        <v>11565</v>
      </c>
      <c r="M136" s="364">
        <f t="shared" si="34"/>
        <v>21.675214976029221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'[70]Sch C'!D138</f>
        <v>498960</v>
      </c>
      <c r="D137" s="558">
        <f>'[70]Sch C'!F138</f>
        <v>0</v>
      </c>
      <c r="E137" s="171">
        <f t="shared" si="36"/>
        <v>498960</v>
      </c>
      <c r="F137" s="171"/>
      <c r="G137" s="171">
        <f>E137+F137</f>
        <v>498960</v>
      </c>
      <c r="H137" s="172">
        <f>IF($G$208=0,0,G137/$G$208)</f>
        <v>8.7894836231218243E-2</v>
      </c>
      <c r="I137" s="336"/>
      <c r="J137" s="183">
        <v>36108</v>
      </c>
      <c r="K137" s="183">
        <v>37757</v>
      </c>
      <c r="M137" s="364">
        <f t="shared" si="34"/>
        <v>37.969713111635343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'[70]Sch C'!D139</f>
        <v>0</v>
      </c>
      <c r="D138" s="558">
        <f>'[70]Sch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'[70]Sch C'!D141</f>
        <v>0</v>
      </c>
      <c r="D140" s="558">
        <f>'[70]Sch C'!F141</f>
        <v>81270</v>
      </c>
      <c r="E140" s="171">
        <f t="shared" ref="E140:E143" si="37">C140+D140</f>
        <v>81270</v>
      </c>
      <c r="F140" s="171"/>
      <c r="G140" s="171">
        <f>E140+F140</f>
        <v>81270</v>
      </c>
      <c r="H140" s="172">
        <f>IF($G$208=0,0,G140/$G$208)</f>
        <v>1.4316204386145394E-2</v>
      </c>
      <c r="I140" s="336"/>
      <c r="J140" s="168"/>
      <c r="K140" s="168"/>
      <c r="M140" s="364">
        <f t="shared" si="34"/>
        <v>6.1844608477284835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'[70]Sch C'!D142</f>
        <v>0</v>
      </c>
      <c r="D141" s="558">
        <f>'[70]Sch C'!F142</f>
        <v>53572</v>
      </c>
      <c r="E141" s="171">
        <f t="shared" si="37"/>
        <v>53572</v>
      </c>
      <c r="F141" s="171"/>
      <c r="G141" s="171">
        <f>E141+F141</f>
        <v>53572</v>
      </c>
      <c r="H141" s="172">
        <f>IF($G$208=0,0,G141/$G$208)</f>
        <v>9.4370333625517552E-3</v>
      </c>
      <c r="I141" s="336"/>
      <c r="J141" s="168"/>
      <c r="K141" s="168"/>
      <c r="M141" s="364">
        <f t="shared" si="34"/>
        <v>4.0767064911346171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'[70]Sch C'!D143</f>
        <v>0</v>
      </c>
      <c r="D142" s="558">
        <f>'[70]Sch C'!F143</f>
        <v>93846</v>
      </c>
      <c r="E142" s="171">
        <f t="shared" si="37"/>
        <v>93846</v>
      </c>
      <c r="F142" s="171"/>
      <c r="G142" s="171">
        <f>E142+F142</f>
        <v>93846</v>
      </c>
      <c r="H142" s="172">
        <f>IF($G$208=0,0,G142/$G$208)</f>
        <v>1.6531543211790338E-2</v>
      </c>
      <c r="I142" s="336"/>
      <c r="J142" s="168"/>
      <c r="K142" s="168"/>
      <c r="M142" s="364">
        <f t="shared" si="34"/>
        <v>7.1414656418841789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'[70]Sch C'!D144</f>
        <v>0</v>
      </c>
      <c r="D143" s="558">
        <f>'[70]Sch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'[70]Sch C'!D146</f>
        <v>37250</v>
      </c>
      <c r="D145" s="558">
        <f>'[70]Sch C'!F146</f>
        <v>0</v>
      </c>
      <c r="E145" s="171">
        <f t="shared" ref="E145:E153" si="38">C145+D145</f>
        <v>37250</v>
      </c>
      <c r="F145" s="171"/>
      <c r="G145" s="171">
        <f t="shared" ref="G145:G153" si="39">E145+F145</f>
        <v>37250</v>
      </c>
      <c r="H145" s="172">
        <f t="shared" ref="H145:H153" si="40">IF($G$208=0,0,G145/$G$208)</f>
        <v>6.5618138720796842E-3</v>
      </c>
      <c r="I145" s="336"/>
      <c r="J145" s="183">
        <v>0</v>
      </c>
      <c r="K145" s="183">
        <v>0</v>
      </c>
      <c r="M145" s="364">
        <f t="shared" si="34"/>
        <v>2.8346396773457121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'[70]Sch C'!D147</f>
        <v>0</v>
      </c>
      <c r="D146" s="558">
        <f>'[70]Sch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'[70]Sch C'!D148</f>
        <v>0</v>
      </c>
      <c r="D147" s="558">
        <f>'[70]Sch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'[70]Sch C'!D149</f>
        <v>0</v>
      </c>
      <c r="D148" s="558">
        <f>'[70]Sch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'[70]Sch C'!D150</f>
        <v>11244</v>
      </c>
      <c r="D149" s="558">
        <f>'[70]Sch C'!F150</f>
        <v>0</v>
      </c>
      <c r="E149" s="171">
        <f t="shared" si="38"/>
        <v>11244</v>
      </c>
      <c r="F149" s="171"/>
      <c r="G149" s="171">
        <f t="shared" si="39"/>
        <v>11244</v>
      </c>
      <c r="H149" s="172">
        <f t="shared" si="40"/>
        <v>1.9806989309439993E-3</v>
      </c>
      <c r="I149" s="336"/>
      <c r="J149" s="183">
        <v>0</v>
      </c>
      <c r="K149" s="183">
        <v>0</v>
      </c>
      <c r="M149" s="364">
        <f t="shared" si="34"/>
        <v>0.85564264515638078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'[70]Sch C'!D151</f>
        <v>119731</v>
      </c>
      <c r="D150" s="558">
        <f>'[70]Sch C'!F151</f>
        <v>0</v>
      </c>
      <c r="E150" s="171">
        <f t="shared" si="38"/>
        <v>119731</v>
      </c>
      <c r="F150" s="171"/>
      <c r="G150" s="171">
        <f t="shared" si="39"/>
        <v>119731</v>
      </c>
      <c r="H150" s="172">
        <f t="shared" si="40"/>
        <v>2.1091343267596582E-2</v>
      </c>
      <c r="I150" s="336"/>
      <c r="J150" s="168"/>
      <c r="K150" s="168"/>
      <c r="M150" s="364">
        <f t="shared" si="34"/>
        <v>9.1112548512289777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'[70]Sch C'!D152</f>
        <v>1765</v>
      </c>
      <c r="D151" s="558">
        <f>'[70]Sch C'!F152</f>
        <v>0</v>
      </c>
      <c r="E151" s="171">
        <f t="shared" si="38"/>
        <v>1765</v>
      </c>
      <c r="F151" s="171"/>
      <c r="G151" s="171">
        <f t="shared" si="39"/>
        <v>1765</v>
      </c>
      <c r="H151" s="172">
        <f t="shared" si="40"/>
        <v>3.1091547608646023E-4</v>
      </c>
      <c r="I151" s="336"/>
      <c r="J151" s="168"/>
      <c r="K151" s="168"/>
      <c r="M151" s="364">
        <f t="shared" si="34"/>
        <v>0.13431245719503843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'[70]Sch C'!D153</f>
        <v>0</v>
      </c>
      <c r="D152" s="558">
        <f>'[70]Sch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'[70]Sch C'!D154</f>
        <v>0</v>
      </c>
      <c r="D153" s="558">
        <f>'[70]Sch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'[70]Sch C'!D156</f>
        <v>0</v>
      </c>
      <c r="D155" s="558">
        <f>'[70]Sch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'[70]Sch C'!D157</f>
        <v>0</v>
      </c>
      <c r="D156" s="558">
        <f>'[70]Sch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'[70]Sch C'!D158</f>
        <v>0</v>
      </c>
      <c r="D157" s="558">
        <f>'[70]Sch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'[70]Sch C'!D159</f>
        <v>0</v>
      </c>
      <c r="D158" s="558">
        <f>'[70]Sch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'[70]Sch C'!D160</f>
        <v>0</v>
      </c>
      <c r="D159" s="558">
        <f>'[70]Sch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'[70]Sch C'!D161</f>
        <v>0</v>
      </c>
      <c r="D160" s="558">
        <f>'[70]Sch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6"/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1655646</v>
      </c>
      <c r="D161" s="558">
        <f>SUM(D123:D160)</f>
        <v>279426</v>
      </c>
      <c r="E161" s="171">
        <f t="shared" ref="E161:F161" si="44">SUM(E123:E160)</f>
        <v>1935072</v>
      </c>
      <c r="F161" s="171">
        <f t="shared" si="44"/>
        <v>0</v>
      </c>
      <c r="G161" s="171">
        <f>SUM(G123:G160)</f>
        <v>1935072</v>
      </c>
      <c r="H161" s="172">
        <f t="shared" si="43"/>
        <v>0.34087469243148938</v>
      </c>
      <c r="I161" s="336"/>
      <c r="J161" s="168"/>
      <c r="K161" s="168"/>
      <c r="M161" s="364">
        <f>G161/G$228</f>
        <v>147.25454683814019</v>
      </c>
      <c r="N161" s="359">
        <f>SUMMARY!J164</f>
        <v>105.56901037202306</v>
      </c>
      <c r="O161" s="354">
        <f>M161/N161-1</f>
        <v>0.39486527645961766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'[70]Sch C'!D175</f>
        <v>0</v>
      </c>
      <c r="D164" s="558">
        <f>'[70]Sch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'[70]Sch C'!D176</f>
        <v>0</v>
      </c>
      <c r="D165" s="558">
        <f>'[70]Sch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'[70]Sch C'!D177</f>
        <v>159925</v>
      </c>
      <c r="D166" s="558">
        <f>'[70]Sch C'!F177</f>
        <v>0</v>
      </c>
      <c r="E166" s="171">
        <f t="shared" si="45"/>
        <v>159925</v>
      </c>
      <c r="F166" s="216"/>
      <c r="G166" s="171">
        <f t="shared" si="46"/>
        <v>159925</v>
      </c>
      <c r="H166" s="172">
        <f t="shared" si="47"/>
        <v>2.8171760630666939E-2</v>
      </c>
      <c r="I166" s="342"/>
      <c r="J166" s="217">
        <v>11837</v>
      </c>
      <c r="K166" s="217">
        <v>12588</v>
      </c>
      <c r="L166" s="218"/>
      <c r="M166" s="364">
        <f t="shared" si="48"/>
        <v>12.169926185221826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'[70]Sch C'!D178</f>
        <v>0</v>
      </c>
      <c r="D167" s="558">
        <f>'[70]Sch C'!F178</f>
        <v>30079</v>
      </c>
      <c r="E167" s="171">
        <f t="shared" si="45"/>
        <v>30079</v>
      </c>
      <c r="F167" s="216"/>
      <c r="G167" s="171">
        <f t="shared" si="46"/>
        <v>30079</v>
      </c>
      <c r="H167" s="172">
        <f t="shared" si="47"/>
        <v>5.298598643175432E-3</v>
      </c>
      <c r="I167" s="343"/>
      <c r="J167" s="222"/>
      <c r="K167" s="222"/>
      <c r="L167" s="218"/>
      <c r="M167" s="364">
        <f t="shared" si="48"/>
        <v>2.2889430028156155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'[70]Sch C'!D179</f>
        <v>11635</v>
      </c>
      <c r="D168" s="558">
        <f>'[70]Sch C'!F179</f>
        <v>0</v>
      </c>
      <c r="E168" s="171">
        <f t="shared" si="45"/>
        <v>11635</v>
      </c>
      <c r="F168" s="216"/>
      <c r="G168" s="171">
        <f t="shared" si="46"/>
        <v>11635</v>
      </c>
      <c r="H168" s="172">
        <f t="shared" si="47"/>
        <v>2.0495759570911981E-3</v>
      </c>
      <c r="I168" s="342"/>
      <c r="J168" s="217">
        <v>1940</v>
      </c>
      <c r="K168" s="217">
        <v>2084</v>
      </c>
      <c r="L168" s="218"/>
      <c r="M168" s="364">
        <f t="shared" si="48"/>
        <v>0.88539684955482845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'[70]Sch C'!D180</f>
        <v>0</v>
      </c>
      <c r="D169" s="558">
        <f>'[70]Sch C'!F180</f>
        <v>2188</v>
      </c>
      <c r="E169" s="171">
        <f t="shared" si="45"/>
        <v>2188</v>
      </c>
      <c r="F169" s="216"/>
      <c r="G169" s="171">
        <f t="shared" si="46"/>
        <v>2188</v>
      </c>
      <c r="H169" s="172">
        <f t="shared" si="47"/>
        <v>3.8542949670094899E-4</v>
      </c>
      <c r="I169" s="343"/>
      <c r="J169" s="222"/>
      <c r="K169" s="222"/>
      <c r="L169" s="218"/>
      <c r="M169" s="364">
        <f t="shared" si="48"/>
        <v>0.16650178829617229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'[70]Sch C'!D181</f>
        <v>0</v>
      </c>
      <c r="D170" s="558">
        <f>'[70]Sch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'[70]Sch C'!D182</f>
        <v>0</v>
      </c>
      <c r="D171" s="558">
        <f>'[70]Sch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'[70]Sch C'!D183</f>
        <v>174004</v>
      </c>
      <c r="D172" s="558">
        <f>'[70]Sch C'!F183</f>
        <v>0</v>
      </c>
      <c r="E172" s="171">
        <f t="shared" si="45"/>
        <v>174004</v>
      </c>
      <c r="F172" s="216"/>
      <c r="G172" s="171">
        <f t="shared" si="46"/>
        <v>174004</v>
      </c>
      <c r="H172" s="172">
        <f t="shared" si="47"/>
        <v>3.0651862040197406E-2</v>
      </c>
      <c r="I172" s="342"/>
      <c r="J172" s="217">
        <v>11491</v>
      </c>
      <c r="K172" s="217">
        <v>12025</v>
      </c>
      <c r="L172" s="218"/>
      <c r="M172" s="364">
        <f t="shared" si="48"/>
        <v>13.241305836694316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'[70]Sch C'!D184</f>
        <v>0</v>
      </c>
      <c r="D173" s="558">
        <f>'[70]Sch C'!F184</f>
        <v>32727</v>
      </c>
      <c r="E173" s="171">
        <f t="shared" si="45"/>
        <v>32727</v>
      </c>
      <c r="F173" s="216"/>
      <c r="G173" s="171">
        <f t="shared" si="46"/>
        <v>32727</v>
      </c>
      <c r="H173" s="172">
        <f t="shared" si="47"/>
        <v>5.7650599353436735E-3</v>
      </c>
      <c r="I173" s="343"/>
      <c r="J173" s="222"/>
      <c r="K173" s="222"/>
      <c r="L173" s="218"/>
      <c r="M173" s="364">
        <f t="shared" si="48"/>
        <v>2.4904497374629022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'[70]Sch C'!D185</f>
        <v>0</v>
      </c>
      <c r="D174" s="558">
        <f>'[70]Sch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'[70]Sch C'!D186</f>
        <v>0</v>
      </c>
      <c r="D175" s="558">
        <f>'[70]Sch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'[70]Sch C'!D187</f>
        <v>0</v>
      </c>
      <c r="D176" s="558">
        <f>'[70]Sch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'[70]Sch C'!D188</f>
        <v>23880</v>
      </c>
      <c r="D177" s="558">
        <f>'[70]Sch C'!F188</f>
        <v>0</v>
      </c>
      <c r="E177" s="171">
        <f t="shared" si="45"/>
        <v>23880</v>
      </c>
      <c r="F177" s="216"/>
      <c r="G177" s="171">
        <f t="shared" si="46"/>
        <v>23880</v>
      </c>
      <c r="H177" s="172">
        <f t="shared" si="47"/>
        <v>4.2066071212151102E-3</v>
      </c>
      <c r="I177" s="336"/>
      <c r="J177" s="223"/>
      <c r="K177" s="218"/>
      <c r="L177" s="220"/>
      <c r="M177" s="364">
        <f t="shared" si="48"/>
        <v>1.8172133018796135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'[70]Sch C'!D189</f>
        <v>0</v>
      </c>
      <c r="D178" s="558">
        <f>'[70]Sch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'[70]Sch C'!D190</f>
        <v>0</v>
      </c>
      <c r="D179" s="558">
        <f>'[70]Sch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'[70]Sch C'!D191</f>
        <v>208</v>
      </c>
      <c r="D180" s="558">
        <f>'[70]Sch C'!F191</f>
        <v>0</v>
      </c>
      <c r="E180" s="171">
        <f t="shared" si="45"/>
        <v>208</v>
      </c>
      <c r="F180" s="216"/>
      <c r="G180" s="171">
        <f t="shared" si="46"/>
        <v>208</v>
      </c>
      <c r="H180" s="172">
        <f t="shared" si="47"/>
        <v>3.6640464037384549E-5</v>
      </c>
      <c r="I180" s="336"/>
      <c r="J180" s="223"/>
      <c r="K180" s="218"/>
      <c r="L180" s="220"/>
      <c r="M180" s="364">
        <f t="shared" si="48"/>
        <v>1.5828323567460618E-2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'[70]Sch C'!D192</f>
        <v>0</v>
      </c>
      <c r="D181" s="558">
        <f>'[70]Sch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'[70]Sch C'!D193</f>
        <v>0</v>
      </c>
      <c r="D182" s="558">
        <f>'[70]Sch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'[70]Sch C'!D194</f>
        <v>337930</v>
      </c>
      <c r="D183" s="558">
        <f>'[70]Sch C'!F194</f>
        <v>0</v>
      </c>
      <c r="E183" s="171">
        <f t="shared" si="45"/>
        <v>337930</v>
      </c>
      <c r="F183" s="216"/>
      <c r="G183" s="171">
        <f t="shared" si="46"/>
        <v>337930</v>
      </c>
      <c r="H183" s="172">
        <f t="shared" si="47"/>
        <v>5.9528423135352691E-2</v>
      </c>
      <c r="I183" s="336"/>
      <c r="J183" s="223"/>
      <c r="K183" s="218"/>
      <c r="M183" s="364">
        <f t="shared" si="48"/>
        <v>25.715698957461381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'[70]Sch C'!D195</f>
        <v>0</v>
      </c>
      <c r="D184" s="558">
        <f>'[70]Sch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'[70]Sch C'!D196</f>
        <v>0</v>
      </c>
      <c r="D185" s="558">
        <f>'[70]Sch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'[70]Sch C'!D197</f>
        <v>208705</v>
      </c>
      <c r="D186" s="558">
        <f>'[70]Sch C'!F197</f>
        <v>0</v>
      </c>
      <c r="E186" s="171">
        <f t="shared" si="45"/>
        <v>208705</v>
      </c>
      <c r="F186" s="216"/>
      <c r="G186" s="171">
        <f t="shared" si="46"/>
        <v>208705</v>
      </c>
      <c r="H186" s="172">
        <f t="shared" si="47"/>
        <v>3.676465407174203E-2</v>
      </c>
      <c r="I186" s="336"/>
      <c r="J186" s="223"/>
      <c r="K186" s="218"/>
      <c r="M186" s="364">
        <f t="shared" si="48"/>
        <v>15.881972452629176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'[70]Sch C'!D198</f>
        <v>78332</v>
      </c>
      <c r="D187" s="558">
        <f>'[70]Sch C'!F198</f>
        <v>0</v>
      </c>
      <c r="E187" s="171">
        <f t="shared" si="45"/>
        <v>78332</v>
      </c>
      <c r="F187" s="216"/>
      <c r="G187" s="171">
        <f t="shared" si="46"/>
        <v>78332</v>
      </c>
      <c r="H187" s="172">
        <f t="shared" si="47"/>
        <v>1.3798657831617338E-2</v>
      </c>
      <c r="I187" s="336"/>
      <c r="J187" s="223"/>
      <c r="K187" s="218"/>
      <c r="M187" s="364">
        <f t="shared" si="48"/>
        <v>5.9608857773381025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'[70]Sch C'!D199</f>
        <v>0</v>
      </c>
      <c r="D188" s="558">
        <f>'[70]Sch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'[70]Sch C'!D200</f>
        <v>0</v>
      </c>
      <c r="D189" s="558">
        <f>'[70]Sch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'[70]Sch C'!D201</f>
        <v>0</v>
      </c>
      <c r="D190" s="558">
        <f>'[70]Sch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'[70]Sch C'!D202</f>
        <v>0</v>
      </c>
      <c r="D191" s="558">
        <f>'[70]Sch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'[70]Sch C'!D203</f>
        <v>0</v>
      </c>
      <c r="D192" s="558">
        <f>'[70]Sch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'[70]Sch C'!D204</f>
        <v>0</v>
      </c>
      <c r="D193" s="558">
        <f>'[70]Sch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'[70]Sch C'!D205</f>
        <v>304761</v>
      </c>
      <c r="D194" s="558">
        <f>'[70]Sch C'!F205</f>
        <v>0</v>
      </c>
      <c r="E194" s="171">
        <f t="shared" si="45"/>
        <v>304761</v>
      </c>
      <c r="F194" s="216"/>
      <c r="G194" s="171">
        <f t="shared" si="46"/>
        <v>304761</v>
      </c>
      <c r="H194" s="172">
        <f t="shared" si="47"/>
        <v>5.3685502213929578E-2</v>
      </c>
      <c r="I194" s="336"/>
      <c r="J194" s="223"/>
      <c r="K194" s="218"/>
      <c r="M194" s="364">
        <f t="shared" si="48"/>
        <v>23.191614032417625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'[70]Sch C'!D206</f>
        <v>16923</v>
      </c>
      <c r="D195" s="558">
        <f>'[70]Sch C'!F206</f>
        <v>0</v>
      </c>
      <c r="E195" s="171">
        <f t="shared" si="45"/>
        <v>16923</v>
      </c>
      <c r="F195" s="216"/>
      <c r="G195" s="171">
        <f t="shared" si="46"/>
        <v>16923</v>
      </c>
      <c r="H195" s="172">
        <f t="shared" si="47"/>
        <v>2.981089292810859E-3</v>
      </c>
      <c r="I195" s="336"/>
      <c r="J195" s="223"/>
      <c r="K195" s="218"/>
      <c r="M195" s="364">
        <f t="shared" si="48"/>
        <v>1.287801537173731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'[70]Sch C'!D207</f>
        <v>13450</v>
      </c>
      <c r="D196" s="558">
        <f>'[70]Sch C'!F207</f>
        <v>0</v>
      </c>
      <c r="E196" s="171">
        <f t="shared" si="45"/>
        <v>13450</v>
      </c>
      <c r="F196" s="216"/>
      <c r="G196" s="171">
        <f t="shared" si="46"/>
        <v>13450</v>
      </c>
      <c r="H196" s="172">
        <f t="shared" si="47"/>
        <v>2.3692992370327988E-3</v>
      </c>
      <c r="I196" s="336"/>
      <c r="J196" s="223"/>
      <c r="K196" s="218"/>
      <c r="M196" s="364">
        <f t="shared" si="48"/>
        <v>1.0235141922228141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1329753</v>
      </c>
      <c r="D197" s="558">
        <f>SUM(D164:D196)</f>
        <v>64994</v>
      </c>
      <c r="E197" s="171">
        <f t="shared" ref="E197:F197" si="49">SUM(E164:E196)</f>
        <v>1394747</v>
      </c>
      <c r="F197" s="171">
        <f t="shared" si="49"/>
        <v>0</v>
      </c>
      <c r="G197" s="171">
        <f>SUM(G164:G196)</f>
        <v>1394747</v>
      </c>
      <c r="H197" s="172">
        <f>IF($G$208=0,0,G197/$G$208)</f>
        <v>0.24569316007091338</v>
      </c>
      <c r="I197" s="336"/>
      <c r="J197" s="168"/>
      <c r="K197" s="168"/>
      <c r="M197" s="364">
        <f>G197/G$228</f>
        <v>106.13705197473556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'[70]Sch C'!D211</f>
        <v>104008</v>
      </c>
      <c r="D200" s="558">
        <f>'[70]Sch C'!F211</f>
        <v>0</v>
      </c>
      <c r="E200" s="171">
        <f t="shared" ref="E200:E205" si="50">C200+D200</f>
        <v>104008</v>
      </c>
      <c r="F200" s="171"/>
      <c r="G200" s="171">
        <f t="shared" ref="G200:G205" si="51">E200+F200</f>
        <v>104008</v>
      </c>
      <c r="H200" s="172">
        <f t="shared" ref="H200:H206" si="52">IF($G$208=0,0,G200/$G$208)</f>
        <v>1.8321641267309095E-2</v>
      </c>
      <c r="I200" s="336"/>
      <c r="J200" s="183">
        <v>4742</v>
      </c>
      <c r="K200" s="183">
        <v>5053</v>
      </c>
      <c r="M200" s="364">
        <f t="shared" ref="M200:M205" si="53">G200/G$228</f>
        <v>7.9147705654059815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'[70]Sch C'!D212</f>
        <v>0</v>
      </c>
      <c r="D201" s="558">
        <f>'[70]Sch C'!F212</f>
        <v>19562</v>
      </c>
      <c r="E201" s="171">
        <f t="shared" si="50"/>
        <v>19562</v>
      </c>
      <c r="F201" s="171"/>
      <c r="G201" s="171">
        <f t="shared" si="51"/>
        <v>19562</v>
      </c>
      <c r="H201" s="172">
        <f t="shared" si="52"/>
        <v>3.4459651802851757E-3</v>
      </c>
      <c r="I201" s="336"/>
      <c r="J201" s="168"/>
      <c r="K201" s="168"/>
      <c r="M201" s="364">
        <f t="shared" si="53"/>
        <v>1.4886233924358876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'[70]Sch C'!D213</f>
        <v>8574</v>
      </c>
      <c r="D202" s="558">
        <f>'[70]Sch C'!F213</f>
        <v>0</v>
      </c>
      <c r="E202" s="171">
        <f t="shared" si="50"/>
        <v>8574</v>
      </c>
      <c r="F202" s="171"/>
      <c r="G202" s="171">
        <f t="shared" si="51"/>
        <v>8574</v>
      </c>
      <c r="H202" s="172">
        <f t="shared" si="52"/>
        <v>1.5103622050794958E-3</v>
      </c>
      <c r="I202" s="336"/>
      <c r="J202" s="168"/>
      <c r="K202" s="168"/>
      <c r="M202" s="364">
        <f t="shared" si="53"/>
        <v>0.65246176090099683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'[70]Sch C'!D214</f>
        <v>0</v>
      </c>
      <c r="D203" s="558">
        <f>'[70]Sch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'[70]Sch C'!D215</f>
        <v>0</v>
      </c>
      <c r="D204" s="558">
        <f>'[70]Sch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'[70]Sch C'!D216</f>
        <v>3080</v>
      </c>
      <c r="D205" s="558">
        <f>'[70]Sch C'!F216</f>
        <v>0</v>
      </c>
      <c r="E205" s="171">
        <f t="shared" si="50"/>
        <v>3080</v>
      </c>
      <c r="F205" s="171"/>
      <c r="G205" s="171">
        <f t="shared" si="51"/>
        <v>3080</v>
      </c>
      <c r="H205" s="172">
        <f t="shared" si="52"/>
        <v>5.4256071747665576E-4</v>
      </c>
      <c r="I205" s="336"/>
      <c r="J205" s="168"/>
      <c r="K205" s="168"/>
      <c r="M205" s="364">
        <f t="shared" si="53"/>
        <v>0.23438094513355148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115662</v>
      </c>
      <c r="D206" s="558">
        <f>SUM(D200:D205)</f>
        <v>19562</v>
      </c>
      <c r="E206" s="171">
        <f t="shared" ref="E206:F206" si="54">SUM(E200:E205)</f>
        <v>135224</v>
      </c>
      <c r="F206" s="171">
        <f t="shared" si="54"/>
        <v>0</v>
      </c>
      <c r="G206" s="171">
        <f>SUM(G200:G205)</f>
        <v>135224</v>
      </c>
      <c r="H206" s="172">
        <f t="shared" si="52"/>
        <v>2.3820529370150424E-2</v>
      </c>
      <c r="I206" s="336"/>
      <c r="J206" s="168"/>
      <c r="K206" s="168"/>
      <c r="M206" s="364">
        <f>G206/G$228</f>
        <v>10.290236663876417</v>
      </c>
      <c r="N206" s="359">
        <f>SUMMARY!J209</f>
        <v>7.1515095990067339</v>
      </c>
      <c r="O206" s="354">
        <f>M206/N206-1</f>
        <v>0.43889014220237055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5795385</v>
      </c>
      <c r="D208" s="558">
        <f>SUM(D25:D206)/2</f>
        <v>-118601</v>
      </c>
      <c r="E208" s="171">
        <f t="shared" ref="E208:F208" si="55">SUM(E25:E206)/2</f>
        <v>5676784</v>
      </c>
      <c r="F208" s="171">
        <f t="shared" si="55"/>
        <v>0</v>
      </c>
      <c r="G208" s="171">
        <f>SUM(G25:G206)/2</f>
        <v>5676784</v>
      </c>
      <c r="H208" s="172">
        <f>IF($G$208=0,0,G208/$G$208)</f>
        <v>1</v>
      </c>
      <c r="I208" s="336"/>
      <c r="J208" s="183">
        <f>SUM(J25:J200)</f>
        <v>135936</v>
      </c>
      <c r="K208" s="183">
        <f>SUM(K25:K200)</f>
        <v>144204</v>
      </c>
      <c r="M208" s="364">
        <f>G208/G$228</f>
        <v>431.99025949318923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1.06352272621832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'[70]Sch C'!D221</f>
        <v>5795385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327361</v>
      </c>
      <c r="D215" s="558">
        <f>D21-D208</f>
        <v>118601</v>
      </c>
      <c r="E215" s="171">
        <f t="shared" ref="E215:F215" si="56">E21-E208</f>
        <v>445962</v>
      </c>
      <c r="F215" s="171">
        <f t="shared" si="56"/>
        <v>0</v>
      </c>
      <c r="G215" s="171">
        <f>G21-G208</f>
        <v>445962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'[70]Sch D'!C9</f>
        <v>944</v>
      </c>
      <c r="D219" s="592"/>
      <c r="E219" s="235">
        <f t="shared" ref="E219:G227" si="57">C219+D219</f>
        <v>944</v>
      </c>
      <c r="F219" s="234"/>
      <c r="G219" s="235">
        <f t="shared" si="57"/>
        <v>944</v>
      </c>
      <c r="H219" s="172">
        <f t="shared" ref="H219:H228" si="58">IF($G$228=0,0,G219/$G$228)</f>
        <v>7.1836237729244357E-2</v>
      </c>
      <c r="I219" s="336"/>
      <c r="J219" s="168"/>
      <c r="K219" s="168"/>
    </row>
    <row r="220" spans="1:17">
      <c r="A220" s="163"/>
      <c r="B220" s="170" t="s">
        <v>217</v>
      </c>
      <c r="C220" s="592">
        <f>'[70]Sch D'!D9</f>
        <v>0</v>
      </c>
      <c r="D220" s="592"/>
      <c r="E220" s="235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'[70]Sch D'!E9</f>
        <v>9547</v>
      </c>
      <c r="D221" s="592"/>
      <c r="E221" s="235">
        <f t="shared" si="57"/>
        <v>9547</v>
      </c>
      <c r="F221" s="234"/>
      <c r="G221" s="235">
        <f t="shared" si="57"/>
        <v>9547</v>
      </c>
      <c r="H221" s="172">
        <f t="shared" si="58"/>
        <v>0.72650483220455064</v>
      </c>
      <c r="I221" s="336"/>
      <c r="J221" s="168"/>
      <c r="K221" s="168"/>
    </row>
    <row r="222" spans="1:17">
      <c r="A222" s="163"/>
      <c r="B222" s="202" t="s">
        <v>334</v>
      </c>
      <c r="C222" s="592">
        <f>'[70]Sch D'!F9</f>
        <v>1154</v>
      </c>
      <c r="D222" s="592"/>
      <c r="E222" s="235">
        <f>C222+D222</f>
        <v>1154</v>
      </c>
      <c r="F222" s="234"/>
      <c r="G222" s="235">
        <f>E222+F222</f>
        <v>1154</v>
      </c>
      <c r="H222" s="172">
        <f t="shared" si="58"/>
        <v>8.7816756715622862E-2</v>
      </c>
      <c r="I222" s="336"/>
      <c r="J222" s="168"/>
      <c r="K222" s="168"/>
    </row>
    <row r="223" spans="1:17">
      <c r="A223" s="163"/>
      <c r="B223" s="170" t="s">
        <v>73</v>
      </c>
      <c r="C223" s="592">
        <f>'[70]Sch D'!G9</f>
        <v>0</v>
      </c>
      <c r="D223" s="592"/>
      <c r="E223" s="235">
        <f t="shared" si="57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'[70]Sch D'!H9</f>
        <v>1438</v>
      </c>
      <c r="D224" s="592"/>
      <c r="E224" s="235">
        <f t="shared" si="57"/>
        <v>1438</v>
      </c>
      <c r="F224" s="234"/>
      <c r="G224" s="235">
        <f t="shared" si="57"/>
        <v>1438</v>
      </c>
      <c r="H224" s="172">
        <f t="shared" si="58"/>
        <v>0.10942850620196332</v>
      </c>
      <c r="I224" s="336"/>
      <c r="J224" s="168"/>
      <c r="K224" s="168"/>
    </row>
    <row r="225" spans="1:11">
      <c r="A225" s="163"/>
      <c r="B225" s="170" t="s">
        <v>236</v>
      </c>
      <c r="C225" s="592">
        <f>'[70]Sch D'!I9</f>
        <v>0</v>
      </c>
      <c r="D225" s="592"/>
      <c r="E225" s="235">
        <f t="shared" si="57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'[70]Sch D'!J9</f>
        <v>58</v>
      </c>
      <c r="D226" s="592"/>
      <c r="E226" s="235">
        <f>C226+D226</f>
        <v>58</v>
      </c>
      <c r="F226" s="234"/>
      <c r="G226" s="235">
        <f>E226+F226</f>
        <v>58</v>
      </c>
      <c r="H226" s="172">
        <f t="shared" si="58"/>
        <v>4.4136671486188269E-3</v>
      </c>
      <c r="I226" s="336"/>
      <c r="J226" s="168"/>
      <c r="K226" s="168"/>
    </row>
    <row r="227" spans="1:11">
      <c r="A227" s="163"/>
      <c r="B227" s="170" t="s">
        <v>179</v>
      </c>
      <c r="C227" s="592">
        <f>'[70]Sch D'!K9</f>
        <v>0</v>
      </c>
      <c r="D227" s="592"/>
      <c r="E227" s="235">
        <f t="shared" si="57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13141</v>
      </c>
      <c r="D228" s="592">
        <f>SUM(D219:D227)</f>
        <v>0</v>
      </c>
      <c r="E228" s="237">
        <f>SUM(E219:E227)</f>
        <v>13141</v>
      </c>
      <c r="F228" s="237">
        <f>SUM(F219:F227)</f>
        <v>0</v>
      </c>
      <c r="G228" s="237">
        <f>SUM(G219:G227)</f>
        <v>13141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'[70]Sch D'!N22</f>
        <v>52</v>
      </c>
      <c r="D231" s="559"/>
      <c r="E231" s="235">
        <f>C231+D231</f>
        <v>52</v>
      </c>
      <c r="F231" s="235"/>
      <c r="G231" s="235">
        <f>E231+F231</f>
        <v>52</v>
      </c>
      <c r="H231" s="167"/>
      <c r="J231" s="168"/>
      <c r="K231" s="168"/>
    </row>
    <row r="232" spans="1:11">
      <c r="A232" s="163"/>
      <c r="B232" s="202" t="s">
        <v>290</v>
      </c>
      <c r="C232" s="593">
        <f>'[70]Sch D'!N24</f>
        <v>52</v>
      </c>
      <c r="D232" s="559"/>
      <c r="E232" s="235">
        <f>C232+D232</f>
        <v>52</v>
      </c>
      <c r="F232" s="235"/>
      <c r="G232" s="235">
        <f>E232+F232</f>
        <v>52</v>
      </c>
      <c r="H232" s="522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'[70]Sch D'!N28</f>
        <v>19032</v>
      </c>
      <c r="D235" s="483"/>
      <c r="E235" s="234">
        <f>E231*E233</f>
        <v>19032</v>
      </c>
      <c r="F235" s="239"/>
      <c r="G235" s="234">
        <f>G231*G233</f>
        <v>19032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'[70]Sch D'!N30</f>
        <v>0.69046868432114339</v>
      </c>
      <c r="D236" s="239"/>
      <c r="E236" s="244">
        <f>E228/E235</f>
        <v>0.69046868432114339</v>
      </c>
      <c r="F236" s="245"/>
      <c r="G236" s="244">
        <f>G228/G235</f>
        <v>0.69046868432114339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'[70]Sch D'!N32</f>
        <v>4.9600672551492225E-2</v>
      </c>
      <c r="D237" s="239"/>
      <c r="E237" s="244">
        <f>(E219+E220)/E235</f>
        <v>4.9600672551492225E-2</v>
      </c>
      <c r="F237" s="245"/>
      <c r="G237" s="244">
        <f>(G219+G220)/G235</f>
        <v>4.9600672551492225E-2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'[70]Sch D'!N34</f>
        <v>7.1836237729244343E-2</v>
      </c>
      <c r="D238" s="239"/>
      <c r="E238" s="244">
        <f>(E237/E236)</f>
        <v>7.1836237729244343E-2</v>
      </c>
      <c r="F238" s="245"/>
      <c r="G238" s="244">
        <f>(G237/G236)</f>
        <v>7.1836237729244343E-2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'[70]Sch B'!C85</f>
        <v>206.85219827058515</v>
      </c>
    </row>
    <row r="242" spans="2:7">
      <c r="B242" s="523" t="s">
        <v>421</v>
      </c>
      <c r="F242" s="142" t="s">
        <v>341</v>
      </c>
      <c r="G242" s="558">
        <f>'[70]Sch B'!E85</f>
        <v>241.03388560208865</v>
      </c>
    </row>
    <row r="243" spans="2:7">
      <c r="B243" s="460" t="s">
        <v>422</v>
      </c>
      <c r="F243" s="142" t="s">
        <v>342</v>
      </c>
      <c r="G243" s="558">
        <f>'[70]Sch B'!G85</f>
        <v>258.2120166253377</v>
      </c>
    </row>
    <row r="244" spans="2:7">
      <c r="F244" s="142" t="s">
        <v>343</v>
      </c>
      <c r="G244" s="558">
        <f>'[70]Sch B'!I85</f>
        <v>230.35531481061122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576</v>
      </c>
      <c r="D2" s="144"/>
      <c r="E2" s="460"/>
    </row>
    <row r="3" spans="1:17">
      <c r="A3" s="145"/>
      <c r="B3" s="140" t="s">
        <v>79</v>
      </c>
      <c r="C3" s="489">
        <v>42186</v>
      </c>
      <c r="D3" s="438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'[71]Sch B'!E10</f>
        <v>0</v>
      </c>
      <c r="D11" s="558">
        <f>'[71]Sch B'!G10</f>
        <v>0</v>
      </c>
      <c r="E11" s="171">
        <f>C11+D11</f>
        <v>0</v>
      </c>
      <c r="F11" s="171"/>
      <c r="G11" s="171">
        <f t="shared" ref="G11:G20" si="0">E11+F11</f>
        <v>0</v>
      </c>
      <c r="H11" s="172">
        <f t="shared" ref="H11:H21" si="1">IF($G$21=0,0,G11/$G$21)</f>
        <v>0</v>
      </c>
      <c r="I11" s="336"/>
      <c r="J11" s="368" t="s">
        <v>344</v>
      </c>
      <c r="K11" s="369">
        <f>G21</f>
        <v>4792741</v>
      </c>
      <c r="M11" s="359">
        <f>IFERROR(G11/G219,0)</f>
        <v>0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'[71]Sch B'!E15</f>
        <v>0</v>
      </c>
      <c r="D12" s="558">
        <f>'[71]Sch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4332704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'[71]Sch B'!E21</f>
        <v>3441347</v>
      </c>
      <c r="D13" s="558">
        <f>'[71]Sch B'!G21</f>
        <v>0</v>
      </c>
      <c r="E13" s="171">
        <f t="shared" si="2"/>
        <v>3441347</v>
      </c>
      <c r="F13" s="171"/>
      <c r="G13" s="171">
        <f t="shared" si="0"/>
        <v>3441347</v>
      </c>
      <c r="H13" s="172">
        <f t="shared" si="1"/>
        <v>0.71803316724187682</v>
      </c>
      <c r="I13" s="336"/>
      <c r="J13" s="370" t="s">
        <v>346</v>
      </c>
      <c r="K13" s="371">
        <f>G228</f>
        <v>9465</v>
      </c>
      <c r="M13" s="359">
        <f t="shared" si="3"/>
        <v>636.46143887553171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'[71]Sch B'!E27</f>
        <v>941605</v>
      </c>
      <c r="D14" s="558">
        <f>'[71]Sch B'!G27</f>
        <v>0</v>
      </c>
      <c r="E14" s="171">
        <f t="shared" si="2"/>
        <v>941605</v>
      </c>
      <c r="F14" s="175"/>
      <c r="G14" s="175">
        <f>E14+F14</f>
        <v>941605</v>
      </c>
      <c r="H14" s="176">
        <f t="shared" si="1"/>
        <v>0.19646482044408409</v>
      </c>
      <c r="I14" s="337"/>
      <c r="J14" s="370" t="s">
        <v>347</v>
      </c>
      <c r="K14" s="371">
        <f>G231</f>
        <v>36</v>
      </c>
      <c r="M14" s="359">
        <f t="shared" si="3"/>
        <v>353.19017254313576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'[71]Sch B'!E32</f>
        <v>0</v>
      </c>
      <c r="D15" s="558">
        <f>'[71]Sch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13176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'[71]Sch B'!E37</f>
        <v>401160</v>
      </c>
      <c r="D16" s="558">
        <f>'[71]Sch B'!G37</f>
        <v>0</v>
      </c>
      <c r="E16" s="171">
        <f t="shared" si="2"/>
        <v>401160</v>
      </c>
      <c r="F16" s="171"/>
      <c r="G16" s="171">
        <f t="shared" si="0"/>
        <v>401160</v>
      </c>
      <c r="H16" s="172">
        <f t="shared" si="1"/>
        <v>8.3701581203741243E-2</v>
      </c>
      <c r="I16" s="336"/>
      <c r="J16" s="372"/>
      <c r="K16" s="371"/>
      <c r="M16" s="359">
        <f t="shared" si="3"/>
        <v>288.18965517241378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'[71]Sch B'!E42</f>
        <v>0</v>
      </c>
      <c r="D17" s="558">
        <f>'[71]Sch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109499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'[71]Sch B'!E47</f>
        <v>0</v>
      </c>
      <c r="D18" s="558">
        <f>'[71]Sch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116115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'[71]Sch B'!E52</f>
        <v>0</v>
      </c>
      <c r="D19" s="558">
        <f>'[71]Sch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'[71]Sch B'!E67</f>
        <v>8629</v>
      </c>
      <c r="D20" s="558">
        <f>'[71]Sch B'!G67</f>
        <v>0</v>
      </c>
      <c r="E20" s="171">
        <f t="shared" si="2"/>
        <v>8629</v>
      </c>
      <c r="F20" s="171"/>
      <c r="G20" s="171">
        <f t="shared" si="0"/>
        <v>8629</v>
      </c>
      <c r="H20" s="172">
        <f t="shared" si="1"/>
        <v>1.8004311102978441E-3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4792741</v>
      </c>
      <c r="D21" s="558">
        <f>SUM(D11:D20)</f>
        <v>0</v>
      </c>
      <c r="E21" s="171">
        <f>SUM(E11:E20)</f>
        <v>4792741</v>
      </c>
      <c r="F21" s="171">
        <f>SUM(F11:F20)</f>
        <v>0</v>
      </c>
      <c r="G21" s="171">
        <f>SUM(G11:G20)</f>
        <v>4792741</v>
      </c>
      <c r="H21" s="172">
        <f t="shared" si="1"/>
        <v>1</v>
      </c>
      <c r="I21" s="336"/>
      <c r="J21" s="168"/>
      <c r="K21" s="168"/>
      <c r="M21" s="359">
        <f>IFERROR(G21/G228,0)</f>
        <v>506.36460644479661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'[71]Sch C'!D10</f>
        <v>103574</v>
      </c>
      <c r="D25" s="558">
        <f>'[71]Sch C'!F10</f>
        <v>0</v>
      </c>
      <c r="E25" s="171">
        <f t="shared" ref="E25:E60" si="4">C25+D25</f>
        <v>103574</v>
      </c>
      <c r="F25" s="171"/>
      <c r="G25" s="182">
        <f>E25+F25</f>
        <v>103574</v>
      </c>
      <c r="H25" s="172">
        <f>IF($G$208=0,0,G25/$G$208)</f>
        <v>2.3905164073059225E-2</v>
      </c>
      <c r="I25" s="336"/>
      <c r="J25" s="183">
        <v>1906</v>
      </c>
      <c r="K25" s="183">
        <v>2144</v>
      </c>
      <c r="M25" s="359">
        <f>G25/G$228</f>
        <v>10.94284204965663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'[71]Sch C'!D11</f>
        <v>0</v>
      </c>
      <c r="D26" s="558">
        <f>'[71]Sch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'[71]Sch C'!D12</f>
        <v>148894</v>
      </c>
      <c r="D27" s="558">
        <f>'[71]Sch C'!F12</f>
        <v>0</v>
      </c>
      <c r="E27" s="171">
        <f t="shared" si="4"/>
        <v>148894</v>
      </c>
      <c r="F27" s="171"/>
      <c r="G27" s="171">
        <f t="shared" si="5"/>
        <v>148894</v>
      </c>
      <c r="H27" s="172">
        <f t="shared" si="6"/>
        <v>3.4365144722556633E-2</v>
      </c>
      <c r="I27" s="336"/>
      <c r="J27" s="185">
        <v>7075</v>
      </c>
      <c r="K27" s="185">
        <v>7507</v>
      </c>
      <c r="M27" s="359">
        <f t="shared" si="7"/>
        <v>15.731008980454305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'[71]Sch C'!D13</f>
        <v>351617</v>
      </c>
      <c r="D28" s="558">
        <f>'[71]Sch C'!F13</f>
        <v>-310689</v>
      </c>
      <c r="E28" s="171">
        <f t="shared" si="4"/>
        <v>40928</v>
      </c>
      <c r="F28" s="171"/>
      <c r="G28" s="171">
        <f t="shared" si="5"/>
        <v>40928</v>
      </c>
      <c r="H28" s="172">
        <f t="shared" si="6"/>
        <v>9.4462949696078932E-3</v>
      </c>
      <c r="I28" s="336"/>
      <c r="J28" s="168"/>
      <c r="K28" s="168"/>
      <c r="M28" s="359">
        <f t="shared" si="7"/>
        <v>4.3241415742208131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'[71]Sch C'!D14</f>
        <v>0</v>
      </c>
      <c r="D29" s="558">
        <f>'[71]Sch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'[71]Sch C'!D15</f>
        <v>0</v>
      </c>
      <c r="D30" s="558">
        <f>'[71]Sch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'[71]Sch C'!D16</f>
        <v>240000</v>
      </c>
      <c r="D31" s="558">
        <f>'[71]Sch C'!F16</f>
        <v>-146643</v>
      </c>
      <c r="E31" s="171">
        <f t="shared" si="4"/>
        <v>93357</v>
      </c>
      <c r="F31" s="171"/>
      <c r="G31" s="171">
        <f t="shared" si="5"/>
        <v>93357</v>
      </c>
      <c r="H31" s="172">
        <f t="shared" si="6"/>
        <v>2.1547052371913705E-2</v>
      </c>
      <c r="I31" s="336"/>
      <c r="J31" s="168"/>
      <c r="K31" s="168"/>
      <c r="M31" s="359">
        <f t="shared" si="7"/>
        <v>9.8633914421553097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'[71]Sch C'!D17</f>
        <v>0</v>
      </c>
      <c r="D32" s="558">
        <f>'[71]Sch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'[71]Sch C'!D18</f>
        <v>9386</v>
      </c>
      <c r="D33" s="558">
        <f>'[71]Sch C'!F18</f>
        <v>0</v>
      </c>
      <c r="E33" s="171">
        <f t="shared" si="4"/>
        <v>9386</v>
      </c>
      <c r="F33" s="171"/>
      <c r="G33" s="171">
        <f t="shared" si="5"/>
        <v>9386</v>
      </c>
      <c r="H33" s="172">
        <f t="shared" si="6"/>
        <v>2.1663146155380102E-3</v>
      </c>
      <c r="I33" s="336"/>
      <c r="J33" s="168"/>
      <c r="K33" s="168"/>
      <c r="M33" s="359">
        <f t="shared" si="7"/>
        <v>0.99165346011621769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'[71]Sch C'!D19</f>
        <v>10594</v>
      </c>
      <c r="D34" s="558">
        <f>'[71]Sch C'!F19</f>
        <v>0</v>
      </c>
      <c r="E34" s="171">
        <f t="shared" si="4"/>
        <v>10594</v>
      </c>
      <c r="F34" s="171"/>
      <c r="G34" s="171">
        <f t="shared" si="5"/>
        <v>10594</v>
      </c>
      <c r="H34" s="172">
        <f t="shared" si="6"/>
        <v>2.4451243380577119E-3</v>
      </c>
      <c r="I34" s="336"/>
      <c r="J34" s="168"/>
      <c r="K34" s="168"/>
      <c r="M34" s="359">
        <f t="shared" si="7"/>
        <v>1.1192815636555731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'[71]Sch C'!D20</f>
        <v>11441</v>
      </c>
      <c r="D35" s="558">
        <f>'[71]Sch C'!F20</f>
        <v>0</v>
      </c>
      <c r="E35" s="171">
        <f t="shared" si="4"/>
        <v>11441</v>
      </c>
      <c r="F35" s="171"/>
      <c r="G35" s="171">
        <f t="shared" si="5"/>
        <v>11441</v>
      </c>
      <c r="H35" s="172">
        <f t="shared" si="6"/>
        <v>2.6406142676721049E-3</v>
      </c>
      <c r="I35" s="336"/>
      <c r="J35" s="168"/>
      <c r="K35" s="168"/>
      <c r="M35" s="359">
        <f t="shared" si="7"/>
        <v>1.2087691494981512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'[71]Sch C'!D21</f>
        <v>8986</v>
      </c>
      <c r="D36" s="558">
        <f>'[71]Sch C'!F21</f>
        <v>0</v>
      </c>
      <c r="E36" s="171">
        <f t="shared" si="4"/>
        <v>8986</v>
      </c>
      <c r="F36" s="171"/>
      <c r="G36" s="171">
        <f t="shared" si="5"/>
        <v>8986</v>
      </c>
      <c r="H36" s="172">
        <f t="shared" si="6"/>
        <v>2.0739935153659241E-3</v>
      </c>
      <c r="I36" s="336"/>
      <c r="J36" s="168"/>
      <c r="K36" s="168"/>
      <c r="M36" s="359">
        <f t="shared" si="7"/>
        <v>0.94939249867934494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'[71]Sch C'!D22</f>
        <v>0</v>
      </c>
      <c r="D37" s="558">
        <f>'[71]Sch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'[71]Sch C'!D23</f>
        <v>26594</v>
      </c>
      <c r="D38" s="558">
        <f>'[71]Sch C'!F23</f>
        <v>0</v>
      </c>
      <c r="E38" s="171">
        <f t="shared" si="4"/>
        <v>26594</v>
      </c>
      <c r="F38" s="171"/>
      <c r="G38" s="171">
        <f t="shared" si="5"/>
        <v>26594</v>
      </c>
      <c r="H38" s="172">
        <f t="shared" si="6"/>
        <v>6.1379683449411726E-3</v>
      </c>
      <c r="I38" s="336"/>
      <c r="J38" s="168"/>
      <c r="K38" s="168"/>
      <c r="M38" s="359">
        <f t="shared" si="7"/>
        <v>2.8097200211304809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'[71]Sch C'!D24</f>
        <v>3802</v>
      </c>
      <c r="D39" s="558">
        <f>'[71]Sch C'!F24</f>
        <v>0</v>
      </c>
      <c r="E39" s="171">
        <f t="shared" si="4"/>
        <v>3802</v>
      </c>
      <c r="F39" s="171"/>
      <c r="G39" s="171">
        <f t="shared" si="5"/>
        <v>3802</v>
      </c>
      <c r="H39" s="172">
        <f t="shared" si="6"/>
        <v>8.7751205713568247E-4</v>
      </c>
      <c r="I39" s="336"/>
      <c r="J39" s="168"/>
      <c r="K39" s="168"/>
      <c r="M39" s="359">
        <f t="shared" si="7"/>
        <v>0.40169043845747493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'[71]Sch C'!D25</f>
        <v>0</v>
      </c>
      <c r="D40" s="558">
        <f>'[71]Sch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'[71]Sch C'!D26</f>
        <v>12599</v>
      </c>
      <c r="D41" s="558">
        <f>'[71]Sch C'!F26</f>
        <v>0</v>
      </c>
      <c r="E41" s="171">
        <f t="shared" si="4"/>
        <v>12599</v>
      </c>
      <c r="F41" s="171"/>
      <c r="G41" s="171">
        <f t="shared" si="5"/>
        <v>12599</v>
      </c>
      <c r="H41" s="172">
        <f t="shared" si="6"/>
        <v>2.9078838526702955E-3</v>
      </c>
      <c r="I41" s="336"/>
      <c r="J41" s="168"/>
      <c r="K41" s="168"/>
      <c r="M41" s="359">
        <f t="shared" si="7"/>
        <v>1.3311146328578976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'[71]Sch C'!D27</f>
        <v>0</v>
      </c>
      <c r="D42" s="558">
        <f>'[71]Sch C'!F27</f>
        <v>-708</v>
      </c>
      <c r="E42" s="171">
        <f t="shared" si="4"/>
        <v>-708</v>
      </c>
      <c r="F42" s="171"/>
      <c r="G42" s="171">
        <f t="shared" si="5"/>
        <v>-708</v>
      </c>
      <c r="H42" s="172">
        <f t="shared" si="6"/>
        <v>-1.6340834730459316E-4</v>
      </c>
      <c r="I42" s="336"/>
      <c r="J42" s="168"/>
      <c r="K42" s="168"/>
      <c r="M42" s="359">
        <f t="shared" si="7"/>
        <v>-7.4801901743264662E-2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'[71]Sch C'!D28</f>
        <v>0</v>
      </c>
      <c r="D43" s="558">
        <f>'[71]Sch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'[71]Sch C'!D29</f>
        <v>4470</v>
      </c>
      <c r="D44" s="558">
        <f>'[71]Sch C'!F29</f>
        <v>-4470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'[71]Sch C'!D30</f>
        <v>0</v>
      </c>
      <c r="D45" s="558">
        <f>'[71]Sch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'[71]Sch C'!D31</f>
        <v>34917</v>
      </c>
      <c r="D46" s="558">
        <f>'[71]Sch C'!F31</f>
        <v>0</v>
      </c>
      <c r="E46" s="171">
        <f t="shared" si="4"/>
        <v>34917</v>
      </c>
      <c r="F46" s="171"/>
      <c r="G46" s="171">
        <f t="shared" si="5"/>
        <v>34917</v>
      </c>
      <c r="H46" s="172">
        <f t="shared" si="6"/>
        <v>8.0589396367718637E-3</v>
      </c>
      <c r="I46" s="336"/>
      <c r="J46" s="168"/>
      <c r="K46" s="168"/>
      <c r="M46" s="359">
        <f t="shared" si="7"/>
        <v>3.6890649762282091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'[71]Sch C'!D32</f>
        <v>18956</v>
      </c>
      <c r="D47" s="558">
        <f>'[71]Sch C'!F32</f>
        <v>0</v>
      </c>
      <c r="E47" s="171">
        <f t="shared" si="4"/>
        <v>18956</v>
      </c>
      <c r="F47" s="171"/>
      <c r="G47" s="171">
        <f t="shared" si="5"/>
        <v>18956</v>
      </c>
      <c r="H47" s="172">
        <f t="shared" si="6"/>
        <v>4.3750969371551809E-3</v>
      </c>
      <c r="I47" s="336"/>
      <c r="J47" s="168"/>
      <c r="K47" s="168"/>
      <c r="M47" s="359">
        <f t="shared" si="7"/>
        <v>2.0027469624933967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'[71]Sch C'!D33</f>
        <v>0</v>
      </c>
      <c r="D48" s="558">
        <f>'[71]Sch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'[71]Sch C'!D34</f>
        <v>0</v>
      </c>
      <c r="D49" s="558">
        <f>'[71]Sch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'[71]Sch C'!D35</f>
        <v>0</v>
      </c>
      <c r="D50" s="558">
        <f>'[71]Sch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'[71]Sch C'!D36</f>
        <v>48608</v>
      </c>
      <c r="D51" s="558">
        <f>'[71]Sch C'!F36</f>
        <v>0</v>
      </c>
      <c r="E51" s="171">
        <f t="shared" si="4"/>
        <v>48608</v>
      </c>
      <c r="F51" s="171"/>
      <c r="G51" s="171">
        <f t="shared" si="5"/>
        <v>48608</v>
      </c>
      <c r="H51" s="172">
        <f t="shared" si="6"/>
        <v>1.1218860092911955E-2</v>
      </c>
      <c r="I51" s="336"/>
      <c r="J51" s="183">
        <v>2429</v>
      </c>
      <c r="K51" s="183">
        <v>2632</v>
      </c>
      <c r="M51" s="359">
        <f t="shared" si="7"/>
        <v>5.1355520338087688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'[71]Sch C'!D37</f>
        <v>0</v>
      </c>
      <c r="D52" s="558">
        <f>'[71]Sch C'!F37</f>
        <v>7880</v>
      </c>
      <c r="E52" s="171">
        <f t="shared" si="4"/>
        <v>7880</v>
      </c>
      <c r="F52" s="171"/>
      <c r="G52" s="171">
        <f t="shared" si="5"/>
        <v>7880</v>
      </c>
      <c r="H52" s="172">
        <f t="shared" si="6"/>
        <v>1.8187256733901047E-3</v>
      </c>
      <c r="I52" s="336"/>
      <c r="J52" s="168"/>
      <c r="K52" s="168"/>
      <c r="M52" s="359">
        <f t="shared" si="7"/>
        <v>0.83254094030639192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'[71]Sch C'!D38</f>
        <v>0</v>
      </c>
      <c r="D53" s="558">
        <f>'[71]Sch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'[71]Sch C'!D39</f>
        <v>4492</v>
      </c>
      <c r="D54" s="558">
        <f>'[71]Sch C'!F39</f>
        <v>0</v>
      </c>
      <c r="E54" s="171">
        <f t="shared" si="4"/>
        <v>4492</v>
      </c>
      <c r="F54" s="171"/>
      <c r="G54" s="171">
        <f t="shared" si="5"/>
        <v>4492</v>
      </c>
      <c r="H54" s="172">
        <f t="shared" si="6"/>
        <v>1.0367659549325317E-3</v>
      </c>
      <c r="I54" s="336"/>
      <c r="J54" s="168"/>
      <c r="K54" s="168"/>
      <c r="M54" s="359">
        <f t="shared" si="7"/>
        <v>0.4745905969360803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'[71]Sch C'!D40</f>
        <v>5820</v>
      </c>
      <c r="D55" s="558">
        <f>'[71]Sch C'!F40</f>
        <v>0</v>
      </c>
      <c r="E55" s="171">
        <f t="shared" si="4"/>
        <v>5820</v>
      </c>
      <c r="F55" s="171"/>
      <c r="G55" s="171">
        <f t="shared" si="5"/>
        <v>5820</v>
      </c>
      <c r="H55" s="172">
        <f t="shared" si="6"/>
        <v>1.343272007503859E-3</v>
      </c>
      <c r="I55" s="336"/>
      <c r="J55" s="168"/>
      <c r="K55" s="168"/>
      <c r="M55" s="359">
        <f t="shared" si="7"/>
        <v>0.61489698890649758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'[71]Sch C'!D41</f>
        <v>0</v>
      </c>
      <c r="D56" s="558">
        <f>'[71]Sch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'[71]Sch C'!D42</f>
        <v>3068</v>
      </c>
      <c r="D57" s="558">
        <f>'[71]Sch C'!F42</f>
        <v>0</v>
      </c>
      <c r="E57" s="171">
        <f t="shared" si="4"/>
        <v>3068</v>
      </c>
      <c r="F57" s="171"/>
      <c r="G57" s="171">
        <f t="shared" si="5"/>
        <v>3068</v>
      </c>
      <c r="H57" s="172">
        <f t="shared" si="6"/>
        <v>7.0810283831990368E-4</v>
      </c>
      <c r="I57" s="336"/>
      <c r="J57" s="168"/>
      <c r="K57" s="168"/>
      <c r="M57" s="359">
        <f t="shared" si="7"/>
        <v>0.32414157422081352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'[71]Sch C'!D43</f>
        <v>7210</v>
      </c>
      <c r="D58" s="558">
        <f>'[71]Sch C'!F43</f>
        <v>0</v>
      </c>
      <c r="E58" s="171">
        <f t="shared" si="4"/>
        <v>7210</v>
      </c>
      <c r="F58" s="171"/>
      <c r="G58" s="171">
        <f t="shared" si="5"/>
        <v>7210</v>
      </c>
      <c r="H58" s="172">
        <f t="shared" si="6"/>
        <v>1.6640878306018597E-3</v>
      </c>
      <c r="I58" s="336"/>
      <c r="J58" s="168"/>
      <c r="K58" s="168"/>
      <c r="M58" s="359">
        <f t="shared" si="7"/>
        <v>0.76175382989963025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'[71]Sch C'!D44</f>
        <v>0</v>
      </c>
      <c r="D59" s="558">
        <f>'[71]Sch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'[71]Sch C'!D45</f>
        <v>13034</v>
      </c>
      <c r="D60" s="558">
        <f>'[71]Sch C'!F45</f>
        <v>-3915</v>
      </c>
      <c r="E60" s="171">
        <f t="shared" si="4"/>
        <v>9119</v>
      </c>
      <c r="F60" s="171"/>
      <c r="G60" s="171">
        <f t="shared" si="5"/>
        <v>9119</v>
      </c>
      <c r="H60" s="172">
        <f t="shared" si="6"/>
        <v>2.1046902811731427E-3</v>
      </c>
      <c r="I60" s="336"/>
      <c r="J60" s="168"/>
      <c r="K60" s="168"/>
      <c r="M60" s="359">
        <f t="shared" si="7"/>
        <v>0.96344426835710517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1068062</v>
      </c>
      <c r="D61" s="558">
        <f>SUM(D25:D60)</f>
        <v>-458545</v>
      </c>
      <c r="E61" s="171">
        <f t="shared" ref="E61:F61" si="8">SUM(E25:E60)</f>
        <v>609517</v>
      </c>
      <c r="F61" s="171">
        <f t="shared" si="8"/>
        <v>0</v>
      </c>
      <c r="G61" s="171">
        <f>SUM(G25:G60)</f>
        <v>609517</v>
      </c>
      <c r="H61" s="186">
        <f t="shared" si="6"/>
        <v>0.14067820003397416</v>
      </c>
      <c r="I61" s="338"/>
      <c r="J61" s="168"/>
      <c r="K61" s="168"/>
      <c r="M61" s="364">
        <f>G61/G$228</f>
        <v>64.396936080295831</v>
      </c>
      <c r="N61" s="359">
        <f>SUMMARY!J64</f>
        <v>53.728790309602623</v>
      </c>
      <c r="O61" s="354">
        <f>M61/N61-1</f>
        <v>0.19855548038993454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'[71]Sch C'!D57</f>
        <v>0</v>
      </c>
      <c r="D64" s="558">
        <f>'[71]Sch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'[71]Sch C'!D58</f>
        <v>218419</v>
      </c>
      <c r="D65" s="558">
        <f>'[71]Sch C'!F58</f>
        <v>0</v>
      </c>
      <c r="E65" s="171">
        <f t="shared" si="9"/>
        <v>218419</v>
      </c>
      <c r="F65" s="171"/>
      <c r="G65" s="171">
        <f t="shared" si="10"/>
        <v>218419</v>
      </c>
      <c r="H65" s="172">
        <f t="shared" si="11"/>
        <v>5.0411705946217418E-2</v>
      </c>
      <c r="I65" s="336"/>
      <c r="J65" s="190"/>
      <c r="K65" s="168"/>
      <c r="M65" s="359">
        <f t="shared" si="12"/>
        <v>23.07649234020074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'[71]Sch C'!D59</f>
        <v>213551</v>
      </c>
      <c r="D66" s="558">
        <f>'[71]Sch C'!F59</f>
        <v>0</v>
      </c>
      <c r="E66" s="171">
        <f t="shared" si="9"/>
        <v>213551</v>
      </c>
      <c r="F66" s="171"/>
      <c r="G66" s="171">
        <f t="shared" si="10"/>
        <v>213551</v>
      </c>
      <c r="H66" s="172">
        <f t="shared" si="11"/>
        <v>4.9288158157123126E-2</v>
      </c>
      <c r="I66" s="336"/>
      <c r="J66" s="190"/>
      <c r="K66" s="168"/>
      <c r="M66" s="359">
        <f t="shared" si="12"/>
        <v>22.562176439513998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'[71]Sch C'!D60</f>
        <v>46618</v>
      </c>
      <c r="D67" s="558">
        <f>'[71]Sch C'!F60</f>
        <v>0</v>
      </c>
      <c r="E67" s="171">
        <f t="shared" si="9"/>
        <v>46618</v>
      </c>
      <c r="F67" s="171"/>
      <c r="G67" s="171">
        <f t="shared" si="10"/>
        <v>46618</v>
      </c>
      <c r="H67" s="172">
        <f t="shared" si="11"/>
        <v>1.0759562619555825E-2</v>
      </c>
      <c r="I67" s="336"/>
      <c r="J67" s="193"/>
      <c r="K67" s="168"/>
      <c r="M67" s="359">
        <f t="shared" si="12"/>
        <v>4.9253037506603272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'[71]Sch C'!D61</f>
        <v>0</v>
      </c>
      <c r="D68" s="558">
        <f>'[71]Sch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'[71]Sch C'!D62</f>
        <v>0</v>
      </c>
      <c r="D69" s="558">
        <f>'[71]Sch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'[71]Sch C'!D63</f>
        <v>0</v>
      </c>
      <c r="D70" s="558">
        <f>'[71]Sch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'[71]Sch C'!D64</f>
        <v>0</v>
      </c>
      <c r="D71" s="558">
        <f>'[71]Sch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'[71]Sch C'!D65</f>
        <v>1500</v>
      </c>
      <c r="D72" s="558">
        <f>'[71]Sch C'!F65</f>
        <v>0</v>
      </c>
      <c r="E72" s="171">
        <f t="shared" si="9"/>
        <v>1500</v>
      </c>
      <c r="F72" s="171"/>
      <c r="G72" s="171">
        <f t="shared" si="10"/>
        <v>1500</v>
      </c>
      <c r="H72" s="172">
        <f t="shared" si="11"/>
        <v>3.4620412564532452E-4</v>
      </c>
      <c r="I72" s="336"/>
      <c r="J72" s="195"/>
      <c r="K72" s="168"/>
      <c r="M72" s="359">
        <f t="shared" si="12"/>
        <v>0.15847860538827258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'[71]Sch C'!D66</f>
        <v>21812</v>
      </c>
      <c r="D73" s="558">
        <f>'[71]Sch C'!F66</f>
        <v>0</v>
      </c>
      <c r="E73" s="171">
        <f t="shared" si="9"/>
        <v>21812</v>
      </c>
      <c r="F73" s="171"/>
      <c r="G73" s="171">
        <f t="shared" si="10"/>
        <v>21812</v>
      </c>
      <c r="H73" s="172">
        <f t="shared" si="11"/>
        <v>5.0342695923838781E-3</v>
      </c>
      <c r="I73" s="336"/>
      <c r="J73" s="195"/>
      <c r="K73" s="168"/>
      <c r="M73" s="359">
        <f t="shared" si="12"/>
        <v>2.3044902271526677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'[71]Sch C'!D67</f>
        <v>0</v>
      </c>
      <c r="D74" s="558">
        <f>'[71]Sch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'[71]Sch C'!D68</f>
        <v>0</v>
      </c>
      <c r="D75" s="558">
        <f>'[71]Sch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'[71]Sch C'!D69</f>
        <v>0</v>
      </c>
      <c r="D76" s="558">
        <f>'[71]Sch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'[71]Sch C'!D70</f>
        <v>0</v>
      </c>
      <c r="D77" s="558">
        <f>'[71]Sch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'[71]Sch C'!D71</f>
        <v>0</v>
      </c>
      <c r="D78" s="558">
        <f>'[71]Sch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501900</v>
      </c>
      <c r="D79" s="558">
        <f>SUM(D64:D78)</f>
        <v>0</v>
      </c>
      <c r="E79" s="171">
        <f t="shared" ref="E79:F79" si="13">SUM(E64:E78)</f>
        <v>501900</v>
      </c>
      <c r="F79" s="171">
        <f t="shared" si="13"/>
        <v>0</v>
      </c>
      <c r="G79" s="171">
        <f>SUM(G64:G78)</f>
        <v>501900</v>
      </c>
      <c r="H79" s="172">
        <f t="shared" si="11"/>
        <v>0.11583990044092557</v>
      </c>
      <c r="I79" s="336"/>
      <c r="J79" s="195"/>
      <c r="K79" s="168"/>
      <c r="M79" s="359">
        <f t="shared" si="12"/>
        <v>53.026941362916006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'[71]Sch C'!D75</f>
        <v>65613</v>
      </c>
      <c r="D82" s="558">
        <f>'[71]Sch C'!F75</f>
        <v>0</v>
      </c>
      <c r="E82" s="171">
        <f t="shared" ref="E82:E92" si="14">C82+D82</f>
        <v>65613</v>
      </c>
      <c r="F82" s="171"/>
      <c r="G82" s="171">
        <f t="shared" ref="G82:G92" si="15">E82+F82</f>
        <v>65613</v>
      </c>
      <c r="H82" s="172">
        <f t="shared" ref="H82:H93" si="16">IF($G$208=0,0,G82/$G$208)</f>
        <v>1.5143660863977783E-2</v>
      </c>
      <c r="I82" s="336"/>
      <c r="J82" s="183">
        <v>1979</v>
      </c>
      <c r="K82" s="183">
        <v>2123</v>
      </c>
      <c r="M82" s="359">
        <f t="shared" ref="M82:M92" si="17">G82/G$228</f>
        <v>6.9321711568938191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'[71]Sch C'!D76</f>
        <v>0</v>
      </c>
      <c r="D83" s="558">
        <f>'[71]Sch C'!F76</f>
        <v>10636</v>
      </c>
      <c r="E83" s="171">
        <f t="shared" si="14"/>
        <v>10636</v>
      </c>
      <c r="F83" s="171"/>
      <c r="G83" s="171">
        <f t="shared" si="15"/>
        <v>10636</v>
      </c>
      <c r="H83" s="172">
        <f t="shared" si="16"/>
        <v>2.4548180535757811E-3</v>
      </c>
      <c r="I83" s="336"/>
      <c r="J83" s="168"/>
      <c r="K83" s="168"/>
      <c r="M83" s="359">
        <f t="shared" si="17"/>
        <v>1.1237189646064447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'[71]Sch C'!D77</f>
        <v>2857</v>
      </c>
      <c r="D84" s="558">
        <f>'[71]Sch C'!F77</f>
        <v>0</v>
      </c>
      <c r="E84" s="171">
        <f t="shared" si="14"/>
        <v>2857</v>
      </c>
      <c r="F84" s="171"/>
      <c r="G84" s="171">
        <f t="shared" si="15"/>
        <v>2857</v>
      </c>
      <c r="H84" s="172">
        <f t="shared" si="16"/>
        <v>6.5940345797912807E-4</v>
      </c>
      <c r="I84" s="336"/>
      <c r="J84" s="168"/>
      <c r="K84" s="168"/>
      <c r="M84" s="359">
        <f t="shared" si="17"/>
        <v>0.30184891706286315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'[71]Sch C'!D78</f>
        <v>0</v>
      </c>
      <c r="D85" s="558">
        <f>'[71]Sch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'[71]Sch C'!D79</f>
        <v>10661</v>
      </c>
      <c r="D86" s="558">
        <f>'[71]Sch C'!F79</f>
        <v>0</v>
      </c>
      <c r="E86" s="171">
        <f t="shared" si="14"/>
        <v>10661</v>
      </c>
      <c r="F86" s="171"/>
      <c r="G86" s="171">
        <f>E86+F86</f>
        <v>10661</v>
      </c>
      <c r="H86" s="172">
        <f t="shared" si="16"/>
        <v>2.4605881223365364E-3</v>
      </c>
      <c r="I86" s="336"/>
      <c r="J86" s="168"/>
      <c r="K86" s="168"/>
      <c r="M86" s="359">
        <f t="shared" si="17"/>
        <v>1.1263602746962493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'[71]Sch C'!D80</f>
        <v>17990</v>
      </c>
      <c r="D87" s="558">
        <f>'[71]Sch C'!F80</f>
        <v>0</v>
      </c>
      <c r="E87" s="171">
        <f t="shared" si="14"/>
        <v>17990</v>
      </c>
      <c r="F87" s="171"/>
      <c r="G87" s="171">
        <f t="shared" si="15"/>
        <v>17990</v>
      </c>
      <c r="H87" s="172">
        <f t="shared" si="16"/>
        <v>4.1521414802395918E-3</v>
      </c>
      <c r="I87" s="336"/>
      <c r="J87" s="168"/>
      <c r="K87" s="168"/>
      <c r="M87" s="359">
        <f t="shared" si="17"/>
        <v>1.9006867406233492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'[71]Sch C'!D81</f>
        <v>14507</v>
      </c>
      <c r="D88" s="558">
        <f>'[71]Sch C'!F81</f>
        <v>0</v>
      </c>
      <c r="E88" s="171">
        <f t="shared" si="14"/>
        <v>14507</v>
      </c>
      <c r="F88" s="171"/>
      <c r="G88" s="171">
        <f t="shared" si="15"/>
        <v>14507</v>
      </c>
      <c r="H88" s="172">
        <f t="shared" si="16"/>
        <v>3.3482555004911482E-3</v>
      </c>
      <c r="I88" s="336"/>
      <c r="J88" s="168"/>
      <c r="K88" s="168"/>
      <c r="M88" s="359">
        <f t="shared" si="17"/>
        <v>1.5326994189117802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'[71]Sch C'!D82</f>
        <v>439</v>
      </c>
      <c r="D89" s="558">
        <f>'[71]Sch C'!F82</f>
        <v>0</v>
      </c>
      <c r="E89" s="171">
        <f t="shared" si="14"/>
        <v>439</v>
      </c>
      <c r="F89" s="171"/>
      <c r="G89" s="171">
        <f t="shared" si="15"/>
        <v>439</v>
      </c>
      <c r="H89" s="172">
        <f t="shared" si="16"/>
        <v>1.0132240743886497E-4</v>
      </c>
      <c r="I89" s="336"/>
      <c r="J89" s="168"/>
      <c r="K89" s="168"/>
      <c r="M89" s="359">
        <f t="shared" si="17"/>
        <v>4.6381405176967774E-2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'[71]Sch C'!D83</f>
        <v>6038</v>
      </c>
      <c r="D90" s="558">
        <f>'[71]Sch C'!F83</f>
        <v>0</v>
      </c>
      <c r="E90" s="171">
        <f t="shared" si="14"/>
        <v>6038</v>
      </c>
      <c r="F90" s="171"/>
      <c r="G90" s="171">
        <f t="shared" si="15"/>
        <v>6038</v>
      </c>
      <c r="H90" s="172">
        <f t="shared" si="16"/>
        <v>1.3935870070976462E-3</v>
      </c>
      <c r="I90" s="336"/>
      <c r="J90" s="168"/>
      <c r="K90" s="168"/>
      <c r="M90" s="359">
        <f t="shared" si="17"/>
        <v>0.63792921288959326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'[71]Sch C'!D84</f>
        <v>60737</v>
      </c>
      <c r="D91" s="558">
        <f>'[71]Sch C'!F84</f>
        <v>0</v>
      </c>
      <c r="E91" s="171">
        <f t="shared" si="14"/>
        <v>60737</v>
      </c>
      <c r="F91" s="171"/>
      <c r="G91" s="171">
        <f t="shared" si="15"/>
        <v>60737</v>
      </c>
      <c r="H91" s="172">
        <f t="shared" si="16"/>
        <v>1.4018266652880048E-2</v>
      </c>
      <c r="I91" s="336"/>
      <c r="J91" s="168"/>
      <c r="K91" s="168"/>
      <c r="M91" s="359">
        <f t="shared" si="17"/>
        <v>6.4170100369783416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'[71]Sch C'!D85</f>
        <v>0</v>
      </c>
      <c r="D92" s="558">
        <f>'[71]Sch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178842</v>
      </c>
      <c r="D93" s="558">
        <f>SUM(D82:D92)</f>
        <v>10636</v>
      </c>
      <c r="E93" s="171">
        <f t="shared" ref="E93:F93" si="18">SUM(E82:E92)</f>
        <v>189478</v>
      </c>
      <c r="F93" s="171">
        <f t="shared" si="18"/>
        <v>0</v>
      </c>
      <c r="G93" s="171">
        <f>SUM(G82:G92)</f>
        <v>189478</v>
      </c>
      <c r="H93" s="172">
        <f t="shared" si="16"/>
        <v>4.3732043546016529E-2</v>
      </c>
      <c r="I93" s="336"/>
      <c r="J93" s="168"/>
      <c r="K93" s="168"/>
      <c r="M93" s="364">
        <f>G93/G$228</f>
        <v>20.018806127839408</v>
      </c>
      <c r="N93" s="359">
        <f>SUMMARY!J96</f>
        <v>11.458724454710746</v>
      </c>
      <c r="O93" s="354">
        <f>M93/N93-1</f>
        <v>0.74703617378717624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'[71]Sch C'!D89</f>
        <v>170734</v>
      </c>
      <c r="D96" s="558">
        <f>'[71]Sch C'!F89</f>
        <v>0</v>
      </c>
      <c r="E96" s="171">
        <f t="shared" ref="E96:E101" si="19">C96+D96</f>
        <v>170734</v>
      </c>
      <c r="F96" s="171"/>
      <c r="G96" s="171">
        <f t="shared" ref="G96:G101" si="20">E96+F96</f>
        <v>170734</v>
      </c>
      <c r="H96" s="172">
        <f t="shared" ref="H96:H102" si="21">IF($G$208=0,0,G96/$G$208)</f>
        <v>3.9405876791952552E-2</v>
      </c>
      <c r="I96" s="336"/>
      <c r="J96" s="183">
        <v>10546</v>
      </c>
      <c r="K96" s="183">
        <v>10938</v>
      </c>
      <c r="M96" s="364">
        <f t="shared" ref="M96:M101" si="22">G96/G$228</f>
        <v>18.038457474907553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'[71]Sch C'!D90</f>
        <v>0</v>
      </c>
      <c r="D97" s="558">
        <f>'[71]Sch C'!F90</f>
        <v>27677</v>
      </c>
      <c r="E97" s="171">
        <f t="shared" si="19"/>
        <v>27677</v>
      </c>
      <c r="F97" s="171"/>
      <c r="G97" s="171">
        <f t="shared" si="20"/>
        <v>27677</v>
      </c>
      <c r="H97" s="172">
        <f t="shared" si="21"/>
        <v>6.3879277236570976E-3</v>
      </c>
      <c r="I97" s="336"/>
      <c r="J97" s="168"/>
      <c r="K97" s="168"/>
      <c r="M97" s="364">
        <f t="shared" si="22"/>
        <v>2.9241415742208137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'[71]Sch C'!D91</f>
        <v>7958</v>
      </c>
      <c r="D98" s="558">
        <f>'[71]Sch C'!F91</f>
        <v>0</v>
      </c>
      <c r="E98" s="171">
        <f t="shared" si="19"/>
        <v>7958</v>
      </c>
      <c r="F98" s="171"/>
      <c r="G98" s="171">
        <f t="shared" si="20"/>
        <v>7958</v>
      </c>
      <c r="H98" s="172">
        <f t="shared" si="21"/>
        <v>1.8367282879236616E-3</v>
      </c>
      <c r="I98" s="336"/>
      <c r="J98" s="168"/>
      <c r="K98" s="168"/>
      <c r="M98" s="364">
        <f t="shared" si="22"/>
        <v>0.84078182778658217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'[71]Sch C'!D92</f>
        <v>78473</v>
      </c>
      <c r="D99" s="558">
        <f>'[71]Sch C'!F92</f>
        <v>-4006</v>
      </c>
      <c r="E99" s="171">
        <f t="shared" si="19"/>
        <v>74467</v>
      </c>
      <c r="F99" s="171"/>
      <c r="G99" s="171">
        <f t="shared" si="20"/>
        <v>74467</v>
      </c>
      <c r="H99" s="172">
        <f t="shared" si="21"/>
        <v>1.7187188416286921E-2</v>
      </c>
      <c r="I99" s="336"/>
      <c r="J99" s="168"/>
      <c r="K99" s="168"/>
      <c r="M99" s="364">
        <f t="shared" si="22"/>
        <v>7.8676175382989966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'[71]Sch C'!D93</f>
        <v>9868</v>
      </c>
      <c r="D100" s="558">
        <f>'[71]Sch C'!F93</f>
        <v>0</v>
      </c>
      <c r="E100" s="171">
        <f t="shared" si="19"/>
        <v>9868</v>
      </c>
      <c r="F100" s="171"/>
      <c r="G100" s="171">
        <f t="shared" si="20"/>
        <v>9868</v>
      </c>
      <c r="H100" s="172">
        <f t="shared" si="21"/>
        <v>2.2775615412453749E-3</v>
      </c>
      <c r="I100" s="336"/>
      <c r="J100" s="168"/>
      <c r="K100" s="168"/>
      <c r="M100" s="364">
        <f t="shared" si="22"/>
        <v>1.0425779186476491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'[71]Sch C'!D94</f>
        <v>1609</v>
      </c>
      <c r="D101" s="558">
        <f>'[71]Sch C'!F94</f>
        <v>0</v>
      </c>
      <c r="E101" s="171">
        <f t="shared" si="19"/>
        <v>1609</v>
      </c>
      <c r="F101" s="171"/>
      <c r="G101" s="171">
        <f t="shared" si="20"/>
        <v>1609</v>
      </c>
      <c r="H101" s="172">
        <f t="shared" si="21"/>
        <v>3.7136162544221805E-4</v>
      </c>
      <c r="I101" s="336"/>
      <c r="J101" s="168"/>
      <c r="K101" s="168"/>
      <c r="M101" s="364">
        <f t="shared" si="22"/>
        <v>0.16999471737982039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268642</v>
      </c>
      <c r="D102" s="558">
        <f>SUM(D96:D101)</f>
        <v>23671</v>
      </c>
      <c r="E102" s="171">
        <f t="shared" ref="E102:F102" si="23">SUM(E96:E101)</f>
        <v>292313</v>
      </c>
      <c r="F102" s="171">
        <f t="shared" si="23"/>
        <v>0</v>
      </c>
      <c r="G102" s="171">
        <f>SUM(G96:G101)</f>
        <v>292313</v>
      </c>
      <c r="H102" s="172">
        <f t="shared" si="21"/>
        <v>6.7466644386507832E-2</v>
      </c>
      <c r="I102" s="336"/>
      <c r="J102" s="168"/>
      <c r="K102" s="168"/>
      <c r="M102" s="364">
        <f>G102/G$228</f>
        <v>30.883571051241415</v>
      </c>
      <c r="N102" s="359">
        <f>SUMMARY!J105</f>
        <v>19.901077037785338</v>
      </c>
      <c r="O102" s="354">
        <f>M102/N102-1</f>
        <v>0.55185425354638218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'[71]Sch C'!D98</f>
        <v>0</v>
      </c>
      <c r="D105" s="558">
        <f>'[71]Sch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'[71]Sch C'!D99</f>
        <v>0</v>
      </c>
      <c r="D106" s="558">
        <f>'[71]Sch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'[71]Sch C'!D100</f>
        <v>5072</v>
      </c>
      <c r="D107" s="558">
        <f>'[71]Sch C'!F100</f>
        <v>0</v>
      </c>
      <c r="E107" s="171">
        <f t="shared" si="24"/>
        <v>5072</v>
      </c>
      <c r="F107" s="171"/>
      <c r="G107" s="171">
        <f t="shared" si="25"/>
        <v>5072</v>
      </c>
      <c r="H107" s="172">
        <f t="shared" si="26"/>
        <v>1.1706315501820571E-3</v>
      </c>
      <c r="I107" s="336"/>
      <c r="J107" s="168"/>
      <c r="K107" s="168"/>
      <c r="M107" s="364">
        <f t="shared" si="27"/>
        <v>0.53586899101954566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'[71]Sch C'!D101</f>
        <v>0</v>
      </c>
      <c r="D108" s="558">
        <f>'[71]Sch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'[71]Sch C'!D102</f>
        <v>1477</v>
      </c>
      <c r="D109" s="558">
        <f>'[71]Sch C'!F102</f>
        <v>0</v>
      </c>
      <c r="E109" s="171">
        <f t="shared" si="24"/>
        <v>1477</v>
      </c>
      <c r="F109" s="171"/>
      <c r="G109" s="171">
        <f t="shared" si="25"/>
        <v>1477</v>
      </c>
      <c r="H109" s="172">
        <f t="shared" si="26"/>
        <v>3.4089566238542951E-4</v>
      </c>
      <c r="I109" s="336"/>
      <c r="J109" s="168"/>
      <c r="K109" s="168"/>
      <c r="M109" s="364">
        <f t="shared" si="27"/>
        <v>0.15604860010565241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'[71]Sch C'!D103</f>
        <v>0</v>
      </c>
      <c r="D110" s="558">
        <f>'[71]Sch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6549</v>
      </c>
      <c r="D111" s="558">
        <f>SUM(D105:D110)</f>
        <v>0</v>
      </c>
      <c r="E111" s="171">
        <f t="shared" ref="E111:F111" si="28">SUM(E105:E110)</f>
        <v>6549</v>
      </c>
      <c r="F111" s="171">
        <f t="shared" si="28"/>
        <v>0</v>
      </c>
      <c r="G111" s="171">
        <f>SUM(G105:G110)</f>
        <v>6549</v>
      </c>
      <c r="H111" s="172">
        <f t="shared" si="26"/>
        <v>1.5115272125674868E-3</v>
      </c>
      <c r="I111" s="336"/>
      <c r="J111" s="168"/>
      <c r="K111" s="168"/>
      <c r="M111" s="364">
        <f>G111/G$228</f>
        <v>0.69191759112519813</v>
      </c>
      <c r="N111" s="359">
        <f>SUMMARY!J114</f>
        <v>2.4242384372309496</v>
      </c>
      <c r="O111" s="354">
        <f>M111/N111-1</f>
        <v>-0.71458352425286575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'[71]Sch C'!D115</f>
        <v>68429</v>
      </c>
      <c r="D114" s="558">
        <f>'[71]Sch C'!F115</f>
        <v>0</v>
      </c>
      <c r="E114" s="171">
        <f t="shared" ref="E114:E118" si="29">C114+D114</f>
        <v>68429</v>
      </c>
      <c r="F114" s="171"/>
      <c r="G114" s="171">
        <f>E114+F114</f>
        <v>68429</v>
      </c>
      <c r="H114" s="172">
        <f t="shared" ref="H114:H119" si="30">IF($G$208=0,0,G114/$G$208)</f>
        <v>1.5793601409189274E-2</v>
      </c>
      <c r="I114" s="336"/>
      <c r="J114" s="183">
        <v>6825</v>
      </c>
      <c r="K114" s="183">
        <v>7335</v>
      </c>
      <c r="M114" s="364">
        <f t="shared" ref="M114:M119" si="31">G114/G$228</f>
        <v>7.2296883254094029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'[71]Sch C'!D116</f>
        <v>0</v>
      </c>
      <c r="D115" s="558">
        <f>'[71]Sch C'!F116</f>
        <v>11093</v>
      </c>
      <c r="E115" s="171">
        <f t="shared" si="29"/>
        <v>11093</v>
      </c>
      <c r="F115" s="171"/>
      <c r="G115" s="171">
        <f>E115+F115</f>
        <v>11093</v>
      </c>
      <c r="H115" s="172">
        <f t="shared" si="30"/>
        <v>2.5602949105223895E-3</v>
      </c>
      <c r="I115" s="336"/>
      <c r="J115" s="168"/>
      <c r="K115" s="168"/>
      <c r="M115" s="364">
        <f t="shared" si="31"/>
        <v>1.1720021130480718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'[71]Sch C'!D117</f>
        <v>11821</v>
      </c>
      <c r="D116" s="558">
        <f>'[71]Sch C'!F117</f>
        <v>0</v>
      </c>
      <c r="E116" s="171">
        <f t="shared" si="29"/>
        <v>11821</v>
      </c>
      <c r="F116" s="171"/>
      <c r="G116" s="171">
        <f>E116+F116</f>
        <v>11821</v>
      </c>
      <c r="H116" s="172">
        <f t="shared" si="30"/>
        <v>2.7283193128355872E-3</v>
      </c>
      <c r="I116" s="336"/>
      <c r="J116" s="168"/>
      <c r="K116" s="168"/>
      <c r="M116" s="364">
        <f t="shared" si="31"/>
        <v>1.24891706286318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'[71]Sch C'!D118</f>
        <v>0</v>
      </c>
      <c r="D117" s="558">
        <f>'[71]Sch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'[71]Sch C'!D119</f>
        <v>1039</v>
      </c>
      <c r="D118" s="558">
        <f>'[71]Sch C'!F119</f>
        <v>0</v>
      </c>
      <c r="E118" s="171">
        <f t="shared" si="29"/>
        <v>1039</v>
      </c>
      <c r="F118" s="171"/>
      <c r="G118" s="171">
        <f>E118+F118</f>
        <v>1039</v>
      </c>
      <c r="H118" s="172">
        <f t="shared" si="30"/>
        <v>2.3980405769699476E-4</v>
      </c>
      <c r="I118" s="336"/>
      <c r="J118" s="168"/>
      <c r="K118" s="168"/>
      <c r="M118" s="364">
        <f t="shared" si="31"/>
        <v>0.10977284733227681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81289</v>
      </c>
      <c r="D119" s="558">
        <f>SUM(D114:D118)</f>
        <v>11093</v>
      </c>
      <c r="E119" s="171">
        <f t="shared" ref="E119:F119" si="32">SUM(E114:E118)</f>
        <v>92382</v>
      </c>
      <c r="F119" s="171">
        <f t="shared" si="32"/>
        <v>0</v>
      </c>
      <c r="G119" s="171">
        <f>SUM(G114:G118)</f>
        <v>92382</v>
      </c>
      <c r="H119" s="172">
        <f t="shared" si="30"/>
        <v>2.1322019690244245E-2</v>
      </c>
      <c r="I119" s="336"/>
      <c r="J119" s="168"/>
      <c r="K119" s="168"/>
      <c r="M119" s="364">
        <f t="shared" si="31"/>
        <v>9.7603803486529319</v>
      </c>
      <c r="N119" s="359">
        <f>SUMMARY!J122</f>
        <v>6.0247597205909562</v>
      </c>
      <c r="O119" s="354">
        <f>M119/N119-1</f>
        <v>0.62004474888760486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'[71]Sch C'!D124</f>
        <v>0</v>
      </c>
      <c r="D123" s="558">
        <f>'[71]Sch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'[71]Sch C'!D125</f>
        <v>144811</v>
      </c>
      <c r="D124" s="558">
        <f>'[71]Sch C'!F125</f>
        <v>0</v>
      </c>
      <c r="E124" s="171">
        <f t="shared" si="33"/>
        <v>144811</v>
      </c>
      <c r="F124" s="171"/>
      <c r="G124" s="171">
        <f>E124+F124</f>
        <v>144811</v>
      </c>
      <c r="H124" s="172">
        <f>IF($G$208=0,0,G124/$G$208)</f>
        <v>3.3422777092550059E-2</v>
      </c>
      <c r="I124" s="336"/>
      <c r="J124" s="183">
        <v>4384</v>
      </c>
      <c r="K124" s="183">
        <v>4955</v>
      </c>
      <c r="M124" s="364">
        <f t="shared" si="34"/>
        <v>15.299630216587428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'[71]Sch C'!D126</f>
        <v>0</v>
      </c>
      <c r="D125" s="558">
        <f>'[71]Sch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'[71]Sch C'!D127</f>
        <v>0</v>
      </c>
      <c r="D126" s="558">
        <f>'[71]Sch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'[71]Sch C'!D128</f>
        <v>63768</v>
      </c>
      <c r="D127" s="558">
        <f>'[71]Sch C'!F128</f>
        <v>0</v>
      </c>
      <c r="E127" s="171">
        <f t="shared" si="33"/>
        <v>63768</v>
      </c>
      <c r="F127" s="171"/>
      <c r="G127" s="171">
        <f>E127+F127</f>
        <v>63768</v>
      </c>
      <c r="H127" s="172">
        <f>IF($G$208=0,0,G127/$G$208)</f>
        <v>1.4717829789434035E-2</v>
      </c>
      <c r="I127" s="336"/>
      <c r="J127" s="183">
        <v>1712</v>
      </c>
      <c r="K127" s="183">
        <v>1876</v>
      </c>
      <c r="M127" s="364">
        <f t="shared" si="34"/>
        <v>6.7372424722662441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'[71]Sch C'!D130</f>
        <v>0</v>
      </c>
      <c r="D129" s="558">
        <f>'[71]Sch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'[71]Sch C'!D131</f>
        <v>0</v>
      </c>
      <c r="D130" s="558">
        <f>'[71]Sch C'!F131</f>
        <v>23475</v>
      </c>
      <c r="E130" s="171">
        <f t="shared" si="35"/>
        <v>23475</v>
      </c>
      <c r="F130" s="171"/>
      <c r="G130" s="171">
        <f>E130+F130</f>
        <v>23475</v>
      </c>
      <c r="H130" s="172">
        <f>IF($G$208=0,0,G130/$G$208)</f>
        <v>5.4180945663493286E-3</v>
      </c>
      <c r="I130" s="336"/>
      <c r="J130" s="204"/>
      <c r="K130" s="204"/>
      <c r="M130" s="364">
        <f t="shared" si="34"/>
        <v>2.480190174326466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'[71]Sch C'!D132</f>
        <v>0</v>
      </c>
      <c r="D131" s="558">
        <f>'[71]Sch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'[71]Sch C'!D133</f>
        <v>0</v>
      </c>
      <c r="D132" s="558">
        <f>'[71]Sch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'[71]Sch C'!D134</f>
        <v>0</v>
      </c>
      <c r="D133" s="558">
        <f>'[71]Sch C'!F134</f>
        <v>10337</v>
      </c>
      <c r="E133" s="171">
        <f t="shared" si="35"/>
        <v>10337</v>
      </c>
      <c r="F133" s="171"/>
      <c r="G133" s="171">
        <f>E133+F133</f>
        <v>10337</v>
      </c>
      <c r="H133" s="172">
        <f>IF($G$208=0,0,G133/$G$208)</f>
        <v>2.3858080311971461E-3</v>
      </c>
      <c r="I133" s="336"/>
      <c r="J133" s="168"/>
      <c r="K133" s="168"/>
      <c r="M133" s="364">
        <f t="shared" si="34"/>
        <v>1.0921288959323825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'[71]Sch C'!D136</f>
        <v>339876</v>
      </c>
      <c r="D135" s="558">
        <f>'[71]Sch C'!F136</f>
        <v>0</v>
      </c>
      <c r="E135" s="171">
        <f t="shared" ref="E135:E138" si="36">C135+D135</f>
        <v>339876</v>
      </c>
      <c r="F135" s="171"/>
      <c r="G135" s="171">
        <f>E135+F135</f>
        <v>339876</v>
      </c>
      <c r="H135" s="172">
        <f>IF($G$208=0,0,G135/$G$208)</f>
        <v>7.8444315605220208E-2</v>
      </c>
      <c r="I135" s="336"/>
      <c r="J135" s="183">
        <v>11152</v>
      </c>
      <c r="K135" s="183">
        <v>11676</v>
      </c>
      <c r="M135" s="364">
        <f t="shared" si="34"/>
        <v>35.908716323296353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'[71]Sch C'!D137</f>
        <v>191649</v>
      </c>
      <c r="D136" s="558">
        <f>'[71]Sch C'!F137</f>
        <v>0</v>
      </c>
      <c r="E136" s="171">
        <f t="shared" si="36"/>
        <v>191649</v>
      </c>
      <c r="F136" s="171"/>
      <c r="G136" s="171">
        <f>E136+F136</f>
        <v>191649</v>
      </c>
      <c r="H136" s="172">
        <f>IF($G$208=0,0,G136/$G$208)</f>
        <v>4.4233116317200526E-2</v>
      </c>
      <c r="I136" s="336"/>
      <c r="J136" s="183">
        <v>7420</v>
      </c>
      <c r="K136" s="183">
        <v>7790</v>
      </c>
      <c r="M136" s="364">
        <f t="shared" si="34"/>
        <v>20.248177496038036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'[71]Sch C'!D138</f>
        <v>353896</v>
      </c>
      <c r="D137" s="558">
        <f>'[71]Sch C'!F138</f>
        <v>0</v>
      </c>
      <c r="E137" s="171">
        <f t="shared" si="36"/>
        <v>353896</v>
      </c>
      <c r="F137" s="171"/>
      <c r="G137" s="171">
        <f>E137+F137</f>
        <v>353896</v>
      </c>
      <c r="H137" s="172">
        <f>IF($G$208=0,0,G137/$G$208)</f>
        <v>8.1680170166251842E-2</v>
      </c>
      <c r="I137" s="336"/>
      <c r="J137" s="183">
        <v>28835</v>
      </c>
      <c r="K137" s="183">
        <v>29757</v>
      </c>
      <c r="M137" s="364">
        <f t="shared" si="34"/>
        <v>37.389963021658744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'[71]Sch C'!D139</f>
        <v>0</v>
      </c>
      <c r="D138" s="558">
        <f>'[71]Sch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'[71]Sch C'!D141</f>
        <v>0</v>
      </c>
      <c r="D140" s="558">
        <f>'[71]Sch C'!F141</f>
        <v>55096</v>
      </c>
      <c r="E140" s="171">
        <f t="shared" ref="E140:E143" si="37">C140+D140</f>
        <v>55096</v>
      </c>
      <c r="F140" s="171"/>
      <c r="G140" s="171">
        <f>E140+F140</f>
        <v>55096</v>
      </c>
      <c r="H140" s="172">
        <f>IF($G$208=0,0,G140/$G$208)</f>
        <v>1.27163083377032E-2</v>
      </c>
      <c r="I140" s="336"/>
      <c r="J140" s="168"/>
      <c r="K140" s="168"/>
      <c r="M140" s="364">
        <f t="shared" si="34"/>
        <v>5.8210248283148438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'[71]Sch C'!D142</f>
        <v>0</v>
      </c>
      <c r="D141" s="558">
        <f>'[71]Sch C'!F142</f>
        <v>31068</v>
      </c>
      <c r="E141" s="171">
        <f t="shared" si="37"/>
        <v>31068</v>
      </c>
      <c r="F141" s="171"/>
      <c r="G141" s="171">
        <f>E141+F141</f>
        <v>31068</v>
      </c>
      <c r="H141" s="172">
        <f>IF($G$208=0,0,G141/$G$208)</f>
        <v>7.1705798503659606E-3</v>
      </c>
      <c r="I141" s="336"/>
      <c r="J141" s="168"/>
      <c r="K141" s="168"/>
      <c r="M141" s="364">
        <f t="shared" si="34"/>
        <v>3.2824088748019018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'[71]Sch C'!D143</f>
        <v>0</v>
      </c>
      <c r="D142" s="558">
        <f>'[71]Sch C'!F143</f>
        <v>57369</v>
      </c>
      <c r="E142" s="171">
        <f t="shared" si="37"/>
        <v>57369</v>
      </c>
      <c r="F142" s="171"/>
      <c r="G142" s="171">
        <f>E142+F142</f>
        <v>57369</v>
      </c>
      <c r="H142" s="172">
        <f>IF($G$208=0,0,G142/$G$208)</f>
        <v>1.3240922989431081E-2</v>
      </c>
      <c r="I142" s="336"/>
      <c r="J142" s="168"/>
      <c r="K142" s="168"/>
      <c r="M142" s="364">
        <f t="shared" si="34"/>
        <v>6.0611727416798731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'[71]Sch C'!D144</f>
        <v>0</v>
      </c>
      <c r="D143" s="558">
        <f>'[71]Sch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'[71]Sch C'!D146</f>
        <v>28200</v>
      </c>
      <c r="D145" s="558">
        <f>'[71]Sch C'!F146</f>
        <v>0</v>
      </c>
      <c r="E145" s="171">
        <f t="shared" ref="E145:E153" si="38">C145+D145</f>
        <v>28200</v>
      </c>
      <c r="F145" s="171"/>
      <c r="G145" s="171">
        <f t="shared" ref="G145:G153" si="39">E145+F145</f>
        <v>28200</v>
      </c>
      <c r="H145" s="172">
        <f t="shared" ref="H145:H153" si="40">IF($G$208=0,0,G145/$G$208)</f>
        <v>6.5086375621321007E-3</v>
      </c>
      <c r="I145" s="336"/>
      <c r="J145" s="183">
        <v>0</v>
      </c>
      <c r="K145" s="183">
        <v>0</v>
      </c>
      <c r="M145" s="364">
        <f t="shared" si="34"/>
        <v>2.9793977812995247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'[71]Sch C'!D147</f>
        <v>0</v>
      </c>
      <c r="D146" s="558">
        <f>'[71]Sch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'[71]Sch C'!D148</f>
        <v>0</v>
      </c>
      <c r="D147" s="558">
        <f>'[71]Sch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'[71]Sch C'!D149</f>
        <v>0</v>
      </c>
      <c r="D148" s="558">
        <f>'[71]Sch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'[71]Sch C'!D150</f>
        <v>10430</v>
      </c>
      <c r="D149" s="558">
        <f>'[71]Sch C'!F150</f>
        <v>0</v>
      </c>
      <c r="E149" s="171">
        <f t="shared" si="38"/>
        <v>10430</v>
      </c>
      <c r="F149" s="171"/>
      <c r="G149" s="171">
        <f t="shared" si="39"/>
        <v>10430</v>
      </c>
      <c r="H149" s="172">
        <f t="shared" si="40"/>
        <v>2.4072726869871562E-3</v>
      </c>
      <c r="I149" s="336"/>
      <c r="J149" s="183">
        <v>0</v>
      </c>
      <c r="K149" s="183">
        <v>0</v>
      </c>
      <c r="M149" s="364">
        <f t="shared" si="34"/>
        <v>1.1019545694664554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'[71]Sch C'!D151</f>
        <v>54352</v>
      </c>
      <c r="D150" s="558">
        <f>'[71]Sch C'!F151</f>
        <v>0</v>
      </c>
      <c r="E150" s="171">
        <f t="shared" si="38"/>
        <v>54352</v>
      </c>
      <c r="F150" s="171"/>
      <c r="G150" s="171">
        <f t="shared" si="39"/>
        <v>54352</v>
      </c>
      <c r="H150" s="172">
        <f t="shared" si="40"/>
        <v>1.2544591091383117E-2</v>
      </c>
      <c r="I150" s="336"/>
      <c r="J150" s="168"/>
      <c r="K150" s="168"/>
      <c r="M150" s="364">
        <f t="shared" si="34"/>
        <v>5.7424194400422612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'[71]Sch C'!D152</f>
        <v>1139</v>
      </c>
      <c r="D151" s="558">
        <f>'[71]Sch C'!F152</f>
        <v>0</v>
      </c>
      <c r="E151" s="171">
        <f t="shared" si="38"/>
        <v>1139</v>
      </c>
      <c r="F151" s="171"/>
      <c r="G151" s="171">
        <f t="shared" si="39"/>
        <v>1139</v>
      </c>
      <c r="H151" s="172">
        <f t="shared" si="40"/>
        <v>2.6288433274001638E-4</v>
      </c>
      <c r="I151" s="336"/>
      <c r="J151" s="168"/>
      <c r="K151" s="168"/>
      <c r="M151" s="364">
        <f t="shared" si="34"/>
        <v>0.12033808769149498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'[71]Sch C'!D153</f>
        <v>0</v>
      </c>
      <c r="D152" s="558">
        <f>'[71]Sch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'[71]Sch C'!D154</f>
        <v>0</v>
      </c>
      <c r="D153" s="558">
        <f>'[71]Sch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'[71]Sch C'!D156</f>
        <v>0</v>
      </c>
      <c r="D155" s="558">
        <f>'[71]Sch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'[71]Sch C'!D157</f>
        <v>0</v>
      </c>
      <c r="D156" s="558">
        <f>'[71]Sch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'[71]Sch C'!D158</f>
        <v>0</v>
      </c>
      <c r="D157" s="558">
        <f>'[71]Sch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'[71]Sch C'!D159</f>
        <v>0</v>
      </c>
      <c r="D158" s="558">
        <f>'[71]Sch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'[71]Sch C'!D160</f>
        <v>0</v>
      </c>
      <c r="D159" s="558">
        <f>'[71]Sch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'[71]Sch C'!D161</f>
        <v>5323</v>
      </c>
      <c r="D160" s="558">
        <f>'[71]Sch C'!F161</f>
        <v>0</v>
      </c>
      <c r="E160" s="171">
        <f t="shared" si="41"/>
        <v>5323</v>
      </c>
      <c r="F160" s="171"/>
      <c r="G160" s="171">
        <f t="shared" si="42"/>
        <v>5323</v>
      </c>
      <c r="H160" s="172">
        <f t="shared" si="43"/>
        <v>1.2285630405400416E-3</v>
      </c>
      <c r="I160" s="336"/>
      <c r="J160" s="168"/>
      <c r="K160" s="168"/>
      <c r="M160" s="364">
        <f t="shared" si="34"/>
        <v>0.56238774432118332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1193444</v>
      </c>
      <c r="D161" s="558">
        <f>SUM(D123:D160)</f>
        <v>177345</v>
      </c>
      <c r="E161" s="171">
        <f t="shared" ref="E161:F161" si="44">SUM(E123:E160)</f>
        <v>1370789</v>
      </c>
      <c r="F161" s="171">
        <f t="shared" si="44"/>
        <v>0</v>
      </c>
      <c r="G161" s="171">
        <f>SUM(G123:G160)</f>
        <v>1370789</v>
      </c>
      <c r="H161" s="172">
        <f t="shared" si="43"/>
        <v>0.31638187145948582</v>
      </c>
      <c r="I161" s="336"/>
      <c r="J161" s="168"/>
      <c r="K161" s="168"/>
      <c r="M161" s="364">
        <f>G161/G$228</f>
        <v>144.8271526677232</v>
      </c>
      <c r="N161" s="359">
        <f>SUMMARY!J164</f>
        <v>105.56901037202306</v>
      </c>
      <c r="O161" s="354">
        <f>M161/N161-1</f>
        <v>0.37187184153148012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'[71]Sch C'!D175</f>
        <v>0</v>
      </c>
      <c r="D164" s="558">
        <f>'[71]Sch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'[71]Sch C'!D176</f>
        <v>0</v>
      </c>
      <c r="D165" s="558">
        <f>'[71]Sch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'[71]Sch C'!D177</f>
        <v>219711</v>
      </c>
      <c r="D166" s="558">
        <f>'[71]Sch C'!F177</f>
        <v>0</v>
      </c>
      <c r="E166" s="171">
        <f t="shared" si="45"/>
        <v>219711</v>
      </c>
      <c r="F166" s="216"/>
      <c r="G166" s="171">
        <f t="shared" si="46"/>
        <v>219711</v>
      </c>
      <c r="H166" s="172">
        <f t="shared" si="47"/>
        <v>5.070990309977326E-2</v>
      </c>
      <c r="I166" s="342"/>
      <c r="J166" s="217">
        <v>13521</v>
      </c>
      <c r="K166" s="217">
        <v>14589</v>
      </c>
      <c r="L166" s="218"/>
      <c r="M166" s="364">
        <f t="shared" si="48"/>
        <v>23.212995245641839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'[71]Sch C'!D178</f>
        <v>0</v>
      </c>
      <c r="D167" s="558">
        <f>'[71]Sch C'!F178</f>
        <v>35617</v>
      </c>
      <c r="E167" s="171">
        <f t="shared" si="45"/>
        <v>35617</v>
      </c>
      <c r="F167" s="216"/>
      <c r="G167" s="171">
        <f t="shared" si="46"/>
        <v>35617</v>
      </c>
      <c r="H167" s="172">
        <f t="shared" si="47"/>
        <v>8.2205015620730147E-3</v>
      </c>
      <c r="I167" s="343"/>
      <c r="J167" s="222"/>
      <c r="K167" s="222"/>
      <c r="L167" s="218"/>
      <c r="M167" s="364">
        <f t="shared" si="48"/>
        <v>3.7630216587427365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'[71]Sch C'!D179</f>
        <v>0</v>
      </c>
      <c r="D168" s="558">
        <f>'[71]Sch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'[71]Sch C'!D180</f>
        <v>0</v>
      </c>
      <c r="D169" s="558">
        <f>'[71]Sch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'[71]Sch C'!D181</f>
        <v>0</v>
      </c>
      <c r="D170" s="558">
        <f>'[71]Sch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'[71]Sch C'!D182</f>
        <v>0</v>
      </c>
      <c r="D171" s="558">
        <f>'[71]Sch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'[71]Sch C'!D183</f>
        <v>153232</v>
      </c>
      <c r="D172" s="558">
        <f>'[71]Sch C'!F183</f>
        <v>0</v>
      </c>
      <c r="E172" s="171">
        <f t="shared" si="45"/>
        <v>153232</v>
      </c>
      <c r="F172" s="216"/>
      <c r="G172" s="171">
        <f t="shared" si="46"/>
        <v>153232</v>
      </c>
      <c r="H172" s="172">
        <f t="shared" si="47"/>
        <v>3.5366367053922911E-2</v>
      </c>
      <c r="I172" s="342"/>
      <c r="J172" s="217">
        <v>7630</v>
      </c>
      <c r="K172" s="217">
        <v>8326</v>
      </c>
      <c r="L172" s="218"/>
      <c r="M172" s="364">
        <f t="shared" si="48"/>
        <v>16.189329107237189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'[71]Sch C'!D184</f>
        <v>0</v>
      </c>
      <c r="D173" s="558">
        <f>'[71]Sch C'!F184</f>
        <v>24840</v>
      </c>
      <c r="E173" s="171">
        <f t="shared" si="45"/>
        <v>24840</v>
      </c>
      <c r="F173" s="216"/>
      <c r="G173" s="171">
        <f t="shared" si="46"/>
        <v>24840</v>
      </c>
      <c r="H173" s="172">
        <f t="shared" si="47"/>
        <v>5.7331403206865739E-3</v>
      </c>
      <c r="I173" s="343"/>
      <c r="J173" s="222"/>
      <c r="K173" s="222"/>
      <c r="L173" s="218"/>
      <c r="M173" s="364">
        <f t="shared" si="48"/>
        <v>2.624405705229794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'[71]Sch C'!D185</f>
        <v>0</v>
      </c>
      <c r="D174" s="558">
        <f>'[71]Sch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'[71]Sch C'!D186</f>
        <v>0</v>
      </c>
      <c r="D175" s="558">
        <f>'[71]Sch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'[71]Sch C'!D187</f>
        <v>0</v>
      </c>
      <c r="D176" s="558">
        <f>'[71]Sch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'[71]Sch C'!D188</f>
        <v>17857</v>
      </c>
      <c r="D177" s="558">
        <f>'[71]Sch C'!F188</f>
        <v>0</v>
      </c>
      <c r="E177" s="171">
        <f t="shared" si="45"/>
        <v>17857</v>
      </c>
      <c r="F177" s="216"/>
      <c r="G177" s="171">
        <f t="shared" si="46"/>
        <v>17857</v>
      </c>
      <c r="H177" s="172">
        <f t="shared" si="47"/>
        <v>4.1214447144323728E-3</v>
      </c>
      <c r="I177" s="336"/>
      <c r="J177" s="223"/>
      <c r="K177" s="218"/>
      <c r="L177" s="220"/>
      <c r="M177" s="364">
        <f t="shared" si="48"/>
        <v>1.886634970945589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'[71]Sch C'!D189</f>
        <v>0</v>
      </c>
      <c r="D178" s="558">
        <f>'[71]Sch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'[71]Sch C'!D190</f>
        <v>0</v>
      </c>
      <c r="D179" s="558">
        <f>'[71]Sch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'[71]Sch C'!D191</f>
        <v>0</v>
      </c>
      <c r="D180" s="558">
        <f>'[71]Sch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'[71]Sch C'!D192</f>
        <v>0</v>
      </c>
      <c r="D181" s="558">
        <f>'[71]Sch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'[71]Sch C'!D193</f>
        <v>0</v>
      </c>
      <c r="D182" s="558">
        <f>'[71]Sch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'[71]Sch C'!D194</f>
        <v>225902</v>
      </c>
      <c r="D183" s="558">
        <f>'[71]Sch C'!F194</f>
        <v>0</v>
      </c>
      <c r="E183" s="171">
        <f t="shared" si="45"/>
        <v>225902</v>
      </c>
      <c r="F183" s="216"/>
      <c r="G183" s="171">
        <f t="shared" si="46"/>
        <v>225902</v>
      </c>
      <c r="H183" s="172">
        <f t="shared" si="47"/>
        <v>5.2138802927686731E-2</v>
      </c>
      <c r="I183" s="336"/>
      <c r="J183" s="223"/>
      <c r="K183" s="218"/>
      <c r="M183" s="364">
        <f t="shared" si="48"/>
        <v>23.867089276281035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'[71]Sch C'!D195</f>
        <v>15156</v>
      </c>
      <c r="D184" s="558">
        <f>'[71]Sch C'!F195</f>
        <v>0</v>
      </c>
      <c r="E184" s="171">
        <f t="shared" si="45"/>
        <v>15156</v>
      </c>
      <c r="F184" s="216"/>
      <c r="G184" s="171">
        <f t="shared" si="46"/>
        <v>15156</v>
      </c>
      <c r="H184" s="172">
        <f t="shared" si="47"/>
        <v>3.4980464855203586E-3</v>
      </c>
      <c r="I184" s="336"/>
      <c r="J184" s="223"/>
      <c r="K184" s="218"/>
      <c r="M184" s="364">
        <f t="shared" si="48"/>
        <v>1.6012678288431061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'[71]Sch C'!D196</f>
        <v>0</v>
      </c>
      <c r="D185" s="558">
        <f>'[71]Sch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'[71]Sch C'!D197</f>
        <v>98314</v>
      </c>
      <c r="D186" s="558">
        <f>'[71]Sch C'!F197</f>
        <v>0</v>
      </c>
      <c r="E186" s="171">
        <f t="shared" si="45"/>
        <v>98314</v>
      </c>
      <c r="F186" s="216"/>
      <c r="G186" s="171">
        <f t="shared" si="46"/>
        <v>98314</v>
      </c>
      <c r="H186" s="172">
        <f t="shared" si="47"/>
        <v>2.269114160579629E-2</v>
      </c>
      <c r="I186" s="336"/>
      <c r="J186" s="223"/>
      <c r="K186" s="218"/>
      <c r="M186" s="364">
        <f t="shared" si="48"/>
        <v>10.387110406761753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'[71]Sch C'!D198</f>
        <v>61087</v>
      </c>
      <c r="D187" s="558">
        <f>'[71]Sch C'!F198</f>
        <v>0</v>
      </c>
      <c r="E187" s="171">
        <f t="shared" si="45"/>
        <v>61087</v>
      </c>
      <c r="F187" s="216"/>
      <c r="G187" s="171">
        <f t="shared" si="46"/>
        <v>61087</v>
      </c>
      <c r="H187" s="172">
        <f t="shared" si="47"/>
        <v>1.4099047615530625E-2</v>
      </c>
      <c r="I187" s="336"/>
      <c r="J187" s="223"/>
      <c r="K187" s="218"/>
      <c r="M187" s="364">
        <f t="shared" si="48"/>
        <v>6.4539883782356045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'[71]Sch C'!D199</f>
        <v>0</v>
      </c>
      <c r="D188" s="558">
        <f>'[71]Sch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'[71]Sch C'!D200</f>
        <v>0</v>
      </c>
      <c r="D189" s="558">
        <f>'[71]Sch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'[71]Sch C'!D201</f>
        <v>0</v>
      </c>
      <c r="D190" s="558">
        <f>'[71]Sch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'[71]Sch C'!D202</f>
        <v>0</v>
      </c>
      <c r="D191" s="558">
        <f>'[71]Sch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'[71]Sch C'!D203</f>
        <v>0</v>
      </c>
      <c r="D192" s="558">
        <f>'[71]Sch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'[71]Sch C'!D204</f>
        <v>0</v>
      </c>
      <c r="D193" s="558">
        <f>'[71]Sch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'[71]Sch C'!D205</f>
        <v>291216</v>
      </c>
      <c r="D194" s="558">
        <f>'[71]Sch C'!F205</f>
        <v>0</v>
      </c>
      <c r="E194" s="171">
        <f t="shared" si="45"/>
        <v>291216</v>
      </c>
      <c r="F194" s="216"/>
      <c r="G194" s="171">
        <f t="shared" si="46"/>
        <v>291216</v>
      </c>
      <c r="H194" s="172">
        <f t="shared" si="47"/>
        <v>6.7213453769285877E-2</v>
      </c>
      <c r="I194" s="336"/>
      <c r="J194" s="223"/>
      <c r="K194" s="218"/>
      <c r="M194" s="364">
        <f t="shared" si="48"/>
        <v>30.767670364500791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'[71]Sch C'!D206</f>
        <v>8869</v>
      </c>
      <c r="D195" s="558">
        <f>'[71]Sch C'!F206</f>
        <v>0</v>
      </c>
      <c r="E195" s="171">
        <f t="shared" si="45"/>
        <v>8869</v>
      </c>
      <c r="F195" s="216"/>
      <c r="G195" s="171">
        <f t="shared" si="46"/>
        <v>8869</v>
      </c>
      <c r="H195" s="172">
        <f t="shared" si="47"/>
        <v>2.0469895935655885E-3</v>
      </c>
      <c r="I195" s="336"/>
      <c r="J195" s="223"/>
      <c r="K195" s="218"/>
      <c r="M195" s="364">
        <f t="shared" si="48"/>
        <v>0.93703116745905968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'[71]Sch C'!D207</f>
        <v>1112</v>
      </c>
      <c r="D196" s="558">
        <f>'[71]Sch C'!F207</f>
        <v>0</v>
      </c>
      <c r="E196" s="171">
        <f t="shared" si="45"/>
        <v>1112</v>
      </c>
      <c r="F196" s="216"/>
      <c r="G196" s="171">
        <f t="shared" si="46"/>
        <v>1112</v>
      </c>
      <c r="H196" s="172">
        <f t="shared" si="47"/>
        <v>2.5665265847840056E-4</v>
      </c>
      <c r="I196" s="336"/>
      <c r="J196" s="223"/>
      <c r="K196" s="218"/>
      <c r="M196" s="364">
        <f t="shared" si="48"/>
        <v>0.11748547279450608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1092456</v>
      </c>
      <c r="D197" s="558">
        <f>SUM(D164:D196)</f>
        <v>60457</v>
      </c>
      <c r="E197" s="171">
        <f t="shared" ref="E197:F197" si="49">SUM(E164:E196)</f>
        <v>1152913</v>
      </c>
      <c r="F197" s="171">
        <f t="shared" si="49"/>
        <v>0</v>
      </c>
      <c r="G197" s="171">
        <f>SUM(G164:G196)</f>
        <v>1152913</v>
      </c>
      <c r="H197" s="172">
        <f>IF($G$208=0,0,G197/$G$208)</f>
        <v>0.26609549140675198</v>
      </c>
      <c r="I197" s="336"/>
      <c r="J197" s="168"/>
      <c r="K197" s="168"/>
      <c r="M197" s="364">
        <f>G197/G$228</f>
        <v>121.808029582673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'[71]Sch C'!D211</f>
        <v>96240</v>
      </c>
      <c r="D200" s="558">
        <f>'[71]Sch C'!F211</f>
        <v>0</v>
      </c>
      <c r="E200" s="171">
        <f t="shared" ref="E200:E205" si="50">C200+D200</f>
        <v>96240</v>
      </c>
      <c r="F200" s="171"/>
      <c r="G200" s="171">
        <f t="shared" ref="G200:G205" si="51">E200+F200</f>
        <v>96240</v>
      </c>
      <c r="H200" s="172">
        <f t="shared" ref="H200:H206" si="52">IF($G$208=0,0,G200/$G$208)</f>
        <v>2.221245670140402E-2</v>
      </c>
      <c r="I200" s="336"/>
      <c r="J200" s="183">
        <v>4085</v>
      </c>
      <c r="K200" s="183">
        <v>4467</v>
      </c>
      <c r="M200" s="364">
        <f t="shared" ref="M200:M205" si="53">G200/G$228</f>
        <v>10.167987321711569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'[71]Sch C'!D212</f>
        <v>0</v>
      </c>
      <c r="D201" s="558">
        <f>'[71]Sch C'!F212</f>
        <v>15601</v>
      </c>
      <c r="E201" s="171">
        <f t="shared" si="50"/>
        <v>15601</v>
      </c>
      <c r="F201" s="171"/>
      <c r="G201" s="171">
        <f t="shared" si="51"/>
        <v>15601</v>
      </c>
      <c r="H201" s="172">
        <f t="shared" si="52"/>
        <v>3.6007537094618048E-3</v>
      </c>
      <c r="I201" s="336"/>
      <c r="J201" s="168"/>
      <c r="K201" s="168"/>
      <c r="M201" s="364">
        <f t="shared" si="53"/>
        <v>1.6482831484416272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'[71]Sch C'!D213</f>
        <v>1770</v>
      </c>
      <c r="D202" s="558">
        <f>'[71]Sch C'!F213</f>
        <v>0</v>
      </c>
      <c r="E202" s="171">
        <f t="shared" si="50"/>
        <v>1770</v>
      </c>
      <c r="F202" s="171"/>
      <c r="G202" s="171">
        <f t="shared" si="51"/>
        <v>1770</v>
      </c>
      <c r="H202" s="172">
        <f t="shared" si="52"/>
        <v>4.0852086826148289E-4</v>
      </c>
      <c r="I202" s="336"/>
      <c r="J202" s="168"/>
      <c r="K202" s="168"/>
      <c r="M202" s="364">
        <f t="shared" si="53"/>
        <v>0.18700475435816163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'[71]Sch C'!D214</f>
        <v>0</v>
      </c>
      <c r="D203" s="558">
        <f>'[71]Sch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'[71]Sch C'!D215</f>
        <v>0</v>
      </c>
      <c r="D204" s="558">
        <f>'[71]Sch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'[71]Sch C'!D216</f>
        <v>3252</v>
      </c>
      <c r="D205" s="558">
        <f>'[71]Sch C'!F216</f>
        <v>0</v>
      </c>
      <c r="E205" s="171">
        <f t="shared" si="50"/>
        <v>3252</v>
      </c>
      <c r="F205" s="171"/>
      <c r="G205" s="171">
        <f t="shared" si="51"/>
        <v>3252</v>
      </c>
      <c r="H205" s="172">
        <f t="shared" si="52"/>
        <v>7.5057054439906347E-4</v>
      </c>
      <c r="I205" s="336"/>
      <c r="J205" s="168"/>
      <c r="K205" s="168"/>
      <c r="M205" s="364">
        <f t="shared" si="53"/>
        <v>0.34358161648177499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101262</v>
      </c>
      <c r="D206" s="558">
        <f>SUM(D200:D205)</f>
        <v>15601</v>
      </c>
      <c r="E206" s="171">
        <f t="shared" ref="E206:F206" si="54">SUM(E200:E205)</f>
        <v>116863</v>
      </c>
      <c r="F206" s="171">
        <f t="shared" si="54"/>
        <v>0</v>
      </c>
      <c r="G206" s="171">
        <f>SUM(G200:G205)</f>
        <v>116863</v>
      </c>
      <c r="H206" s="172">
        <f t="shared" si="52"/>
        <v>2.6972301823526369E-2</v>
      </c>
      <c r="I206" s="336"/>
      <c r="J206" s="168"/>
      <c r="K206" s="168"/>
      <c r="M206" s="364">
        <f>G206/G$228</f>
        <v>12.346856840993132</v>
      </c>
      <c r="N206" s="359">
        <f>SUMMARY!J209</f>
        <v>7.1515095990067339</v>
      </c>
      <c r="O206" s="354">
        <f>M206/N206-1</f>
        <v>0.72646861058649415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4492446</v>
      </c>
      <c r="D208" s="558">
        <f>SUM(D25:D206)/2</f>
        <v>-159742</v>
      </c>
      <c r="E208" s="171">
        <f t="shared" ref="E208:F208" si="55">SUM(E25:E206)/2</f>
        <v>4332704</v>
      </c>
      <c r="F208" s="171">
        <f t="shared" si="55"/>
        <v>0</v>
      </c>
      <c r="G208" s="171">
        <f>SUM(G25:G206)/2</f>
        <v>4332704</v>
      </c>
      <c r="H208" s="172">
        <f>IF($G$208=0,0,G208/$G$208)</f>
        <v>1</v>
      </c>
      <c r="I208" s="336"/>
      <c r="J208" s="183">
        <f>SUM(J25:J200)</f>
        <v>109499</v>
      </c>
      <c r="K208" s="183">
        <f>SUM(K25:K200)</f>
        <v>116115</v>
      </c>
      <c r="M208" s="364">
        <f>G208/G$228</f>
        <v>457.7605916534601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2.5012475844762063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'[71]Sch C'!D221</f>
        <v>4492446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300295</v>
      </c>
      <c r="D215" s="558">
        <f>D21-D208</f>
        <v>159742</v>
      </c>
      <c r="E215" s="171">
        <f t="shared" ref="E215:F215" si="56">E21-E208</f>
        <v>460037</v>
      </c>
      <c r="F215" s="171">
        <f t="shared" si="56"/>
        <v>0</v>
      </c>
      <c r="G215" s="171">
        <f>G21-G208</f>
        <v>460037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'[71]Sch D'!C9</f>
        <v>0</v>
      </c>
      <c r="D219" s="592"/>
      <c r="E219" s="235">
        <f t="shared" ref="E219:G227" si="57">C219+D219</f>
        <v>0</v>
      </c>
      <c r="F219" s="234"/>
      <c r="G219" s="235">
        <f t="shared" si="57"/>
        <v>0</v>
      </c>
      <c r="H219" s="172">
        <f t="shared" ref="H219:H228" si="58">IF($G$228=0,0,G219/$G$228)</f>
        <v>0</v>
      </c>
      <c r="I219" s="336"/>
      <c r="J219" s="168"/>
      <c r="K219" s="168"/>
    </row>
    <row r="220" spans="1:17">
      <c r="A220" s="163"/>
      <c r="B220" s="170" t="s">
        <v>217</v>
      </c>
      <c r="C220" s="592">
        <f>'[71]Sch D'!D9</f>
        <v>0</v>
      </c>
      <c r="D220" s="592"/>
      <c r="E220" s="235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'[71]Sch D'!E9</f>
        <v>5407</v>
      </c>
      <c r="D221" s="592"/>
      <c r="E221" s="235">
        <f t="shared" si="57"/>
        <v>5407</v>
      </c>
      <c r="F221" s="234"/>
      <c r="G221" s="235">
        <f t="shared" si="57"/>
        <v>5407</v>
      </c>
      <c r="H221" s="172">
        <f t="shared" si="58"/>
        <v>0.5712625462229266</v>
      </c>
      <c r="I221" s="336"/>
      <c r="J221" s="168"/>
      <c r="K221" s="168"/>
    </row>
    <row r="222" spans="1:17">
      <c r="A222" s="163"/>
      <c r="B222" s="202" t="s">
        <v>334</v>
      </c>
      <c r="C222" s="592">
        <f>'[71]Sch D'!F9</f>
        <v>2666</v>
      </c>
      <c r="D222" s="592"/>
      <c r="E222" s="235">
        <f>C222+D222</f>
        <v>2666</v>
      </c>
      <c r="F222" s="234"/>
      <c r="G222" s="235">
        <f>E222+F222</f>
        <v>2666</v>
      </c>
      <c r="H222" s="172">
        <f t="shared" si="58"/>
        <v>0.28166930797675649</v>
      </c>
      <c r="I222" s="336"/>
      <c r="J222" s="168"/>
      <c r="K222" s="168"/>
    </row>
    <row r="223" spans="1:17">
      <c r="A223" s="163"/>
      <c r="B223" s="170" t="s">
        <v>73</v>
      </c>
      <c r="C223" s="592">
        <f>'[71]Sch D'!G9</f>
        <v>0</v>
      </c>
      <c r="D223" s="592"/>
      <c r="E223" s="235">
        <f t="shared" si="57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'[71]Sch D'!H9</f>
        <v>1392</v>
      </c>
      <c r="D224" s="592"/>
      <c r="E224" s="235">
        <f t="shared" si="57"/>
        <v>1392</v>
      </c>
      <c r="F224" s="234"/>
      <c r="G224" s="235">
        <f t="shared" si="57"/>
        <v>1392</v>
      </c>
      <c r="H224" s="172">
        <f t="shared" si="58"/>
        <v>0.14706814580031696</v>
      </c>
      <c r="I224" s="336"/>
      <c r="J224" s="168"/>
      <c r="K224" s="168"/>
    </row>
    <row r="225" spans="1:11">
      <c r="A225" s="163"/>
      <c r="B225" s="170" t="s">
        <v>236</v>
      </c>
      <c r="C225" s="592">
        <f>'[71]Sch D'!I9</f>
        <v>0</v>
      </c>
      <c r="D225" s="592"/>
      <c r="E225" s="235">
        <f t="shared" si="57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'[71]Sch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'[71]Sch D'!K9</f>
        <v>0</v>
      </c>
      <c r="D227" s="592"/>
      <c r="E227" s="235">
        <f t="shared" si="57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9465</v>
      </c>
      <c r="D228" s="592">
        <f>SUM(D219:D227)</f>
        <v>0</v>
      </c>
      <c r="E228" s="237">
        <f>SUM(E219:E227)</f>
        <v>9465</v>
      </c>
      <c r="F228" s="237">
        <f>SUM(F219:F227)</f>
        <v>0</v>
      </c>
      <c r="G228" s="237">
        <f>SUM(G219:G227)</f>
        <v>9465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668" t="s">
        <v>674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'[71]Sch D'!N22</f>
        <v>36</v>
      </c>
      <c r="D231" s="559"/>
      <c r="E231" s="235">
        <f>C231+D231</f>
        <v>36</v>
      </c>
      <c r="F231" s="235"/>
      <c r="G231" s="235">
        <f>E231+F231</f>
        <v>36</v>
      </c>
      <c r="J231" s="168"/>
      <c r="K231" s="168"/>
    </row>
    <row r="232" spans="1:11">
      <c r="A232" s="163"/>
      <c r="B232" s="202" t="s">
        <v>290</v>
      </c>
      <c r="C232" s="593">
        <f>'[71]Sch D'!N24</f>
        <v>36</v>
      </c>
      <c r="D232" s="559"/>
      <c r="E232" s="235">
        <f>C232+D232</f>
        <v>36</v>
      </c>
      <c r="F232" s="507">
        <v>-34</v>
      </c>
      <c r="G232" s="235">
        <f>E232+F232</f>
        <v>2</v>
      </c>
      <c r="H232" s="508" t="s">
        <v>675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'[71]Sch D'!N28</f>
        <v>13176</v>
      </c>
      <c r="D235" s="483"/>
      <c r="E235" s="234">
        <f>E231*E233</f>
        <v>13176</v>
      </c>
      <c r="F235" s="239"/>
      <c r="G235" s="234">
        <f>G231*G233</f>
        <v>13176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'[71]Sch D'!N30</f>
        <v>0.71835154826958103</v>
      </c>
      <c r="D236" s="239"/>
      <c r="E236" s="244">
        <f>E228/E235</f>
        <v>0.71835154826958103</v>
      </c>
      <c r="F236" s="245"/>
      <c r="G236" s="244">
        <f>G228/G235</f>
        <v>0.71835154826958103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'[71]Sch D'!N32</f>
        <v>0</v>
      </c>
      <c r="D237" s="239"/>
      <c r="E237" s="244">
        <f>(E219+E220)/E235</f>
        <v>0</v>
      </c>
      <c r="F237" s="245"/>
      <c r="G237" s="244">
        <f>(G219+G220)/G235</f>
        <v>0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'[71]Sch D'!N34</f>
        <v>0</v>
      </c>
      <c r="D238" s="239"/>
      <c r="E238" s="244">
        <f>(E237/E236)</f>
        <v>0</v>
      </c>
      <c r="F238" s="245"/>
      <c r="G238" s="244">
        <f>(G237/G236)</f>
        <v>0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/>
    </row>
    <row r="242" spans="2:7">
      <c r="B242" s="523" t="s">
        <v>421</v>
      </c>
      <c r="F242" s="142" t="s">
        <v>341</v>
      </c>
      <c r="G242" s="558"/>
    </row>
    <row r="243" spans="2:7">
      <c r="B243" s="460" t="s">
        <v>422</v>
      </c>
      <c r="F243" s="142" t="s">
        <v>342</v>
      </c>
      <c r="G243" s="558">
        <f>'[71]Sch B'!G85</f>
        <v>288.50161812297733</v>
      </c>
    </row>
    <row r="244" spans="2:7">
      <c r="F244" s="142" t="s">
        <v>343</v>
      </c>
      <c r="G244" s="558">
        <f>'[71]Sch B'!I85</f>
        <v>288.10064635272391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385</v>
      </c>
      <c r="D2" s="144"/>
      <c r="E2" s="460" t="s">
        <v>423</v>
      </c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'[72]Sch B'!E10</f>
        <v>363188</v>
      </c>
      <c r="D11" s="558">
        <f>'[72]Sch B'!G10</f>
        <v>0</v>
      </c>
      <c r="E11" s="171">
        <f>C11+D11</f>
        <v>363188</v>
      </c>
      <c r="F11" s="171"/>
      <c r="G11" s="171">
        <f t="shared" ref="G11:G20" si="0">E11+F11</f>
        <v>363188</v>
      </c>
      <c r="H11" s="172">
        <f t="shared" ref="H11:H21" si="1">IF($G$21=0,0,G11/$G$21)</f>
        <v>0.11878034198879922</v>
      </c>
      <c r="I11" s="336"/>
      <c r="J11" s="368" t="s">
        <v>344</v>
      </c>
      <c r="K11" s="369">
        <f>G21</f>
        <v>3057644</v>
      </c>
      <c r="M11" s="359">
        <f>IFERROR(G11/G219,0)</f>
        <v>161.48866162738994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'[72]Sch B'!E15</f>
        <v>0</v>
      </c>
      <c r="D12" s="558">
        <f>'[72]Sch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3045098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'[72]Sch B'!E21</f>
        <v>2465630</v>
      </c>
      <c r="D13" s="558">
        <f>'[72]Sch B'!G21</f>
        <v>0</v>
      </c>
      <c r="E13" s="171">
        <f t="shared" si="2"/>
        <v>2465630</v>
      </c>
      <c r="F13" s="171"/>
      <c r="G13" s="171">
        <f t="shared" si="0"/>
        <v>2465630</v>
      </c>
      <c r="H13" s="172">
        <f t="shared" si="1"/>
        <v>0.80638229957444363</v>
      </c>
      <c r="I13" s="336"/>
      <c r="J13" s="370" t="s">
        <v>346</v>
      </c>
      <c r="K13" s="371">
        <f>G228</f>
        <v>7689</v>
      </c>
      <c r="M13" s="359">
        <f t="shared" si="3"/>
        <v>526.506512919069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'[72]Sch B'!E27</f>
        <v>75146</v>
      </c>
      <c r="D14" s="558">
        <f>'[72]Sch B'!G27</f>
        <v>0</v>
      </c>
      <c r="E14" s="171">
        <f t="shared" si="2"/>
        <v>75146</v>
      </c>
      <c r="F14" s="175"/>
      <c r="G14" s="175">
        <f>E14+F14</f>
        <v>75146</v>
      </c>
      <c r="H14" s="176">
        <f t="shared" si="1"/>
        <v>2.4576438591281391E-2</v>
      </c>
      <c r="I14" s="337"/>
      <c r="J14" s="370" t="s">
        <v>347</v>
      </c>
      <c r="K14" s="371">
        <f>G231</f>
        <v>30</v>
      </c>
      <c r="M14" s="359">
        <f t="shared" si="3"/>
        <v>610.94308943089436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'[72]Sch B'!E32</f>
        <v>0</v>
      </c>
      <c r="D15" s="558">
        <f>'[72]Sch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10980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'[72]Sch B'!E37</f>
        <v>146398</v>
      </c>
      <c r="D16" s="558">
        <f>'[72]Sch B'!G37</f>
        <v>0</v>
      </c>
      <c r="E16" s="171">
        <f t="shared" si="2"/>
        <v>146398</v>
      </c>
      <c r="F16" s="171"/>
      <c r="G16" s="171">
        <f t="shared" si="0"/>
        <v>146398</v>
      </c>
      <c r="H16" s="172">
        <f t="shared" si="1"/>
        <v>4.7879347628435487E-2</v>
      </c>
      <c r="I16" s="336"/>
      <c r="J16" s="372"/>
      <c r="K16" s="371"/>
      <c r="M16" s="359">
        <f t="shared" si="3"/>
        <v>234.23679999999999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'[72]Sch B'!E42</f>
        <v>0</v>
      </c>
      <c r="D17" s="558">
        <f>'[72]Sch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67549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'[72]Sch B'!E47</f>
        <v>5120</v>
      </c>
      <c r="D18" s="558">
        <f>'[72]Sch B'!G47</f>
        <v>0</v>
      </c>
      <c r="E18" s="171">
        <f t="shared" si="2"/>
        <v>5120</v>
      </c>
      <c r="F18" s="171"/>
      <c r="G18" s="171">
        <f>E18+F18</f>
        <v>5120</v>
      </c>
      <c r="H18" s="172">
        <f t="shared" si="1"/>
        <v>1.6744918636701985E-3</v>
      </c>
      <c r="I18" s="336"/>
      <c r="J18" s="373" t="s">
        <v>252</v>
      </c>
      <c r="K18" s="374">
        <f>K208</f>
        <v>72333</v>
      </c>
      <c r="M18" s="359">
        <f t="shared" si="3"/>
        <v>568.88888888888891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'[72]Sch B'!E52</f>
        <v>0</v>
      </c>
      <c r="D19" s="558">
        <f>'[72]Sch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'[72]Sch B'!E67</f>
        <v>2162</v>
      </c>
      <c r="D20" s="558">
        <f>'[72]Sch B'!G67</f>
        <v>0</v>
      </c>
      <c r="E20" s="171">
        <f t="shared" si="2"/>
        <v>2162</v>
      </c>
      <c r="F20" s="171"/>
      <c r="G20" s="171">
        <f t="shared" si="0"/>
        <v>2162</v>
      </c>
      <c r="H20" s="172">
        <f t="shared" si="1"/>
        <v>7.0708035337011107E-4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3057644</v>
      </c>
      <c r="D21" s="558">
        <f>SUM(D11:D20)</f>
        <v>0</v>
      </c>
      <c r="E21" s="171">
        <f>SUM(E11:E20)</f>
        <v>3057644</v>
      </c>
      <c r="F21" s="171">
        <f>SUM(F11:F20)</f>
        <v>0</v>
      </c>
      <c r="G21" s="171">
        <f>SUM(G11:G20)</f>
        <v>3057644</v>
      </c>
      <c r="H21" s="172">
        <f t="shared" si="1"/>
        <v>1</v>
      </c>
      <c r="I21" s="336"/>
      <c r="J21" s="168"/>
      <c r="K21" s="168"/>
      <c r="M21" s="359">
        <f>IFERROR(G21/G228,0)</f>
        <v>397.66471582780594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'[72]Sch C'!D10</f>
        <v>89729</v>
      </c>
      <c r="D25" s="558">
        <f>'[72]Sch C'!F10</f>
        <v>0</v>
      </c>
      <c r="E25" s="171">
        <f t="shared" ref="E25:E60" si="4">C25+D25</f>
        <v>89729</v>
      </c>
      <c r="F25" s="171"/>
      <c r="G25" s="182">
        <f>E25+F25</f>
        <v>89729</v>
      </c>
      <c r="H25" s="172">
        <f>IF($G$208=0,0,G25/$G$208)</f>
        <v>2.9466703534664566E-2</v>
      </c>
      <c r="I25" s="336"/>
      <c r="J25" s="183">
        <v>1916</v>
      </c>
      <c r="K25" s="183">
        <v>2080</v>
      </c>
      <c r="M25" s="359">
        <f>G25/G$228</f>
        <v>11.669788008843803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'[72]Sch C'!D11</f>
        <v>0</v>
      </c>
      <c r="D26" s="558">
        <f>'[72]Sch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'[72]Sch C'!D12</f>
        <v>45317</v>
      </c>
      <c r="D27" s="558">
        <f>'[72]Sch C'!F12</f>
        <v>0</v>
      </c>
      <c r="E27" s="171">
        <f t="shared" si="4"/>
        <v>45317</v>
      </c>
      <c r="F27" s="171"/>
      <c r="G27" s="171">
        <f t="shared" si="5"/>
        <v>45317</v>
      </c>
      <c r="H27" s="172">
        <f t="shared" si="6"/>
        <v>1.4881951254113989E-2</v>
      </c>
      <c r="I27" s="336"/>
      <c r="J27" s="185">
        <v>1781</v>
      </c>
      <c r="K27" s="185">
        <v>1985</v>
      </c>
      <c r="M27" s="359">
        <f t="shared" si="7"/>
        <v>5.8937443100533233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'[72]Sch C'!D13</f>
        <v>197234</v>
      </c>
      <c r="D28" s="558">
        <f>'[72]Sch C'!F13</f>
        <v>-175480</v>
      </c>
      <c r="E28" s="171">
        <f t="shared" si="4"/>
        <v>21754</v>
      </c>
      <c r="F28" s="171"/>
      <c r="G28" s="171">
        <f t="shared" si="5"/>
        <v>21754</v>
      </c>
      <c r="H28" s="172">
        <f t="shared" si="6"/>
        <v>7.1439408518215175E-3</v>
      </c>
      <c r="I28" s="336"/>
      <c r="J28" s="168"/>
      <c r="K28" s="168"/>
      <c r="M28" s="359">
        <f t="shared" si="7"/>
        <v>2.8292365717258421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'[72]Sch C'!D14</f>
        <v>0</v>
      </c>
      <c r="D29" s="558">
        <f>'[72]Sch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'[72]Sch C'!D15</f>
        <v>0</v>
      </c>
      <c r="D30" s="558">
        <f>'[72]Sch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'[72]Sch C'!D16</f>
        <v>90000</v>
      </c>
      <c r="D31" s="558">
        <f>'[72]Sch C'!F16</f>
        <v>-23380</v>
      </c>
      <c r="E31" s="171">
        <f t="shared" si="4"/>
        <v>66620</v>
      </c>
      <c r="F31" s="171"/>
      <c r="G31" s="171">
        <f t="shared" si="5"/>
        <v>66620</v>
      </c>
      <c r="H31" s="172">
        <f t="shared" si="6"/>
        <v>2.1877785214137607E-2</v>
      </c>
      <c r="I31" s="336"/>
      <c r="J31" s="168"/>
      <c r="K31" s="168"/>
      <c r="M31" s="359">
        <f t="shared" si="7"/>
        <v>8.6643256600338141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'[72]Sch C'!D17</f>
        <v>0</v>
      </c>
      <c r="D32" s="558">
        <f>'[72]Sch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'[72]Sch C'!D18</f>
        <v>14836</v>
      </c>
      <c r="D33" s="558">
        <f>'[72]Sch C'!F18</f>
        <v>0</v>
      </c>
      <c r="E33" s="171">
        <f t="shared" si="4"/>
        <v>14836</v>
      </c>
      <c r="F33" s="171"/>
      <c r="G33" s="171">
        <f t="shared" si="5"/>
        <v>14836</v>
      </c>
      <c r="H33" s="172">
        <f t="shared" si="6"/>
        <v>4.8720927865047361E-3</v>
      </c>
      <c r="I33" s="336"/>
      <c r="J33" s="168"/>
      <c r="K33" s="168"/>
      <c r="M33" s="359">
        <f t="shared" si="7"/>
        <v>1.9295096891663415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'[72]Sch C'!D19</f>
        <v>4001</v>
      </c>
      <c r="D34" s="558">
        <f>'[72]Sch C'!F19</f>
        <v>0</v>
      </c>
      <c r="E34" s="171">
        <f t="shared" si="4"/>
        <v>4001</v>
      </c>
      <c r="F34" s="171"/>
      <c r="G34" s="171">
        <f t="shared" si="5"/>
        <v>4001</v>
      </c>
      <c r="H34" s="172">
        <f t="shared" si="6"/>
        <v>1.3139150201405669E-3</v>
      </c>
      <c r="I34" s="336"/>
      <c r="J34" s="168"/>
      <c r="K34" s="168"/>
      <c r="M34" s="359">
        <f t="shared" si="7"/>
        <v>0.52035375211340873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'[72]Sch C'!D20</f>
        <v>5962</v>
      </c>
      <c r="D35" s="558">
        <f>'[72]Sch C'!F20</f>
        <v>0</v>
      </c>
      <c r="E35" s="171">
        <f t="shared" si="4"/>
        <v>5962</v>
      </c>
      <c r="F35" s="171"/>
      <c r="G35" s="171">
        <f t="shared" si="5"/>
        <v>5962</v>
      </c>
      <c r="H35" s="172">
        <f t="shared" si="6"/>
        <v>1.957900862303939E-3</v>
      </c>
      <c r="I35" s="336"/>
      <c r="J35" s="168"/>
      <c r="K35" s="168"/>
      <c r="M35" s="359">
        <f t="shared" si="7"/>
        <v>0.77539341917024318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'[72]Sch C'!D21</f>
        <v>7978</v>
      </c>
      <c r="D36" s="558">
        <f>'[72]Sch C'!F21</f>
        <v>0</v>
      </c>
      <c r="E36" s="171">
        <f t="shared" si="4"/>
        <v>7978</v>
      </c>
      <c r="F36" s="171"/>
      <c r="G36" s="171">
        <f t="shared" si="5"/>
        <v>7978</v>
      </c>
      <c r="H36" s="172">
        <f t="shared" si="6"/>
        <v>2.6199485205402255E-3</v>
      </c>
      <c r="I36" s="336"/>
      <c r="J36" s="168"/>
      <c r="K36" s="168"/>
      <c r="M36" s="359">
        <f t="shared" si="7"/>
        <v>1.0375861620496813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'[72]Sch C'!D22</f>
        <v>0</v>
      </c>
      <c r="D37" s="558">
        <f>'[72]Sch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'[72]Sch C'!D23</f>
        <v>23561</v>
      </c>
      <c r="D38" s="558">
        <f>'[72]Sch C'!F23</f>
        <v>0</v>
      </c>
      <c r="E38" s="171">
        <f t="shared" si="4"/>
        <v>23561</v>
      </c>
      <c r="F38" s="171"/>
      <c r="G38" s="171">
        <f t="shared" si="5"/>
        <v>23561</v>
      </c>
      <c r="H38" s="172">
        <f t="shared" si="6"/>
        <v>7.7373536089807293E-3</v>
      </c>
      <c r="I38" s="336"/>
      <c r="J38" s="168"/>
      <c r="K38" s="168"/>
      <c r="M38" s="359">
        <f t="shared" si="7"/>
        <v>3.0642476264793861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'[72]Sch C'!D24</f>
        <v>571</v>
      </c>
      <c r="D39" s="558">
        <f>'[72]Sch C'!F24</f>
        <v>0</v>
      </c>
      <c r="E39" s="171">
        <f t="shared" si="4"/>
        <v>571</v>
      </c>
      <c r="F39" s="171"/>
      <c r="G39" s="171">
        <f t="shared" si="5"/>
        <v>571</v>
      </c>
      <c r="H39" s="172">
        <f t="shared" si="6"/>
        <v>1.8751449050244032E-4</v>
      </c>
      <c r="I39" s="336"/>
      <c r="J39" s="168"/>
      <c r="K39" s="168"/>
      <c r="M39" s="359">
        <f t="shared" si="7"/>
        <v>7.4261932631031341E-2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'[72]Sch C'!D25</f>
        <v>0</v>
      </c>
      <c r="D40" s="558">
        <f>'[72]Sch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'[72]Sch C'!D26</f>
        <v>52867</v>
      </c>
      <c r="D41" s="558">
        <f>'[72]Sch C'!F26</f>
        <v>0</v>
      </c>
      <c r="E41" s="171">
        <f t="shared" si="4"/>
        <v>52867</v>
      </c>
      <c r="F41" s="171"/>
      <c r="G41" s="171">
        <f t="shared" si="5"/>
        <v>52867</v>
      </c>
      <c r="H41" s="172">
        <f t="shared" si="6"/>
        <v>1.7361346005941351E-2</v>
      </c>
      <c r="I41" s="336"/>
      <c r="J41" s="168"/>
      <c r="K41" s="168"/>
      <c r="M41" s="359">
        <f t="shared" si="7"/>
        <v>6.8756665366107423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'[72]Sch C'!D27</f>
        <v>6889</v>
      </c>
      <c r="D42" s="558">
        <f>'[72]Sch C'!F27</f>
        <v>-56</v>
      </c>
      <c r="E42" s="171">
        <f t="shared" si="4"/>
        <v>6833</v>
      </c>
      <c r="F42" s="171"/>
      <c r="G42" s="171">
        <f t="shared" si="5"/>
        <v>6833</v>
      </c>
      <c r="H42" s="172">
        <f t="shared" si="6"/>
        <v>2.2439343495677315E-3</v>
      </c>
      <c r="I42" s="336"/>
      <c r="J42" s="168"/>
      <c r="K42" s="168"/>
      <c r="M42" s="359">
        <f t="shared" si="7"/>
        <v>0.88867212901547665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'[72]Sch C'!D28</f>
        <v>0</v>
      </c>
      <c r="D43" s="558">
        <f>'[72]Sch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'[72]Sch C'!D29</f>
        <v>11962</v>
      </c>
      <c r="D44" s="558">
        <f>'[72]Sch C'!F29</f>
        <v>-11962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'[72]Sch C'!D30</f>
        <v>0</v>
      </c>
      <c r="D45" s="558">
        <f>'[72]Sch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'[72]Sch C'!D31</f>
        <v>17185</v>
      </c>
      <c r="D46" s="558">
        <f>'[72]Sch C'!F31</f>
        <v>0</v>
      </c>
      <c r="E46" s="171">
        <f t="shared" si="4"/>
        <v>17185</v>
      </c>
      <c r="F46" s="171"/>
      <c r="G46" s="171">
        <f t="shared" si="5"/>
        <v>17185</v>
      </c>
      <c r="H46" s="172">
        <f t="shared" si="6"/>
        <v>5.6434965311461241E-3</v>
      </c>
      <c r="I46" s="336"/>
      <c r="J46" s="168"/>
      <c r="K46" s="168"/>
      <c r="M46" s="359">
        <f t="shared" si="7"/>
        <v>2.235011054753544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'[72]Sch C'!D32</f>
        <v>15762</v>
      </c>
      <c r="D47" s="558">
        <f>'[72]Sch C'!F32</f>
        <v>0</v>
      </c>
      <c r="E47" s="171">
        <f t="shared" si="4"/>
        <v>15762</v>
      </c>
      <c r="F47" s="171"/>
      <c r="G47" s="171">
        <f t="shared" si="5"/>
        <v>15762</v>
      </c>
      <c r="H47" s="172">
        <f t="shared" si="6"/>
        <v>5.1761880898414433E-3</v>
      </c>
      <c r="I47" s="336"/>
      <c r="J47" s="168"/>
      <c r="K47" s="168"/>
      <c r="M47" s="359">
        <f t="shared" si="7"/>
        <v>2.0499414748341787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'[72]Sch C'!D33</f>
        <v>0</v>
      </c>
      <c r="D48" s="558">
        <f>'[72]Sch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'[72]Sch C'!D34</f>
        <v>0</v>
      </c>
      <c r="D49" s="558">
        <f>'[72]Sch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'[72]Sch C'!D35</f>
        <v>0</v>
      </c>
      <c r="D50" s="558">
        <f>'[72]Sch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'[72]Sch C'!D36</f>
        <v>5136</v>
      </c>
      <c r="D51" s="558">
        <f>'[72]Sch C'!F36</f>
        <v>0</v>
      </c>
      <c r="E51" s="171">
        <f t="shared" si="4"/>
        <v>5136</v>
      </c>
      <c r="F51" s="171"/>
      <c r="G51" s="171">
        <f t="shared" si="5"/>
        <v>5136</v>
      </c>
      <c r="H51" s="172">
        <f t="shared" si="6"/>
        <v>1.6866452245543494E-3</v>
      </c>
      <c r="I51" s="336"/>
      <c r="J51" s="183">
        <v>451</v>
      </c>
      <c r="K51" s="183">
        <v>454</v>
      </c>
      <c r="M51" s="359">
        <f t="shared" si="7"/>
        <v>0.66796722590714008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'[72]Sch C'!D37</f>
        <v>0</v>
      </c>
      <c r="D52" s="558">
        <f>'[72]Sch C'!F37</f>
        <v>834</v>
      </c>
      <c r="E52" s="171">
        <f t="shared" si="4"/>
        <v>834</v>
      </c>
      <c r="F52" s="171"/>
      <c r="G52" s="171">
        <f t="shared" si="5"/>
        <v>834</v>
      </c>
      <c r="H52" s="172">
        <f t="shared" si="6"/>
        <v>2.7388281099655906E-4</v>
      </c>
      <c r="I52" s="336"/>
      <c r="J52" s="168"/>
      <c r="K52" s="168"/>
      <c r="M52" s="359">
        <f t="shared" si="7"/>
        <v>0.10846664065548185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'[72]Sch C'!D38</f>
        <v>0</v>
      </c>
      <c r="D53" s="558">
        <f>'[72]Sch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'[72]Sch C'!D39</f>
        <v>340</v>
      </c>
      <c r="D54" s="558">
        <f>'[72]Sch C'!F39</f>
        <v>0</v>
      </c>
      <c r="E54" s="171">
        <f t="shared" si="4"/>
        <v>340</v>
      </c>
      <c r="F54" s="171"/>
      <c r="G54" s="171">
        <f t="shared" si="5"/>
        <v>340</v>
      </c>
      <c r="H54" s="172">
        <f t="shared" si="6"/>
        <v>1.1165486299619913E-4</v>
      </c>
      <c r="I54" s="336"/>
      <c r="J54" s="168"/>
      <c r="K54" s="168"/>
      <c r="M54" s="359">
        <f t="shared" si="7"/>
        <v>4.4219014176095722E-2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'[72]Sch C'!D40</f>
        <v>3017</v>
      </c>
      <c r="D55" s="558">
        <f>'[72]Sch C'!F40</f>
        <v>0</v>
      </c>
      <c r="E55" s="171">
        <f t="shared" si="4"/>
        <v>3017</v>
      </c>
      <c r="F55" s="171"/>
      <c r="G55" s="171">
        <f t="shared" si="5"/>
        <v>3017</v>
      </c>
      <c r="H55" s="172">
        <f t="shared" si="6"/>
        <v>9.9077271076333166E-4</v>
      </c>
      <c r="I55" s="336"/>
      <c r="J55" s="168"/>
      <c r="K55" s="168"/>
      <c r="M55" s="359">
        <f t="shared" si="7"/>
        <v>0.39237872285082587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'[72]Sch C'!D41</f>
        <v>0</v>
      </c>
      <c r="D56" s="558">
        <f>'[72]Sch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6"/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'[72]Sch C'!D42</f>
        <v>2373</v>
      </c>
      <c r="D57" s="558">
        <f>'[72]Sch C'!F42</f>
        <v>0</v>
      </c>
      <c r="E57" s="171">
        <f t="shared" si="4"/>
        <v>2373</v>
      </c>
      <c r="F57" s="171"/>
      <c r="G57" s="171">
        <f t="shared" si="5"/>
        <v>2373</v>
      </c>
      <c r="H57" s="172">
        <f t="shared" si="6"/>
        <v>7.7928526438229579E-4</v>
      </c>
      <c r="I57" s="336"/>
      <c r="J57" s="168"/>
      <c r="K57" s="168"/>
      <c r="M57" s="359">
        <f t="shared" si="7"/>
        <v>0.30862270776433864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'[72]Sch C'!D43</f>
        <v>4518</v>
      </c>
      <c r="D58" s="558">
        <f>'[72]Sch C'!F43</f>
        <v>0</v>
      </c>
      <c r="E58" s="171">
        <f t="shared" si="4"/>
        <v>4518</v>
      </c>
      <c r="F58" s="171"/>
      <c r="G58" s="171">
        <f t="shared" si="5"/>
        <v>4518</v>
      </c>
      <c r="H58" s="172">
        <f t="shared" si="6"/>
        <v>1.4836960912259639E-3</v>
      </c>
      <c r="I58" s="336"/>
      <c r="J58" s="168"/>
      <c r="K58" s="168"/>
      <c r="M58" s="359">
        <f t="shared" si="7"/>
        <v>0.58759266484588368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'[72]Sch C'!D44</f>
        <v>0</v>
      </c>
      <c r="D59" s="558">
        <f>'[72]Sch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'[72]Sch C'!D45</f>
        <v>12785</v>
      </c>
      <c r="D60" s="558">
        <f>'[72]Sch C'!F45</f>
        <v>0</v>
      </c>
      <c r="E60" s="171">
        <f t="shared" si="4"/>
        <v>12785</v>
      </c>
      <c r="F60" s="171"/>
      <c r="G60" s="171">
        <f t="shared" si="5"/>
        <v>12785</v>
      </c>
      <c r="H60" s="172">
        <f t="shared" si="6"/>
        <v>4.1985512453129583E-3</v>
      </c>
      <c r="I60" s="336"/>
      <c r="J60" s="168"/>
      <c r="K60" s="168"/>
      <c r="M60" s="359">
        <f t="shared" si="7"/>
        <v>1.6627649889452465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612023</v>
      </c>
      <c r="D61" s="558">
        <f>SUM(D25:D60)</f>
        <v>-210044</v>
      </c>
      <c r="E61" s="171">
        <f t="shared" ref="E61:F61" si="8">SUM(E25:E60)</f>
        <v>401979</v>
      </c>
      <c r="F61" s="171">
        <f t="shared" si="8"/>
        <v>0</v>
      </c>
      <c r="G61" s="171">
        <f>SUM(G25:G60)</f>
        <v>401979</v>
      </c>
      <c r="H61" s="186">
        <f t="shared" si="6"/>
        <v>0.13200855933043862</v>
      </c>
      <c r="I61" s="338"/>
      <c r="J61" s="168"/>
      <c r="K61" s="168"/>
      <c r="M61" s="364">
        <f>G61/G$228</f>
        <v>52.279750292625828</v>
      </c>
      <c r="N61" s="359">
        <f>SUMMARY!J64</f>
        <v>53.728790309602623</v>
      </c>
      <c r="O61" s="354">
        <f>M61/N61-1</f>
        <v>-2.6969526181902848E-2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'[72]Sch C'!D57</f>
        <v>0</v>
      </c>
      <c r="D64" s="558">
        <f>'[72]Sch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'[72]Sch C'!D58</f>
        <v>173831</v>
      </c>
      <c r="D65" s="558">
        <f>'[72]Sch C'!F58</f>
        <v>0</v>
      </c>
      <c r="E65" s="171">
        <f t="shared" si="9"/>
        <v>173831</v>
      </c>
      <c r="F65" s="171"/>
      <c r="G65" s="171">
        <f t="shared" si="10"/>
        <v>173831</v>
      </c>
      <c r="H65" s="172">
        <f t="shared" si="11"/>
        <v>5.7085519086742038E-2</v>
      </c>
      <c r="I65" s="336"/>
      <c r="J65" s="190"/>
      <c r="K65" s="168"/>
      <c r="M65" s="359">
        <f t="shared" si="12"/>
        <v>22.607751333073221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'[72]Sch C'!D59</f>
        <v>129416</v>
      </c>
      <c r="D66" s="558">
        <f>'[72]Sch C'!F59</f>
        <v>0</v>
      </c>
      <c r="E66" s="171">
        <f t="shared" si="9"/>
        <v>129416</v>
      </c>
      <c r="F66" s="171"/>
      <c r="G66" s="171">
        <f t="shared" si="10"/>
        <v>129416</v>
      </c>
      <c r="H66" s="172">
        <f t="shared" si="11"/>
        <v>4.2499781616223843E-2</v>
      </c>
      <c r="I66" s="336"/>
      <c r="J66" s="190"/>
      <c r="K66" s="168"/>
      <c r="M66" s="359">
        <f t="shared" si="12"/>
        <v>16.831317466510601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'[72]Sch C'!D60</f>
        <v>35168</v>
      </c>
      <c r="D67" s="558">
        <f>'[72]Sch C'!F60</f>
        <v>0</v>
      </c>
      <c r="E67" s="171">
        <f t="shared" si="9"/>
        <v>35168</v>
      </c>
      <c r="F67" s="171"/>
      <c r="G67" s="171">
        <f t="shared" si="10"/>
        <v>35168</v>
      </c>
      <c r="H67" s="172">
        <f t="shared" si="11"/>
        <v>1.1549053593677444E-2</v>
      </c>
      <c r="I67" s="336"/>
      <c r="J67" s="193"/>
      <c r="K67" s="168"/>
      <c r="M67" s="359">
        <f t="shared" si="12"/>
        <v>4.5738067368968656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'[72]Sch C'!D61</f>
        <v>0</v>
      </c>
      <c r="D68" s="558">
        <f>'[72]Sch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'[72]Sch C'!D62</f>
        <v>0</v>
      </c>
      <c r="D69" s="558">
        <f>'[72]Sch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'[72]Sch C'!D63</f>
        <v>0</v>
      </c>
      <c r="D70" s="558">
        <f>'[72]Sch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'[72]Sch C'!D64</f>
        <v>0</v>
      </c>
      <c r="D71" s="558">
        <f>'[72]Sch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'[72]Sch C'!D65</f>
        <v>2280</v>
      </c>
      <c r="D72" s="558">
        <f>'[72]Sch C'!F65</f>
        <v>0</v>
      </c>
      <c r="E72" s="171">
        <f t="shared" si="9"/>
        <v>2280</v>
      </c>
      <c r="F72" s="171"/>
      <c r="G72" s="171">
        <f t="shared" si="10"/>
        <v>2280</v>
      </c>
      <c r="H72" s="172">
        <f t="shared" si="11"/>
        <v>7.4874437538627661E-4</v>
      </c>
      <c r="I72" s="336"/>
      <c r="J72" s="195"/>
      <c r="K72" s="168"/>
      <c r="M72" s="359">
        <f t="shared" si="12"/>
        <v>0.29652750682793599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'[72]Sch C'!D66</f>
        <v>37194</v>
      </c>
      <c r="D73" s="558">
        <f>'[72]Sch C'!F66</f>
        <v>0</v>
      </c>
      <c r="E73" s="171">
        <f t="shared" si="9"/>
        <v>37194</v>
      </c>
      <c r="F73" s="171"/>
      <c r="G73" s="171">
        <f t="shared" si="10"/>
        <v>37194</v>
      </c>
      <c r="H73" s="172">
        <f t="shared" si="11"/>
        <v>1.2214385218472443E-2</v>
      </c>
      <c r="I73" s="336"/>
      <c r="J73" s="195"/>
      <c r="K73" s="168"/>
      <c r="M73" s="359">
        <f t="shared" si="12"/>
        <v>4.8373000390167773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'[72]Sch C'!D67</f>
        <v>0</v>
      </c>
      <c r="D74" s="558">
        <f>'[72]Sch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'[72]Sch C'!D68</f>
        <v>0</v>
      </c>
      <c r="D75" s="558">
        <f>'[72]Sch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'[72]Sch C'!D69</f>
        <v>0</v>
      </c>
      <c r="D76" s="558">
        <f>'[72]Sch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'[72]Sch C'!D70</f>
        <v>0</v>
      </c>
      <c r="D77" s="558">
        <f>'[72]Sch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'[72]Sch C'!D71</f>
        <v>0</v>
      </c>
      <c r="D78" s="558">
        <f>'[72]Sch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377889</v>
      </c>
      <c r="D79" s="558">
        <f>SUM(D64:D78)</f>
        <v>0</v>
      </c>
      <c r="E79" s="171">
        <f t="shared" ref="E79:F79" si="13">SUM(E64:E78)</f>
        <v>377889</v>
      </c>
      <c r="F79" s="171">
        <f t="shared" si="13"/>
        <v>0</v>
      </c>
      <c r="G79" s="171">
        <f>SUM(G64:G78)</f>
        <v>377889</v>
      </c>
      <c r="H79" s="172">
        <f t="shared" si="11"/>
        <v>0.12409748389050204</v>
      </c>
      <c r="I79" s="336"/>
      <c r="J79" s="195"/>
      <c r="K79" s="168"/>
      <c r="M79" s="359">
        <f t="shared" si="12"/>
        <v>49.146703082325402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'[72]Sch C'!D75</f>
        <v>33677</v>
      </c>
      <c r="D82" s="558">
        <f>'[72]Sch C'!F75</f>
        <v>0</v>
      </c>
      <c r="E82" s="171">
        <f t="shared" ref="E82:E92" si="14">C82+D82</f>
        <v>33677</v>
      </c>
      <c r="F82" s="171"/>
      <c r="G82" s="171">
        <f t="shared" ref="G82:G92" si="15">E82+F82</f>
        <v>33677</v>
      </c>
      <c r="H82" s="172">
        <f t="shared" ref="H82:H93" si="16">IF($G$208=0,0,G82/$G$208)</f>
        <v>1.1059414179773524E-2</v>
      </c>
      <c r="I82" s="336"/>
      <c r="J82" s="183">
        <v>2039</v>
      </c>
      <c r="K82" s="183">
        <v>2111</v>
      </c>
      <c r="M82" s="359">
        <f t="shared" ref="M82:M92" si="17">G82/G$228</f>
        <v>4.3798933541422809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'[72]Sch C'!D76</f>
        <v>0</v>
      </c>
      <c r="D83" s="558">
        <f>'[72]Sch C'!F76</f>
        <v>5465</v>
      </c>
      <c r="E83" s="171">
        <f t="shared" si="14"/>
        <v>5465</v>
      </c>
      <c r="F83" s="171"/>
      <c r="G83" s="171">
        <f t="shared" si="15"/>
        <v>5465</v>
      </c>
      <c r="H83" s="172">
        <f t="shared" si="16"/>
        <v>1.7946877243359654E-3</v>
      </c>
      <c r="I83" s="336"/>
      <c r="J83" s="168"/>
      <c r="K83" s="168"/>
      <c r="M83" s="359">
        <f t="shared" si="17"/>
        <v>0.71075562491871502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'[72]Sch C'!D77</f>
        <v>4848</v>
      </c>
      <c r="D84" s="558">
        <f>'[72]Sch C'!F77</f>
        <v>0</v>
      </c>
      <c r="E84" s="171">
        <f t="shared" si="14"/>
        <v>4848</v>
      </c>
      <c r="F84" s="171"/>
      <c r="G84" s="171">
        <f t="shared" si="15"/>
        <v>4848</v>
      </c>
      <c r="H84" s="172">
        <f t="shared" si="16"/>
        <v>1.5920669876634513E-3</v>
      </c>
      <c r="I84" s="336"/>
      <c r="J84" s="168"/>
      <c r="K84" s="168"/>
      <c r="M84" s="359">
        <f t="shared" si="17"/>
        <v>0.63051111978150609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'[72]Sch C'!D78</f>
        <v>0</v>
      </c>
      <c r="D85" s="558">
        <f>'[72]Sch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'[72]Sch C'!D79</f>
        <v>20095</v>
      </c>
      <c r="D86" s="558">
        <f>'[72]Sch C'!F79</f>
        <v>0</v>
      </c>
      <c r="E86" s="171">
        <f t="shared" si="14"/>
        <v>20095</v>
      </c>
      <c r="F86" s="171"/>
      <c r="G86" s="171">
        <f>E86+F86</f>
        <v>20095</v>
      </c>
      <c r="H86" s="172">
        <f t="shared" si="16"/>
        <v>6.5991307997312404E-3</v>
      </c>
      <c r="I86" s="336"/>
      <c r="J86" s="168"/>
      <c r="K86" s="168"/>
      <c r="M86" s="359">
        <f t="shared" si="17"/>
        <v>2.6134737937313046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'[72]Sch C'!D80</f>
        <v>14247</v>
      </c>
      <c r="D87" s="558">
        <f>'[72]Sch C'!F80</f>
        <v>0</v>
      </c>
      <c r="E87" s="171">
        <f t="shared" si="14"/>
        <v>14247</v>
      </c>
      <c r="F87" s="171"/>
      <c r="G87" s="171">
        <f t="shared" si="15"/>
        <v>14247</v>
      </c>
      <c r="H87" s="172">
        <f t="shared" si="16"/>
        <v>4.6786671561966147E-3</v>
      </c>
      <c r="I87" s="336"/>
      <c r="J87" s="168"/>
      <c r="K87" s="168"/>
      <c r="M87" s="359">
        <f t="shared" si="17"/>
        <v>1.8529067499024581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'[72]Sch C'!D81</f>
        <v>846</v>
      </c>
      <c r="D88" s="558">
        <f>'[72]Sch C'!F81</f>
        <v>0</v>
      </c>
      <c r="E88" s="171">
        <f t="shared" si="14"/>
        <v>846</v>
      </c>
      <c r="F88" s="171"/>
      <c r="G88" s="171">
        <f t="shared" si="15"/>
        <v>846</v>
      </c>
      <c r="H88" s="172">
        <f t="shared" si="16"/>
        <v>2.7782357086701313E-4</v>
      </c>
      <c r="I88" s="336"/>
      <c r="J88" s="168"/>
      <c r="K88" s="168"/>
      <c r="M88" s="359">
        <f t="shared" si="17"/>
        <v>0.11002731174404994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'[72]Sch C'!D82</f>
        <v>657</v>
      </c>
      <c r="D89" s="558">
        <f>'[72]Sch C'!F82</f>
        <v>0</v>
      </c>
      <c r="E89" s="171">
        <f t="shared" si="14"/>
        <v>657</v>
      </c>
      <c r="F89" s="171"/>
      <c r="G89" s="171">
        <f t="shared" si="15"/>
        <v>657</v>
      </c>
      <c r="H89" s="172">
        <f t="shared" si="16"/>
        <v>2.1575660290736127E-4</v>
      </c>
      <c r="I89" s="336"/>
      <c r="J89" s="168"/>
      <c r="K89" s="168"/>
      <c r="M89" s="359">
        <f t="shared" si="17"/>
        <v>8.5446742099102607E-2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'[72]Sch C'!D83</f>
        <v>8644</v>
      </c>
      <c r="D90" s="558">
        <f>'[72]Sch C'!F83</f>
        <v>0</v>
      </c>
      <c r="E90" s="171">
        <f t="shared" si="14"/>
        <v>8644</v>
      </c>
      <c r="F90" s="171"/>
      <c r="G90" s="171">
        <f t="shared" si="15"/>
        <v>8644</v>
      </c>
      <c r="H90" s="172">
        <f t="shared" si="16"/>
        <v>2.8386606933504276E-3</v>
      </c>
      <c r="I90" s="336"/>
      <c r="J90" s="168"/>
      <c r="K90" s="168"/>
      <c r="M90" s="359">
        <f t="shared" si="17"/>
        <v>1.1242034074652101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'[72]Sch C'!D84</f>
        <v>44080</v>
      </c>
      <c r="D91" s="558">
        <f>'[72]Sch C'!F84</f>
        <v>0</v>
      </c>
      <c r="E91" s="171">
        <f t="shared" si="14"/>
        <v>44080</v>
      </c>
      <c r="F91" s="171"/>
      <c r="G91" s="171">
        <f t="shared" si="15"/>
        <v>44080</v>
      </c>
      <c r="H91" s="172">
        <f t="shared" si="16"/>
        <v>1.4475724590801348E-2</v>
      </c>
      <c r="I91" s="336"/>
      <c r="J91" s="168"/>
      <c r="K91" s="168"/>
      <c r="M91" s="359">
        <f t="shared" si="17"/>
        <v>5.7328651320067632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'[72]Sch C'!D85</f>
        <v>534</v>
      </c>
      <c r="D92" s="558">
        <f>'[72]Sch C'!F85</f>
        <v>0</v>
      </c>
      <c r="E92" s="171">
        <f t="shared" si="14"/>
        <v>534</v>
      </c>
      <c r="F92" s="171"/>
      <c r="G92" s="171">
        <f t="shared" si="15"/>
        <v>534</v>
      </c>
      <c r="H92" s="172">
        <f t="shared" si="16"/>
        <v>1.7536381423520687E-4</v>
      </c>
      <c r="I92" s="336"/>
      <c r="J92" s="168"/>
      <c r="K92" s="168"/>
      <c r="M92" s="359">
        <f t="shared" si="17"/>
        <v>6.9449863441279749E-2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127628</v>
      </c>
      <c r="D93" s="558">
        <f>SUM(D82:D92)</f>
        <v>5465</v>
      </c>
      <c r="E93" s="171">
        <f t="shared" ref="E93:F93" si="18">SUM(E82:E92)</f>
        <v>133093</v>
      </c>
      <c r="F93" s="171">
        <f t="shared" si="18"/>
        <v>0</v>
      </c>
      <c r="G93" s="171">
        <f>SUM(G82:G92)</f>
        <v>133093</v>
      </c>
      <c r="H93" s="172">
        <f t="shared" si="16"/>
        <v>4.3707296119862155E-2</v>
      </c>
      <c r="I93" s="336"/>
      <c r="J93" s="168"/>
      <c r="K93" s="168"/>
      <c r="M93" s="364">
        <f>G93/G$228</f>
        <v>17.30953309923267</v>
      </c>
      <c r="N93" s="359">
        <f>SUMMARY!J96</f>
        <v>11.458724454710746</v>
      </c>
      <c r="O93" s="354">
        <f>M93/N93-1</f>
        <v>0.51059859826864273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'[72]Sch C'!D89</f>
        <v>130181</v>
      </c>
      <c r="D96" s="558">
        <f>'[72]Sch C'!F89</f>
        <v>0</v>
      </c>
      <c r="E96" s="171">
        <f t="shared" ref="E96:E101" si="19">C96+D96</f>
        <v>130181</v>
      </c>
      <c r="F96" s="171"/>
      <c r="G96" s="171">
        <f t="shared" ref="G96:G101" si="20">E96+F96</f>
        <v>130181</v>
      </c>
      <c r="H96" s="172">
        <f t="shared" ref="H96:H102" si="21">IF($G$208=0,0,G96/$G$208)</f>
        <v>4.2751005057965294E-2</v>
      </c>
      <c r="I96" s="336"/>
      <c r="J96" s="183">
        <v>10903</v>
      </c>
      <c r="K96" s="183">
        <v>11859</v>
      </c>
      <c r="M96" s="364">
        <f t="shared" ref="M96:M101" si="22">G96/G$228</f>
        <v>16.930810248406814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'[72]Sch C'!D90</f>
        <v>0</v>
      </c>
      <c r="D97" s="558">
        <f>'[72]Sch C'!F90</f>
        <v>21126</v>
      </c>
      <c r="E97" s="171">
        <f t="shared" si="19"/>
        <v>21126</v>
      </c>
      <c r="F97" s="171"/>
      <c r="G97" s="171">
        <f t="shared" si="20"/>
        <v>21126</v>
      </c>
      <c r="H97" s="172">
        <f t="shared" si="21"/>
        <v>6.9377077519344205E-3</v>
      </c>
      <c r="I97" s="336"/>
      <c r="J97" s="168"/>
      <c r="K97" s="168"/>
      <c r="M97" s="364">
        <f t="shared" si="22"/>
        <v>2.7475614514241125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'[72]Sch C'!D91</f>
        <v>5764</v>
      </c>
      <c r="D98" s="558">
        <f>'[72]Sch C'!F91</f>
        <v>0</v>
      </c>
      <c r="E98" s="171">
        <f t="shared" si="19"/>
        <v>5764</v>
      </c>
      <c r="F98" s="171"/>
      <c r="G98" s="171">
        <f t="shared" si="20"/>
        <v>5764</v>
      </c>
      <c r="H98" s="172">
        <f t="shared" si="21"/>
        <v>1.8928783244414465E-3</v>
      </c>
      <c r="I98" s="336"/>
      <c r="J98" s="168"/>
      <c r="K98" s="168"/>
      <c r="M98" s="364">
        <f t="shared" si="22"/>
        <v>0.74964234620886983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'[72]Sch C'!D92</f>
        <v>70956</v>
      </c>
      <c r="D99" s="558">
        <f>'[72]Sch C'!F92</f>
        <v>-2106</v>
      </c>
      <c r="E99" s="171">
        <f t="shared" si="19"/>
        <v>68850</v>
      </c>
      <c r="F99" s="171"/>
      <c r="G99" s="171">
        <f t="shared" si="20"/>
        <v>68850</v>
      </c>
      <c r="H99" s="172">
        <f t="shared" si="21"/>
        <v>2.2610109756730324E-2</v>
      </c>
      <c r="I99" s="336"/>
      <c r="J99" s="168"/>
      <c r="K99" s="168"/>
      <c r="M99" s="364">
        <f t="shared" si="22"/>
        <v>8.9543503706593839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'[72]Sch C'!D93</f>
        <v>11868</v>
      </c>
      <c r="D100" s="558">
        <f>'[72]Sch C'!F93</f>
        <v>0</v>
      </c>
      <c r="E100" s="171">
        <f t="shared" si="19"/>
        <v>11868</v>
      </c>
      <c r="F100" s="171"/>
      <c r="G100" s="171">
        <f t="shared" si="20"/>
        <v>11868</v>
      </c>
      <c r="H100" s="172">
        <f t="shared" si="21"/>
        <v>3.8974115118790924E-3</v>
      </c>
      <c r="I100" s="336"/>
      <c r="J100" s="168"/>
      <c r="K100" s="168"/>
      <c r="M100" s="364">
        <f t="shared" si="22"/>
        <v>1.5435037065938353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'[72]Sch C'!D94</f>
        <v>2144</v>
      </c>
      <c r="D101" s="558">
        <f>'[72]Sch C'!F94</f>
        <v>0</v>
      </c>
      <c r="E101" s="171">
        <f t="shared" si="19"/>
        <v>2144</v>
      </c>
      <c r="F101" s="171"/>
      <c r="G101" s="171">
        <f t="shared" si="20"/>
        <v>2144</v>
      </c>
      <c r="H101" s="172">
        <f t="shared" si="21"/>
        <v>7.0408243018779692E-4</v>
      </c>
      <c r="I101" s="336"/>
      <c r="J101" s="168"/>
      <c r="K101" s="168"/>
      <c r="M101" s="364">
        <f t="shared" si="22"/>
        <v>0.27883990115749774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220913</v>
      </c>
      <c r="D102" s="558">
        <f>SUM(D96:D101)</f>
        <v>19020</v>
      </c>
      <c r="E102" s="171">
        <f t="shared" ref="E102:F102" si="23">SUM(E96:E101)</f>
        <v>239933</v>
      </c>
      <c r="F102" s="171">
        <f t="shared" si="23"/>
        <v>0</v>
      </c>
      <c r="G102" s="171">
        <f>SUM(G96:G101)</f>
        <v>239933</v>
      </c>
      <c r="H102" s="172">
        <f t="shared" si="21"/>
        <v>7.8793194833138375E-2</v>
      </c>
      <c r="I102" s="336"/>
      <c r="J102" s="168"/>
      <c r="K102" s="168"/>
      <c r="M102" s="364">
        <f>G102/G$228</f>
        <v>31.204708024450515</v>
      </c>
      <c r="N102" s="359">
        <f>SUMMARY!J105</f>
        <v>19.901077037785338</v>
      </c>
      <c r="O102" s="354">
        <f>M102/N102-1</f>
        <v>0.56799091653197697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'[72]Sch C'!D98</f>
        <v>0</v>
      </c>
      <c r="D105" s="558">
        <f>'[72]Sch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'[72]Sch C'!D99</f>
        <v>0</v>
      </c>
      <c r="D106" s="558">
        <f>'[72]Sch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'[72]Sch C'!D100</f>
        <v>4951</v>
      </c>
      <c r="D107" s="558">
        <f>'[72]Sch C'!F100</f>
        <v>0</v>
      </c>
      <c r="E107" s="171">
        <f t="shared" si="24"/>
        <v>4951</v>
      </c>
      <c r="F107" s="171"/>
      <c r="G107" s="171">
        <f t="shared" si="25"/>
        <v>4951</v>
      </c>
      <c r="H107" s="172">
        <f t="shared" si="26"/>
        <v>1.6258918432181821E-3</v>
      </c>
      <c r="I107" s="336"/>
      <c r="J107" s="168"/>
      <c r="K107" s="168"/>
      <c r="M107" s="364">
        <f t="shared" si="27"/>
        <v>0.64390687995838214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'[72]Sch C'!D101</f>
        <v>957</v>
      </c>
      <c r="D108" s="558">
        <f>'[72]Sch C'!F101</f>
        <v>0</v>
      </c>
      <c r="E108" s="171">
        <f t="shared" si="24"/>
        <v>957</v>
      </c>
      <c r="F108" s="171"/>
      <c r="G108" s="171">
        <f t="shared" si="25"/>
        <v>957</v>
      </c>
      <c r="H108" s="172">
        <f t="shared" si="26"/>
        <v>3.1427559966871343E-4</v>
      </c>
      <c r="I108" s="336"/>
      <c r="J108" s="168"/>
      <c r="K108" s="168"/>
      <c r="M108" s="364">
        <f t="shared" si="27"/>
        <v>0.12446351931330472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'[72]Sch C'!D102</f>
        <v>1318</v>
      </c>
      <c r="D109" s="558">
        <f>'[72]Sch C'!F102</f>
        <v>0</v>
      </c>
      <c r="E109" s="171">
        <f t="shared" si="24"/>
        <v>1318</v>
      </c>
      <c r="F109" s="171"/>
      <c r="G109" s="171">
        <f t="shared" si="25"/>
        <v>1318</v>
      </c>
      <c r="H109" s="172">
        <f t="shared" si="26"/>
        <v>4.3282679243820726E-4</v>
      </c>
      <c r="I109" s="336"/>
      <c r="J109" s="168"/>
      <c r="K109" s="168"/>
      <c r="M109" s="364">
        <f t="shared" si="27"/>
        <v>0.17141370789439458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'[72]Sch C'!D103</f>
        <v>0</v>
      </c>
      <c r="D110" s="558">
        <f>'[72]Sch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7226</v>
      </c>
      <c r="D111" s="558">
        <f>SUM(D105:D110)</f>
        <v>0</v>
      </c>
      <c r="E111" s="171">
        <f t="shared" ref="E111:F111" si="28">SUM(E105:E110)</f>
        <v>7226</v>
      </c>
      <c r="F111" s="171">
        <f t="shared" si="28"/>
        <v>0</v>
      </c>
      <c r="G111" s="171">
        <f>SUM(G105:G110)</f>
        <v>7226</v>
      </c>
      <c r="H111" s="172">
        <f t="shared" si="26"/>
        <v>2.372994235325103E-3</v>
      </c>
      <c r="I111" s="336"/>
      <c r="J111" s="168"/>
      <c r="K111" s="168"/>
      <c r="M111" s="364">
        <f>G111/G$228</f>
        <v>0.93978410716608141</v>
      </c>
      <c r="N111" s="359">
        <f>SUMMARY!J114</f>
        <v>2.4242384372309496</v>
      </c>
      <c r="O111" s="354">
        <f>M111/N111-1</f>
        <v>-0.61233841822938184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'[72]Sch C'!D115</f>
        <v>55585</v>
      </c>
      <c r="D114" s="558">
        <f>'[72]Sch C'!F115</f>
        <v>0</v>
      </c>
      <c r="E114" s="171">
        <f t="shared" ref="E114:E118" si="29">C114+D114</f>
        <v>55585</v>
      </c>
      <c r="F114" s="171"/>
      <c r="G114" s="171">
        <f>E114+F114</f>
        <v>55585</v>
      </c>
      <c r="H114" s="172">
        <f t="shared" ref="H114:H119" si="30">IF($G$208=0,0,G114/$G$208)</f>
        <v>1.8253928116599202E-2</v>
      </c>
      <c r="I114" s="336"/>
      <c r="J114" s="183">
        <v>5569</v>
      </c>
      <c r="K114" s="183">
        <v>5975</v>
      </c>
      <c r="M114" s="364">
        <f t="shared" ref="M114:M119" si="31">G114/G$228</f>
        <v>7.2291585381714141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'[72]Sch C'!D116</f>
        <v>0</v>
      </c>
      <c r="D115" s="558">
        <f>'[72]Sch C'!F116</f>
        <v>9020</v>
      </c>
      <c r="E115" s="171">
        <f t="shared" si="29"/>
        <v>9020</v>
      </c>
      <c r="F115" s="171"/>
      <c r="G115" s="171">
        <f>E115+F115</f>
        <v>9020</v>
      </c>
      <c r="H115" s="172">
        <f t="shared" si="30"/>
        <v>2.9621378359579887E-3</v>
      </c>
      <c r="I115" s="336"/>
      <c r="J115" s="168"/>
      <c r="K115" s="168"/>
      <c r="M115" s="364">
        <f t="shared" si="31"/>
        <v>1.1731044349070101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'[72]Sch C'!D117</f>
        <v>14123</v>
      </c>
      <c r="D116" s="558">
        <f>'[72]Sch C'!F117</f>
        <v>0</v>
      </c>
      <c r="E116" s="171">
        <f t="shared" si="29"/>
        <v>14123</v>
      </c>
      <c r="F116" s="171"/>
      <c r="G116" s="171">
        <f>E116+F116</f>
        <v>14123</v>
      </c>
      <c r="H116" s="172">
        <f t="shared" si="30"/>
        <v>4.6379459708685896E-3</v>
      </c>
      <c r="I116" s="336"/>
      <c r="J116" s="168"/>
      <c r="K116" s="168"/>
      <c r="M116" s="364">
        <f t="shared" si="31"/>
        <v>1.8367798153205879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'[72]Sch C'!D118</f>
        <v>0</v>
      </c>
      <c r="D117" s="558">
        <f>'[72]Sch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'[72]Sch C'!D119</f>
        <v>883</v>
      </c>
      <c r="D118" s="558">
        <f>'[72]Sch C'!F119</f>
        <v>0</v>
      </c>
      <c r="E118" s="171">
        <f t="shared" si="29"/>
        <v>883</v>
      </c>
      <c r="F118" s="171"/>
      <c r="G118" s="171">
        <f>E118+F118</f>
        <v>883</v>
      </c>
      <c r="H118" s="172">
        <f t="shared" si="30"/>
        <v>2.8997424713424658E-4</v>
      </c>
      <c r="I118" s="336"/>
      <c r="J118" s="168"/>
      <c r="K118" s="168"/>
      <c r="M118" s="364">
        <f t="shared" si="31"/>
        <v>0.11483938093380154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70591</v>
      </c>
      <c r="D119" s="558">
        <f>SUM(D114:D118)</f>
        <v>9020</v>
      </c>
      <c r="E119" s="171">
        <f t="shared" ref="E119:F119" si="32">SUM(E114:E118)</f>
        <v>79611</v>
      </c>
      <c r="F119" s="171">
        <f t="shared" si="32"/>
        <v>0</v>
      </c>
      <c r="G119" s="171">
        <f>SUM(G114:G118)</f>
        <v>79611</v>
      </c>
      <c r="H119" s="172">
        <f t="shared" si="30"/>
        <v>2.6143986170560029E-2</v>
      </c>
      <c r="I119" s="336"/>
      <c r="J119" s="168"/>
      <c r="K119" s="168"/>
      <c r="M119" s="364">
        <f t="shared" si="31"/>
        <v>10.353882169332813</v>
      </c>
      <c r="N119" s="359">
        <f>SUMMARY!J122</f>
        <v>6.0247597205909562</v>
      </c>
      <c r="O119" s="354">
        <f>M119/N119-1</f>
        <v>0.71855520377785664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'[72]Sch C'!D124</f>
        <v>0</v>
      </c>
      <c r="D123" s="558">
        <f>'[72]Sch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'[72]Sch C'!D125</f>
        <v>145475</v>
      </c>
      <c r="D124" s="558">
        <f>'[72]Sch C'!F125</f>
        <v>0</v>
      </c>
      <c r="E124" s="171">
        <f t="shared" si="33"/>
        <v>145475</v>
      </c>
      <c r="F124" s="171"/>
      <c r="G124" s="171">
        <f>E124+F124</f>
        <v>145475</v>
      </c>
      <c r="H124" s="172">
        <f>IF($G$208=0,0,G124/$G$208)</f>
        <v>4.7773503512859028E-2</v>
      </c>
      <c r="I124" s="336"/>
      <c r="J124" s="183">
        <v>3908</v>
      </c>
      <c r="K124" s="183">
        <v>4246</v>
      </c>
      <c r="M124" s="364">
        <f t="shared" si="34"/>
        <v>18.919885550786837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'[72]Sch C'!D126</f>
        <v>0</v>
      </c>
      <c r="D125" s="558">
        <f>'[72]Sch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'[72]Sch C'!D127</f>
        <v>0</v>
      </c>
      <c r="D126" s="558">
        <f>'[72]Sch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'[72]Sch C'!D128</f>
        <v>1687</v>
      </c>
      <c r="D127" s="558">
        <f>'[72]Sch C'!F128</f>
        <v>0</v>
      </c>
      <c r="E127" s="171">
        <f t="shared" si="33"/>
        <v>1687</v>
      </c>
      <c r="F127" s="171"/>
      <c r="G127" s="171">
        <f>E127+F127</f>
        <v>1687</v>
      </c>
      <c r="H127" s="172">
        <f>IF($G$208=0,0,G127/$G$208)</f>
        <v>5.5400515845467038E-4</v>
      </c>
      <c r="I127" s="336"/>
      <c r="J127" s="183">
        <v>0</v>
      </c>
      <c r="K127" s="183">
        <v>0</v>
      </c>
      <c r="M127" s="364">
        <f t="shared" si="34"/>
        <v>0.21940434386786317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'[72]Sch C'!D130</f>
        <v>0</v>
      </c>
      <c r="D129" s="558">
        <f>'[72]Sch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'[72]Sch C'!D131</f>
        <v>0</v>
      </c>
      <c r="D130" s="558">
        <f>'[72]Sch C'!F131</f>
        <v>23608</v>
      </c>
      <c r="E130" s="171">
        <f t="shared" si="35"/>
        <v>23608</v>
      </c>
      <c r="F130" s="171"/>
      <c r="G130" s="171">
        <f>E130+F130</f>
        <v>23608</v>
      </c>
      <c r="H130" s="172">
        <f>IF($G$208=0,0,G130/$G$208)</f>
        <v>7.7527882518066745E-3</v>
      </c>
      <c r="I130" s="336"/>
      <c r="J130" s="204"/>
      <c r="K130" s="204"/>
      <c r="M130" s="364">
        <f t="shared" si="34"/>
        <v>3.0703602549096112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'[72]Sch C'!D132</f>
        <v>0</v>
      </c>
      <c r="D131" s="558">
        <f>'[72]Sch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'[72]Sch C'!D133</f>
        <v>0</v>
      </c>
      <c r="D132" s="558">
        <f>'[72]Sch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'[72]Sch C'!D134</f>
        <v>0</v>
      </c>
      <c r="D133" s="558">
        <f>'[72]Sch C'!F134</f>
        <v>274</v>
      </c>
      <c r="E133" s="171">
        <f t="shared" si="35"/>
        <v>274</v>
      </c>
      <c r="F133" s="171"/>
      <c r="G133" s="171">
        <f>E133+F133</f>
        <v>274</v>
      </c>
      <c r="H133" s="172">
        <f>IF($G$208=0,0,G133/$G$208)</f>
        <v>8.9980683708701663E-5</v>
      </c>
      <c r="I133" s="336"/>
      <c r="J133" s="168"/>
      <c r="K133" s="168"/>
      <c r="M133" s="364">
        <f t="shared" si="34"/>
        <v>3.5635323188971259E-2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'[72]Sch C'!D136</f>
        <v>287402</v>
      </c>
      <c r="D135" s="558">
        <f>'[72]Sch C'!F136</f>
        <v>0</v>
      </c>
      <c r="E135" s="171">
        <f t="shared" ref="E135:E138" si="36">C135+D135</f>
        <v>287402</v>
      </c>
      <c r="F135" s="171"/>
      <c r="G135" s="171">
        <f>E135+F135</f>
        <v>287402</v>
      </c>
      <c r="H135" s="172">
        <f>IF($G$208=0,0,G135/$G$208)</f>
        <v>9.4381855690687133E-2</v>
      </c>
      <c r="I135" s="336"/>
      <c r="J135" s="183">
        <v>9872</v>
      </c>
      <c r="K135" s="183">
        <v>10657</v>
      </c>
      <c r="M135" s="364">
        <f t="shared" si="34"/>
        <v>37.378332683053713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'[72]Sch C'!D137</f>
        <v>108246</v>
      </c>
      <c r="D136" s="558">
        <f>'[72]Sch C'!F137</f>
        <v>0</v>
      </c>
      <c r="E136" s="171">
        <f t="shared" si="36"/>
        <v>108246</v>
      </c>
      <c r="F136" s="171"/>
      <c r="G136" s="171">
        <f>E136+F136</f>
        <v>108246</v>
      </c>
      <c r="H136" s="172">
        <f>IF($G$208=0,0,G136/$G$208)</f>
        <v>3.554762441143109E-2</v>
      </c>
      <c r="I136" s="336"/>
      <c r="J136" s="183">
        <v>4684</v>
      </c>
      <c r="K136" s="183">
        <v>4880</v>
      </c>
      <c r="M136" s="364">
        <f t="shared" si="34"/>
        <v>14.078033554428405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'[72]Sch C'!D138</f>
        <v>262331</v>
      </c>
      <c r="D137" s="558">
        <f>'[72]Sch C'!F138</f>
        <v>0</v>
      </c>
      <c r="E137" s="171">
        <f t="shared" si="36"/>
        <v>262331</v>
      </c>
      <c r="F137" s="171"/>
      <c r="G137" s="171">
        <f>E137+F137</f>
        <v>262331</v>
      </c>
      <c r="H137" s="172">
        <f>IF($G$208=0,0,G137/$G$208)</f>
        <v>8.6148623131340932E-2</v>
      </c>
      <c r="I137" s="336"/>
      <c r="J137" s="183">
        <v>22934</v>
      </c>
      <c r="K137" s="183">
        <v>24230</v>
      </c>
      <c r="M137" s="364">
        <f t="shared" si="34"/>
        <v>34.11770061126284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'[72]Sch C'!D139</f>
        <v>0</v>
      </c>
      <c r="D138" s="558">
        <f>'[72]Sch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208"/>
      <c r="K139" s="208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'[72]Sch C'!D141</f>
        <v>0</v>
      </c>
      <c r="D140" s="558">
        <f>'[72]Sch C'!F141</f>
        <v>46640</v>
      </c>
      <c r="E140" s="171">
        <f t="shared" ref="E140:E143" si="37">C140+D140</f>
        <v>46640</v>
      </c>
      <c r="F140" s="171"/>
      <c r="G140" s="171">
        <f>E140+F140</f>
        <v>46640</v>
      </c>
      <c r="H140" s="172">
        <f>IF($G$208=0,0,G140/$G$208)</f>
        <v>1.5316420029831553E-2</v>
      </c>
      <c r="I140" s="336"/>
      <c r="J140" s="168"/>
      <c r="K140" s="168"/>
      <c r="M140" s="364">
        <f t="shared" si="34"/>
        <v>6.0658082975679539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'[72]Sch C'!D142</f>
        <v>0</v>
      </c>
      <c r="D141" s="558">
        <f>'[72]Sch C'!F142</f>
        <v>17566</v>
      </c>
      <c r="E141" s="171">
        <f t="shared" si="37"/>
        <v>17566</v>
      </c>
      <c r="F141" s="171"/>
      <c r="G141" s="171">
        <f>E141+F141</f>
        <v>17566</v>
      </c>
      <c r="H141" s="172">
        <f>IF($G$208=0,0,G141/$G$208)</f>
        <v>5.7686156570330412E-3</v>
      </c>
      <c r="I141" s="336"/>
      <c r="J141" s="168"/>
      <c r="K141" s="168"/>
      <c r="M141" s="364">
        <f t="shared" si="34"/>
        <v>2.2845623618155808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'[72]Sch C'!D143</f>
        <v>0</v>
      </c>
      <c r="D142" s="558">
        <f>'[72]Sch C'!F143</f>
        <v>42572</v>
      </c>
      <c r="E142" s="171">
        <f t="shared" si="37"/>
        <v>42572</v>
      </c>
      <c r="F142" s="171"/>
      <c r="G142" s="171">
        <f>E142+F142</f>
        <v>42572</v>
      </c>
      <c r="H142" s="172">
        <f>IF($G$208=0,0,G142/$G$208)</f>
        <v>1.3980502433747617E-2</v>
      </c>
      <c r="I142" s="336"/>
      <c r="J142" s="168"/>
      <c r="K142" s="168"/>
      <c r="M142" s="364">
        <f t="shared" si="34"/>
        <v>5.5367407985433736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'[72]Sch C'!D144</f>
        <v>0</v>
      </c>
      <c r="D143" s="558">
        <f>'[72]Sch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'[72]Sch C'!D146</f>
        <v>18450</v>
      </c>
      <c r="D145" s="558">
        <f>'[72]Sch C'!F146</f>
        <v>0</v>
      </c>
      <c r="E145" s="171">
        <f t="shared" ref="E145:E153" si="38">C145+D145</f>
        <v>18450</v>
      </c>
      <c r="F145" s="171"/>
      <c r="G145" s="171">
        <f t="shared" ref="G145:G153" si="39">E145+F145</f>
        <v>18450</v>
      </c>
      <c r="H145" s="172">
        <f t="shared" ref="H145:H153" si="40">IF($G$208=0,0,G145/$G$208)</f>
        <v>6.0589183008231589E-3</v>
      </c>
      <c r="I145" s="336"/>
      <c r="J145" s="183">
        <v>0</v>
      </c>
      <c r="K145" s="183">
        <v>0</v>
      </c>
      <c r="M145" s="364">
        <f t="shared" si="34"/>
        <v>2.3995317986734297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'[72]Sch C'!D147</f>
        <v>0</v>
      </c>
      <c r="D146" s="558">
        <f>'[72]Sch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'[72]Sch C'!D148</f>
        <v>0</v>
      </c>
      <c r="D147" s="558">
        <f>'[72]Sch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'[72]Sch C'!D149</f>
        <v>0</v>
      </c>
      <c r="D148" s="558">
        <f>'[72]Sch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'[72]Sch C'!D150</f>
        <v>6644</v>
      </c>
      <c r="D149" s="558">
        <f>'[72]Sch C'!F150</f>
        <v>0</v>
      </c>
      <c r="E149" s="171">
        <f t="shared" si="38"/>
        <v>6644</v>
      </c>
      <c r="F149" s="171"/>
      <c r="G149" s="171">
        <f t="shared" si="39"/>
        <v>6644</v>
      </c>
      <c r="H149" s="172">
        <f t="shared" si="40"/>
        <v>2.1818673816080794E-3</v>
      </c>
      <c r="I149" s="336"/>
      <c r="J149" s="183">
        <v>0</v>
      </c>
      <c r="K149" s="183">
        <v>0</v>
      </c>
      <c r="M149" s="364">
        <f t="shared" si="34"/>
        <v>0.86409155937052928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'[72]Sch C'!D151</f>
        <v>41967</v>
      </c>
      <c r="D150" s="558">
        <f>'[72]Sch C'!F151</f>
        <v>0</v>
      </c>
      <c r="E150" s="171">
        <f t="shared" si="38"/>
        <v>41967</v>
      </c>
      <c r="F150" s="171"/>
      <c r="G150" s="171">
        <f t="shared" si="39"/>
        <v>41967</v>
      </c>
      <c r="H150" s="172">
        <f t="shared" si="40"/>
        <v>1.3781822456945557E-2</v>
      </c>
      <c r="I150" s="336"/>
      <c r="J150" s="168"/>
      <c r="K150" s="168"/>
      <c r="M150" s="364">
        <f t="shared" si="34"/>
        <v>5.458056964494733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'[72]Sch C'!D152</f>
        <v>549</v>
      </c>
      <c r="D151" s="558">
        <f>'[72]Sch C'!F152</f>
        <v>0</v>
      </c>
      <c r="E151" s="171">
        <f t="shared" si="38"/>
        <v>549</v>
      </c>
      <c r="F151" s="171"/>
      <c r="G151" s="171">
        <f t="shared" si="39"/>
        <v>549</v>
      </c>
      <c r="H151" s="172">
        <f t="shared" si="40"/>
        <v>1.8028976407327449E-4</v>
      </c>
      <c r="I151" s="336"/>
      <c r="J151" s="168"/>
      <c r="K151" s="168"/>
      <c r="M151" s="364">
        <f t="shared" si="34"/>
        <v>7.140070230198986E-2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'[72]Sch C'!D153</f>
        <v>0</v>
      </c>
      <c r="D152" s="558">
        <f>'[72]Sch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'[72]Sch C'!D154</f>
        <v>0</v>
      </c>
      <c r="D153" s="558">
        <f>'[72]Sch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'[72]Sch C'!D156</f>
        <v>0</v>
      </c>
      <c r="D155" s="558">
        <f>'[72]Sch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'[72]Sch C'!D157</f>
        <v>0</v>
      </c>
      <c r="D156" s="558">
        <f>'[72]Sch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'[72]Sch C'!D158</f>
        <v>0</v>
      </c>
      <c r="D157" s="558">
        <f>'[72]Sch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'[72]Sch C'!D159</f>
        <v>0</v>
      </c>
      <c r="D158" s="558">
        <f>'[72]Sch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'[72]Sch C'!D160</f>
        <v>0</v>
      </c>
      <c r="D159" s="558">
        <f>'[72]Sch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'[72]Sch C'!D161</f>
        <v>417</v>
      </c>
      <c r="D160" s="558">
        <f>'[72]Sch C'!F161</f>
        <v>0</v>
      </c>
      <c r="E160" s="171">
        <f t="shared" si="41"/>
        <v>417</v>
      </c>
      <c r="F160" s="171"/>
      <c r="G160" s="171">
        <f t="shared" si="42"/>
        <v>417</v>
      </c>
      <c r="H160" s="172">
        <f t="shared" si="43"/>
        <v>1.3694140549827953E-4</v>
      </c>
      <c r="I160" s="336"/>
      <c r="J160" s="168"/>
      <c r="K160" s="168"/>
      <c r="M160" s="364">
        <f t="shared" si="34"/>
        <v>5.4233320327740926E-2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873168</v>
      </c>
      <c r="D161" s="558">
        <f>SUM(D123:D160)</f>
        <v>130660</v>
      </c>
      <c r="E161" s="171">
        <f t="shared" ref="E161:F161" si="44">SUM(E123:E160)</f>
        <v>1003828</v>
      </c>
      <c r="F161" s="171">
        <f t="shared" si="44"/>
        <v>0</v>
      </c>
      <c r="G161" s="171">
        <f>SUM(G123:G160)</f>
        <v>1003828</v>
      </c>
      <c r="H161" s="172">
        <f t="shared" si="43"/>
        <v>0.32965375826984877</v>
      </c>
      <c r="I161" s="336"/>
      <c r="J161" s="168"/>
      <c r="K161" s="168"/>
      <c r="M161" s="364">
        <f>G161/G$228</f>
        <v>130.55377812459358</v>
      </c>
      <c r="N161" s="359">
        <f>SUMMARY!J164</f>
        <v>105.56901037202306</v>
      </c>
      <c r="O161" s="354">
        <f>M161/N161-1</f>
        <v>0.23666763252326328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'[72]Sch C'!D175</f>
        <v>0</v>
      </c>
      <c r="D164" s="558">
        <f>'[72]Sch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'[72]Sch C'!D176</f>
        <v>0</v>
      </c>
      <c r="D165" s="558">
        <f>'[72]Sch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'[72]Sch C'!D177</f>
        <v>0</v>
      </c>
      <c r="D166" s="558">
        <f>'[72]Sch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'[72]Sch C'!D178</f>
        <v>0</v>
      </c>
      <c r="D167" s="558">
        <f>'[72]Sch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'[72]Sch C'!D179</f>
        <v>0</v>
      </c>
      <c r="D168" s="558">
        <f>'[72]Sch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'[72]Sch C'!D180</f>
        <v>0</v>
      </c>
      <c r="D169" s="558">
        <f>'[72]Sch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'[72]Sch C'!D181</f>
        <v>0</v>
      </c>
      <c r="D170" s="558">
        <f>'[72]Sch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'[72]Sch C'!D182</f>
        <v>0</v>
      </c>
      <c r="D171" s="558">
        <f>'[72]Sch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'[72]Sch C'!D183</f>
        <v>0</v>
      </c>
      <c r="D172" s="558">
        <f>'[72]Sch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'[72]Sch C'!D184</f>
        <v>0</v>
      </c>
      <c r="D173" s="558">
        <f>'[72]Sch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'[72]Sch C'!D185</f>
        <v>0</v>
      </c>
      <c r="D174" s="558">
        <f>'[72]Sch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'[72]Sch C'!D186</f>
        <v>0</v>
      </c>
      <c r="D175" s="558">
        <f>'[72]Sch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'[72]Sch C'!D187</f>
        <v>0</v>
      </c>
      <c r="D176" s="558">
        <f>'[72]Sch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'[72]Sch C'!D188</f>
        <v>2061</v>
      </c>
      <c r="D177" s="558">
        <f>'[72]Sch C'!F188</f>
        <v>0</v>
      </c>
      <c r="E177" s="171">
        <f t="shared" si="45"/>
        <v>2061</v>
      </c>
      <c r="F177" s="216"/>
      <c r="G177" s="171">
        <f t="shared" si="46"/>
        <v>2061</v>
      </c>
      <c r="H177" s="172">
        <f t="shared" si="47"/>
        <v>6.7682550775048948E-4</v>
      </c>
      <c r="I177" s="336"/>
      <c r="J177" s="223"/>
      <c r="K177" s="218"/>
      <c r="L177" s="220"/>
      <c r="M177" s="364">
        <f t="shared" si="48"/>
        <v>0.26804525946156849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'[72]Sch C'!D189</f>
        <v>0</v>
      </c>
      <c r="D178" s="558">
        <f>'[72]Sch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'[72]Sch C'!D190</f>
        <v>0</v>
      </c>
      <c r="D179" s="558">
        <f>'[72]Sch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'[72]Sch C'!D191</f>
        <v>0</v>
      </c>
      <c r="D180" s="558">
        <f>'[72]Sch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'[72]Sch C'!D192</f>
        <v>0</v>
      </c>
      <c r="D181" s="558">
        <f>'[72]Sch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'[72]Sch C'!D193</f>
        <v>0</v>
      </c>
      <c r="D182" s="558">
        <f>'[72]Sch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'[72]Sch C'!D194</f>
        <v>515151</v>
      </c>
      <c r="D183" s="558">
        <f>'[72]Sch C'!F194</f>
        <v>0</v>
      </c>
      <c r="E183" s="171">
        <f t="shared" si="45"/>
        <v>515151</v>
      </c>
      <c r="F183" s="216"/>
      <c r="G183" s="171">
        <f t="shared" si="46"/>
        <v>515151</v>
      </c>
      <c r="H183" s="172">
        <f t="shared" si="47"/>
        <v>0.16917386566869111</v>
      </c>
      <c r="I183" s="336"/>
      <c r="J183" s="223"/>
      <c r="K183" s="218"/>
      <c r="M183" s="364">
        <f t="shared" si="48"/>
        <v>66.998439328911431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'[72]Sch C'!D195</f>
        <v>0</v>
      </c>
      <c r="D184" s="558">
        <f>'[72]Sch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'[72]Sch C'!D196</f>
        <v>0</v>
      </c>
      <c r="D185" s="558">
        <f>'[72]Sch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'[72]Sch C'!D197</f>
        <v>0</v>
      </c>
      <c r="D186" s="558">
        <f>'[72]Sch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'[72]Sch C'!D198</f>
        <v>22349</v>
      </c>
      <c r="D187" s="558">
        <f>'[72]Sch C'!F198</f>
        <v>0</v>
      </c>
      <c r="E187" s="171">
        <f t="shared" si="45"/>
        <v>22349</v>
      </c>
      <c r="F187" s="216"/>
      <c r="G187" s="171">
        <f t="shared" si="46"/>
        <v>22349</v>
      </c>
      <c r="H187" s="172">
        <f t="shared" si="47"/>
        <v>7.3393368620648658E-3</v>
      </c>
      <c r="I187" s="336"/>
      <c r="J187" s="223"/>
      <c r="K187" s="218"/>
      <c r="M187" s="364">
        <f t="shared" si="48"/>
        <v>2.9066198465340096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'[72]Sch C'!D199</f>
        <v>0</v>
      </c>
      <c r="D188" s="558">
        <f>'[72]Sch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'[72]Sch C'!D200</f>
        <v>0</v>
      </c>
      <c r="D189" s="558">
        <f>'[72]Sch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'[72]Sch C'!D201</f>
        <v>0</v>
      </c>
      <c r="D190" s="558">
        <f>'[72]Sch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'[72]Sch C'!D202</f>
        <v>0</v>
      </c>
      <c r="D191" s="558">
        <f>'[72]Sch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'[72]Sch C'!D203</f>
        <v>0</v>
      </c>
      <c r="D192" s="558">
        <f>'[72]Sch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'[72]Sch C'!D204</f>
        <v>0</v>
      </c>
      <c r="D193" s="558">
        <f>'[72]Sch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'[72]Sch C'!D205</f>
        <v>179360</v>
      </c>
      <c r="D194" s="558">
        <f>'[72]Sch C'!F205</f>
        <v>0</v>
      </c>
      <c r="E194" s="171">
        <f t="shared" si="45"/>
        <v>179360</v>
      </c>
      <c r="F194" s="216"/>
      <c r="G194" s="171">
        <f t="shared" si="46"/>
        <v>179360</v>
      </c>
      <c r="H194" s="172">
        <f t="shared" si="47"/>
        <v>5.8901224197053757E-2</v>
      </c>
      <c r="I194" s="336"/>
      <c r="J194" s="223"/>
      <c r="K194" s="218"/>
      <c r="M194" s="364">
        <f t="shared" si="48"/>
        <v>23.326830537130967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'[72]Sch C'!D206</f>
        <v>8099</v>
      </c>
      <c r="D195" s="558">
        <f>'[72]Sch C'!F206</f>
        <v>0</v>
      </c>
      <c r="E195" s="171">
        <f t="shared" si="45"/>
        <v>8099</v>
      </c>
      <c r="F195" s="216"/>
      <c r="G195" s="171">
        <f t="shared" si="46"/>
        <v>8099</v>
      </c>
      <c r="H195" s="172">
        <f t="shared" si="47"/>
        <v>2.6596845159006376E-3</v>
      </c>
      <c r="I195" s="336"/>
      <c r="J195" s="223"/>
      <c r="K195" s="218"/>
      <c r="M195" s="364">
        <f t="shared" si="48"/>
        <v>1.0533229288594095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'[72]Sch C'!D207</f>
        <v>1434</v>
      </c>
      <c r="D196" s="558">
        <f>'[72]Sch C'!F207</f>
        <v>0</v>
      </c>
      <c r="E196" s="171">
        <f t="shared" si="45"/>
        <v>1434</v>
      </c>
      <c r="F196" s="216"/>
      <c r="G196" s="171">
        <f t="shared" si="46"/>
        <v>1434</v>
      </c>
      <c r="H196" s="172">
        <f t="shared" si="47"/>
        <v>4.7092080451926343E-4</v>
      </c>
      <c r="I196" s="336"/>
      <c r="J196" s="223"/>
      <c r="K196" s="218"/>
      <c r="M196" s="364">
        <f t="shared" si="48"/>
        <v>0.18650019508388607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728454</v>
      </c>
      <c r="D197" s="558">
        <f>SUM(D164:D196)</f>
        <v>0</v>
      </c>
      <c r="E197" s="171">
        <f t="shared" ref="E197:F197" si="49">SUM(E164:E196)</f>
        <v>728454</v>
      </c>
      <c r="F197" s="171">
        <f t="shared" si="49"/>
        <v>0</v>
      </c>
      <c r="G197" s="171">
        <f>SUM(G164:G196)</f>
        <v>728454</v>
      </c>
      <c r="H197" s="172">
        <f>IF($G$208=0,0,G197/$G$208)</f>
        <v>0.23922185755598013</v>
      </c>
      <c r="I197" s="336"/>
      <c r="J197" s="168"/>
      <c r="K197" s="168"/>
      <c r="M197" s="364">
        <f>G197/G$228</f>
        <v>94.739758095981273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'[72]Sch C'!D211</f>
        <v>51608</v>
      </c>
      <c r="D200" s="558">
        <f>'[72]Sch C'!F211</f>
        <v>0</v>
      </c>
      <c r="E200" s="171">
        <f t="shared" ref="E200:E205" si="50">C200+D200</f>
        <v>51608</v>
      </c>
      <c r="F200" s="171"/>
      <c r="G200" s="171">
        <f t="shared" ref="G200:G205" si="51">E200+F200</f>
        <v>51608</v>
      </c>
      <c r="H200" s="172">
        <f t="shared" ref="H200:H206" si="52">IF($G$208=0,0,G200/$G$208)</f>
        <v>1.6947894616199544E-2</v>
      </c>
      <c r="I200" s="336"/>
      <c r="J200" s="183">
        <v>3492</v>
      </c>
      <c r="K200" s="183">
        <v>3856</v>
      </c>
      <c r="M200" s="364">
        <f t="shared" ref="M200:M205" si="53">G200/G$228</f>
        <v>6.7119261282351408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'[72]Sch C'!D212</f>
        <v>0</v>
      </c>
      <c r="D201" s="558">
        <f>'[72]Sch C'!F212</f>
        <v>8375</v>
      </c>
      <c r="E201" s="171">
        <f t="shared" si="50"/>
        <v>8375</v>
      </c>
      <c r="F201" s="171"/>
      <c r="G201" s="171">
        <f t="shared" si="51"/>
        <v>8375</v>
      </c>
      <c r="H201" s="172">
        <f t="shared" si="52"/>
        <v>2.7503219929210817E-3</v>
      </c>
      <c r="I201" s="336"/>
      <c r="J201" s="168"/>
      <c r="K201" s="168"/>
      <c r="M201" s="364">
        <f t="shared" si="53"/>
        <v>1.0892183638964754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'[72]Sch C'!D213</f>
        <v>10737</v>
      </c>
      <c r="D202" s="558">
        <f>'[72]Sch C'!F213</f>
        <v>0</v>
      </c>
      <c r="E202" s="171">
        <f t="shared" si="50"/>
        <v>10737</v>
      </c>
      <c r="F202" s="171"/>
      <c r="G202" s="171">
        <f t="shared" si="51"/>
        <v>10737</v>
      </c>
      <c r="H202" s="172">
        <f t="shared" si="52"/>
        <v>3.5259948940887945E-3</v>
      </c>
      <c r="I202" s="336"/>
      <c r="J202" s="168"/>
      <c r="K202" s="168"/>
      <c r="M202" s="364">
        <f t="shared" si="53"/>
        <v>1.3964104564962934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'[72]Sch C'!D214</f>
        <v>0</v>
      </c>
      <c r="D203" s="558">
        <f>'[72]Sch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'[72]Sch C'!D215</f>
        <v>0</v>
      </c>
      <c r="D204" s="558">
        <f>'[72]Sch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'[72]Sch C'!D216</f>
        <v>2365</v>
      </c>
      <c r="D205" s="558">
        <f>'[72]Sch C'!F216</f>
        <v>0</v>
      </c>
      <c r="E205" s="171">
        <f t="shared" si="50"/>
        <v>2365</v>
      </c>
      <c r="F205" s="171"/>
      <c r="G205" s="171">
        <f t="shared" si="51"/>
        <v>2365</v>
      </c>
      <c r="H205" s="172">
        <f t="shared" si="52"/>
        <v>7.7665809113532634E-4</v>
      </c>
      <c r="I205" s="336"/>
      <c r="J205" s="168"/>
      <c r="K205" s="168"/>
      <c r="M205" s="364">
        <f t="shared" si="53"/>
        <v>0.30758226037195996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64710</v>
      </c>
      <c r="D206" s="558">
        <f>SUM(D200:D205)</f>
        <v>8375</v>
      </c>
      <c r="E206" s="171">
        <f t="shared" ref="E206:F206" si="54">SUM(E200:E205)</f>
        <v>73085</v>
      </c>
      <c r="F206" s="171">
        <f t="shared" si="54"/>
        <v>0</v>
      </c>
      <c r="G206" s="171">
        <f>SUM(G200:G205)</f>
        <v>73085</v>
      </c>
      <c r="H206" s="172">
        <f t="shared" si="52"/>
        <v>2.4000869594344748E-2</v>
      </c>
      <c r="I206" s="336"/>
      <c r="J206" s="168"/>
      <c r="K206" s="168"/>
      <c r="M206" s="364">
        <f>G206/G$228</f>
        <v>9.5051372089998694</v>
      </c>
      <c r="N206" s="359">
        <f>SUMMARY!J209</f>
        <v>7.1515095990067339</v>
      </c>
      <c r="O206" s="354">
        <f>M206/N206-1</f>
        <v>0.32910920098884144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3082602</v>
      </c>
      <c r="D208" s="558">
        <f>SUM(D25:D206)/2</f>
        <v>-37504</v>
      </c>
      <c r="E208" s="171">
        <f t="shared" ref="E208:F208" si="55">SUM(E25:E206)/2</f>
        <v>3045098</v>
      </c>
      <c r="F208" s="171">
        <f t="shared" si="55"/>
        <v>0</v>
      </c>
      <c r="G208" s="171">
        <f>SUM(G25:G206)/2</f>
        <v>3045098</v>
      </c>
      <c r="H208" s="172">
        <f>IF($G$208=0,0,G208/$G$208)</f>
        <v>1</v>
      </c>
      <c r="I208" s="336"/>
      <c r="J208" s="183">
        <f>SUM(J25:J200)</f>
        <v>67549</v>
      </c>
      <c r="K208" s="183">
        <f>SUM(K25:K200)</f>
        <v>72333</v>
      </c>
      <c r="M208" s="364">
        <f>G208/G$228</f>
        <v>396.03303420470803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1.7236136076792963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'[72]Sch C'!D221</f>
        <v>3082602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-24958</v>
      </c>
      <c r="D215" s="558">
        <f>D21-D208</f>
        <v>37504</v>
      </c>
      <c r="E215" s="171">
        <f t="shared" ref="E215:F215" si="56">E21-E208</f>
        <v>12546</v>
      </c>
      <c r="F215" s="171">
        <f t="shared" si="56"/>
        <v>0</v>
      </c>
      <c r="G215" s="171">
        <f>G21-G208</f>
        <v>12546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'[72]Sch D'!C9</f>
        <v>2249</v>
      </c>
      <c r="D219" s="592"/>
      <c r="E219" s="235">
        <f t="shared" ref="E219:G227" si="57">C219+D219</f>
        <v>2249</v>
      </c>
      <c r="F219" s="234"/>
      <c r="G219" s="235">
        <f t="shared" si="57"/>
        <v>2249</v>
      </c>
      <c r="H219" s="172">
        <f t="shared" ref="H219:H228" si="58">IF($G$228=0,0,G219/$G$228)</f>
        <v>0.29249577318246844</v>
      </c>
      <c r="I219" s="336"/>
      <c r="J219" s="168"/>
      <c r="K219" s="168"/>
    </row>
    <row r="220" spans="1:17">
      <c r="A220" s="163"/>
      <c r="B220" s="170" t="s">
        <v>217</v>
      </c>
      <c r="C220" s="592">
        <f>'[72]Sch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'[72]Sch D'!E9</f>
        <v>4683</v>
      </c>
      <c r="D221" s="592"/>
      <c r="E221" s="235">
        <f t="shared" si="59"/>
        <v>4683</v>
      </c>
      <c r="F221" s="234"/>
      <c r="G221" s="235">
        <f t="shared" si="57"/>
        <v>4683</v>
      </c>
      <c r="H221" s="172">
        <f t="shared" si="58"/>
        <v>0.60905189231369494</v>
      </c>
      <c r="I221" s="336"/>
      <c r="J221" s="168"/>
      <c r="K221" s="168"/>
    </row>
    <row r="222" spans="1:17">
      <c r="A222" s="163"/>
      <c r="B222" s="202" t="s">
        <v>334</v>
      </c>
      <c r="C222" s="592">
        <f>'[72]Sch D'!F9</f>
        <v>123</v>
      </c>
      <c r="D222" s="592"/>
      <c r="E222" s="235">
        <f>C222+D222</f>
        <v>123</v>
      </c>
      <c r="F222" s="234"/>
      <c r="G222" s="235">
        <f>E222+F222</f>
        <v>123</v>
      </c>
      <c r="H222" s="172">
        <f t="shared" si="58"/>
        <v>1.5996878657822865E-2</v>
      </c>
      <c r="I222" s="336"/>
      <c r="J222" s="168"/>
      <c r="K222" s="168"/>
    </row>
    <row r="223" spans="1:17">
      <c r="A223" s="163"/>
      <c r="B223" s="170" t="s">
        <v>73</v>
      </c>
      <c r="C223" s="592">
        <f>'[72]Sch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'[72]Sch D'!H9</f>
        <v>625</v>
      </c>
      <c r="D224" s="592"/>
      <c r="E224" s="235">
        <f t="shared" si="59"/>
        <v>625</v>
      </c>
      <c r="F224" s="234"/>
      <c r="G224" s="235">
        <f t="shared" si="57"/>
        <v>625</v>
      </c>
      <c r="H224" s="172">
        <f t="shared" si="58"/>
        <v>8.1284952529587728E-2</v>
      </c>
      <c r="I224" s="336"/>
      <c r="J224" s="168"/>
      <c r="K224" s="168"/>
    </row>
    <row r="225" spans="1:11">
      <c r="A225" s="163"/>
      <c r="B225" s="170" t="s">
        <v>236</v>
      </c>
      <c r="C225" s="592">
        <f>'[72]Sch D'!I9</f>
        <v>0</v>
      </c>
      <c r="D225" s="592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'[72]Sch D'!J9</f>
        <v>9</v>
      </c>
      <c r="D226" s="592"/>
      <c r="E226" s="235">
        <f>C226+D226</f>
        <v>9</v>
      </c>
      <c r="F226" s="234"/>
      <c r="G226" s="235">
        <f>E226+F226</f>
        <v>9</v>
      </c>
      <c r="H226" s="172">
        <f t="shared" si="58"/>
        <v>1.1705033164260631E-3</v>
      </c>
      <c r="I226" s="336"/>
      <c r="J226" s="168"/>
      <c r="K226" s="168"/>
    </row>
    <row r="227" spans="1:11">
      <c r="A227" s="163"/>
      <c r="B227" s="170" t="s">
        <v>179</v>
      </c>
      <c r="C227" s="592">
        <f>'[72]Sch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7689</v>
      </c>
      <c r="D228" s="592">
        <f>SUM(D219:D227)</f>
        <v>0</v>
      </c>
      <c r="E228" s="237">
        <f>SUM(E219:E227)</f>
        <v>7689</v>
      </c>
      <c r="F228" s="237">
        <f>SUM(F219:F227)</f>
        <v>0</v>
      </c>
      <c r="G228" s="237">
        <f>SUM(G219:G227)</f>
        <v>7689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'[72]Sch D'!N22</f>
        <v>30</v>
      </c>
      <c r="D231" s="559"/>
      <c r="E231" s="235">
        <f>C231+D231</f>
        <v>30</v>
      </c>
      <c r="F231" s="235"/>
      <c r="G231" s="235">
        <f>E231+F231</f>
        <v>30</v>
      </c>
      <c r="H231" s="167"/>
      <c r="J231" s="168"/>
      <c r="K231" s="168"/>
    </row>
    <row r="232" spans="1:11">
      <c r="A232" s="163"/>
      <c r="B232" s="202" t="s">
        <v>290</v>
      </c>
      <c r="C232" s="593">
        <f>'[72]Sch D'!N24</f>
        <v>30</v>
      </c>
      <c r="D232" s="559"/>
      <c r="E232" s="235">
        <f>C232+D232</f>
        <v>30</v>
      </c>
      <c r="F232" s="183">
        <v>-22</v>
      </c>
      <c r="G232" s="235">
        <f>E232+F232</f>
        <v>8</v>
      </c>
      <c r="H232" s="669" t="s">
        <v>676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'[72]Sch D'!N28</f>
        <v>10980</v>
      </c>
      <c r="D235" s="483"/>
      <c r="E235" s="234">
        <f>E231*E233</f>
        <v>10980</v>
      </c>
      <c r="F235" s="239"/>
      <c r="G235" s="234">
        <f>G231*G233</f>
        <v>10980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'[72]Sch D'!N30</f>
        <v>0.70027322404371584</v>
      </c>
      <c r="D236" s="239"/>
      <c r="E236" s="244">
        <f>E228/E235</f>
        <v>0.70027322404371584</v>
      </c>
      <c r="F236" s="245"/>
      <c r="G236" s="244">
        <f>G228/G235</f>
        <v>0.70027322404371584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'[72]Sch D'!N32</f>
        <v>0.20482695810564663</v>
      </c>
      <c r="D237" s="239"/>
      <c r="E237" s="244">
        <f>(E219+E220)/E235</f>
        <v>0.20482695810564663</v>
      </c>
      <c r="F237" s="245"/>
      <c r="G237" s="244">
        <f>(G219+G220)/G235</f>
        <v>0.20482695810564663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'[72]Sch D'!N34</f>
        <v>0.29249577318246844</v>
      </c>
      <c r="D238" s="239"/>
      <c r="E238" s="244">
        <f>(E237/E236)</f>
        <v>0.29249577318246844</v>
      </c>
      <c r="F238" s="245"/>
      <c r="G238" s="244">
        <f>(G237/G236)</f>
        <v>0.29249577318246844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'[72]Sch B'!C85</f>
        <v>219.24193548387098</v>
      </c>
    </row>
    <row r="242" spans="2:7">
      <c r="B242" s="523" t="s">
        <v>421</v>
      </c>
      <c r="F242" s="142" t="s">
        <v>341</v>
      </c>
      <c r="G242" s="558">
        <f>'[72]Sch B'!E85</f>
        <v>248.02573529411765</v>
      </c>
    </row>
    <row r="243" spans="2:7">
      <c r="B243" s="460" t="s">
        <v>422</v>
      </c>
      <c r="F243" s="142" t="s">
        <v>342</v>
      </c>
      <c r="G243" s="558">
        <f>'[72]Sch B'!G85</f>
        <v>233.93333333333334</v>
      </c>
    </row>
    <row r="244" spans="2:7">
      <c r="B244" s="460" t="s">
        <v>677</v>
      </c>
      <c r="F244" s="142" t="s">
        <v>343</v>
      </c>
      <c r="G244" s="558" t="str">
        <f>'[72]Sch B'!I85</f>
        <v/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3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13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479" t="s">
        <v>577</v>
      </c>
      <c r="D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'[73]Sch B'!E10</f>
        <v>737074</v>
      </c>
      <c r="D11" s="558">
        <f>'[73]Sch B'!G10</f>
        <v>-58607</v>
      </c>
      <c r="E11" s="171">
        <f>C11+D11</f>
        <v>678467</v>
      </c>
      <c r="F11" s="171"/>
      <c r="G11" s="171">
        <f t="shared" ref="G11:G20" si="0">E11+F11</f>
        <v>678467</v>
      </c>
      <c r="H11" s="172">
        <f t="shared" ref="H11:H21" si="1">IF($G$21=0,0,G11/$G$21)</f>
        <v>0.54021772191408013</v>
      </c>
      <c r="I11" s="336"/>
      <c r="J11" s="368" t="s">
        <v>344</v>
      </c>
      <c r="K11" s="369">
        <f>G21</f>
        <v>1255914</v>
      </c>
      <c r="M11" s="359">
        <f>IFERROR(G11/G219,0)</f>
        <v>160.12910077885297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'[73]Sch B'!E15</f>
        <v>0</v>
      </c>
      <c r="D12" s="558">
        <f>'[73]Sch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1583772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'[73]Sch B'!E21</f>
        <v>381488</v>
      </c>
      <c r="D13" s="558">
        <f>'[73]Sch B'!G21</f>
        <v>0</v>
      </c>
      <c r="E13" s="171">
        <f t="shared" si="2"/>
        <v>381488</v>
      </c>
      <c r="F13" s="171"/>
      <c r="G13" s="171">
        <f t="shared" si="0"/>
        <v>381488</v>
      </c>
      <c r="H13" s="172">
        <f t="shared" si="1"/>
        <v>0.30375328246997801</v>
      </c>
      <c r="I13" s="336"/>
      <c r="J13" s="370" t="s">
        <v>346</v>
      </c>
      <c r="K13" s="371">
        <f>G228</f>
        <v>5788</v>
      </c>
      <c r="M13" s="359">
        <f t="shared" si="3"/>
        <v>565.16740740740738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'[73]Sch B'!E27</f>
        <v>25591</v>
      </c>
      <c r="D14" s="558">
        <f>'[73]Sch B'!G27</f>
        <v>0</v>
      </c>
      <c r="E14" s="171">
        <f t="shared" si="2"/>
        <v>25591</v>
      </c>
      <c r="F14" s="175"/>
      <c r="G14" s="175">
        <f>E14+F14</f>
        <v>25591</v>
      </c>
      <c r="H14" s="176">
        <f t="shared" si="1"/>
        <v>2.0376395199034329E-2</v>
      </c>
      <c r="I14" s="337"/>
      <c r="J14" s="370" t="s">
        <v>347</v>
      </c>
      <c r="K14" s="371">
        <f>G231</f>
        <v>50</v>
      </c>
      <c r="M14" s="359">
        <f t="shared" si="3"/>
        <v>336.7236842105263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'[73]Sch B'!E32</f>
        <v>0</v>
      </c>
      <c r="D15" s="558">
        <f>'[73]Sch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18300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'[73]Sch B'!E37</f>
        <v>108531</v>
      </c>
      <c r="D16" s="558">
        <f>'[73]Sch B'!G37</f>
        <v>0</v>
      </c>
      <c r="E16" s="171">
        <f t="shared" si="2"/>
        <v>108531</v>
      </c>
      <c r="F16" s="171"/>
      <c r="G16" s="171">
        <f t="shared" si="0"/>
        <v>108531</v>
      </c>
      <c r="H16" s="172">
        <f t="shared" si="1"/>
        <v>8.6415948862740607E-2</v>
      </c>
      <c r="I16" s="336"/>
      <c r="J16" s="372"/>
      <c r="K16" s="371"/>
      <c r="M16" s="359">
        <f t="shared" si="3"/>
        <v>250.07142857142858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'[73]Sch B'!E42</f>
        <v>0</v>
      </c>
      <c r="D17" s="558">
        <f>'[73]Sch B'!G42</f>
        <v>58607</v>
      </c>
      <c r="E17" s="171">
        <f t="shared" si="2"/>
        <v>58607</v>
      </c>
      <c r="F17" s="171"/>
      <c r="G17" s="171">
        <f>E17+F17</f>
        <v>58607</v>
      </c>
      <c r="H17" s="172">
        <f t="shared" si="1"/>
        <v>4.6664819406424328E-2</v>
      </c>
      <c r="I17" s="336"/>
      <c r="J17" s="370" t="s">
        <v>156</v>
      </c>
      <c r="K17" s="371">
        <f>J208</f>
        <v>56842</v>
      </c>
      <c r="M17" s="359">
        <f t="shared" si="3"/>
        <v>160.12841530054644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'[73]Sch B'!E47</f>
        <v>0</v>
      </c>
      <c r="D18" s="558">
        <f>'[73]Sch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58272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'[73]Sch B'!E52</f>
        <v>0</v>
      </c>
      <c r="D19" s="558">
        <f>'[73]Sch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'[73]Sch B'!E67</f>
        <v>3230</v>
      </c>
      <c r="D20" s="558">
        <f>'[73]Sch B'!G67</f>
        <v>0</v>
      </c>
      <c r="E20" s="171">
        <f t="shared" si="2"/>
        <v>3230</v>
      </c>
      <c r="F20" s="171"/>
      <c r="G20" s="171">
        <f t="shared" si="0"/>
        <v>3230</v>
      </c>
      <c r="H20" s="172">
        <f t="shared" si="1"/>
        <v>2.5718321477426003E-3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1255914</v>
      </c>
      <c r="D21" s="558">
        <f>SUM(D11:D20)</f>
        <v>0</v>
      </c>
      <c r="E21" s="171">
        <f>SUM(E11:E20)</f>
        <v>1255914</v>
      </c>
      <c r="F21" s="171">
        <f>SUM(F11:F20)</f>
        <v>0</v>
      </c>
      <c r="G21" s="171">
        <f>SUM(G11:G20)</f>
        <v>1255914</v>
      </c>
      <c r="H21" s="172">
        <f t="shared" si="1"/>
        <v>1</v>
      </c>
      <c r="I21" s="336"/>
      <c r="J21" s="168"/>
      <c r="K21" s="168"/>
      <c r="M21" s="359">
        <f>IFERROR(G21/G228,0)</f>
        <v>216.98583275742916</v>
      </c>
      <c r="N21" s="359">
        <f>SUMMARY!J24</f>
        <v>278.37842406091033</v>
      </c>
      <c r="P21"/>
      <c r="Q21"/>
    </row>
    <row r="22" spans="1:17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'[73]Sch C'!D10</f>
        <v>34714</v>
      </c>
      <c r="D25" s="558">
        <f>'[73]Sch C'!F10</f>
        <v>0</v>
      </c>
      <c r="E25" s="171">
        <f t="shared" ref="E25:E60" si="4">C25+D25</f>
        <v>34714</v>
      </c>
      <c r="F25" s="171"/>
      <c r="G25" s="182">
        <f>E25+F25</f>
        <v>34714</v>
      </c>
      <c r="H25" s="172">
        <f>IF($G$208=0,0,G25/$G$208)</f>
        <v>2.1918558984500295E-2</v>
      </c>
      <c r="I25" s="336"/>
      <c r="J25" s="183">
        <v>989</v>
      </c>
      <c r="K25" s="183">
        <v>997</v>
      </c>
      <c r="M25" s="359">
        <f>G25/G$228</f>
        <v>5.9975812024879058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'[73]Sch C'!D11</f>
        <v>0</v>
      </c>
      <c r="D26" s="558">
        <f>'[73]Sch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'[73]Sch C'!D12</f>
        <v>38321</v>
      </c>
      <c r="D27" s="558">
        <f>'[73]Sch C'!F12</f>
        <v>0</v>
      </c>
      <c r="E27" s="171">
        <f t="shared" si="4"/>
        <v>38321</v>
      </c>
      <c r="F27" s="171"/>
      <c r="G27" s="171">
        <f t="shared" si="5"/>
        <v>38321</v>
      </c>
      <c r="H27" s="172">
        <f t="shared" si="6"/>
        <v>2.4196033267414756E-2</v>
      </c>
      <c r="I27" s="336"/>
      <c r="J27" s="185">
        <v>1790</v>
      </c>
      <c r="K27" s="185">
        <v>1809</v>
      </c>
      <c r="M27" s="359">
        <f t="shared" si="7"/>
        <v>6.6207671043538356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'[73]Sch C'!D13</f>
        <v>93277</v>
      </c>
      <c r="D28" s="558">
        <f>'[73]Sch C'!F13</f>
        <v>-86137</v>
      </c>
      <c r="E28" s="171">
        <f t="shared" si="4"/>
        <v>7140</v>
      </c>
      <c r="F28" s="171"/>
      <c r="G28" s="171">
        <f t="shared" si="5"/>
        <v>7140</v>
      </c>
      <c r="H28" s="172">
        <f t="shared" si="6"/>
        <v>4.5082246687023131E-3</v>
      </c>
      <c r="I28" s="336"/>
      <c r="J28" s="168"/>
      <c r="K28" s="168"/>
      <c r="M28" s="359">
        <f t="shared" si="7"/>
        <v>1.2335867311679336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'[73]Sch C'!D14</f>
        <v>0</v>
      </c>
      <c r="D29" s="558">
        <f>'[73]Sch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'[73]Sch C'!D15</f>
        <v>0</v>
      </c>
      <c r="D30" s="558">
        <f>'[73]Sch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'[73]Sch C'!D16</f>
        <v>0</v>
      </c>
      <c r="D31" s="558">
        <f>'[73]Sch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'[73]Sch C'!D17</f>
        <v>0</v>
      </c>
      <c r="D32" s="558">
        <f>'[73]Sch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'[73]Sch C'!D18</f>
        <v>26423</v>
      </c>
      <c r="D33" s="558">
        <f>'[73]Sch C'!F18</f>
        <v>0</v>
      </c>
      <c r="E33" s="171">
        <f t="shared" si="4"/>
        <v>26423</v>
      </c>
      <c r="F33" s="171"/>
      <c r="G33" s="171">
        <f t="shared" si="5"/>
        <v>26423</v>
      </c>
      <c r="H33" s="172">
        <f t="shared" si="6"/>
        <v>1.668358829427468E-2</v>
      </c>
      <c r="I33" s="336"/>
      <c r="J33" s="168"/>
      <c r="K33" s="168"/>
      <c r="M33" s="359">
        <f t="shared" si="7"/>
        <v>4.5651347615756741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'[73]Sch C'!D19</f>
        <v>2757</v>
      </c>
      <c r="D34" s="558">
        <f>'[73]Sch C'!F19</f>
        <v>0</v>
      </c>
      <c r="E34" s="171">
        <f t="shared" si="4"/>
        <v>2757</v>
      </c>
      <c r="F34" s="171"/>
      <c r="G34" s="171">
        <f t="shared" si="5"/>
        <v>2757</v>
      </c>
      <c r="H34" s="172">
        <f t="shared" si="6"/>
        <v>1.7407808699737082E-3</v>
      </c>
      <c r="I34" s="336"/>
      <c r="J34" s="168"/>
      <c r="K34" s="168"/>
      <c r="M34" s="359">
        <f t="shared" si="7"/>
        <v>0.4763303386316517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'[73]Sch C'!D20</f>
        <v>5324</v>
      </c>
      <c r="D35" s="558">
        <f>'[73]Sch C'!F20</f>
        <v>0</v>
      </c>
      <c r="E35" s="171">
        <f t="shared" si="4"/>
        <v>5324</v>
      </c>
      <c r="F35" s="171"/>
      <c r="G35" s="171">
        <f t="shared" si="5"/>
        <v>5324</v>
      </c>
      <c r="H35" s="172">
        <f t="shared" si="6"/>
        <v>3.3615949770547781E-3</v>
      </c>
      <c r="I35" s="336"/>
      <c r="J35" s="168"/>
      <c r="K35" s="168"/>
      <c r="M35" s="359">
        <f t="shared" si="7"/>
        <v>0.91983413959917071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'[73]Sch C'!D21</f>
        <v>4185</v>
      </c>
      <c r="D36" s="558">
        <f>'[73]Sch C'!F21</f>
        <v>0</v>
      </c>
      <c r="E36" s="171">
        <f t="shared" si="4"/>
        <v>4185</v>
      </c>
      <c r="F36" s="171"/>
      <c r="G36" s="171">
        <f t="shared" si="5"/>
        <v>4185</v>
      </c>
      <c r="H36" s="172">
        <f t="shared" si="6"/>
        <v>2.6424258037141711E-3</v>
      </c>
      <c r="I36" s="336"/>
      <c r="J36" s="168"/>
      <c r="K36" s="168"/>
      <c r="M36" s="359">
        <f t="shared" si="7"/>
        <v>0.7230476848652384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'[73]Sch C'!D22</f>
        <v>0</v>
      </c>
      <c r="D37" s="558">
        <f>'[73]Sch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'[73]Sch C'!D23</f>
        <v>4683</v>
      </c>
      <c r="D38" s="558">
        <f>'[73]Sch C'!F23</f>
        <v>0</v>
      </c>
      <c r="E38" s="171">
        <f t="shared" si="4"/>
        <v>4683</v>
      </c>
      <c r="F38" s="171"/>
      <c r="G38" s="171">
        <f t="shared" si="5"/>
        <v>4683</v>
      </c>
      <c r="H38" s="172">
        <f t="shared" si="6"/>
        <v>2.956865003295929E-3</v>
      </c>
      <c r="I38" s="336"/>
      <c r="J38" s="168"/>
      <c r="K38" s="168"/>
      <c r="M38" s="359">
        <f t="shared" si="7"/>
        <v>0.80908776779543878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'[73]Sch C'!D24</f>
        <v>12606</v>
      </c>
      <c r="D39" s="558">
        <f>'[73]Sch C'!F24</f>
        <v>0</v>
      </c>
      <c r="E39" s="171">
        <f t="shared" si="4"/>
        <v>12606</v>
      </c>
      <c r="F39" s="171"/>
      <c r="G39" s="171">
        <f t="shared" si="5"/>
        <v>12606</v>
      </c>
      <c r="H39" s="172">
        <f t="shared" si="6"/>
        <v>7.9594790159189573E-3</v>
      </c>
      <c r="I39" s="336"/>
      <c r="J39" s="168"/>
      <c r="K39" s="168"/>
      <c r="M39" s="359">
        <f t="shared" si="7"/>
        <v>2.1779543883897721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'[73]Sch C'!D25</f>
        <v>0</v>
      </c>
      <c r="D40" s="558">
        <f>'[73]Sch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'[73]Sch C'!D26</f>
        <v>98950</v>
      </c>
      <c r="D41" s="558">
        <f>'[73]Sch C'!F26</f>
        <v>0</v>
      </c>
      <c r="E41" s="171">
        <f t="shared" si="4"/>
        <v>98950</v>
      </c>
      <c r="F41" s="171"/>
      <c r="G41" s="171">
        <f t="shared" si="5"/>
        <v>98950</v>
      </c>
      <c r="H41" s="172">
        <f t="shared" si="6"/>
        <v>6.2477427306455724E-2</v>
      </c>
      <c r="I41" s="336"/>
      <c r="J41" s="168"/>
      <c r="K41" s="168"/>
      <c r="M41" s="359">
        <f t="shared" si="7"/>
        <v>17.095715272978577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'[73]Sch C'!D27</f>
        <v>0</v>
      </c>
      <c r="D42" s="558">
        <f>'[73]Sch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'[73]Sch C'!D28</f>
        <v>0</v>
      </c>
      <c r="D43" s="558">
        <f>'[73]Sch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'[73]Sch C'!D29</f>
        <v>53384</v>
      </c>
      <c r="D44" s="558">
        <f>'[73]Sch C'!F29</f>
        <v>-53384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'[73]Sch C'!D30</f>
        <v>0</v>
      </c>
      <c r="D45" s="558">
        <f>'[73]Sch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'[73]Sch C'!D31</f>
        <v>52314</v>
      </c>
      <c r="D46" s="558">
        <f>'[73]Sch C'!F31</f>
        <v>0</v>
      </c>
      <c r="E46" s="171">
        <f t="shared" si="4"/>
        <v>52314</v>
      </c>
      <c r="F46" s="171"/>
      <c r="G46" s="171">
        <f t="shared" si="5"/>
        <v>52314</v>
      </c>
      <c r="H46" s="172">
        <f t="shared" si="6"/>
        <v>3.3031269652449971E-2</v>
      </c>
      <c r="I46" s="336"/>
      <c r="J46" s="168"/>
      <c r="K46" s="168"/>
      <c r="M46" s="359">
        <f t="shared" si="7"/>
        <v>9.0383552176917767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'[73]Sch C'!D32</f>
        <v>9109</v>
      </c>
      <c r="D47" s="558">
        <f>'[73]Sch C'!F32</f>
        <v>0</v>
      </c>
      <c r="E47" s="171">
        <f t="shared" si="4"/>
        <v>9109</v>
      </c>
      <c r="F47" s="171"/>
      <c r="G47" s="171">
        <f t="shared" si="5"/>
        <v>9109</v>
      </c>
      <c r="H47" s="172">
        <f t="shared" si="6"/>
        <v>5.7514591746791839E-3</v>
      </c>
      <c r="I47" s="336"/>
      <c r="J47" s="168"/>
      <c r="K47" s="168"/>
      <c r="M47" s="359">
        <f t="shared" si="7"/>
        <v>1.5737733241188667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'[73]Sch C'!D33</f>
        <v>0</v>
      </c>
      <c r="D48" s="558">
        <f>'[73]Sch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'[73]Sch C'!D34</f>
        <v>0</v>
      </c>
      <c r="D49" s="558">
        <f>'[73]Sch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'[73]Sch C'!D35</f>
        <v>0</v>
      </c>
      <c r="D50" s="558">
        <f>'[73]Sch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'[73]Sch C'!D36</f>
        <v>5238</v>
      </c>
      <c r="D51" s="558">
        <f>'[73]Sch C'!F36</f>
        <v>0</v>
      </c>
      <c r="E51" s="171">
        <f t="shared" si="4"/>
        <v>5238</v>
      </c>
      <c r="F51" s="171"/>
      <c r="G51" s="171">
        <f t="shared" si="5"/>
        <v>5238</v>
      </c>
      <c r="H51" s="172">
        <f t="shared" si="6"/>
        <v>3.3072942317454784E-3</v>
      </c>
      <c r="I51" s="336"/>
      <c r="J51" s="183">
        <v>324</v>
      </c>
      <c r="K51" s="183">
        <v>413</v>
      </c>
      <c r="M51" s="359">
        <f t="shared" si="7"/>
        <v>0.90497581202487909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'[73]Sch C'!D37</f>
        <v>0</v>
      </c>
      <c r="D52" s="558">
        <f>'[73]Sch C'!F37</f>
        <v>512</v>
      </c>
      <c r="E52" s="171">
        <f t="shared" si="4"/>
        <v>512</v>
      </c>
      <c r="F52" s="171"/>
      <c r="G52" s="171">
        <f t="shared" si="5"/>
        <v>512</v>
      </c>
      <c r="H52" s="172">
        <f t="shared" si="6"/>
        <v>3.2327885579489977E-4</v>
      </c>
      <c r="I52" s="336"/>
      <c r="J52" s="168"/>
      <c r="K52" s="168"/>
      <c r="M52" s="359">
        <f t="shared" si="7"/>
        <v>8.8458880442294399E-2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'[73]Sch C'!D38</f>
        <v>0</v>
      </c>
      <c r="D53" s="558">
        <f>'[73]Sch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'[73]Sch C'!D39</f>
        <v>323</v>
      </c>
      <c r="D54" s="558">
        <f>'[73]Sch C'!F39</f>
        <v>0</v>
      </c>
      <c r="E54" s="171">
        <f t="shared" si="4"/>
        <v>323</v>
      </c>
      <c r="F54" s="171"/>
      <c r="G54" s="171">
        <f t="shared" si="5"/>
        <v>323</v>
      </c>
      <c r="H54" s="172">
        <f t="shared" si="6"/>
        <v>2.0394349691748559E-4</v>
      </c>
      <c r="I54" s="336"/>
      <c r="J54" s="168"/>
      <c r="K54" s="168"/>
      <c r="M54" s="359">
        <f t="shared" si="7"/>
        <v>5.580511402902557E-2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'[73]Sch C'!D40</f>
        <v>812</v>
      </c>
      <c r="D55" s="558">
        <f>'[73]Sch C'!F40</f>
        <v>0</v>
      </c>
      <c r="E55" s="171">
        <f t="shared" si="4"/>
        <v>812</v>
      </c>
      <c r="F55" s="171"/>
      <c r="G55" s="171">
        <f t="shared" si="5"/>
        <v>812</v>
      </c>
      <c r="H55" s="172">
        <f t="shared" si="6"/>
        <v>5.1270006036222384E-4</v>
      </c>
      <c r="I55" s="336"/>
      <c r="J55" s="168"/>
      <c r="K55" s="168"/>
      <c r="M55" s="359">
        <f t="shared" si="7"/>
        <v>0.14029025570145129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'[73]Sch C'!D41</f>
        <v>465</v>
      </c>
      <c r="D56" s="558">
        <f>'[73]Sch C'!F41</f>
        <v>0</v>
      </c>
      <c r="E56" s="171">
        <f t="shared" si="4"/>
        <v>465</v>
      </c>
      <c r="F56" s="171"/>
      <c r="G56" s="171">
        <f t="shared" si="5"/>
        <v>465</v>
      </c>
      <c r="H56" s="172">
        <f t="shared" si="6"/>
        <v>2.9360286707935234E-4</v>
      </c>
      <c r="I56" s="336"/>
      <c r="J56" s="168"/>
      <c r="K56" s="168"/>
      <c r="M56" s="359">
        <f t="shared" si="7"/>
        <v>8.0338631651693151E-2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'[73]Sch C'!D42</f>
        <v>474</v>
      </c>
      <c r="D57" s="558">
        <f>'[73]Sch C'!F42</f>
        <v>0</v>
      </c>
      <c r="E57" s="171">
        <f t="shared" si="4"/>
        <v>474</v>
      </c>
      <c r="F57" s="171"/>
      <c r="G57" s="171">
        <f t="shared" si="5"/>
        <v>474</v>
      </c>
      <c r="H57" s="172">
        <f t="shared" si="6"/>
        <v>2.9928550321637205E-4</v>
      </c>
      <c r="I57" s="336"/>
      <c r="J57" s="168"/>
      <c r="K57" s="168"/>
      <c r="M57" s="359">
        <f t="shared" si="7"/>
        <v>8.189357290946786E-2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'[73]Sch C'!D43</f>
        <v>6187</v>
      </c>
      <c r="D58" s="558">
        <f>'[73]Sch C'!F43</f>
        <v>0</v>
      </c>
      <c r="E58" s="171">
        <f t="shared" si="4"/>
        <v>6187</v>
      </c>
      <c r="F58" s="171"/>
      <c r="G58" s="171">
        <f t="shared" si="5"/>
        <v>6187</v>
      </c>
      <c r="H58" s="172">
        <f t="shared" si="6"/>
        <v>3.9064966421934466E-3</v>
      </c>
      <c r="I58" s="336"/>
      <c r="J58" s="168"/>
      <c r="K58" s="168"/>
      <c r="M58" s="359">
        <f t="shared" si="7"/>
        <v>1.0689357290946786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'[73]Sch C'!D44</f>
        <v>0</v>
      </c>
      <c r="D59" s="558">
        <f>'[73]Sch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'[73]Sch C'!D45</f>
        <v>1706</v>
      </c>
      <c r="D60" s="558">
        <f>'[73]Sch C'!F45</f>
        <v>-14</v>
      </c>
      <c r="E60" s="171">
        <f t="shared" si="4"/>
        <v>1692</v>
      </c>
      <c r="F60" s="171"/>
      <c r="G60" s="171">
        <f t="shared" si="5"/>
        <v>1692</v>
      </c>
      <c r="H60" s="172">
        <f t="shared" si="6"/>
        <v>1.0683355937597078E-3</v>
      </c>
      <c r="I60" s="336"/>
      <c r="J60" s="168"/>
      <c r="K60" s="168"/>
      <c r="M60" s="359">
        <f t="shared" si="7"/>
        <v>0.29232895646164481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451252</v>
      </c>
      <c r="D61" s="558">
        <f>SUM(D25:D60)</f>
        <v>-139023</v>
      </c>
      <c r="E61" s="171">
        <f t="shared" ref="E61:F61" si="8">SUM(E25:E60)</f>
        <v>312229</v>
      </c>
      <c r="F61" s="171">
        <f t="shared" si="8"/>
        <v>0</v>
      </c>
      <c r="G61" s="171">
        <f>SUM(G25:G60)</f>
        <v>312229</v>
      </c>
      <c r="H61" s="186">
        <f t="shared" si="6"/>
        <v>0.19714264426950343</v>
      </c>
      <c r="I61" s="338"/>
      <c r="J61" s="168"/>
      <c r="K61" s="168"/>
      <c r="M61" s="364">
        <f>G61/G$228</f>
        <v>53.944194885970973</v>
      </c>
      <c r="N61" s="359">
        <f>SUMMARY!J64</f>
        <v>53.728790309602623</v>
      </c>
      <c r="O61" s="354">
        <f>M61/N61-1</f>
        <v>4.0091089921645562E-3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'[73]Sch C'!D57</f>
        <v>0</v>
      </c>
      <c r="D64" s="558">
        <f>'[73]Sch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'[73]Sch C'!D58</f>
        <v>0</v>
      </c>
      <c r="D65" s="558">
        <f>'[73]Sch C'!F58</f>
        <v>0</v>
      </c>
      <c r="E65" s="171">
        <f t="shared" si="9"/>
        <v>0</v>
      </c>
      <c r="F65" s="171"/>
      <c r="G65" s="171">
        <f t="shared" si="10"/>
        <v>0</v>
      </c>
      <c r="H65" s="172">
        <f t="shared" si="11"/>
        <v>0</v>
      </c>
      <c r="I65" s="336"/>
      <c r="J65" s="190"/>
      <c r="K65" s="168"/>
      <c r="M65" s="359">
        <f t="shared" si="12"/>
        <v>0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'[73]Sch C'!D59</f>
        <v>0</v>
      </c>
      <c r="D66" s="558">
        <f>'[73]Sch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'[73]Sch C'!D60</f>
        <v>3500</v>
      </c>
      <c r="D67" s="558">
        <f>'[73]Sch C'!F60</f>
        <v>0</v>
      </c>
      <c r="E67" s="171">
        <f t="shared" si="9"/>
        <v>3500</v>
      </c>
      <c r="F67" s="171"/>
      <c r="G67" s="171">
        <f t="shared" si="10"/>
        <v>3500</v>
      </c>
      <c r="H67" s="172">
        <f t="shared" si="11"/>
        <v>2.2099140532854476E-3</v>
      </c>
      <c r="I67" s="336"/>
      <c r="J67" s="193"/>
      <c r="K67" s="168"/>
      <c r="M67" s="359">
        <f t="shared" si="12"/>
        <v>0.60469937802349694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'[73]Sch C'!D61</f>
        <v>0</v>
      </c>
      <c r="D68" s="558">
        <f>'[73]Sch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'[73]Sch C'!D62</f>
        <v>0</v>
      </c>
      <c r="D69" s="558">
        <f>'[73]Sch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'[73]Sch C'!D63</f>
        <v>0</v>
      </c>
      <c r="D70" s="558">
        <f>'[73]Sch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'[73]Sch C'!D64</f>
        <v>0</v>
      </c>
      <c r="D71" s="558">
        <f>'[73]Sch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'[73]Sch C'!D65</f>
        <v>1828</v>
      </c>
      <c r="D72" s="558">
        <f>'[73]Sch C'!F65</f>
        <v>0</v>
      </c>
      <c r="E72" s="171">
        <f t="shared" si="9"/>
        <v>1828</v>
      </c>
      <c r="F72" s="171"/>
      <c r="G72" s="171">
        <f t="shared" si="10"/>
        <v>1828</v>
      </c>
      <c r="H72" s="172">
        <f t="shared" si="11"/>
        <v>1.1542065398302281E-3</v>
      </c>
      <c r="I72" s="336"/>
      <c r="J72" s="195"/>
      <c r="K72" s="168"/>
      <c r="M72" s="359">
        <f t="shared" si="12"/>
        <v>0.31582584657912921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'[73]Sch C'!D66</f>
        <v>23599</v>
      </c>
      <c r="D73" s="558">
        <f>'[73]Sch C'!F66</f>
        <v>0</v>
      </c>
      <c r="E73" s="171">
        <f t="shared" si="9"/>
        <v>23599</v>
      </c>
      <c r="F73" s="171"/>
      <c r="G73" s="171">
        <f t="shared" si="10"/>
        <v>23599</v>
      </c>
      <c r="H73" s="172">
        <f t="shared" si="11"/>
        <v>1.4900503355280937E-2</v>
      </c>
      <c r="I73" s="336"/>
      <c r="J73" s="195"/>
      <c r="K73" s="168"/>
      <c r="M73" s="359">
        <f t="shared" si="12"/>
        <v>4.0772287491361441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'[73]Sch C'!D67</f>
        <v>0</v>
      </c>
      <c r="D74" s="558">
        <f>'[73]Sch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6"/>
      <c r="J74" s="195"/>
      <c r="K74" s="168"/>
      <c r="M74" s="359">
        <f t="shared" si="12"/>
        <v>0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'[73]Sch C'!D68</f>
        <v>0</v>
      </c>
      <c r="D75" s="558">
        <f>'[73]Sch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'[73]Sch C'!D69</f>
        <v>0</v>
      </c>
      <c r="D76" s="558">
        <f>'[73]Sch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'[73]Sch C'!D70</f>
        <v>0</v>
      </c>
      <c r="D77" s="558">
        <f>'[73]Sch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'[73]Sch C'!D71</f>
        <v>0</v>
      </c>
      <c r="D78" s="558">
        <f>'[73]Sch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28927</v>
      </c>
      <c r="D79" s="558">
        <f>SUM(D64:D78)</f>
        <v>0</v>
      </c>
      <c r="E79" s="171">
        <f t="shared" ref="E79:F79" si="13">SUM(E64:E78)</f>
        <v>28927</v>
      </c>
      <c r="F79" s="171">
        <f t="shared" si="13"/>
        <v>0</v>
      </c>
      <c r="G79" s="171">
        <f>SUM(G64:G78)</f>
        <v>28927</v>
      </c>
      <c r="H79" s="172">
        <f t="shared" si="11"/>
        <v>1.8264623948396612E-2</v>
      </c>
      <c r="I79" s="336"/>
      <c r="J79" s="195"/>
      <c r="K79" s="168"/>
      <c r="M79" s="359">
        <f t="shared" si="12"/>
        <v>4.99775397373877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'[73]Sch C'!D75</f>
        <v>29740</v>
      </c>
      <c r="D82" s="558">
        <f>'[73]Sch C'!F75</f>
        <v>0</v>
      </c>
      <c r="E82" s="171">
        <f t="shared" ref="E82:E92" si="14">C82+D82</f>
        <v>29740</v>
      </c>
      <c r="F82" s="171"/>
      <c r="G82" s="171">
        <f t="shared" ref="G82:G92" si="15">E82+F82</f>
        <v>29740</v>
      </c>
      <c r="H82" s="172">
        <f t="shared" ref="H82:H93" si="16">IF($G$208=0,0,G82/$G$208)</f>
        <v>1.877795541277406E-2</v>
      </c>
      <c r="I82" s="336"/>
      <c r="J82" s="183">
        <v>1815</v>
      </c>
      <c r="K82" s="183">
        <v>1891</v>
      </c>
      <c r="M82" s="359">
        <f t="shared" ref="M82:M92" si="17">G82/G$228</f>
        <v>5.1382170006910854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'[73]Sch C'!D76</f>
        <v>0</v>
      </c>
      <c r="D83" s="558">
        <f>'[73]Sch C'!F76</f>
        <v>2908</v>
      </c>
      <c r="E83" s="171">
        <f t="shared" si="14"/>
        <v>2908</v>
      </c>
      <c r="F83" s="171"/>
      <c r="G83" s="171">
        <f t="shared" si="15"/>
        <v>2908</v>
      </c>
      <c r="H83" s="172">
        <f t="shared" si="16"/>
        <v>1.8361228762725948E-3</v>
      </c>
      <c r="I83" s="336"/>
      <c r="J83" s="168"/>
      <c r="K83" s="168"/>
      <c r="M83" s="359">
        <f t="shared" si="17"/>
        <v>0.50241879751209395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'[73]Sch C'!D77</f>
        <v>0</v>
      </c>
      <c r="D84" s="558">
        <f>'[73]Sch C'!F77</f>
        <v>0</v>
      </c>
      <c r="E84" s="171">
        <f t="shared" si="14"/>
        <v>0</v>
      </c>
      <c r="F84" s="171"/>
      <c r="G84" s="171">
        <f t="shared" si="15"/>
        <v>0</v>
      </c>
      <c r="H84" s="172">
        <f t="shared" si="16"/>
        <v>0</v>
      </c>
      <c r="I84" s="336"/>
      <c r="J84" s="168"/>
      <c r="K84" s="168"/>
      <c r="M84" s="359">
        <f t="shared" si="17"/>
        <v>0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'[73]Sch C'!D78</f>
        <v>0</v>
      </c>
      <c r="D85" s="558">
        <f>'[73]Sch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'[73]Sch C'!D79</f>
        <v>0</v>
      </c>
      <c r="D86" s="558">
        <f>'[73]Sch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'[73]Sch C'!D80</f>
        <v>14330</v>
      </c>
      <c r="D87" s="558">
        <f>'[73]Sch C'!F80</f>
        <v>0</v>
      </c>
      <c r="E87" s="171">
        <f t="shared" si="14"/>
        <v>14330</v>
      </c>
      <c r="F87" s="171"/>
      <c r="G87" s="171">
        <f t="shared" si="15"/>
        <v>14330</v>
      </c>
      <c r="H87" s="172">
        <f t="shared" si="16"/>
        <v>9.0480195381658478E-3</v>
      </c>
      <c r="I87" s="336"/>
      <c r="J87" s="168"/>
      <c r="K87" s="168"/>
      <c r="M87" s="359">
        <f t="shared" si="17"/>
        <v>2.47581202487906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'[73]Sch C'!D81</f>
        <v>2171</v>
      </c>
      <c r="D88" s="558">
        <f>'[73]Sch C'!F81</f>
        <v>0</v>
      </c>
      <c r="E88" s="171">
        <f t="shared" si="14"/>
        <v>2171</v>
      </c>
      <c r="F88" s="171"/>
      <c r="G88" s="171">
        <f t="shared" si="15"/>
        <v>2171</v>
      </c>
      <c r="H88" s="172">
        <f t="shared" si="16"/>
        <v>1.3707781170522019E-3</v>
      </c>
      <c r="I88" s="336"/>
      <c r="J88" s="168"/>
      <c r="K88" s="168"/>
      <c r="M88" s="359">
        <f t="shared" si="17"/>
        <v>0.37508638562543195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'[73]Sch C'!D82</f>
        <v>7120</v>
      </c>
      <c r="D89" s="558">
        <f>'[73]Sch C'!F82</f>
        <v>0</v>
      </c>
      <c r="E89" s="171">
        <f t="shared" si="14"/>
        <v>7120</v>
      </c>
      <c r="F89" s="171"/>
      <c r="G89" s="171">
        <f t="shared" si="15"/>
        <v>7120</v>
      </c>
      <c r="H89" s="172">
        <f t="shared" si="16"/>
        <v>4.4955965883978245E-3</v>
      </c>
      <c r="I89" s="336"/>
      <c r="J89" s="168"/>
      <c r="K89" s="168"/>
      <c r="M89" s="359">
        <f t="shared" si="17"/>
        <v>1.2301313061506565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'[73]Sch C'!D83</f>
        <v>2034</v>
      </c>
      <c r="D90" s="558">
        <f>'[73]Sch C'!F83</f>
        <v>0</v>
      </c>
      <c r="E90" s="171">
        <f t="shared" si="14"/>
        <v>2034</v>
      </c>
      <c r="F90" s="171"/>
      <c r="G90" s="171">
        <f t="shared" si="15"/>
        <v>2034</v>
      </c>
      <c r="H90" s="172">
        <f t="shared" si="16"/>
        <v>1.2842757669664572E-3</v>
      </c>
      <c r="I90" s="336"/>
      <c r="J90" s="168"/>
      <c r="K90" s="168"/>
      <c r="M90" s="359">
        <f t="shared" si="17"/>
        <v>0.35141672425708365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'[73]Sch C'!D84</f>
        <v>47781</v>
      </c>
      <c r="D91" s="558">
        <f>'[73]Sch C'!F84</f>
        <v>0</v>
      </c>
      <c r="E91" s="171">
        <f t="shared" si="14"/>
        <v>47781</v>
      </c>
      <c r="F91" s="171"/>
      <c r="G91" s="171">
        <f t="shared" si="15"/>
        <v>47781</v>
      </c>
      <c r="H91" s="172">
        <f t="shared" si="16"/>
        <v>3.0169115251437707E-2</v>
      </c>
      <c r="I91" s="336"/>
      <c r="J91" s="168"/>
      <c r="K91" s="168"/>
      <c r="M91" s="359">
        <f t="shared" si="17"/>
        <v>8.2551831375259148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'[73]Sch C'!D85</f>
        <v>0</v>
      </c>
      <c r="D92" s="558">
        <f>'[73]Sch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103176</v>
      </c>
      <c r="D93" s="558">
        <f>SUM(D82:D92)</f>
        <v>2908</v>
      </c>
      <c r="E93" s="171">
        <f t="shared" ref="E93:F93" si="18">SUM(E82:E92)</f>
        <v>106084</v>
      </c>
      <c r="F93" s="171">
        <f t="shared" si="18"/>
        <v>0</v>
      </c>
      <c r="G93" s="171">
        <f>SUM(G82:G92)</f>
        <v>106084</v>
      </c>
      <c r="H93" s="172">
        <f t="shared" si="16"/>
        <v>6.6981863551066695E-2</v>
      </c>
      <c r="I93" s="336"/>
      <c r="J93" s="168"/>
      <c r="K93" s="168"/>
      <c r="M93" s="364">
        <f>G93/G$228</f>
        <v>18.328265376641326</v>
      </c>
      <c r="N93" s="359">
        <f>SUMMARY!J96</f>
        <v>11.458724454710746</v>
      </c>
      <c r="O93" s="354">
        <f>M93/N93-1</f>
        <v>0.59950310779193883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'[73]Sch C'!D89</f>
        <v>93352</v>
      </c>
      <c r="D96" s="558">
        <f>'[73]Sch C'!F89</f>
        <v>0</v>
      </c>
      <c r="E96" s="171">
        <f t="shared" ref="E96:E101" si="19">C96+D96</f>
        <v>93352</v>
      </c>
      <c r="F96" s="171"/>
      <c r="G96" s="171">
        <f t="shared" ref="G96:G101" si="20">E96+F96</f>
        <v>93352</v>
      </c>
      <c r="H96" s="172">
        <f t="shared" ref="H96:H102" si="21">IF($G$208=0,0,G96/$G$208)</f>
        <v>5.8942827629229456E-2</v>
      </c>
      <c r="I96" s="336"/>
      <c r="J96" s="183">
        <v>8132</v>
      </c>
      <c r="K96" s="183">
        <v>8399</v>
      </c>
      <c r="M96" s="364">
        <f t="shared" ref="M96:M101" si="22">G96/G$228</f>
        <v>16.128541810642709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'[73]Sch C'!D90</f>
        <v>0</v>
      </c>
      <c r="D97" s="558">
        <f>'[73]Sch C'!F90</f>
        <v>9127</v>
      </c>
      <c r="E97" s="171">
        <f t="shared" si="19"/>
        <v>9127</v>
      </c>
      <c r="F97" s="171"/>
      <c r="G97" s="171">
        <f t="shared" si="20"/>
        <v>9127</v>
      </c>
      <c r="H97" s="172">
        <f t="shared" si="21"/>
        <v>5.7628244469532233E-3</v>
      </c>
      <c r="I97" s="336"/>
      <c r="J97" s="168"/>
      <c r="K97" s="168"/>
      <c r="M97" s="364">
        <f t="shared" si="22"/>
        <v>1.5768832066344161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'[73]Sch C'!D91</f>
        <v>5894</v>
      </c>
      <c r="D98" s="558">
        <f>'[73]Sch C'!F91</f>
        <v>0</v>
      </c>
      <c r="E98" s="171">
        <f t="shared" si="19"/>
        <v>5894</v>
      </c>
      <c r="F98" s="171"/>
      <c r="G98" s="171">
        <f t="shared" si="20"/>
        <v>5894</v>
      </c>
      <c r="H98" s="172">
        <f t="shared" si="21"/>
        <v>3.7214952657326937E-3</v>
      </c>
      <c r="I98" s="336"/>
      <c r="J98" s="168"/>
      <c r="K98" s="168"/>
      <c r="M98" s="364">
        <f t="shared" si="22"/>
        <v>1.0183137525915689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'[73]Sch C'!D92</f>
        <v>54041</v>
      </c>
      <c r="D99" s="558">
        <f>'[73]Sch C'!F92</f>
        <v>-3216</v>
      </c>
      <c r="E99" s="171">
        <f t="shared" si="19"/>
        <v>50825</v>
      </c>
      <c r="F99" s="171"/>
      <c r="G99" s="171">
        <f t="shared" si="20"/>
        <v>50825</v>
      </c>
      <c r="H99" s="172">
        <f t="shared" si="21"/>
        <v>3.2091109073780821E-2</v>
      </c>
      <c r="I99" s="336"/>
      <c r="J99" s="168"/>
      <c r="K99" s="168"/>
      <c r="M99" s="364">
        <f t="shared" si="22"/>
        <v>8.7810988251554942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'[73]Sch C'!D93</f>
        <v>5764</v>
      </c>
      <c r="D100" s="558">
        <f>'[73]Sch C'!F93</f>
        <v>0</v>
      </c>
      <c r="E100" s="171">
        <f t="shared" si="19"/>
        <v>5764</v>
      </c>
      <c r="F100" s="171"/>
      <c r="G100" s="171">
        <f t="shared" si="20"/>
        <v>5764</v>
      </c>
      <c r="H100" s="172">
        <f t="shared" si="21"/>
        <v>3.63941274375352E-3</v>
      </c>
      <c r="I100" s="336"/>
      <c r="J100" s="168"/>
      <c r="K100" s="168"/>
      <c r="M100" s="364">
        <f t="shared" si="22"/>
        <v>0.99585348997926748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'[73]Sch C'!D94</f>
        <v>428</v>
      </c>
      <c r="D101" s="558">
        <f>'[73]Sch C'!F94</f>
        <v>0</v>
      </c>
      <c r="E101" s="171">
        <f t="shared" si="19"/>
        <v>428</v>
      </c>
      <c r="F101" s="171"/>
      <c r="G101" s="171">
        <f t="shared" si="20"/>
        <v>428</v>
      </c>
      <c r="H101" s="172">
        <f t="shared" si="21"/>
        <v>2.7024091851604901E-4</v>
      </c>
      <c r="I101" s="336"/>
      <c r="J101" s="168"/>
      <c r="K101" s="168"/>
      <c r="M101" s="364">
        <f t="shared" si="22"/>
        <v>7.3946095369730472E-2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159479</v>
      </c>
      <c r="D102" s="558">
        <f>SUM(D96:D101)</f>
        <v>5911</v>
      </c>
      <c r="E102" s="171">
        <f t="shared" ref="E102:F102" si="23">SUM(E96:E101)</f>
        <v>165390</v>
      </c>
      <c r="F102" s="171">
        <f t="shared" si="23"/>
        <v>0</v>
      </c>
      <c r="G102" s="171">
        <f>SUM(G96:G101)</f>
        <v>165390</v>
      </c>
      <c r="H102" s="172">
        <f t="shared" si="21"/>
        <v>0.10442791007796577</v>
      </c>
      <c r="I102" s="336"/>
      <c r="J102" s="168"/>
      <c r="K102" s="168"/>
      <c r="M102" s="364">
        <f>G102/G$228</f>
        <v>28.574637180373188</v>
      </c>
      <c r="N102" s="359">
        <f>SUMMARY!J105</f>
        <v>19.901077037785338</v>
      </c>
      <c r="O102" s="354">
        <f>M102/N102-1</f>
        <v>0.43583370518689635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'[73]Sch C'!D98</f>
        <v>0</v>
      </c>
      <c r="D105" s="558">
        <f>'[73]Sch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'[73]Sch C'!D99</f>
        <v>0</v>
      </c>
      <c r="D106" s="558">
        <f>'[73]Sch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'[73]Sch C'!D100</f>
        <v>87</v>
      </c>
      <c r="D107" s="558">
        <f>'[73]Sch C'!F100</f>
        <v>0</v>
      </c>
      <c r="E107" s="171">
        <f t="shared" si="24"/>
        <v>87</v>
      </c>
      <c r="F107" s="171"/>
      <c r="G107" s="171">
        <f t="shared" si="25"/>
        <v>87</v>
      </c>
      <c r="H107" s="172">
        <f t="shared" si="26"/>
        <v>5.4932149324523987E-5</v>
      </c>
      <c r="I107" s="336"/>
      <c r="J107" s="168"/>
      <c r="K107" s="168"/>
      <c r="M107" s="364">
        <f t="shared" si="27"/>
        <v>1.5031098825155494E-2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'[73]Sch C'!D101</f>
        <v>0</v>
      </c>
      <c r="D108" s="558">
        <f>'[73]Sch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'[73]Sch C'!D102</f>
        <v>0</v>
      </c>
      <c r="D109" s="558">
        <f>'[73]Sch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'[73]Sch C'!D103</f>
        <v>0</v>
      </c>
      <c r="D110" s="558">
        <f>'[73]Sch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87</v>
      </c>
      <c r="D111" s="558">
        <f>SUM(D105:D110)</f>
        <v>0</v>
      </c>
      <c r="E111" s="171">
        <f t="shared" ref="E111" si="28">SUM(E105:E110)</f>
        <v>87</v>
      </c>
      <c r="F111" s="171">
        <f>SUM(F105:F110)</f>
        <v>0</v>
      </c>
      <c r="G111" s="171">
        <f>SUM(G105:G110)</f>
        <v>87</v>
      </c>
      <c r="H111" s="172">
        <f t="shared" si="26"/>
        <v>5.4932149324523987E-5</v>
      </c>
      <c r="I111" s="336"/>
      <c r="J111" s="168"/>
      <c r="K111" s="168"/>
      <c r="M111" s="364">
        <f>G111/G$228</f>
        <v>1.5031098825155494E-2</v>
      </c>
      <c r="N111" s="359">
        <f>SUMMARY!J114</f>
        <v>2.4242384372309496</v>
      </c>
      <c r="O111" s="354">
        <f>M111/N111-1</f>
        <v>-0.99379966153728483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'[73]Sch C'!D115</f>
        <v>50588</v>
      </c>
      <c r="D114" s="558">
        <f>'[73]Sch C'!F115</f>
        <v>0</v>
      </c>
      <c r="E114" s="171">
        <f t="shared" ref="E114:E118" si="29">C114+D114</f>
        <v>50588</v>
      </c>
      <c r="F114" s="171"/>
      <c r="G114" s="171">
        <f>E114+F114</f>
        <v>50588</v>
      </c>
      <c r="H114" s="172">
        <f t="shared" ref="H114:H119" si="30">IF($G$208=0,0,G114/$G$208)</f>
        <v>3.1941466322172637E-2</v>
      </c>
      <c r="I114" s="336"/>
      <c r="J114" s="183">
        <v>5870</v>
      </c>
      <c r="K114" s="183">
        <v>5937</v>
      </c>
      <c r="M114" s="364">
        <f t="shared" ref="M114:M119" si="31">G114/G$228</f>
        <v>8.7401520387007601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'[73]Sch C'!D116</f>
        <v>0</v>
      </c>
      <c r="D115" s="558">
        <f>'[73]Sch C'!F116</f>
        <v>4946</v>
      </c>
      <c r="E115" s="171">
        <f t="shared" si="29"/>
        <v>4946</v>
      </c>
      <c r="F115" s="171"/>
      <c r="G115" s="171">
        <f>E115+F115</f>
        <v>4946</v>
      </c>
      <c r="H115" s="172">
        <f t="shared" si="30"/>
        <v>3.1229242592999496E-3</v>
      </c>
      <c r="I115" s="336"/>
      <c r="J115" s="168"/>
      <c r="K115" s="168"/>
      <c r="M115" s="364">
        <f t="shared" si="31"/>
        <v>0.85452660677263304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'[73]Sch C'!D117</f>
        <v>7368</v>
      </c>
      <c r="D116" s="558">
        <f>'[73]Sch C'!F117</f>
        <v>0</v>
      </c>
      <c r="E116" s="171">
        <f t="shared" si="29"/>
        <v>7368</v>
      </c>
      <c r="F116" s="171"/>
      <c r="G116" s="171">
        <f>E116+F116</f>
        <v>7368</v>
      </c>
      <c r="H116" s="172">
        <f t="shared" si="30"/>
        <v>4.6521847841734798E-3</v>
      </c>
      <c r="I116" s="336"/>
      <c r="J116" s="168"/>
      <c r="K116" s="168"/>
      <c r="M116" s="364">
        <f t="shared" si="31"/>
        <v>1.2729785763648929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'[73]Sch C'!D118</f>
        <v>0</v>
      </c>
      <c r="D117" s="558">
        <f>'[73]Sch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'[73]Sch C'!D119</f>
        <v>0</v>
      </c>
      <c r="D118" s="558">
        <f>'[73]Sch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57956</v>
      </c>
      <c r="D119" s="558">
        <f>SUM(D114:D118)</f>
        <v>4946</v>
      </c>
      <c r="E119" s="171">
        <f t="shared" ref="E119" si="32">SUM(E114:E118)</f>
        <v>62902</v>
      </c>
      <c r="F119" s="171">
        <f>SUM(F114:F118)</f>
        <v>0</v>
      </c>
      <c r="G119" s="171">
        <f>SUM(G114:G118)</f>
        <v>62902</v>
      </c>
      <c r="H119" s="172">
        <f t="shared" si="30"/>
        <v>3.9716575365646066E-2</v>
      </c>
      <c r="I119" s="336"/>
      <c r="J119" s="168"/>
      <c r="K119" s="168"/>
      <c r="M119" s="364">
        <f t="shared" si="31"/>
        <v>10.867657221838286</v>
      </c>
      <c r="N119" s="359">
        <f>SUMMARY!J122</f>
        <v>6.0247597205909562</v>
      </c>
      <c r="O119" s="354">
        <f>M119/N119-1</f>
        <v>0.80383247230518595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'[73]Sch C'!D124</f>
        <v>0</v>
      </c>
      <c r="D123" s="558">
        <f>'[73]Sch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'[73]Sch C'!D125</f>
        <v>67033</v>
      </c>
      <c r="D124" s="558">
        <f>'[73]Sch C'!F125</f>
        <v>0</v>
      </c>
      <c r="E124" s="171">
        <f t="shared" si="33"/>
        <v>67033</v>
      </c>
      <c r="F124" s="171"/>
      <c r="G124" s="171">
        <f>E124+F124</f>
        <v>67033</v>
      </c>
      <c r="H124" s="172">
        <f>IF($G$208=0,0,G124/$G$208)</f>
        <v>4.232490535253812E-2</v>
      </c>
      <c r="I124" s="336"/>
      <c r="J124" s="183">
        <v>3261</v>
      </c>
      <c r="K124" s="183">
        <v>3377</v>
      </c>
      <c r="M124" s="364">
        <f t="shared" si="34"/>
        <v>11.581375259156877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'[73]Sch C'!D126</f>
        <v>0</v>
      </c>
      <c r="D125" s="558">
        <f>'[73]Sch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'[73]Sch C'!D127</f>
        <v>0</v>
      </c>
      <c r="D126" s="558">
        <f>'[73]Sch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'[73]Sch C'!D128</f>
        <v>59091</v>
      </c>
      <c r="D127" s="558">
        <f>'[73]Sch C'!F128</f>
        <v>0</v>
      </c>
      <c r="E127" s="171">
        <f t="shared" si="33"/>
        <v>59091</v>
      </c>
      <c r="F127" s="171"/>
      <c r="G127" s="171">
        <f>E127+F127</f>
        <v>59091</v>
      </c>
      <c r="H127" s="172">
        <f>IF($G$208=0,0,G127/$G$208)</f>
        <v>3.7310294663625822E-2</v>
      </c>
      <c r="I127" s="336"/>
      <c r="J127" s="183">
        <v>1623</v>
      </c>
      <c r="K127" s="183">
        <v>1682</v>
      </c>
      <c r="M127" s="364">
        <f t="shared" si="34"/>
        <v>10.209225984796129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'[73]Sch C'!D130</f>
        <v>0</v>
      </c>
      <c r="D129" s="558">
        <f>'[73]Sch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'[73]Sch C'!D131</f>
        <v>0</v>
      </c>
      <c r="D130" s="558">
        <f>'[73]Sch C'!F131</f>
        <v>6554</v>
      </c>
      <c r="E130" s="171">
        <f t="shared" si="35"/>
        <v>6554</v>
      </c>
      <c r="F130" s="171"/>
      <c r="G130" s="171">
        <f>E130+F130</f>
        <v>6554</v>
      </c>
      <c r="H130" s="172">
        <f>IF($G$208=0,0,G130/$G$208)</f>
        <v>4.1382219157808072E-3</v>
      </c>
      <c r="I130" s="336"/>
      <c r="J130" s="204"/>
      <c r="K130" s="204"/>
      <c r="M130" s="364">
        <f t="shared" si="34"/>
        <v>1.1323427781617139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'[73]Sch C'!D132</f>
        <v>0</v>
      </c>
      <c r="D131" s="558">
        <f>'[73]Sch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'[73]Sch C'!D133</f>
        <v>0</v>
      </c>
      <c r="D132" s="558">
        <f>'[73]Sch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'[73]Sch C'!D134</f>
        <v>0</v>
      </c>
      <c r="D133" s="558">
        <f>'[73]Sch C'!F134</f>
        <v>5777</v>
      </c>
      <c r="E133" s="171">
        <f t="shared" si="35"/>
        <v>5777</v>
      </c>
      <c r="F133" s="171"/>
      <c r="G133" s="171">
        <f>E133+F133</f>
        <v>5777</v>
      </c>
      <c r="H133" s="172">
        <f>IF($G$208=0,0,G133/$G$208)</f>
        <v>3.6476209959514375E-3</v>
      </c>
      <c r="I133" s="336"/>
      <c r="J133" s="168"/>
      <c r="K133" s="168"/>
      <c r="M133" s="364">
        <f t="shared" si="34"/>
        <v>0.99809951624049753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'[73]Sch C'!D136</f>
        <v>92766</v>
      </c>
      <c r="D135" s="558">
        <f>'[73]Sch C'!F136</f>
        <v>0</v>
      </c>
      <c r="E135" s="171">
        <f t="shared" ref="E135:E138" si="36">C135+D135</f>
        <v>92766</v>
      </c>
      <c r="F135" s="171"/>
      <c r="G135" s="171">
        <f>E135+F135</f>
        <v>92766</v>
      </c>
      <c r="H135" s="172">
        <f>IF($G$208=0,0,G135/$G$208)</f>
        <v>5.8572824876307952E-2</v>
      </c>
      <c r="I135" s="336"/>
      <c r="J135" s="183">
        <v>3343</v>
      </c>
      <c r="K135" s="183">
        <v>3537</v>
      </c>
      <c r="M135" s="364">
        <f t="shared" si="34"/>
        <v>16.027297857636491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'[73]Sch C'!D137</f>
        <v>183189</v>
      </c>
      <c r="D136" s="558">
        <f>'[73]Sch C'!F137</f>
        <v>0</v>
      </c>
      <c r="E136" s="171">
        <f t="shared" si="36"/>
        <v>183189</v>
      </c>
      <c r="F136" s="171"/>
      <c r="G136" s="171">
        <f>E136+F136</f>
        <v>183189</v>
      </c>
      <c r="H136" s="172">
        <f>IF($G$208=0,0,G136/$G$208)</f>
        <v>0.1156662701449451</v>
      </c>
      <c r="I136" s="336"/>
      <c r="J136" s="183">
        <v>8352</v>
      </c>
      <c r="K136" s="183">
        <v>8494</v>
      </c>
      <c r="M136" s="364">
        <f t="shared" si="34"/>
        <v>31.649792674498965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'[73]Sch C'!D138</f>
        <v>206647</v>
      </c>
      <c r="D137" s="558">
        <f>'[73]Sch C'!F138</f>
        <v>0</v>
      </c>
      <c r="E137" s="171">
        <f t="shared" si="36"/>
        <v>206647</v>
      </c>
      <c r="F137" s="171"/>
      <c r="G137" s="171">
        <f>E137+F137</f>
        <v>206647</v>
      </c>
      <c r="H137" s="172">
        <f>IF($G$208=0,0,G137/$G$208)</f>
        <v>0.1304777455340794</v>
      </c>
      <c r="I137" s="336"/>
      <c r="J137" s="183">
        <v>17953</v>
      </c>
      <c r="K137" s="183">
        <v>18284</v>
      </c>
      <c r="M137" s="364">
        <f t="shared" si="34"/>
        <v>35.702660677263303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'[73]Sch C'!D139</f>
        <v>0</v>
      </c>
      <c r="D138" s="558">
        <f>'[73]Sch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'[73]Sch C'!D141</f>
        <v>0</v>
      </c>
      <c r="D140" s="558">
        <f>'[73]Sch C'!F141</f>
        <v>9070</v>
      </c>
      <c r="E140" s="171">
        <f t="shared" ref="E140:E143" si="37">C140+D140</f>
        <v>9070</v>
      </c>
      <c r="F140" s="171"/>
      <c r="G140" s="171">
        <f>E140+F140</f>
        <v>9070</v>
      </c>
      <c r="H140" s="172">
        <f>IF($G$208=0,0,G140/$G$208)</f>
        <v>5.7268344180854318E-3</v>
      </c>
      <c r="I140" s="336"/>
      <c r="J140" s="168"/>
      <c r="K140" s="168"/>
      <c r="M140" s="364">
        <f t="shared" si="34"/>
        <v>1.5670352453351761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'[73]Sch C'!D142</f>
        <v>0</v>
      </c>
      <c r="D141" s="558">
        <f>'[73]Sch C'!F142</f>
        <v>17910</v>
      </c>
      <c r="E141" s="171">
        <f t="shared" si="37"/>
        <v>17910</v>
      </c>
      <c r="F141" s="171"/>
      <c r="G141" s="171">
        <f>E141+F141</f>
        <v>17910</v>
      </c>
      <c r="H141" s="172">
        <f>IF($G$208=0,0,G141/$G$208)</f>
        <v>1.1308445912669248E-2</v>
      </c>
      <c r="I141" s="336"/>
      <c r="J141" s="168"/>
      <c r="K141" s="168"/>
      <c r="M141" s="364">
        <f t="shared" si="34"/>
        <v>3.0943331029716656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'[73]Sch C'!D143</f>
        <v>0</v>
      </c>
      <c r="D142" s="558">
        <f>'[73]Sch C'!F143</f>
        <v>20204</v>
      </c>
      <c r="E142" s="171">
        <f t="shared" si="37"/>
        <v>20204</v>
      </c>
      <c r="F142" s="171"/>
      <c r="G142" s="171">
        <f>E142+F142</f>
        <v>20204</v>
      </c>
      <c r="H142" s="172">
        <f>IF($G$208=0,0,G142/$G$208)</f>
        <v>1.2756886723594053E-2</v>
      </c>
      <c r="I142" s="336"/>
      <c r="J142" s="168"/>
      <c r="K142" s="168"/>
      <c r="M142" s="364">
        <f t="shared" si="34"/>
        <v>3.4906703524533516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'[73]Sch C'!D144</f>
        <v>0</v>
      </c>
      <c r="D143" s="558">
        <f>'[73]Sch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'[73]Sch C'!D146</f>
        <v>16300</v>
      </c>
      <c r="D145" s="558">
        <f>'[73]Sch C'!F146</f>
        <v>0</v>
      </c>
      <c r="E145" s="171">
        <f t="shared" ref="E145:E153" si="38">C145+D145</f>
        <v>16300</v>
      </c>
      <c r="F145" s="171"/>
      <c r="G145" s="171">
        <f t="shared" ref="G145:G153" si="39">E145+F145</f>
        <v>16300</v>
      </c>
      <c r="H145" s="172">
        <f t="shared" ref="H145:H153" si="40">IF($G$208=0,0,G145/$G$208)</f>
        <v>1.0291885448157942E-2</v>
      </c>
      <c r="I145" s="336"/>
      <c r="J145" s="183">
        <v>0</v>
      </c>
      <c r="K145" s="183">
        <v>0</v>
      </c>
      <c r="M145" s="364">
        <f t="shared" si="34"/>
        <v>2.8161713890808571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'[73]Sch C'!D147</f>
        <v>0</v>
      </c>
      <c r="D146" s="558">
        <f>'[73]Sch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'[73]Sch C'!D148</f>
        <v>0</v>
      </c>
      <c r="D147" s="558">
        <f>'[73]Sch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'[73]Sch C'!D149</f>
        <v>0</v>
      </c>
      <c r="D148" s="558">
        <f>'[73]Sch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'[73]Sch C'!D150</f>
        <v>1403</v>
      </c>
      <c r="D149" s="558">
        <f>'[73]Sch C'!F150</f>
        <v>0</v>
      </c>
      <c r="E149" s="171">
        <f t="shared" si="38"/>
        <v>1403</v>
      </c>
      <c r="F149" s="171"/>
      <c r="G149" s="171">
        <f t="shared" si="39"/>
        <v>1403</v>
      </c>
      <c r="H149" s="172">
        <f t="shared" si="40"/>
        <v>8.8585983335985228E-4</v>
      </c>
      <c r="I149" s="336"/>
      <c r="J149" s="183">
        <v>0</v>
      </c>
      <c r="K149" s="183">
        <v>0</v>
      </c>
      <c r="M149" s="364">
        <f t="shared" si="34"/>
        <v>0.24239806496199032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'[73]Sch C'!D151</f>
        <v>34349</v>
      </c>
      <c r="D150" s="558">
        <f>'[73]Sch C'!F151</f>
        <v>0</v>
      </c>
      <c r="E150" s="171">
        <f t="shared" si="38"/>
        <v>34349</v>
      </c>
      <c r="F150" s="171"/>
      <c r="G150" s="171">
        <f t="shared" si="39"/>
        <v>34349</v>
      </c>
      <c r="H150" s="172">
        <f t="shared" si="40"/>
        <v>2.1688096518943382E-2</v>
      </c>
      <c r="I150" s="336"/>
      <c r="J150" s="168"/>
      <c r="K150" s="168"/>
      <c r="M150" s="364">
        <f t="shared" si="34"/>
        <v>5.9345196959225985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'[73]Sch C'!D152</f>
        <v>1179</v>
      </c>
      <c r="D151" s="558">
        <f>'[73]Sch C'!F152</f>
        <v>0</v>
      </c>
      <c r="E151" s="171">
        <f t="shared" si="38"/>
        <v>1179</v>
      </c>
      <c r="F151" s="171"/>
      <c r="G151" s="171">
        <f t="shared" si="39"/>
        <v>1179</v>
      </c>
      <c r="H151" s="172">
        <f t="shared" si="40"/>
        <v>7.4442533394958365E-4</v>
      </c>
      <c r="I151" s="336"/>
      <c r="J151" s="168"/>
      <c r="K151" s="168"/>
      <c r="M151" s="364">
        <f t="shared" si="34"/>
        <v>0.20369730476848652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'[73]Sch C'!D153</f>
        <v>0</v>
      </c>
      <c r="D152" s="558">
        <f>'[73]Sch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'[73]Sch C'!D154</f>
        <v>0</v>
      </c>
      <c r="D153" s="558">
        <f>'[73]Sch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'[73]Sch C'!D156</f>
        <v>0</v>
      </c>
      <c r="D155" s="558">
        <f>'[73]Sch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'[73]Sch C'!D157</f>
        <v>0</v>
      </c>
      <c r="D156" s="558">
        <f>'[73]Sch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'[73]Sch C'!D158</f>
        <v>0</v>
      </c>
      <c r="D157" s="558">
        <f>'[73]Sch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'[73]Sch C'!D159</f>
        <v>0</v>
      </c>
      <c r="D158" s="558">
        <f>'[73]Sch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'[73]Sch C'!D160</f>
        <v>0</v>
      </c>
      <c r="D159" s="558">
        <f>'[73]Sch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'[73]Sch C'!D161</f>
        <v>2553</v>
      </c>
      <c r="D160" s="558">
        <f>'[73]Sch C'!F161</f>
        <v>0</v>
      </c>
      <c r="E160" s="171">
        <f t="shared" si="41"/>
        <v>2553</v>
      </c>
      <c r="F160" s="171"/>
      <c r="G160" s="171">
        <f t="shared" si="42"/>
        <v>2553</v>
      </c>
      <c r="H160" s="172">
        <f t="shared" si="43"/>
        <v>1.611974450867928E-3</v>
      </c>
      <c r="I160" s="336"/>
      <c r="J160" s="168"/>
      <c r="K160" s="168"/>
      <c r="M160" s="364">
        <f t="shared" si="34"/>
        <v>0.44108500345542501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664510</v>
      </c>
      <c r="D161" s="558">
        <f>SUM(D123:D160)</f>
        <v>59515</v>
      </c>
      <c r="E161" s="171">
        <f t="shared" ref="E161:F161" si="44">SUM(E123:E160)</f>
        <v>724025</v>
      </c>
      <c r="F161" s="171">
        <f t="shared" si="44"/>
        <v>0</v>
      </c>
      <c r="G161" s="171">
        <f>SUM(G123:G160)</f>
        <v>724025</v>
      </c>
      <c r="H161" s="172">
        <f t="shared" si="43"/>
        <v>0.45715229212285607</v>
      </c>
      <c r="I161" s="336"/>
      <c r="J161" s="168"/>
      <c r="K161" s="168"/>
      <c r="M161" s="364">
        <f>G161/G$228</f>
        <v>125.09070490670352</v>
      </c>
      <c r="N161" s="359">
        <f>SUMMARY!J164</f>
        <v>105.56901037202306</v>
      </c>
      <c r="O161" s="354">
        <f>M161/N161-1</f>
        <v>0.18491879829020275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'[73]Sch C'!D175</f>
        <v>0</v>
      </c>
      <c r="D164" s="558">
        <f>'[73]Sch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'[73]Sch C'!D176</f>
        <v>0</v>
      </c>
      <c r="D165" s="558">
        <f>'[73]Sch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'[73]Sch C'!D177</f>
        <v>33637</v>
      </c>
      <c r="D166" s="558">
        <f>'[73]Sch C'!F177</f>
        <v>0</v>
      </c>
      <c r="E166" s="171">
        <f t="shared" si="45"/>
        <v>33637</v>
      </c>
      <c r="F166" s="216"/>
      <c r="G166" s="171">
        <f t="shared" si="46"/>
        <v>33637</v>
      </c>
      <c r="H166" s="172">
        <f t="shared" si="47"/>
        <v>2.1238536860103602E-2</v>
      </c>
      <c r="I166" s="342"/>
      <c r="J166" s="217">
        <v>566</v>
      </c>
      <c r="K166" s="217">
        <v>593</v>
      </c>
      <c r="L166" s="218"/>
      <c r="M166" s="364">
        <f t="shared" si="48"/>
        <v>5.8115065653075328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'[73]Sch C'!D178</f>
        <v>0</v>
      </c>
      <c r="D167" s="558">
        <f>'[73]Sch C'!F178</f>
        <v>3289</v>
      </c>
      <c r="E167" s="171">
        <f t="shared" si="45"/>
        <v>3289</v>
      </c>
      <c r="F167" s="216"/>
      <c r="G167" s="171">
        <f t="shared" si="46"/>
        <v>3289</v>
      </c>
      <c r="H167" s="172">
        <f t="shared" si="47"/>
        <v>2.0766878060730965E-3</v>
      </c>
      <c r="I167" s="343"/>
      <c r="J167" s="222"/>
      <c r="K167" s="222"/>
      <c r="L167" s="218"/>
      <c r="M167" s="364">
        <f t="shared" si="48"/>
        <v>0.56824464409122322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'[73]Sch C'!D179</f>
        <v>1828</v>
      </c>
      <c r="D168" s="558">
        <f>'[73]Sch C'!F179</f>
        <v>0</v>
      </c>
      <c r="E168" s="171">
        <f t="shared" si="45"/>
        <v>1828</v>
      </c>
      <c r="F168" s="216"/>
      <c r="G168" s="171">
        <f t="shared" si="46"/>
        <v>1828</v>
      </c>
      <c r="H168" s="172">
        <f t="shared" si="47"/>
        <v>1.1542065398302281E-3</v>
      </c>
      <c r="I168" s="342"/>
      <c r="J168" s="217">
        <v>21</v>
      </c>
      <c r="K168" s="217">
        <v>24</v>
      </c>
      <c r="L168" s="218"/>
      <c r="M168" s="364">
        <f t="shared" si="48"/>
        <v>0.31582584657912921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'[73]Sch C'!D180</f>
        <v>0</v>
      </c>
      <c r="D169" s="558">
        <f>'[73]Sch C'!F180</f>
        <v>179</v>
      </c>
      <c r="E169" s="171">
        <f t="shared" si="45"/>
        <v>179</v>
      </c>
      <c r="F169" s="216"/>
      <c r="G169" s="171">
        <f t="shared" si="46"/>
        <v>179</v>
      </c>
      <c r="H169" s="172">
        <f t="shared" si="47"/>
        <v>1.1302131872517004E-4</v>
      </c>
      <c r="I169" s="343"/>
      <c r="J169" s="222"/>
      <c r="K169" s="222"/>
      <c r="L169" s="218"/>
      <c r="M169" s="364">
        <f t="shared" si="48"/>
        <v>3.0926053904630268E-2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'[73]Sch C'!D181</f>
        <v>0</v>
      </c>
      <c r="D170" s="558">
        <f>'[73]Sch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'[73]Sch C'!D182</f>
        <v>0</v>
      </c>
      <c r="D171" s="558">
        <f>'[73]Sch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'[73]Sch C'!D183</f>
        <v>20581</v>
      </c>
      <c r="D172" s="558">
        <f>'[73]Sch C'!F183</f>
        <v>0</v>
      </c>
      <c r="E172" s="171">
        <f t="shared" si="45"/>
        <v>20581</v>
      </c>
      <c r="F172" s="216"/>
      <c r="G172" s="171">
        <f t="shared" si="46"/>
        <v>20581</v>
      </c>
      <c r="H172" s="172">
        <f t="shared" si="47"/>
        <v>1.2994926037333657E-2</v>
      </c>
      <c r="I172" s="342"/>
      <c r="J172" s="217">
        <v>552</v>
      </c>
      <c r="K172" s="217">
        <v>565</v>
      </c>
      <c r="L172" s="218"/>
      <c r="M172" s="364">
        <f t="shared" si="48"/>
        <v>3.5558051140290257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'[73]Sch C'!D184</f>
        <v>0</v>
      </c>
      <c r="D173" s="558">
        <f>'[73]Sch C'!F184</f>
        <v>2012</v>
      </c>
      <c r="E173" s="171">
        <f t="shared" si="45"/>
        <v>2012</v>
      </c>
      <c r="F173" s="216"/>
      <c r="G173" s="171">
        <f t="shared" si="46"/>
        <v>2012</v>
      </c>
      <c r="H173" s="172">
        <f t="shared" si="47"/>
        <v>1.2703848786315202E-3</v>
      </c>
      <c r="I173" s="343"/>
      <c r="J173" s="222"/>
      <c r="K173" s="222"/>
      <c r="L173" s="218"/>
      <c r="M173" s="364">
        <f t="shared" si="48"/>
        <v>0.34761575673807876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'[73]Sch C'!D185</f>
        <v>0</v>
      </c>
      <c r="D174" s="558">
        <f>'[73]Sch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'[73]Sch C'!D186</f>
        <v>0</v>
      </c>
      <c r="D175" s="558">
        <f>'[73]Sch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'[73]Sch C'!D187</f>
        <v>0</v>
      </c>
      <c r="D176" s="558">
        <f>'[73]Sch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'[73]Sch C'!D188</f>
        <v>1693</v>
      </c>
      <c r="D177" s="558">
        <f>'[73]Sch C'!F188</f>
        <v>0</v>
      </c>
      <c r="E177" s="171">
        <f t="shared" si="45"/>
        <v>1693</v>
      </c>
      <c r="F177" s="216"/>
      <c r="G177" s="171">
        <f t="shared" si="46"/>
        <v>1693</v>
      </c>
      <c r="H177" s="172">
        <f t="shared" si="47"/>
        <v>1.0689669977749323E-3</v>
      </c>
      <c r="I177" s="336"/>
      <c r="J177" s="223"/>
      <c r="K177" s="218"/>
      <c r="L177" s="220"/>
      <c r="M177" s="364">
        <f t="shared" si="48"/>
        <v>0.29250172771250865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'[73]Sch C'!D189</f>
        <v>0</v>
      </c>
      <c r="D178" s="558">
        <f>'[73]Sch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'[73]Sch C'!D190</f>
        <v>0</v>
      </c>
      <c r="D179" s="558">
        <f>'[73]Sch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'[73]Sch C'!D191</f>
        <v>106</v>
      </c>
      <c r="D180" s="558">
        <f>'[73]Sch C'!F191</f>
        <v>0</v>
      </c>
      <c r="E180" s="171">
        <f t="shared" si="45"/>
        <v>106</v>
      </c>
      <c r="F180" s="216"/>
      <c r="G180" s="171">
        <f t="shared" si="46"/>
        <v>106</v>
      </c>
      <c r="H180" s="172">
        <f t="shared" si="47"/>
        <v>6.6928825613787846E-5</v>
      </c>
      <c r="I180" s="336"/>
      <c r="J180" s="223"/>
      <c r="K180" s="218"/>
      <c r="L180" s="220"/>
      <c r="M180" s="364">
        <f t="shared" si="48"/>
        <v>1.8313752591568762E-2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'[73]Sch C'!D192</f>
        <v>0</v>
      </c>
      <c r="D181" s="558">
        <f>'[73]Sch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'[73]Sch C'!D193</f>
        <v>0</v>
      </c>
      <c r="D182" s="558">
        <f>'[73]Sch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'[73]Sch C'!D194</f>
        <v>8224</v>
      </c>
      <c r="D183" s="558">
        <f>'[73]Sch C'!F194</f>
        <v>0</v>
      </c>
      <c r="E183" s="171">
        <f t="shared" si="45"/>
        <v>8224</v>
      </c>
      <c r="F183" s="216"/>
      <c r="G183" s="171">
        <f t="shared" si="46"/>
        <v>8224</v>
      </c>
      <c r="H183" s="172">
        <f t="shared" si="47"/>
        <v>5.1926666212055777E-3</v>
      </c>
      <c r="I183" s="336"/>
      <c r="J183" s="223"/>
      <c r="K183" s="218"/>
      <c r="M183" s="364">
        <f t="shared" si="48"/>
        <v>1.4208707671043539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'[73]Sch C'!D195</f>
        <v>0</v>
      </c>
      <c r="D184" s="558">
        <f>'[73]Sch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'[73]Sch C'!D196</f>
        <v>0</v>
      </c>
      <c r="D185" s="558">
        <f>'[73]Sch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'[73]Sch C'!D197</f>
        <v>0</v>
      </c>
      <c r="D186" s="558">
        <f>'[73]Sch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'[73]Sch C'!D198</f>
        <v>5246</v>
      </c>
      <c r="D187" s="558">
        <f>'[73]Sch C'!F198</f>
        <v>0</v>
      </c>
      <c r="E187" s="171">
        <f t="shared" si="45"/>
        <v>5246</v>
      </c>
      <c r="F187" s="216"/>
      <c r="G187" s="171">
        <f t="shared" si="46"/>
        <v>5246</v>
      </c>
      <c r="H187" s="172">
        <f t="shared" si="47"/>
        <v>3.312345463867274E-3</v>
      </c>
      <c r="I187" s="336"/>
      <c r="J187" s="223"/>
      <c r="K187" s="218"/>
      <c r="M187" s="364">
        <f t="shared" si="48"/>
        <v>0.90635798203178985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'[73]Sch C'!D199</f>
        <v>0</v>
      </c>
      <c r="D188" s="558">
        <f>'[73]Sch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'[73]Sch C'!D200</f>
        <v>0</v>
      </c>
      <c r="D189" s="558">
        <f>'[73]Sch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'[73]Sch C'!D201</f>
        <v>0</v>
      </c>
      <c r="D190" s="558">
        <f>'[73]Sch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'[73]Sch C'!D202</f>
        <v>0</v>
      </c>
      <c r="D191" s="558">
        <f>'[73]Sch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'[73]Sch C'!D203</f>
        <v>0</v>
      </c>
      <c r="D192" s="558">
        <f>'[73]Sch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'[73]Sch C'!D204</f>
        <v>0</v>
      </c>
      <c r="D193" s="558">
        <f>'[73]Sch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'[73]Sch C'!D205</f>
        <v>54481</v>
      </c>
      <c r="D194" s="558">
        <f>'[73]Sch C'!F205</f>
        <v>0</v>
      </c>
      <c r="E194" s="171">
        <f t="shared" si="45"/>
        <v>54481</v>
      </c>
      <c r="F194" s="216"/>
      <c r="G194" s="171">
        <f t="shared" si="46"/>
        <v>54481</v>
      </c>
      <c r="H194" s="172">
        <f t="shared" si="47"/>
        <v>3.4399522153441275E-2</v>
      </c>
      <c r="I194" s="336"/>
      <c r="J194" s="223"/>
      <c r="K194" s="218"/>
      <c r="M194" s="364">
        <f t="shared" si="48"/>
        <v>9.4127505183137519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'[73]Sch C'!D206</f>
        <v>430</v>
      </c>
      <c r="D195" s="558">
        <f>'[73]Sch C'!F206</f>
        <v>0</v>
      </c>
      <c r="E195" s="171">
        <f t="shared" si="45"/>
        <v>430</v>
      </c>
      <c r="F195" s="216"/>
      <c r="G195" s="171">
        <f t="shared" si="46"/>
        <v>430</v>
      </c>
      <c r="H195" s="172">
        <f t="shared" si="47"/>
        <v>2.7150372654649786E-4</v>
      </c>
      <c r="I195" s="336"/>
      <c r="J195" s="223"/>
      <c r="K195" s="218"/>
      <c r="M195" s="364">
        <f t="shared" si="48"/>
        <v>7.4291637871458191E-2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'[73]Sch C'!D207</f>
        <v>0</v>
      </c>
      <c r="D196" s="558">
        <f>'[73]Sch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126226</v>
      </c>
      <c r="D197" s="558">
        <f>SUM(D164:D196)</f>
        <v>5480</v>
      </c>
      <c r="E197" s="171">
        <f t="shared" ref="E197" si="49">SUM(E164:E196)</f>
        <v>131706</v>
      </c>
      <c r="F197" s="171">
        <f>SUM(F164:F196)</f>
        <v>0</v>
      </c>
      <c r="G197" s="171">
        <f>SUM(G164:G196)</f>
        <v>131706</v>
      </c>
      <c r="H197" s="172">
        <f>IF($G$208=0,0,G197/$G$208)</f>
        <v>8.3159697229146623E-2</v>
      </c>
      <c r="I197" s="336"/>
      <c r="J197" s="168"/>
      <c r="K197" s="168"/>
      <c r="M197" s="364">
        <f>G197/G$228</f>
        <v>22.755010366275052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'[73]Sch C'!D211</f>
        <v>37320</v>
      </c>
      <c r="D200" s="558">
        <f>'[73]Sch C'!F211</f>
        <v>0</v>
      </c>
      <c r="E200" s="171">
        <f t="shared" ref="E200:E205" si="50">C200+D200</f>
        <v>37320</v>
      </c>
      <c r="F200" s="171"/>
      <c r="G200" s="171">
        <f t="shared" ref="G200:G205" si="51">E200+F200</f>
        <v>37320</v>
      </c>
      <c r="H200" s="172">
        <f t="shared" ref="H200:H206" si="52">IF($G$208=0,0,G200/$G$208)</f>
        <v>2.3563997848175117E-2</v>
      </c>
      <c r="I200" s="336"/>
      <c r="J200" s="183">
        <v>2251</v>
      </c>
      <c r="K200" s="183">
        <v>2270</v>
      </c>
      <c r="M200" s="364">
        <f t="shared" ref="M200:M205" si="53">G200/G$228</f>
        <v>6.4478230822391156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'[73]Sch C'!D212</f>
        <v>0</v>
      </c>
      <c r="D201" s="558">
        <f>'[73]Sch C'!F212</f>
        <v>3649</v>
      </c>
      <c r="E201" s="171">
        <f t="shared" si="50"/>
        <v>3649</v>
      </c>
      <c r="F201" s="171"/>
      <c r="G201" s="171">
        <f t="shared" si="51"/>
        <v>3649</v>
      </c>
      <c r="H201" s="172">
        <f t="shared" si="52"/>
        <v>2.3039932515538852E-3</v>
      </c>
      <c r="I201" s="336"/>
      <c r="J201" s="168"/>
      <c r="K201" s="168"/>
      <c r="M201" s="364">
        <f t="shared" si="53"/>
        <v>0.63044229440221145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'[73]Sch C'!D213</f>
        <v>10019</v>
      </c>
      <c r="D202" s="558">
        <f>'[73]Sch C'!F213</f>
        <v>0</v>
      </c>
      <c r="E202" s="171">
        <f t="shared" si="50"/>
        <v>10019</v>
      </c>
      <c r="F202" s="171"/>
      <c r="G202" s="171">
        <f t="shared" si="51"/>
        <v>10019</v>
      </c>
      <c r="H202" s="172">
        <f t="shared" si="52"/>
        <v>6.3260368285334E-3</v>
      </c>
      <c r="I202" s="336"/>
      <c r="J202" s="168"/>
      <c r="K202" s="168"/>
      <c r="M202" s="364">
        <f t="shared" si="53"/>
        <v>1.7309951624049758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'[73]Sch C'!D214</f>
        <v>0</v>
      </c>
      <c r="D203" s="558">
        <f>'[73]Sch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'[73]Sch C'!D215</f>
        <v>0</v>
      </c>
      <c r="D204" s="558">
        <f>'[73]Sch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'[73]Sch C'!D216</f>
        <v>1434</v>
      </c>
      <c r="D205" s="558">
        <f>'[73]Sch C'!F216</f>
        <v>0</v>
      </c>
      <c r="E205" s="171">
        <f t="shared" si="50"/>
        <v>1434</v>
      </c>
      <c r="F205" s="171"/>
      <c r="G205" s="171">
        <f t="shared" si="51"/>
        <v>1434</v>
      </c>
      <c r="H205" s="172">
        <f t="shared" si="52"/>
        <v>9.0543335783180908E-4</v>
      </c>
      <c r="I205" s="336"/>
      <c r="J205" s="168"/>
      <c r="K205" s="168"/>
      <c r="M205" s="364">
        <f t="shared" si="53"/>
        <v>0.24775397373876987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48773</v>
      </c>
      <c r="D206" s="558">
        <f>SUM(D200:D205)</f>
        <v>3649</v>
      </c>
      <c r="E206" s="171">
        <f t="shared" ref="E206:F206" si="54">SUM(E200:E205)</f>
        <v>52422</v>
      </c>
      <c r="F206" s="171">
        <f t="shared" si="54"/>
        <v>0</v>
      </c>
      <c r="G206" s="171">
        <f>SUM(G200:G205)</f>
        <v>52422</v>
      </c>
      <c r="H206" s="172">
        <f t="shared" si="52"/>
        <v>3.3099461286094208E-2</v>
      </c>
      <c r="I206" s="336"/>
      <c r="J206" s="168"/>
      <c r="K206" s="168"/>
      <c r="M206" s="364">
        <f>G206/G$228</f>
        <v>9.0570145127850719</v>
      </c>
      <c r="N206" s="359">
        <f>SUMMARY!J209</f>
        <v>7.1515095990067339</v>
      </c>
      <c r="O206" s="354">
        <f>M206/N206-1</f>
        <v>0.26644792786728444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1640386</v>
      </c>
      <c r="D208" s="558">
        <f>SUM(D25:D206)/2</f>
        <v>-56614</v>
      </c>
      <c r="E208" s="171">
        <f t="shared" ref="E208:F208" si="55">SUM(E25:E206)/2</f>
        <v>1583772</v>
      </c>
      <c r="F208" s="171">
        <f t="shared" si="55"/>
        <v>0</v>
      </c>
      <c r="G208" s="171">
        <f>SUM(G25:G206)/2</f>
        <v>1583772</v>
      </c>
      <c r="H208" s="172">
        <f>IF($G$208=0,0,G208/$G$208)</f>
        <v>1</v>
      </c>
      <c r="I208" s="336"/>
      <c r="J208" s="183">
        <f>SUM(J25:J200)</f>
        <v>56842</v>
      </c>
      <c r="K208" s="183">
        <f>SUM(K25:K200)</f>
        <v>58272</v>
      </c>
      <c r="M208" s="364">
        <f>G208/G$228</f>
        <v>273.63026952315136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1.300745458896388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'[73]Sch C'!D221</f>
        <v>1640386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-384472</v>
      </c>
      <c r="D215" s="558">
        <f>D21-D208</f>
        <v>56614</v>
      </c>
      <c r="E215" s="171">
        <f t="shared" ref="E215:F215" si="56">E21-E208</f>
        <v>-327858</v>
      </c>
      <c r="F215" s="171">
        <f t="shared" si="56"/>
        <v>0</v>
      </c>
      <c r="G215" s="171">
        <f>G21-G208</f>
        <v>-327858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'[73]Sch D'!C9</f>
        <v>4237</v>
      </c>
      <c r="D219" s="592"/>
      <c r="E219" s="235">
        <f t="shared" ref="E219:G227" si="57">C219+D219</f>
        <v>4237</v>
      </c>
      <c r="F219" s="234"/>
      <c r="G219" s="235">
        <f t="shared" si="57"/>
        <v>4237</v>
      </c>
      <c r="H219" s="172">
        <f t="shared" ref="H219:H228" si="58">IF($G$228=0,0,G219/$G$228)</f>
        <v>0.73203178991015894</v>
      </c>
      <c r="I219" s="336"/>
      <c r="J219" s="168"/>
      <c r="K219" s="168"/>
    </row>
    <row r="220" spans="1:17">
      <c r="A220" s="163"/>
      <c r="B220" s="170" t="s">
        <v>217</v>
      </c>
      <c r="C220" s="592">
        <f>'[73]Sch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'[73]Sch D'!E9</f>
        <v>675</v>
      </c>
      <c r="D221" s="592"/>
      <c r="E221" s="235">
        <f t="shared" si="59"/>
        <v>675</v>
      </c>
      <c r="F221" s="234"/>
      <c r="G221" s="235">
        <f t="shared" si="57"/>
        <v>675</v>
      </c>
      <c r="H221" s="172">
        <f t="shared" si="58"/>
        <v>0.11662059433310297</v>
      </c>
      <c r="I221" s="336"/>
      <c r="J221" s="168"/>
      <c r="K221" s="168"/>
    </row>
    <row r="222" spans="1:17">
      <c r="A222" s="163"/>
      <c r="B222" s="202" t="s">
        <v>334</v>
      </c>
      <c r="C222" s="592">
        <f>'[73]Sch D'!F9</f>
        <v>76</v>
      </c>
      <c r="D222" s="592"/>
      <c r="E222" s="235">
        <f>C222+D222</f>
        <v>76</v>
      </c>
      <c r="F222" s="234"/>
      <c r="G222" s="235">
        <f>E222+F222</f>
        <v>76</v>
      </c>
      <c r="H222" s="172">
        <f t="shared" si="58"/>
        <v>1.3130615065653075E-2</v>
      </c>
      <c r="I222" s="336"/>
      <c r="J222" s="168"/>
      <c r="K222" s="168"/>
    </row>
    <row r="223" spans="1:17">
      <c r="A223" s="163"/>
      <c r="B223" s="170" t="s">
        <v>73</v>
      </c>
      <c r="C223" s="592">
        <f>'[73]Sch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'[73]Sch D'!H9</f>
        <v>434</v>
      </c>
      <c r="D224" s="592"/>
      <c r="E224" s="235">
        <f t="shared" si="59"/>
        <v>434</v>
      </c>
      <c r="F224" s="234"/>
      <c r="G224" s="235">
        <f t="shared" si="57"/>
        <v>434</v>
      </c>
      <c r="H224" s="172">
        <f t="shared" si="58"/>
        <v>7.4982722874913615E-2</v>
      </c>
      <c r="I224" s="336"/>
      <c r="J224" s="168"/>
      <c r="K224" s="168"/>
    </row>
    <row r="225" spans="1:11">
      <c r="A225" s="163"/>
      <c r="B225" s="170" t="s">
        <v>236</v>
      </c>
      <c r="C225" s="592">
        <f>'[73]Sch D'!I9</f>
        <v>366</v>
      </c>
      <c r="D225" s="592"/>
      <c r="E225" s="235">
        <f t="shared" si="59"/>
        <v>366</v>
      </c>
      <c r="F225" s="234"/>
      <c r="G225" s="235">
        <f t="shared" si="57"/>
        <v>366</v>
      </c>
      <c r="H225" s="172">
        <f t="shared" si="58"/>
        <v>6.3234277816171386E-2</v>
      </c>
      <c r="I225" s="336"/>
      <c r="J225" s="168"/>
      <c r="K225" s="168"/>
    </row>
    <row r="226" spans="1:11">
      <c r="A226" s="163"/>
      <c r="B226" s="170" t="s">
        <v>235</v>
      </c>
      <c r="C226" s="592">
        <f>'[73]Sch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'[73]Sch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5788</v>
      </c>
      <c r="D228" s="592">
        <f>SUM(D219:D227)</f>
        <v>0</v>
      </c>
      <c r="E228" s="237">
        <f>SUM(E219:E227)</f>
        <v>5788</v>
      </c>
      <c r="F228" s="237">
        <f>SUM(F219:F227)</f>
        <v>0</v>
      </c>
      <c r="G228" s="237">
        <f>SUM(G219:G227)</f>
        <v>5788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'[73]Sch D'!N22</f>
        <v>50</v>
      </c>
      <c r="D231" s="559"/>
      <c r="E231" s="235">
        <f>C231+D231</f>
        <v>50</v>
      </c>
      <c r="F231" s="235"/>
      <c r="G231" s="235">
        <f>E231+F231</f>
        <v>50</v>
      </c>
      <c r="H231" s="167"/>
      <c r="J231" s="168"/>
      <c r="K231" s="168"/>
    </row>
    <row r="232" spans="1:11">
      <c r="A232" s="163"/>
      <c r="B232" s="202" t="s">
        <v>290</v>
      </c>
      <c r="C232" s="593">
        <f>'[73]Sch D'!N24</f>
        <v>50</v>
      </c>
      <c r="D232" s="559"/>
      <c r="E232" s="235">
        <f>C232+D232</f>
        <v>50</v>
      </c>
      <c r="F232" s="235"/>
      <c r="G232" s="235">
        <f>E232+F232</f>
        <v>50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'[73]Sch D'!N28</f>
        <v>18300</v>
      </c>
      <c r="D235" s="483"/>
      <c r="E235" s="234">
        <f>E231*E233</f>
        <v>18300</v>
      </c>
      <c r="F235" s="239"/>
      <c r="G235" s="234">
        <f>G231*G233</f>
        <v>18300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'[73]Sch D'!N30</f>
        <v>0.31628415300546447</v>
      </c>
      <c r="D236" s="239"/>
      <c r="E236" s="244">
        <f>E228/E235</f>
        <v>0.31628415300546447</v>
      </c>
      <c r="F236" s="245"/>
      <c r="G236" s="244">
        <f>G228/G235</f>
        <v>0.31628415300546447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'[73]Sch D'!N32</f>
        <v>0.23153005464480875</v>
      </c>
      <c r="D237" s="239"/>
      <c r="E237" s="244">
        <f>(E219+E220)/E235</f>
        <v>0.23153005464480875</v>
      </c>
      <c r="F237" s="245"/>
      <c r="G237" s="244">
        <f>(G219+G220)/G235</f>
        <v>0.23153005464480875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'[73]Sch D'!N34</f>
        <v>0.73203178991015894</v>
      </c>
      <c r="D238" s="239"/>
      <c r="E238" s="244">
        <f>(E237/E236)</f>
        <v>0.73203178991015894</v>
      </c>
      <c r="F238" s="245"/>
      <c r="G238" s="244">
        <f>(G237/G236)</f>
        <v>0.73203178991015894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'[73]Sch B'!C85</f>
        <v>207.32490465983742</v>
      </c>
    </row>
    <row r="242" spans="2:7">
      <c r="F242" s="142" t="s">
        <v>341</v>
      </c>
      <c r="G242" s="558">
        <f>'[73]Sch B'!E85</f>
        <v>177.45842793723949</v>
      </c>
    </row>
    <row r="243" spans="2:7">
      <c r="B243" s="460"/>
      <c r="F243" s="142" t="s">
        <v>342</v>
      </c>
      <c r="G243" s="558">
        <f>'[73]Sch B'!G85</f>
        <v>190.60690213155308</v>
      </c>
    </row>
    <row r="244" spans="2:7" ht="16.5">
      <c r="B244" s="538"/>
      <c r="F244" s="142" t="s">
        <v>343</v>
      </c>
      <c r="G244" s="558">
        <f>'[73]Sch B'!I85</f>
        <v>343.1276972145875</v>
      </c>
    </row>
    <row r="245" spans="2:7" ht="16.5">
      <c r="B245" s="538"/>
      <c r="F245" s="142"/>
    </row>
  </sheetData>
  <customSheetViews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5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selection activeCell="B7" sqref="B7"/>
      <pageMargins left="0" right="0" top="0" bottom="1" header="0.5" footer="0.5"/>
      <printOptions horizontalCentered="1"/>
      <pageSetup scale="75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r:id="rId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8">
    <tabColor rgb="FFE28CAB"/>
  </sheetPr>
  <dimension ref="A1:T247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28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527"/>
    </row>
    <row r="2" spans="1:17" ht="23">
      <c r="B2" s="143" t="s">
        <v>189</v>
      </c>
      <c r="C2" s="246" t="s">
        <v>380</v>
      </c>
      <c r="D2" s="246"/>
      <c r="E2" s="144"/>
      <c r="F2" s="140" t="s">
        <v>712</v>
      </c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29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30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30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31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'[74]Sch B'!E10</f>
        <v>3519193</v>
      </c>
      <c r="D11" s="558">
        <f>'[74]Sch B'!G10</f>
        <v>0</v>
      </c>
      <c r="E11" s="171">
        <f>C11+D11</f>
        <v>3519193</v>
      </c>
      <c r="F11" s="171"/>
      <c r="G11" s="171">
        <f t="shared" ref="G11:G20" si="0">E11+F11</f>
        <v>3519193</v>
      </c>
      <c r="H11" s="172">
        <f t="shared" ref="H11:H21" si="1">IF($G$21=0,0,G11/$G$21)</f>
        <v>0.44763914148564288</v>
      </c>
      <c r="I11" s="526"/>
      <c r="J11" s="368" t="s">
        <v>344</v>
      </c>
      <c r="K11" s="369">
        <f>G21</f>
        <v>7861674</v>
      </c>
      <c r="M11" s="359">
        <f>IFERROR(G11/G219,0)</f>
        <v>184.55047459227018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'[74]Sch B'!E15</f>
        <v>0</v>
      </c>
      <c r="D12" s="558">
        <f>'[74]Sch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26"/>
      <c r="J12" s="370" t="s">
        <v>345</v>
      </c>
      <c r="K12" s="371">
        <f>G208</f>
        <v>7424326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'[74]Sch B'!E21</f>
        <v>1839957</v>
      </c>
      <c r="D13" s="558">
        <f>'[74]Sch B'!G21</f>
        <v>0</v>
      </c>
      <c r="E13" s="171">
        <f t="shared" si="2"/>
        <v>1839957</v>
      </c>
      <c r="F13" s="171"/>
      <c r="G13" s="171">
        <f t="shared" si="0"/>
        <v>1839957</v>
      </c>
      <c r="H13" s="172">
        <f t="shared" si="1"/>
        <v>0.23404137592070084</v>
      </c>
      <c r="I13" s="526"/>
      <c r="J13" s="370" t="s">
        <v>346</v>
      </c>
      <c r="K13" s="371">
        <f>G228</f>
        <v>33373</v>
      </c>
      <c r="M13" s="359">
        <f t="shared" si="3"/>
        <v>500.94119248570649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'[74]Sch B'!E27</f>
        <v>716123</v>
      </c>
      <c r="D14" s="558">
        <f>'[74]Sch B'!G27</f>
        <v>0</v>
      </c>
      <c r="E14" s="171">
        <f t="shared" si="2"/>
        <v>716123</v>
      </c>
      <c r="F14" s="175"/>
      <c r="G14" s="175">
        <f>E14+F14</f>
        <v>716123</v>
      </c>
      <c r="H14" s="176">
        <f t="shared" si="1"/>
        <v>9.1090396269293286E-2</v>
      </c>
      <c r="I14" s="532"/>
      <c r="J14" s="370" t="s">
        <v>347</v>
      </c>
      <c r="K14" s="371">
        <f>G231</f>
        <v>172</v>
      </c>
      <c r="M14" s="359">
        <f t="shared" si="3"/>
        <v>615.22594501718208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'[74]Sch B'!E32</f>
        <v>0</v>
      </c>
      <c r="D15" s="558">
        <f>'[74]Sch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26"/>
      <c r="J15" s="370" t="s">
        <v>348</v>
      </c>
      <c r="K15" s="371">
        <f>G235</f>
        <v>62952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'[74]Sch B'!E37</f>
        <v>962131</v>
      </c>
      <c r="D16" s="558">
        <f>'[74]Sch B'!G37</f>
        <v>0</v>
      </c>
      <c r="E16" s="171">
        <f t="shared" si="2"/>
        <v>962131</v>
      </c>
      <c r="F16" s="171"/>
      <c r="G16" s="171">
        <f t="shared" si="0"/>
        <v>962131</v>
      </c>
      <c r="H16" s="172">
        <f t="shared" si="1"/>
        <v>0.12238245951180372</v>
      </c>
      <c r="I16" s="526"/>
      <c r="J16" s="372"/>
      <c r="K16" s="371"/>
      <c r="M16" s="359">
        <f t="shared" si="3"/>
        <v>183.64783355602214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'[74]Sch B'!E42</f>
        <v>297495</v>
      </c>
      <c r="D17" s="558">
        <f>'[74]Sch B'!G42</f>
        <v>0</v>
      </c>
      <c r="E17" s="171">
        <f t="shared" si="2"/>
        <v>297495</v>
      </c>
      <c r="F17" s="171"/>
      <c r="G17" s="171">
        <f>E17+F17</f>
        <v>297495</v>
      </c>
      <c r="H17" s="172">
        <f t="shared" si="1"/>
        <v>3.7841177337040434E-2</v>
      </c>
      <c r="I17" s="526"/>
      <c r="J17" s="370" t="s">
        <v>156</v>
      </c>
      <c r="K17" s="371">
        <f>J208</f>
        <v>215436</v>
      </c>
      <c r="M17" s="359">
        <f t="shared" si="3"/>
        <v>189.72895408163265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'[74]Sch B'!E47</f>
        <v>0</v>
      </c>
      <c r="D18" s="558">
        <f>'[74]Sch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526"/>
      <c r="J18" s="373" t="s">
        <v>252</v>
      </c>
      <c r="K18" s="374">
        <f>K208</f>
        <v>226007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'[74]Sch B'!E52</f>
        <v>432630</v>
      </c>
      <c r="D19" s="558">
        <f>'[74]Sch B'!G52</f>
        <v>0</v>
      </c>
      <c r="E19" s="171">
        <f t="shared" si="2"/>
        <v>432630</v>
      </c>
      <c r="F19" s="171"/>
      <c r="G19" s="171">
        <f t="shared" si="0"/>
        <v>432630</v>
      </c>
      <c r="H19" s="172">
        <f t="shared" si="1"/>
        <v>5.5030264546711047E-2</v>
      </c>
      <c r="I19" s="526"/>
      <c r="J19" s="168"/>
      <c r="K19" s="168"/>
      <c r="M19" s="359">
        <f t="shared" si="3"/>
        <v>162.64285714285714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'[74]Sch B'!E67</f>
        <v>94145</v>
      </c>
      <c r="D20" s="558">
        <f>'[74]Sch B'!G67</f>
        <v>0</v>
      </c>
      <c r="E20" s="171">
        <f t="shared" si="2"/>
        <v>94145</v>
      </c>
      <c r="F20" s="171"/>
      <c r="G20" s="171">
        <f t="shared" si="0"/>
        <v>94145</v>
      </c>
      <c r="H20" s="172">
        <f t="shared" si="1"/>
        <v>1.1975184928807784E-2</v>
      </c>
      <c r="I20" s="52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7861674</v>
      </c>
      <c r="D21" s="558">
        <f>SUM(D11:D20)</f>
        <v>0</v>
      </c>
      <c r="E21" s="171">
        <f>SUM(E11:E20)</f>
        <v>7861674</v>
      </c>
      <c r="F21" s="171">
        <f>SUM(F11:F20)</f>
        <v>0</v>
      </c>
      <c r="G21" s="171">
        <f>SUM(G11:G20)</f>
        <v>7861674</v>
      </c>
      <c r="H21" s="172">
        <f t="shared" si="1"/>
        <v>1</v>
      </c>
      <c r="I21" s="526"/>
      <c r="J21" s="168"/>
      <c r="K21" s="168"/>
      <c r="M21" s="359">
        <f>IFERROR(G21/G228,0)</f>
        <v>235.56989182872383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'[74]Sch C'!D10</f>
        <v>77203</v>
      </c>
      <c r="D25" s="558">
        <f>'[74]Sch C'!F10</f>
        <v>0</v>
      </c>
      <c r="E25" s="171">
        <f t="shared" ref="E25:E60" si="4">C25+D25</f>
        <v>77203</v>
      </c>
      <c r="F25" s="171"/>
      <c r="G25" s="182">
        <f>E25+F25</f>
        <v>77203</v>
      </c>
      <c r="H25" s="172">
        <f>IF($G$208=0,0,G25/$G$208)</f>
        <v>1.039865436943367E-2</v>
      </c>
      <c r="I25" s="526"/>
      <c r="J25" s="183">
        <v>1808</v>
      </c>
      <c r="K25" s="183">
        <v>2064</v>
      </c>
      <c r="M25" s="359">
        <f>G25/G$228</f>
        <v>2.3133371288167082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'[74]Sch C'!D11</f>
        <v>1572</v>
      </c>
      <c r="D26" s="558">
        <f>'[74]Sch C'!F11</f>
        <v>0</v>
      </c>
      <c r="E26" s="171">
        <f t="shared" si="4"/>
        <v>1572</v>
      </c>
      <c r="F26" s="171"/>
      <c r="G26" s="171">
        <f t="shared" ref="G26:G60" si="5">E26+F26</f>
        <v>1572</v>
      </c>
      <c r="H26" s="184">
        <f t="shared" ref="H26:H61" si="6">IF($G$208=0,0,G26/$G$208)</f>
        <v>2.117363919633917E-4</v>
      </c>
      <c r="I26" s="526"/>
      <c r="J26" s="183">
        <v>55</v>
      </c>
      <c r="K26" s="183">
        <v>55</v>
      </c>
      <c r="M26" s="359">
        <f t="shared" ref="M26:M60" si="7">G26/G$228</f>
        <v>4.7103946303898359E-2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'[74]Sch C'!D12</f>
        <v>98281</v>
      </c>
      <c r="D27" s="558">
        <f>'[74]Sch C'!F12</f>
        <v>0</v>
      </c>
      <c r="E27" s="171">
        <f t="shared" si="4"/>
        <v>98281</v>
      </c>
      <c r="F27" s="171"/>
      <c r="G27" s="171">
        <f t="shared" si="5"/>
        <v>98281</v>
      </c>
      <c r="H27" s="172">
        <f t="shared" si="6"/>
        <v>1.3237699960912277E-2</v>
      </c>
      <c r="I27" s="526"/>
      <c r="J27" s="185">
        <v>6345</v>
      </c>
      <c r="K27" s="185">
        <v>6971</v>
      </c>
      <c r="M27" s="359">
        <f t="shared" si="7"/>
        <v>2.9449255386090551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'[74]Sch C'!D13</f>
        <v>401491</v>
      </c>
      <c r="D28" s="558">
        <f>'[74]Sch C'!F13</f>
        <v>0</v>
      </c>
      <c r="E28" s="171">
        <f t="shared" si="4"/>
        <v>401491</v>
      </c>
      <c r="F28" s="171">
        <v>-300057</v>
      </c>
      <c r="G28" s="171">
        <f t="shared" si="5"/>
        <v>101434</v>
      </c>
      <c r="H28" s="172">
        <f t="shared" si="6"/>
        <v>1.3662384976090758E-2</v>
      </c>
      <c r="I28" s="525" t="s">
        <v>703</v>
      </c>
      <c r="J28" s="168"/>
      <c r="K28" s="168"/>
      <c r="M28" s="359">
        <f t="shared" si="7"/>
        <v>3.0394031102987444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'[74]Sch C'!D14</f>
        <v>0</v>
      </c>
      <c r="D29" s="558">
        <f>'[74]Sch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52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'[74]Sch C'!D15</f>
        <v>397174</v>
      </c>
      <c r="D30" s="558">
        <f>'[74]Sch C'!F15</f>
        <v>0</v>
      </c>
      <c r="E30" s="171">
        <f t="shared" si="4"/>
        <v>397174</v>
      </c>
      <c r="F30" s="171"/>
      <c r="G30" s="171">
        <f t="shared" si="5"/>
        <v>397174</v>
      </c>
      <c r="H30" s="172">
        <f t="shared" si="6"/>
        <v>5.3496303906913567E-2</v>
      </c>
      <c r="I30" s="526"/>
      <c r="J30" s="168"/>
      <c r="K30" s="168"/>
      <c r="M30" s="359">
        <f t="shared" si="7"/>
        <v>11.901057741287868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'[74]Sch C'!D16</f>
        <v>0</v>
      </c>
      <c r="D31" s="558">
        <f>'[74]Sch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52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'[74]Sch C'!D17</f>
        <v>308</v>
      </c>
      <c r="D32" s="558">
        <f>'[74]Sch C'!F17</f>
        <v>-308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52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'[74]Sch C'!D18</f>
        <v>1384</v>
      </c>
      <c r="D33" s="558">
        <f>'[74]Sch C'!F18</f>
        <v>0</v>
      </c>
      <c r="E33" s="171">
        <f t="shared" si="4"/>
        <v>1384</v>
      </c>
      <c r="F33" s="171"/>
      <c r="G33" s="171">
        <f t="shared" si="5"/>
        <v>1384</v>
      </c>
      <c r="H33" s="172">
        <f t="shared" si="6"/>
        <v>1.8641422803901661E-4</v>
      </c>
      <c r="I33" s="526"/>
      <c r="J33" s="168"/>
      <c r="K33" s="168"/>
      <c r="M33" s="359">
        <f t="shared" si="7"/>
        <v>4.1470649926587361E-2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'[74]Sch C'!D19</f>
        <v>15391</v>
      </c>
      <c r="D34" s="558">
        <f>'[74]Sch C'!F19</f>
        <v>0</v>
      </c>
      <c r="E34" s="171">
        <f t="shared" si="4"/>
        <v>15391</v>
      </c>
      <c r="F34" s="171"/>
      <c r="G34" s="171">
        <f t="shared" si="5"/>
        <v>15391</v>
      </c>
      <c r="H34" s="172">
        <f t="shared" si="6"/>
        <v>2.0730501327662606E-3</v>
      </c>
      <c r="I34" s="526"/>
      <c r="J34" s="168"/>
      <c r="K34" s="168"/>
      <c r="M34" s="359">
        <f t="shared" si="7"/>
        <v>0.46118119437868937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'[74]Sch C'!D20</f>
        <v>5650</v>
      </c>
      <c r="D35" s="558">
        <f>'[74]Sch C'!F20</f>
        <v>0</v>
      </c>
      <c r="E35" s="171">
        <f t="shared" si="4"/>
        <v>5650</v>
      </c>
      <c r="F35" s="171"/>
      <c r="G35" s="171">
        <f t="shared" si="5"/>
        <v>5650</v>
      </c>
      <c r="H35" s="172">
        <f t="shared" si="6"/>
        <v>7.6101184134425134E-4</v>
      </c>
      <c r="I35" s="526"/>
      <c r="J35" s="168"/>
      <c r="K35" s="168"/>
      <c r="M35" s="359">
        <f t="shared" si="7"/>
        <v>0.16929853474365505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'[74]Sch C'!D21</f>
        <v>0</v>
      </c>
      <c r="D36" s="558">
        <f>'[74]Sch C'!F21</f>
        <v>0</v>
      </c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526"/>
      <c r="J36" s="168"/>
      <c r="K36" s="168"/>
      <c r="M36" s="359">
        <f t="shared" si="7"/>
        <v>0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'[74]Sch C'!D22</f>
        <v>0</v>
      </c>
      <c r="D37" s="558">
        <f>'[74]Sch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2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'[74]Sch C'!D23</f>
        <v>2084</v>
      </c>
      <c r="D38" s="558">
        <f>'[74]Sch C'!F23</f>
        <v>0</v>
      </c>
      <c r="E38" s="171">
        <f t="shared" si="4"/>
        <v>2084</v>
      </c>
      <c r="F38" s="171"/>
      <c r="G38" s="171">
        <f t="shared" si="5"/>
        <v>2084</v>
      </c>
      <c r="H38" s="172">
        <f t="shared" si="6"/>
        <v>2.8069888094892385E-4</v>
      </c>
      <c r="I38" s="526"/>
      <c r="J38" s="168"/>
      <c r="K38" s="168"/>
      <c r="M38" s="359">
        <f t="shared" si="7"/>
        <v>6.2445689629341085E-2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'[74]Sch C'!D24</f>
        <v>0</v>
      </c>
      <c r="D39" s="558">
        <f>'[74]Sch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52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'[74]Sch C'!D25</f>
        <v>0</v>
      </c>
      <c r="D40" s="558">
        <f>'[74]Sch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2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'[74]Sch C'!D26</f>
        <v>491213</v>
      </c>
      <c r="D41" s="558">
        <f>'[74]Sch C'!F26</f>
        <v>0</v>
      </c>
      <c r="E41" s="171">
        <f t="shared" si="4"/>
        <v>491213</v>
      </c>
      <c r="F41" s="171"/>
      <c r="G41" s="171">
        <f t="shared" si="5"/>
        <v>491213</v>
      </c>
      <c r="H41" s="172">
        <f t="shared" si="6"/>
        <v>6.6162638871191809E-2</v>
      </c>
      <c r="I41" s="526"/>
      <c r="J41" s="168"/>
      <c r="K41" s="168"/>
      <c r="M41" s="359">
        <f t="shared" si="7"/>
        <v>14.718874539298236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'[74]Sch C'!D27</f>
        <v>350</v>
      </c>
      <c r="D42" s="558">
        <f>'[74]Sch C'!F27</f>
        <v>0</v>
      </c>
      <c r="E42" s="171">
        <f t="shared" si="4"/>
        <v>350</v>
      </c>
      <c r="F42" s="171"/>
      <c r="G42" s="171">
        <f t="shared" si="5"/>
        <v>350</v>
      </c>
      <c r="H42" s="172">
        <f t="shared" si="6"/>
        <v>4.7142326454953622E-5</v>
      </c>
      <c r="I42" s="526"/>
      <c r="J42" s="168"/>
      <c r="K42" s="168"/>
      <c r="M42" s="359">
        <f t="shared" si="7"/>
        <v>1.0487519851376862E-2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'[74]Sch C'!D28</f>
        <v>0</v>
      </c>
      <c r="D43" s="558">
        <f>'[74]Sch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2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'[74]Sch C'!D29</f>
        <v>125271</v>
      </c>
      <c r="D44" s="558">
        <f>'[74]Sch C'!F29</f>
        <v>-125271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2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'[74]Sch C'!D30</f>
        <v>0</v>
      </c>
      <c r="D45" s="558">
        <f>'[74]Sch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2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'[74]Sch C'!D31</f>
        <v>0</v>
      </c>
      <c r="D46" s="558">
        <f>'[74]Sch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52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'[74]Sch C'!D32</f>
        <v>151920</v>
      </c>
      <c r="D47" s="558">
        <f>'[74]Sch C'!F32</f>
        <v>0</v>
      </c>
      <c r="E47" s="171">
        <f t="shared" si="4"/>
        <v>151920</v>
      </c>
      <c r="F47" s="171"/>
      <c r="G47" s="171">
        <f t="shared" si="5"/>
        <v>151920</v>
      </c>
      <c r="H47" s="172">
        <f t="shared" si="6"/>
        <v>2.0462463528675871E-2</v>
      </c>
      <c r="I47" s="526"/>
      <c r="J47" s="168"/>
      <c r="K47" s="168"/>
      <c r="M47" s="359">
        <f t="shared" si="7"/>
        <v>4.5521829023462077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'[74]Sch C'!D33</f>
        <v>0</v>
      </c>
      <c r="D48" s="558">
        <f>'[74]Sch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2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'[74]Sch C'!D34</f>
        <v>0</v>
      </c>
      <c r="D49" s="558">
        <f>'[74]Sch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2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'[74]Sch C'!D35</f>
        <v>0</v>
      </c>
      <c r="D50" s="558">
        <f>'[74]Sch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2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'[74]Sch C'!D36</f>
        <v>49437</v>
      </c>
      <c r="D51" s="558">
        <f>'[74]Sch C'!F36</f>
        <v>0</v>
      </c>
      <c r="E51" s="171">
        <f t="shared" si="4"/>
        <v>49437</v>
      </c>
      <c r="F51" s="171"/>
      <c r="G51" s="171">
        <f t="shared" si="5"/>
        <v>49437</v>
      </c>
      <c r="H51" s="172">
        <f t="shared" si="6"/>
        <v>6.6587862655815488E-3</v>
      </c>
      <c r="I51" s="526"/>
      <c r="J51" s="183">
        <v>3714</v>
      </c>
      <c r="K51" s="183">
        <v>4298</v>
      </c>
      <c r="M51" s="359">
        <f t="shared" si="7"/>
        <v>1.4813471968357654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'[74]Sch C'!D37</f>
        <v>6841</v>
      </c>
      <c r="D52" s="558">
        <f>'[74]Sch C'!F37</f>
        <v>0</v>
      </c>
      <c r="E52" s="171">
        <f t="shared" si="4"/>
        <v>6841</v>
      </c>
      <c r="F52" s="171">
        <v>5513</v>
      </c>
      <c r="G52" s="171">
        <f t="shared" si="5"/>
        <v>12354</v>
      </c>
      <c r="H52" s="172">
        <f t="shared" si="6"/>
        <v>1.6639894314985631E-3</v>
      </c>
      <c r="I52" s="525" t="s">
        <v>703</v>
      </c>
      <c r="J52" s="168"/>
      <c r="K52" s="168"/>
      <c r="M52" s="359">
        <f t="shared" si="7"/>
        <v>0.37017948641117071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'[74]Sch C'!D38</f>
        <v>0</v>
      </c>
      <c r="D53" s="558">
        <f>'[74]Sch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52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'[74]Sch C'!D39</f>
        <v>35</v>
      </c>
      <c r="D54" s="558">
        <f>'[74]Sch C'!F39</f>
        <v>0</v>
      </c>
      <c r="E54" s="171">
        <f t="shared" si="4"/>
        <v>35</v>
      </c>
      <c r="F54" s="171"/>
      <c r="G54" s="171">
        <f t="shared" si="5"/>
        <v>35</v>
      </c>
      <c r="H54" s="172">
        <f t="shared" si="6"/>
        <v>4.7142326454953621E-6</v>
      </c>
      <c r="I54" s="526"/>
      <c r="J54" s="168"/>
      <c r="K54" s="168"/>
      <c r="M54" s="359">
        <f t="shared" si="7"/>
        <v>1.0487519851376862E-3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'[74]Sch C'!D40</f>
        <v>278</v>
      </c>
      <c r="D55" s="558">
        <f>'[74]Sch C'!F40</f>
        <v>0</v>
      </c>
      <c r="E55" s="171">
        <f t="shared" si="4"/>
        <v>278</v>
      </c>
      <c r="F55" s="171"/>
      <c r="G55" s="171">
        <f t="shared" si="5"/>
        <v>278</v>
      </c>
      <c r="H55" s="172">
        <f t="shared" si="6"/>
        <v>3.7444476441363164E-5</v>
      </c>
      <c r="I55" s="526"/>
      <c r="J55" s="168"/>
      <c r="K55" s="168"/>
      <c r="M55" s="359">
        <f t="shared" si="7"/>
        <v>8.3300871962364784E-3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'[74]Sch C'!D41</f>
        <v>79430</v>
      </c>
      <c r="D56" s="558">
        <f>'[74]Sch C'!F41</f>
        <v>0</v>
      </c>
      <c r="E56" s="171">
        <f t="shared" si="4"/>
        <v>79430</v>
      </c>
      <c r="F56" s="171"/>
      <c r="G56" s="171">
        <f t="shared" si="5"/>
        <v>79430</v>
      </c>
      <c r="H56" s="172">
        <f t="shared" si="6"/>
        <v>1.0698614258048475E-2</v>
      </c>
      <c r="I56" s="526"/>
      <c r="J56" s="168"/>
      <c r="K56" s="168"/>
      <c r="M56" s="359">
        <f t="shared" si="7"/>
        <v>2.3800677194138973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'[74]Sch C'!D42</f>
        <v>0</v>
      </c>
      <c r="D57" s="558">
        <f>'[74]Sch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526"/>
      <c r="J57" s="168"/>
      <c r="K57" s="168"/>
      <c r="M57" s="359">
        <f t="shared" si="7"/>
        <v>0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'[74]Sch C'!D43</f>
        <v>25421</v>
      </c>
      <c r="D58" s="558">
        <f>'[74]Sch C'!F43</f>
        <v>0</v>
      </c>
      <c r="E58" s="171">
        <f t="shared" si="4"/>
        <v>25421</v>
      </c>
      <c r="F58" s="171"/>
      <c r="G58" s="171">
        <f t="shared" si="5"/>
        <v>25421</v>
      </c>
      <c r="H58" s="172">
        <f t="shared" si="6"/>
        <v>3.4240145166039315E-3</v>
      </c>
      <c r="I58" s="526"/>
      <c r="J58" s="168"/>
      <c r="K58" s="168"/>
      <c r="M58" s="359">
        <f t="shared" si="7"/>
        <v>0.76172354897671768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'[74]Sch C'!D44</f>
        <v>-2680</v>
      </c>
      <c r="D59" s="558">
        <f>'[74]Sch C'!F44</f>
        <v>0</v>
      </c>
      <c r="E59" s="171">
        <f t="shared" si="4"/>
        <v>-2680</v>
      </c>
      <c r="F59" s="171"/>
      <c r="G59" s="171">
        <f t="shared" si="5"/>
        <v>-2680</v>
      </c>
      <c r="H59" s="172">
        <f t="shared" si="6"/>
        <v>-3.6097552828364489E-4</v>
      </c>
      <c r="I59" s="526"/>
      <c r="J59" s="168"/>
      <c r="K59" s="168"/>
      <c r="M59" s="359">
        <f t="shared" si="7"/>
        <v>-8.0304437719114261E-2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'[74]Sch C'!D45</f>
        <v>933</v>
      </c>
      <c r="D60" s="558">
        <f>'[74]Sch C'!F45</f>
        <v>0</v>
      </c>
      <c r="E60" s="171">
        <f t="shared" si="4"/>
        <v>933</v>
      </c>
      <c r="F60" s="171"/>
      <c r="G60" s="171">
        <f t="shared" si="5"/>
        <v>933</v>
      </c>
      <c r="H60" s="172">
        <f t="shared" si="6"/>
        <v>1.2566797309277638E-4</v>
      </c>
      <c r="I60" s="526"/>
      <c r="J60" s="168"/>
      <c r="K60" s="168"/>
      <c r="M60" s="359">
        <f t="shared" si="7"/>
        <v>2.7956731489527462E-2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1928987</v>
      </c>
      <c r="D61" s="558">
        <f>SUM(D25:D60)</f>
        <v>-125579</v>
      </c>
      <c r="E61" s="171">
        <f t="shared" ref="E61:F61" si="8">SUM(E25:E60)</f>
        <v>1803408</v>
      </c>
      <c r="F61" s="171">
        <f t="shared" si="8"/>
        <v>-294544</v>
      </c>
      <c r="G61" s="171">
        <f>SUM(G25:G60)</f>
        <v>1508864</v>
      </c>
      <c r="H61" s="186">
        <f t="shared" si="6"/>
        <v>0.20323245504036325</v>
      </c>
      <c r="I61" s="533"/>
      <c r="J61" s="168"/>
      <c r="K61" s="168"/>
      <c r="M61" s="364">
        <f>G61/G$228</f>
        <v>45.212117580079706</v>
      </c>
      <c r="N61" s="359">
        <f>SUMMARY!J64</f>
        <v>53.728790309602623</v>
      </c>
      <c r="O61" s="354">
        <f>M61/N61-1</f>
        <v>-0.15851227396796208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534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34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'[74]Sch C'!D57</f>
        <v>0</v>
      </c>
      <c r="D64" s="558">
        <f>'[74]Sch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52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'[74]Sch C'!D58</f>
        <v>490231</v>
      </c>
      <c r="D65" s="558">
        <f>'[74]Sch C'!F58</f>
        <v>0</v>
      </c>
      <c r="E65" s="171">
        <f t="shared" si="9"/>
        <v>490231</v>
      </c>
      <c r="F65" s="171"/>
      <c r="G65" s="171">
        <f t="shared" si="10"/>
        <v>490231</v>
      </c>
      <c r="H65" s="172">
        <f t="shared" si="11"/>
        <v>6.6030370972395336E-2</v>
      </c>
      <c r="I65" s="526"/>
      <c r="J65" s="190"/>
      <c r="K65" s="168"/>
      <c r="M65" s="359">
        <f t="shared" si="12"/>
        <v>14.689449555029515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'[74]Sch C'!D59</f>
        <v>152374</v>
      </c>
      <c r="D66" s="558">
        <f>'[74]Sch C'!F59</f>
        <v>0</v>
      </c>
      <c r="E66" s="171">
        <f t="shared" si="9"/>
        <v>152374</v>
      </c>
      <c r="F66" s="171"/>
      <c r="G66" s="171">
        <f t="shared" si="10"/>
        <v>152374</v>
      </c>
      <c r="H66" s="172">
        <f t="shared" si="11"/>
        <v>2.052361386070601E-2</v>
      </c>
      <c r="I66" s="526"/>
      <c r="J66" s="190"/>
      <c r="K66" s="168"/>
      <c r="M66" s="359">
        <f t="shared" si="12"/>
        <v>4.5657867138105654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'[74]Sch C'!D60</f>
        <v>0</v>
      </c>
      <c r="D67" s="558">
        <f>'[74]Sch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52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'[74]Sch C'!D61</f>
        <v>0</v>
      </c>
      <c r="D68" s="558">
        <f>'[74]Sch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52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'[74]Sch C'!D62</f>
        <v>0</v>
      </c>
      <c r="D69" s="558">
        <f>'[74]Sch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52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'[74]Sch C'!D63</f>
        <v>0</v>
      </c>
      <c r="D70" s="558">
        <f>'[74]Sch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52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'[74]Sch C'!D64</f>
        <v>0</v>
      </c>
      <c r="D71" s="558">
        <f>'[74]Sch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2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'[74]Sch C'!D65</f>
        <v>0</v>
      </c>
      <c r="D72" s="558">
        <f>'[74]Sch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52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'[74]Sch C'!D66</f>
        <v>112</v>
      </c>
      <c r="D73" s="558">
        <f>'[74]Sch C'!F66</f>
        <v>0</v>
      </c>
      <c r="E73" s="171">
        <f t="shared" si="9"/>
        <v>112</v>
      </c>
      <c r="F73" s="171"/>
      <c r="G73" s="171">
        <f t="shared" si="10"/>
        <v>112</v>
      </c>
      <c r="H73" s="172">
        <f t="shared" si="11"/>
        <v>1.508554446558516E-5</v>
      </c>
      <c r="I73" s="526"/>
      <c r="J73" s="195"/>
      <c r="K73" s="168"/>
      <c r="M73" s="359">
        <f t="shared" si="12"/>
        <v>3.3560063524405957E-3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'[74]Sch C'!D67</f>
        <v>103279</v>
      </c>
      <c r="D74" s="558">
        <f>'[74]Sch C'!F67</f>
        <v>0</v>
      </c>
      <c r="E74" s="171">
        <f t="shared" si="9"/>
        <v>103279</v>
      </c>
      <c r="F74" s="171"/>
      <c r="G74" s="171">
        <f t="shared" si="10"/>
        <v>103279</v>
      </c>
      <c r="H74" s="172">
        <f t="shared" si="11"/>
        <v>1.3910892382689015E-2</v>
      </c>
      <c r="I74" s="526"/>
      <c r="J74" s="195"/>
      <c r="K74" s="168"/>
      <c r="M74" s="359">
        <f t="shared" si="12"/>
        <v>3.0946873220867168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'[74]Sch C'!D68</f>
        <v>0</v>
      </c>
      <c r="D75" s="558">
        <f>'[74]Sch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2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'[74]Sch C'!D69</f>
        <v>0</v>
      </c>
      <c r="D76" s="558">
        <f>'[74]Sch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52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'[74]Sch C'!D70</f>
        <v>0</v>
      </c>
      <c r="D77" s="558">
        <f>'[74]Sch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52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'[74]Sch C'!D71</f>
        <v>0</v>
      </c>
      <c r="D78" s="558">
        <f>'[74]Sch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2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745996</v>
      </c>
      <c r="D79" s="558">
        <f>SUM(D64:D78)</f>
        <v>0</v>
      </c>
      <c r="E79" s="171">
        <f t="shared" ref="E79:F79" si="13">SUM(E64:E78)</f>
        <v>745996</v>
      </c>
      <c r="F79" s="171">
        <f t="shared" si="13"/>
        <v>0</v>
      </c>
      <c r="G79" s="171">
        <f>SUM(G64:G78)</f>
        <v>745996</v>
      </c>
      <c r="H79" s="172">
        <f t="shared" si="11"/>
        <v>0.10047996276025595</v>
      </c>
      <c r="I79" s="526"/>
      <c r="J79" s="195"/>
      <c r="K79" s="168"/>
      <c r="M79" s="359">
        <f t="shared" si="12"/>
        <v>22.353279597279236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52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2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'[74]Sch C'!D75</f>
        <v>68908</v>
      </c>
      <c r="D82" s="558">
        <f>'[74]Sch C'!F75</f>
        <v>0</v>
      </c>
      <c r="E82" s="171">
        <f t="shared" ref="E82:E92" si="14">C82+D82</f>
        <v>68908</v>
      </c>
      <c r="F82" s="171"/>
      <c r="G82" s="171">
        <f t="shared" ref="G82:G92" si="15">E82+F82</f>
        <v>68908</v>
      </c>
      <c r="H82" s="172">
        <f t="shared" ref="H82:H93" si="16">IF($G$208=0,0,G82/$G$208)</f>
        <v>9.2813812324512683E-3</v>
      </c>
      <c r="I82" s="526"/>
      <c r="J82" s="183">
        <v>3680</v>
      </c>
      <c r="K82" s="183">
        <v>4232</v>
      </c>
      <c r="M82" s="359">
        <f t="shared" ref="M82:M92" si="17">G82/G$228</f>
        <v>2.0647829083390765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'[74]Sch C'!D76</f>
        <v>8470</v>
      </c>
      <c r="D83" s="558">
        <f>'[74]Sch C'!F76</f>
        <v>0</v>
      </c>
      <c r="E83" s="171">
        <f t="shared" si="14"/>
        <v>8470</v>
      </c>
      <c r="F83" s="171">
        <v>7684</v>
      </c>
      <c r="G83" s="171">
        <f t="shared" si="15"/>
        <v>16154</v>
      </c>
      <c r="H83" s="172">
        <f t="shared" si="16"/>
        <v>2.1758204044380596E-3</v>
      </c>
      <c r="I83" s="525" t="s">
        <v>703</v>
      </c>
      <c r="J83" s="168"/>
      <c r="K83" s="168"/>
      <c r="M83" s="359">
        <f t="shared" si="17"/>
        <v>0.48404398765469092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'[74]Sch C'!D77</f>
        <v>42</v>
      </c>
      <c r="D84" s="558">
        <f>'[74]Sch C'!F77</f>
        <v>0</v>
      </c>
      <c r="E84" s="171">
        <f t="shared" si="14"/>
        <v>42</v>
      </c>
      <c r="F84" s="171"/>
      <c r="G84" s="171">
        <f t="shared" si="15"/>
        <v>42</v>
      </c>
      <c r="H84" s="172">
        <f t="shared" si="16"/>
        <v>5.6570791745944347E-6</v>
      </c>
      <c r="I84" s="526"/>
      <c r="J84" s="168"/>
      <c r="K84" s="168"/>
      <c r="M84" s="359">
        <f t="shared" si="17"/>
        <v>1.2585023821652234E-3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'[74]Sch C'!D78</f>
        <v>0</v>
      </c>
      <c r="D85" s="558">
        <f>'[74]Sch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52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'[74]Sch C'!D79</f>
        <v>300</v>
      </c>
      <c r="D86" s="558">
        <f>'[74]Sch C'!F79</f>
        <v>0</v>
      </c>
      <c r="E86" s="171">
        <f t="shared" si="14"/>
        <v>300</v>
      </c>
      <c r="F86" s="171"/>
      <c r="G86" s="171">
        <f>E86+F86</f>
        <v>300</v>
      </c>
      <c r="H86" s="172">
        <f t="shared" si="16"/>
        <v>4.0407708389960245E-5</v>
      </c>
      <c r="I86" s="526"/>
      <c r="J86" s="168"/>
      <c r="K86" s="168"/>
      <c r="M86" s="359">
        <f t="shared" si="17"/>
        <v>8.9893027297515953E-3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'[74]Sch C'!D80</f>
        <v>27385</v>
      </c>
      <c r="D87" s="558">
        <f>'[74]Sch C'!F80</f>
        <v>0</v>
      </c>
      <c r="E87" s="171">
        <f t="shared" si="14"/>
        <v>27385</v>
      </c>
      <c r="F87" s="171"/>
      <c r="G87" s="171">
        <f t="shared" si="15"/>
        <v>27385</v>
      </c>
      <c r="H87" s="172">
        <f t="shared" si="16"/>
        <v>3.6885503141968713E-3</v>
      </c>
      <c r="I87" s="526"/>
      <c r="J87" s="168"/>
      <c r="K87" s="168"/>
      <c r="M87" s="359">
        <f t="shared" si="17"/>
        <v>0.82057351751415819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'[74]Sch C'!D81</f>
        <v>86187</v>
      </c>
      <c r="D88" s="558">
        <f>'[74]Sch C'!F81</f>
        <v>0</v>
      </c>
      <c r="E88" s="171">
        <f t="shared" si="14"/>
        <v>86187</v>
      </c>
      <c r="F88" s="171"/>
      <c r="G88" s="171">
        <f t="shared" si="15"/>
        <v>86187</v>
      </c>
      <c r="H88" s="172">
        <f t="shared" si="16"/>
        <v>1.1608730543351679E-2</v>
      </c>
      <c r="I88" s="526"/>
      <c r="J88" s="168"/>
      <c r="K88" s="168"/>
      <c r="M88" s="359">
        <f t="shared" si="17"/>
        <v>2.5825367812303357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'[74]Sch C'!D82</f>
        <v>779</v>
      </c>
      <c r="D89" s="558">
        <f>'[74]Sch C'!F82</f>
        <v>0</v>
      </c>
      <c r="E89" s="171">
        <f t="shared" si="14"/>
        <v>779</v>
      </c>
      <c r="F89" s="171"/>
      <c r="G89" s="171">
        <f t="shared" si="15"/>
        <v>779</v>
      </c>
      <c r="H89" s="172">
        <f t="shared" si="16"/>
        <v>1.0492534945259677E-4</v>
      </c>
      <c r="I89" s="526"/>
      <c r="J89" s="168"/>
      <c r="K89" s="168"/>
      <c r="M89" s="359">
        <f t="shared" si="17"/>
        <v>2.3342222754921642E-2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'[74]Sch C'!D83</f>
        <v>9418</v>
      </c>
      <c r="D90" s="558">
        <f>'[74]Sch C'!F83</f>
        <v>0</v>
      </c>
      <c r="E90" s="171">
        <f t="shared" si="14"/>
        <v>9418</v>
      </c>
      <c r="F90" s="171"/>
      <c r="G90" s="171">
        <f t="shared" si="15"/>
        <v>9418</v>
      </c>
      <c r="H90" s="172">
        <f t="shared" si="16"/>
        <v>1.2685326587221521E-3</v>
      </c>
      <c r="I90" s="526"/>
      <c r="J90" s="168"/>
      <c r="K90" s="168"/>
      <c r="M90" s="359">
        <f t="shared" si="17"/>
        <v>0.28220417702933509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'[74]Sch C'!D84</f>
        <v>153312</v>
      </c>
      <c r="D91" s="558">
        <f>'[74]Sch C'!F84</f>
        <v>0</v>
      </c>
      <c r="E91" s="171">
        <f t="shared" si="14"/>
        <v>153312</v>
      </c>
      <c r="F91" s="171"/>
      <c r="G91" s="171">
        <f t="shared" si="15"/>
        <v>153312</v>
      </c>
      <c r="H91" s="172">
        <f t="shared" si="16"/>
        <v>2.0649955295605284E-2</v>
      </c>
      <c r="I91" s="526"/>
      <c r="J91" s="168"/>
      <c r="K91" s="168"/>
      <c r="M91" s="359">
        <f t="shared" si="17"/>
        <v>4.5938932670122554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'[74]Sch C'!D85</f>
        <v>291</v>
      </c>
      <c r="D92" s="558">
        <f>'[74]Sch C'!F85</f>
        <v>0</v>
      </c>
      <c r="E92" s="171">
        <f t="shared" si="14"/>
        <v>291</v>
      </c>
      <c r="F92" s="171"/>
      <c r="G92" s="171">
        <f t="shared" si="15"/>
        <v>291</v>
      </c>
      <c r="H92" s="172">
        <f t="shared" si="16"/>
        <v>3.9195477138261437E-5</v>
      </c>
      <c r="I92" s="526"/>
      <c r="J92" s="168"/>
      <c r="K92" s="168"/>
      <c r="M92" s="359">
        <f t="shared" si="17"/>
        <v>8.7196236478590469E-3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355092</v>
      </c>
      <c r="D93" s="558">
        <f>SUM(D82:D92)</f>
        <v>0</v>
      </c>
      <c r="E93" s="171">
        <f t="shared" ref="E93:F93" si="18">SUM(E82:E92)</f>
        <v>355092</v>
      </c>
      <c r="F93" s="171">
        <f t="shared" si="18"/>
        <v>7684</v>
      </c>
      <c r="G93" s="171">
        <f>SUM(G82:G92)</f>
        <v>362776</v>
      </c>
      <c r="H93" s="172">
        <f t="shared" si="16"/>
        <v>4.8863156062920729E-2</v>
      </c>
      <c r="I93" s="526"/>
      <c r="J93" s="168"/>
      <c r="K93" s="168"/>
      <c r="M93" s="364">
        <f>G93/G$228</f>
        <v>10.870344290294549</v>
      </c>
      <c r="N93" s="359">
        <f>SUMMARY!J96</f>
        <v>11.458724454710746</v>
      </c>
      <c r="O93" s="354">
        <f>M93/N93-1</f>
        <v>-5.1347788904576586E-2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52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2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'[74]Sch C'!D89</f>
        <v>239321</v>
      </c>
      <c r="D96" s="558">
        <f>'[74]Sch C'!F89</f>
        <v>0</v>
      </c>
      <c r="E96" s="171">
        <f t="shared" ref="E96:E101" si="19">C96+D96</f>
        <v>239321</v>
      </c>
      <c r="F96" s="171"/>
      <c r="G96" s="171">
        <f t="shared" ref="G96:G101" si="20">E96+F96</f>
        <v>239321</v>
      </c>
      <c r="H96" s="172">
        <f t="shared" ref="H96:H102" si="21">IF($G$208=0,0,G96/$G$208)</f>
        <v>3.2234710598645584E-2</v>
      </c>
      <c r="I96" s="526"/>
      <c r="J96" s="183">
        <v>22431</v>
      </c>
      <c r="K96" s="183">
        <v>23203</v>
      </c>
      <c r="M96" s="364">
        <f t="shared" ref="M96:M101" si="22">G96/G$228</f>
        <v>7.171096395289605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'[74]Sch C'!D90</f>
        <v>21935</v>
      </c>
      <c r="D97" s="558">
        <f>'[74]Sch C'!F90</f>
        <v>0</v>
      </c>
      <c r="E97" s="171">
        <f t="shared" si="19"/>
        <v>21935</v>
      </c>
      <c r="F97" s="171">
        <v>26687</v>
      </c>
      <c r="G97" s="171">
        <f t="shared" si="20"/>
        <v>48622</v>
      </c>
      <c r="H97" s="172">
        <f t="shared" si="21"/>
        <v>6.549011991122157E-3</v>
      </c>
      <c r="I97" s="525" t="s">
        <v>703</v>
      </c>
      <c r="J97" s="168"/>
      <c r="K97" s="168"/>
      <c r="M97" s="364">
        <f t="shared" si="22"/>
        <v>1.4569262577532736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'[74]Sch C'!D91</f>
        <v>38446</v>
      </c>
      <c r="D98" s="558">
        <f>'[74]Sch C'!F91</f>
        <v>0</v>
      </c>
      <c r="E98" s="171">
        <f t="shared" si="19"/>
        <v>38446</v>
      </c>
      <c r="F98" s="171"/>
      <c r="G98" s="171">
        <f t="shared" si="20"/>
        <v>38446</v>
      </c>
      <c r="H98" s="172">
        <f t="shared" si="21"/>
        <v>5.1783825225347052E-3</v>
      </c>
      <c r="I98" s="526"/>
      <c r="J98" s="168"/>
      <c r="K98" s="168"/>
      <c r="M98" s="364">
        <f t="shared" si="22"/>
        <v>1.1520091091600995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'[74]Sch C'!D92</f>
        <v>247659</v>
      </c>
      <c r="D99" s="558">
        <f>'[74]Sch C'!F92</f>
        <v>0</v>
      </c>
      <c r="E99" s="171">
        <f t="shared" si="19"/>
        <v>247659</v>
      </c>
      <c r="F99" s="171"/>
      <c r="G99" s="171">
        <f t="shared" si="20"/>
        <v>247659</v>
      </c>
      <c r="H99" s="172">
        <f t="shared" si="21"/>
        <v>3.335777550716388E-2</v>
      </c>
      <c r="I99" s="526"/>
      <c r="J99" s="168"/>
      <c r="K99" s="168"/>
      <c r="M99" s="364">
        <f t="shared" si="22"/>
        <v>7.4209390824918344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'[74]Sch C'!D93</f>
        <v>49977</v>
      </c>
      <c r="D100" s="558">
        <f>'[74]Sch C'!F93</f>
        <v>0</v>
      </c>
      <c r="E100" s="171">
        <f t="shared" si="19"/>
        <v>49977</v>
      </c>
      <c r="F100" s="171"/>
      <c r="G100" s="171">
        <f t="shared" si="20"/>
        <v>49977</v>
      </c>
      <c r="H100" s="172">
        <f t="shared" si="21"/>
        <v>6.7315201406834774E-3</v>
      </c>
      <c r="I100" s="526"/>
      <c r="J100" s="168"/>
      <c r="K100" s="168"/>
      <c r="M100" s="364">
        <f t="shared" si="22"/>
        <v>1.4975279417493184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'[74]Sch C'!D94</f>
        <v>2838</v>
      </c>
      <c r="D101" s="558">
        <f>'[74]Sch C'!F94</f>
        <v>0</v>
      </c>
      <c r="E101" s="171">
        <f t="shared" si="19"/>
        <v>2838</v>
      </c>
      <c r="F101" s="171">
        <v>-2262</v>
      </c>
      <c r="G101" s="171">
        <f t="shared" si="20"/>
        <v>576</v>
      </c>
      <c r="H101" s="172">
        <f t="shared" si="21"/>
        <v>7.7582800108723677E-5</v>
      </c>
      <c r="I101" s="525" t="s">
        <v>702</v>
      </c>
      <c r="J101" s="168"/>
      <c r="K101" s="168"/>
      <c r="M101" s="364">
        <f t="shared" si="22"/>
        <v>1.7259461241123063E-2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600176</v>
      </c>
      <c r="D102" s="558">
        <f>SUM(D96:D101)</f>
        <v>0</v>
      </c>
      <c r="E102" s="171">
        <f t="shared" ref="E102:F102" si="23">SUM(E96:E101)</f>
        <v>600176</v>
      </c>
      <c r="F102" s="171">
        <f t="shared" si="23"/>
        <v>24425</v>
      </c>
      <c r="G102" s="171">
        <f>SUM(G96:G101)</f>
        <v>624601</v>
      </c>
      <c r="H102" s="172">
        <f t="shared" si="21"/>
        <v>8.4128983560258538E-2</v>
      </c>
      <c r="I102" s="526"/>
      <c r="J102" s="168"/>
      <c r="K102" s="168"/>
      <c r="M102" s="364">
        <f>G102/G$228</f>
        <v>18.715758247685255</v>
      </c>
      <c r="N102" s="359">
        <f>SUMMARY!J105</f>
        <v>19.901077037785338</v>
      </c>
      <c r="O102" s="354">
        <f>M102/N102-1</f>
        <v>-5.956053473133982E-2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52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2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'[74]Sch C'!D98</f>
        <v>41893</v>
      </c>
      <c r="D105" s="558">
        <f>'[74]Sch C'!F98</f>
        <v>0</v>
      </c>
      <c r="E105" s="171">
        <f t="shared" ref="E105:E110" si="24">C105+D105</f>
        <v>41893</v>
      </c>
      <c r="F105" s="171"/>
      <c r="G105" s="171">
        <f t="shared" ref="G105:G110" si="25">E105+F105</f>
        <v>41893</v>
      </c>
      <c r="H105" s="172">
        <f t="shared" ref="H105:H111" si="26">IF($G$208=0,0,G105/$G$208)</f>
        <v>5.6426670919353487E-3</v>
      </c>
      <c r="I105" s="526"/>
      <c r="J105" s="183">
        <v>3836</v>
      </c>
      <c r="K105" s="183">
        <v>4125</v>
      </c>
      <c r="M105" s="364">
        <f t="shared" ref="M105:M110" si="27">G105/G$228</f>
        <v>1.2552961975249453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'[74]Sch C'!D99</f>
        <v>2925</v>
      </c>
      <c r="D106" s="558">
        <f>'[74]Sch C'!F99</f>
        <v>0</v>
      </c>
      <c r="E106" s="171">
        <f t="shared" si="24"/>
        <v>2925</v>
      </c>
      <c r="F106" s="171">
        <v>4672</v>
      </c>
      <c r="G106" s="171">
        <f t="shared" si="25"/>
        <v>7597</v>
      </c>
      <c r="H106" s="172">
        <f t="shared" si="26"/>
        <v>1.0232578687950932E-3</v>
      </c>
      <c r="I106" s="525" t="s">
        <v>703</v>
      </c>
      <c r="J106" s="168"/>
      <c r="K106" s="168"/>
      <c r="M106" s="364">
        <f t="shared" si="27"/>
        <v>0.22763910945974292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'[74]Sch C'!D100</f>
        <v>6607</v>
      </c>
      <c r="D107" s="558">
        <f>'[74]Sch C'!F100</f>
        <v>0</v>
      </c>
      <c r="E107" s="171">
        <f t="shared" si="24"/>
        <v>6607</v>
      </c>
      <c r="F107" s="171"/>
      <c r="G107" s="171">
        <f t="shared" si="25"/>
        <v>6607</v>
      </c>
      <c r="H107" s="172">
        <f t="shared" si="26"/>
        <v>8.899124311082245E-4</v>
      </c>
      <c r="I107" s="526"/>
      <c r="J107" s="168"/>
      <c r="K107" s="168"/>
      <c r="M107" s="364">
        <f t="shared" si="27"/>
        <v>0.19797441045156264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'[74]Sch C'!D101</f>
        <v>0</v>
      </c>
      <c r="D108" s="558">
        <f>'[74]Sch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52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'[74]Sch C'!D102</f>
        <v>0</v>
      </c>
      <c r="D109" s="558">
        <f>'[74]Sch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526"/>
      <c r="J109" s="168"/>
      <c r="K109" s="168"/>
      <c r="M109" s="364">
        <f t="shared" si="27"/>
        <v>0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'[74]Sch C'!D103</f>
        <v>120</v>
      </c>
      <c r="D110" s="558">
        <f>'[74]Sch C'!F103</f>
        <v>0</v>
      </c>
      <c r="E110" s="171">
        <f t="shared" si="24"/>
        <v>120</v>
      </c>
      <c r="F110" s="171"/>
      <c r="G110" s="171">
        <f t="shared" si="25"/>
        <v>120</v>
      </c>
      <c r="H110" s="172">
        <f t="shared" si="26"/>
        <v>1.61630833559841E-5</v>
      </c>
      <c r="I110" s="526"/>
      <c r="J110" s="168"/>
      <c r="K110" s="168"/>
      <c r="M110" s="364">
        <f t="shared" si="27"/>
        <v>3.5957210919006382E-3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51545</v>
      </c>
      <c r="D111" s="558">
        <f>SUM(D105:D110)</f>
        <v>0</v>
      </c>
      <c r="E111" s="171">
        <f t="shared" ref="E111:F111" si="28">SUM(E105:E110)</f>
        <v>51545</v>
      </c>
      <c r="F111" s="171">
        <f t="shared" si="28"/>
        <v>4672</v>
      </c>
      <c r="G111" s="171">
        <f>SUM(G105:G110)</f>
        <v>56217</v>
      </c>
      <c r="H111" s="172">
        <f t="shared" si="26"/>
        <v>7.5720004751946507E-3</v>
      </c>
      <c r="I111" s="526"/>
      <c r="J111" s="168"/>
      <c r="K111" s="168"/>
      <c r="M111" s="364">
        <f>G111/G$228</f>
        <v>1.6845054385281515</v>
      </c>
      <c r="N111" s="359">
        <f>SUMMARY!J114</f>
        <v>2.4242384372309496</v>
      </c>
      <c r="O111" s="354">
        <f>M111/N111-1</f>
        <v>-0.30514036381163356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52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2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'[74]Sch C'!D115</f>
        <v>149590</v>
      </c>
      <c r="D114" s="558">
        <f>'[74]Sch C'!F115</f>
        <v>0</v>
      </c>
      <c r="E114" s="171">
        <f t="shared" ref="E114:E118" si="29">C114+D114</f>
        <v>149590</v>
      </c>
      <c r="F114" s="171"/>
      <c r="G114" s="171">
        <f>E114+F114</f>
        <v>149590</v>
      </c>
      <c r="H114" s="172">
        <f t="shared" ref="H114:H119" si="30">IF($G$208=0,0,G114/$G$208)</f>
        <v>2.0148630326847179E-2</v>
      </c>
      <c r="I114" s="526"/>
      <c r="J114" s="183">
        <v>12759</v>
      </c>
      <c r="K114" s="183">
        <v>14049</v>
      </c>
      <c r="M114" s="364">
        <f t="shared" ref="M114:M119" si="31">G114/G$228</f>
        <v>4.4823659844784709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'[74]Sch C'!D116</f>
        <v>11005</v>
      </c>
      <c r="D115" s="558">
        <f>'[74]Sch C'!F116</f>
        <v>0</v>
      </c>
      <c r="E115" s="171">
        <f t="shared" si="29"/>
        <v>11005</v>
      </c>
      <c r="F115" s="171">
        <v>16681</v>
      </c>
      <c r="G115" s="171">
        <f>E115+F115</f>
        <v>27686</v>
      </c>
      <c r="H115" s="172">
        <f t="shared" si="30"/>
        <v>3.7290927149481313E-3</v>
      </c>
      <c r="I115" s="525" t="s">
        <v>703</v>
      </c>
      <c r="J115" s="168"/>
      <c r="K115" s="168"/>
      <c r="M115" s="364">
        <f t="shared" si="31"/>
        <v>0.82959278458634222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'[74]Sch C'!D117</f>
        <v>15370</v>
      </c>
      <c r="D116" s="558">
        <f>'[74]Sch C'!F117</f>
        <v>0</v>
      </c>
      <c r="E116" s="171">
        <f t="shared" si="29"/>
        <v>15370</v>
      </c>
      <c r="F116" s="171"/>
      <c r="G116" s="171">
        <f>E116+F116</f>
        <v>15370</v>
      </c>
      <c r="H116" s="172">
        <f t="shared" si="30"/>
        <v>2.0702215931789631E-3</v>
      </c>
      <c r="I116" s="526"/>
      <c r="J116" s="168"/>
      <c r="K116" s="168"/>
      <c r="M116" s="364">
        <f t="shared" si="31"/>
        <v>0.46055194318760673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'[74]Sch C'!D118</f>
        <v>0</v>
      </c>
      <c r="D117" s="558">
        <f>'[74]Sch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2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'[74]Sch C'!D119</f>
        <v>110</v>
      </c>
      <c r="D118" s="558">
        <f>'[74]Sch C'!F119</f>
        <v>0</v>
      </c>
      <c r="E118" s="171">
        <f t="shared" si="29"/>
        <v>110</v>
      </c>
      <c r="F118" s="171"/>
      <c r="G118" s="171">
        <f>E118+F118</f>
        <v>110</v>
      </c>
      <c r="H118" s="172">
        <f t="shared" si="30"/>
        <v>1.4816159742985424E-5</v>
      </c>
      <c r="I118" s="526"/>
      <c r="J118" s="168"/>
      <c r="K118" s="168"/>
      <c r="M118" s="364">
        <f t="shared" si="31"/>
        <v>3.2960776675755852E-3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176075</v>
      </c>
      <c r="D119" s="558">
        <f>SUM(D114:D118)</f>
        <v>0</v>
      </c>
      <c r="E119" s="171">
        <f t="shared" ref="E119:F119" si="32">SUM(E114:E118)</f>
        <v>176075</v>
      </c>
      <c r="F119" s="171">
        <f t="shared" si="32"/>
        <v>16681</v>
      </c>
      <c r="G119" s="171">
        <f>SUM(G114:G118)</f>
        <v>192756</v>
      </c>
      <c r="H119" s="172">
        <f t="shared" si="30"/>
        <v>2.5962760794717259E-2</v>
      </c>
      <c r="I119" s="526"/>
      <c r="J119" s="168"/>
      <c r="K119" s="168"/>
      <c r="M119" s="364">
        <f t="shared" si="31"/>
        <v>5.7758067899199954</v>
      </c>
      <c r="N119" s="359">
        <f>SUMMARY!J122</f>
        <v>6.0247597205909562</v>
      </c>
      <c r="O119" s="354">
        <f>M119/N119-1</f>
        <v>-4.1321636416487895E-2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52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2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2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'[74]Sch C'!D124</f>
        <v>42000</v>
      </c>
      <c r="D123" s="558">
        <f>'[74]Sch C'!F124</f>
        <v>0</v>
      </c>
      <c r="E123" s="171">
        <f t="shared" ref="E123:E127" si="33">C123+D123</f>
        <v>42000</v>
      </c>
      <c r="F123" s="171">
        <v>-42000</v>
      </c>
      <c r="G123" s="171">
        <f>E123+F123</f>
        <v>0</v>
      </c>
      <c r="H123" s="172">
        <f>IF($G$208=0,0,G123/$G$208)</f>
        <v>0</v>
      </c>
      <c r="I123" s="525" t="s">
        <v>420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'[74]Sch C'!D125</f>
        <v>159289</v>
      </c>
      <c r="D124" s="558">
        <f>'[74]Sch C'!F125</f>
        <v>0</v>
      </c>
      <c r="E124" s="171">
        <f t="shared" si="33"/>
        <v>159289</v>
      </c>
      <c r="F124" s="171"/>
      <c r="G124" s="171">
        <f>E124+F124</f>
        <v>159289</v>
      </c>
      <c r="H124" s="172">
        <f>IF($G$208=0,0,G124/$G$208)</f>
        <v>2.1455011539094591E-2</v>
      </c>
      <c r="I124" s="526"/>
      <c r="J124" s="183">
        <v>6440</v>
      </c>
      <c r="K124" s="183">
        <v>7544</v>
      </c>
      <c r="M124" s="364">
        <f t="shared" si="34"/>
        <v>4.7729901417313396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'[74]Sch C'!D126</f>
        <v>0</v>
      </c>
      <c r="D125" s="558">
        <f>'[74]Sch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2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'[74]Sch C'!D127</f>
        <v>0</v>
      </c>
      <c r="D126" s="558">
        <f>'[74]Sch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52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'[74]Sch C'!D128</f>
        <v>109753</v>
      </c>
      <c r="D127" s="558">
        <f>'[74]Sch C'!F128</f>
        <v>0</v>
      </c>
      <c r="E127" s="171">
        <f t="shared" si="33"/>
        <v>109753</v>
      </c>
      <c r="F127" s="171"/>
      <c r="G127" s="171">
        <f>E127+F127</f>
        <v>109753</v>
      </c>
      <c r="H127" s="172">
        <f>IF($G$208=0,0,G127/$G$208)</f>
        <v>1.4782890729744357E-2</v>
      </c>
      <c r="I127" s="526"/>
      <c r="J127" s="183">
        <v>3579</v>
      </c>
      <c r="K127" s="183">
        <v>3884</v>
      </c>
      <c r="M127" s="364">
        <f t="shared" si="34"/>
        <v>3.2886764749947561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53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'[74]Sch C'!D130</f>
        <v>0</v>
      </c>
      <c r="D129" s="558">
        <f>'[74]Sch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2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'[74]Sch C'!D131</f>
        <v>14617</v>
      </c>
      <c r="D130" s="558">
        <f>'[74]Sch C'!F131</f>
        <v>0</v>
      </c>
      <c r="E130" s="171">
        <f t="shared" si="35"/>
        <v>14617</v>
      </c>
      <c r="F130" s="171">
        <f>-5963+17763</f>
        <v>11800</v>
      </c>
      <c r="G130" s="171">
        <f>E130+F130</f>
        <v>26417</v>
      </c>
      <c r="H130" s="172">
        <f>IF($G$208=0,0,G130/$G$208)</f>
        <v>3.5581681084585993E-3</v>
      </c>
      <c r="I130" s="525" t="s">
        <v>706</v>
      </c>
      <c r="J130" s="204"/>
      <c r="K130" s="204"/>
      <c r="M130" s="364">
        <f t="shared" si="34"/>
        <v>0.79156803403949305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'[74]Sch C'!D132</f>
        <v>0</v>
      </c>
      <c r="D131" s="558">
        <f>'[74]Sch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2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'[74]Sch C'!D133</f>
        <v>0</v>
      </c>
      <c r="D132" s="558">
        <f>'[74]Sch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52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'[74]Sch C'!D134</f>
        <v>0</v>
      </c>
      <c r="D133" s="558">
        <f>'[74]Sch C'!F134</f>
        <v>0</v>
      </c>
      <c r="E133" s="171">
        <f t="shared" si="35"/>
        <v>0</v>
      </c>
      <c r="F133" s="171">
        <f>5963+12239</f>
        <v>18202</v>
      </c>
      <c r="G133" s="171">
        <f>E133+F133</f>
        <v>18202</v>
      </c>
      <c r="H133" s="172">
        <f>IF($G$208=0,0,G133/$G$208)</f>
        <v>2.4516703603801879E-3</v>
      </c>
      <c r="I133" s="525" t="s">
        <v>705</v>
      </c>
      <c r="J133" s="168"/>
      <c r="K133" s="168"/>
      <c r="M133" s="364">
        <f t="shared" si="34"/>
        <v>0.5454109609564618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2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'[74]Sch C'!D136</f>
        <v>368548</v>
      </c>
      <c r="D135" s="558">
        <f>'[74]Sch C'!F136</f>
        <v>0</v>
      </c>
      <c r="E135" s="171">
        <f t="shared" ref="E135:E138" si="36">C135+D135</f>
        <v>368548</v>
      </c>
      <c r="F135" s="171"/>
      <c r="G135" s="171">
        <f>E135+F135</f>
        <v>368548</v>
      </c>
      <c r="H135" s="172">
        <f>IF($G$208=0,0,G135/$G$208)</f>
        <v>4.9640600372343566E-2</v>
      </c>
      <c r="I135" s="525"/>
      <c r="J135" s="183">
        <v>17137</v>
      </c>
      <c r="K135" s="183">
        <v>18606</v>
      </c>
      <c r="M135" s="364">
        <f t="shared" si="34"/>
        <v>11.04329847481497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'[74]Sch C'!D137</f>
        <v>519273</v>
      </c>
      <c r="D136" s="558">
        <f>'[74]Sch C'!F137</f>
        <v>0</v>
      </c>
      <c r="E136" s="171">
        <f t="shared" si="36"/>
        <v>519273</v>
      </c>
      <c r="F136" s="171"/>
      <c r="G136" s="171">
        <f>E136+F136</f>
        <v>519273</v>
      </c>
      <c r="H136" s="172">
        <f>IF($G$208=0,0,G136/$G$208)</f>
        <v>6.9942106529266093E-2</v>
      </c>
      <c r="I136" s="525"/>
      <c r="J136" s="183">
        <v>29607</v>
      </c>
      <c r="K136" s="183">
        <v>31931</v>
      </c>
      <c r="M136" s="364">
        <f t="shared" si="34"/>
        <v>15.559673987954334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'[74]Sch C'!D138</f>
        <v>984798</v>
      </c>
      <c r="D137" s="558">
        <f>'[74]Sch C'!F138</f>
        <v>0</v>
      </c>
      <c r="E137" s="171">
        <f t="shared" si="36"/>
        <v>984798</v>
      </c>
      <c r="F137" s="171"/>
      <c r="G137" s="171">
        <f>E137+F137</f>
        <v>984798</v>
      </c>
      <c r="H137" s="172">
        <f>IF($G$208=0,0,G137/$G$208)</f>
        <v>0.1326447680233869</v>
      </c>
      <c r="I137" s="525"/>
      <c r="J137" s="183">
        <v>93355</v>
      </c>
      <c r="K137" s="183">
        <v>96402</v>
      </c>
      <c r="M137" s="364">
        <f t="shared" si="34"/>
        <v>29.508824498846373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'[74]Sch C'!D139</f>
        <v>0</v>
      </c>
      <c r="D138" s="558">
        <f>'[74]Sch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2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25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'[74]Sch C'!D141</f>
        <v>148466</v>
      </c>
      <c r="D140" s="558">
        <f>'[74]Sch C'!F141</f>
        <v>0</v>
      </c>
      <c r="E140" s="171">
        <f t="shared" ref="E140:E143" si="37">C140+D140</f>
        <v>148466</v>
      </c>
      <c r="F140" s="171">
        <v>-78150</v>
      </c>
      <c r="G140" s="171">
        <f>E140+F140</f>
        <v>70316</v>
      </c>
      <c r="H140" s="172">
        <f>IF($G$208=0,0,G140/$G$208)</f>
        <v>9.4710280771614832E-3</v>
      </c>
      <c r="I140" s="525" t="s">
        <v>721</v>
      </c>
      <c r="J140" s="168"/>
      <c r="K140" s="168"/>
      <c r="M140" s="364">
        <f t="shared" si="34"/>
        <v>2.1069727024840441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'[74]Sch C'!D142</f>
        <v>0</v>
      </c>
      <c r="D141" s="558">
        <f>'[74]Sch C'!F142</f>
        <v>0</v>
      </c>
      <c r="E141" s="171">
        <f t="shared" si="37"/>
        <v>0</v>
      </c>
      <c r="F141" s="171">
        <v>99074</v>
      </c>
      <c r="G141" s="171">
        <f>E141+F141</f>
        <v>99074</v>
      </c>
      <c r="H141" s="172">
        <f>IF($G$208=0,0,G141/$G$208)</f>
        <v>1.3344511003423072E-2</v>
      </c>
      <c r="I141" s="525" t="s">
        <v>721</v>
      </c>
      <c r="J141" s="168"/>
      <c r="K141" s="168"/>
      <c r="M141" s="364">
        <f t="shared" si="34"/>
        <v>2.9686872621580318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'[74]Sch C'!D143</f>
        <v>0</v>
      </c>
      <c r="D142" s="558">
        <f>'[74]Sch C'!F143</f>
        <v>0</v>
      </c>
      <c r="E142" s="171">
        <f t="shared" si="37"/>
        <v>0</v>
      </c>
      <c r="F142" s="171">
        <v>187894</v>
      </c>
      <c r="G142" s="171">
        <f>E142+F142</f>
        <v>187894</v>
      </c>
      <c r="H142" s="172">
        <f>IF($G$208=0,0,G142/$G$208)</f>
        <v>2.5307886534077301E-2</v>
      </c>
      <c r="I142" s="525" t="s">
        <v>721</v>
      </c>
      <c r="J142" s="168"/>
      <c r="K142" s="168"/>
      <c r="M142" s="364">
        <f t="shared" si="34"/>
        <v>5.6301201570131543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'[74]Sch C'!D144</f>
        <v>0</v>
      </c>
      <c r="D143" s="558">
        <f>'[74]Sch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2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2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'[74]Sch C'!D146</f>
        <v>0</v>
      </c>
      <c r="D145" s="558">
        <f>'[74]Sch C'!F146</f>
        <v>0</v>
      </c>
      <c r="E145" s="171">
        <f t="shared" ref="E145:E153" si="38">C145+D145</f>
        <v>0</v>
      </c>
      <c r="F145" s="171">
        <v>42000</v>
      </c>
      <c r="G145" s="171">
        <f t="shared" ref="G145:G153" si="39">E145+F145</f>
        <v>42000</v>
      </c>
      <c r="H145" s="172">
        <f t="shared" ref="H145:H153" si="40">IF($G$208=0,0,G145/$G$208)</f>
        <v>5.6570791745944341E-3</v>
      </c>
      <c r="I145" s="525" t="s">
        <v>420</v>
      </c>
      <c r="J145" s="183">
        <v>0</v>
      </c>
      <c r="K145" s="183">
        <v>0</v>
      </c>
      <c r="M145" s="364">
        <f t="shared" si="34"/>
        <v>1.2585023821652235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'[74]Sch C'!D147</f>
        <v>484</v>
      </c>
      <c r="D146" s="558">
        <f>'[74]Sch C'!F147</f>
        <v>0</v>
      </c>
      <c r="E146" s="171">
        <f t="shared" si="38"/>
        <v>484</v>
      </c>
      <c r="F146" s="171"/>
      <c r="G146" s="171">
        <f t="shared" si="39"/>
        <v>484</v>
      </c>
      <c r="H146" s="172">
        <f t="shared" si="40"/>
        <v>6.5191102869135864E-5</v>
      </c>
      <c r="I146" s="526"/>
      <c r="J146" s="183">
        <v>14</v>
      </c>
      <c r="K146" s="183">
        <v>14</v>
      </c>
      <c r="M146" s="364">
        <f t="shared" si="34"/>
        <v>1.4502741737332575E-2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'[74]Sch C'!D148</f>
        <v>0</v>
      </c>
      <c r="D147" s="558">
        <f>'[74]Sch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2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'[74]Sch C'!D149</f>
        <v>1408</v>
      </c>
      <c r="D148" s="558">
        <f>'[74]Sch C'!F149</f>
        <v>0</v>
      </c>
      <c r="E148" s="171">
        <f t="shared" si="38"/>
        <v>1408</v>
      </c>
      <c r="F148" s="171"/>
      <c r="G148" s="171">
        <f t="shared" si="39"/>
        <v>1408</v>
      </c>
      <c r="H148" s="172">
        <f t="shared" si="40"/>
        <v>1.8964684471021342E-4</v>
      </c>
      <c r="I148" s="526"/>
      <c r="J148" s="183">
        <v>94</v>
      </c>
      <c r="K148" s="183">
        <v>94</v>
      </c>
      <c r="M148" s="364">
        <f t="shared" si="34"/>
        <v>4.2189794144967492E-2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'[74]Sch C'!D150</f>
        <v>0</v>
      </c>
      <c r="D149" s="558">
        <f>'[74]Sch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526"/>
      <c r="J149" s="183">
        <v>0</v>
      </c>
      <c r="K149" s="183">
        <v>0</v>
      </c>
      <c r="M149" s="364">
        <f t="shared" si="34"/>
        <v>0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'[74]Sch C'!D151</f>
        <v>89436</v>
      </c>
      <c r="D150" s="558">
        <f>'[74]Sch C'!F151</f>
        <v>0</v>
      </c>
      <c r="E150" s="171">
        <f t="shared" si="38"/>
        <v>89436</v>
      </c>
      <c r="F150" s="171"/>
      <c r="G150" s="171">
        <f t="shared" si="39"/>
        <v>89436</v>
      </c>
      <c r="H150" s="172">
        <f t="shared" si="40"/>
        <v>1.2046346025214949E-2</v>
      </c>
      <c r="I150" s="526"/>
      <c r="J150" s="168"/>
      <c r="K150" s="168"/>
      <c r="M150" s="364">
        <f t="shared" si="34"/>
        <v>2.6798909297935456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'[74]Sch C'!D152</f>
        <v>39459</v>
      </c>
      <c r="D151" s="558">
        <f>'[74]Sch C'!F152</f>
        <v>0</v>
      </c>
      <c r="E151" s="171">
        <f t="shared" si="38"/>
        <v>39459</v>
      </c>
      <c r="F151" s="171"/>
      <c r="G151" s="171">
        <f t="shared" si="39"/>
        <v>39459</v>
      </c>
      <c r="H151" s="172">
        <f t="shared" si="40"/>
        <v>5.3148258845314711E-3</v>
      </c>
      <c r="I151" s="526"/>
      <c r="J151" s="168"/>
      <c r="K151" s="168"/>
      <c r="M151" s="364">
        <f t="shared" si="34"/>
        <v>1.1823629880442275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'[74]Sch C'!D153</f>
        <v>5986</v>
      </c>
      <c r="D152" s="558">
        <f>'[74]Sch C'!F153</f>
        <v>0</v>
      </c>
      <c r="E152" s="171">
        <f t="shared" si="38"/>
        <v>5986</v>
      </c>
      <c r="F152" s="171"/>
      <c r="G152" s="171">
        <f t="shared" si="39"/>
        <v>5986</v>
      </c>
      <c r="H152" s="172">
        <f t="shared" si="40"/>
        <v>8.0626847474100677E-4</v>
      </c>
      <c r="I152" s="526"/>
      <c r="J152" s="168"/>
      <c r="K152" s="168"/>
      <c r="M152" s="364">
        <f t="shared" si="34"/>
        <v>0.17936655380097682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'[74]Sch C'!D154</f>
        <v>0</v>
      </c>
      <c r="D153" s="558">
        <f>'[74]Sch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2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52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'[74]Sch C'!D156</f>
        <v>911</v>
      </c>
      <c r="D155" s="558">
        <f>'[74]Sch C'!F156</f>
        <v>0</v>
      </c>
      <c r="E155" s="171">
        <f t="shared" ref="E155:E160" si="41">C155+D155</f>
        <v>911</v>
      </c>
      <c r="F155" s="171"/>
      <c r="G155" s="171">
        <f t="shared" ref="G155:G160" si="42">E155+F155</f>
        <v>911</v>
      </c>
      <c r="H155" s="172">
        <f t="shared" ref="H155:H161" si="43">IF($G$208=0,0,G155/$G$208)</f>
        <v>1.227047411441793E-4</v>
      </c>
      <c r="I155" s="526"/>
      <c r="J155" s="168"/>
      <c r="K155" s="168"/>
      <c r="M155" s="364">
        <f t="shared" si="34"/>
        <v>2.7297515956012347E-2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'[74]Sch C'!D157</f>
        <v>0</v>
      </c>
      <c r="D156" s="558">
        <f>'[74]Sch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52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'[74]Sch C'!D158</f>
        <v>0</v>
      </c>
      <c r="D157" s="558">
        <f>'[74]Sch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52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'[74]Sch C'!D159</f>
        <v>0</v>
      </c>
      <c r="D158" s="558">
        <f>'[74]Sch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52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'[74]Sch C'!D160</f>
        <v>900</v>
      </c>
      <c r="D159" s="558">
        <f>'[74]Sch C'!F160</f>
        <v>0</v>
      </c>
      <c r="E159" s="171">
        <f t="shared" si="41"/>
        <v>900</v>
      </c>
      <c r="F159" s="171"/>
      <c r="G159" s="171">
        <f t="shared" si="42"/>
        <v>900</v>
      </c>
      <c r="H159" s="172">
        <f>IF($G$208=0,0,G159/$G$208)</f>
        <v>1.2122312516988074E-4</v>
      </c>
      <c r="I159" s="526"/>
      <c r="J159" s="168"/>
      <c r="K159" s="168"/>
      <c r="M159" s="364">
        <f t="shared" si="34"/>
        <v>2.6967908189254788E-2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'[74]Sch C'!D161</f>
        <v>370</v>
      </c>
      <c r="D160" s="558">
        <f>'[74]Sch C'!F161</f>
        <v>0</v>
      </c>
      <c r="E160" s="171">
        <f t="shared" si="41"/>
        <v>370</v>
      </c>
      <c r="F160" s="171"/>
      <c r="G160" s="171">
        <f t="shared" si="42"/>
        <v>370</v>
      </c>
      <c r="H160" s="172">
        <f t="shared" si="43"/>
        <v>4.9836173680950971E-5</v>
      </c>
      <c r="I160" s="526"/>
      <c r="J160" s="168"/>
      <c r="K160" s="168"/>
      <c r="M160" s="364">
        <f t="shared" si="34"/>
        <v>1.1086806700026968E-2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2485698</v>
      </c>
      <c r="D161" s="558">
        <f>SUM(D123:D160)</f>
        <v>0</v>
      </c>
      <c r="E161" s="171">
        <f t="shared" ref="E161:F161" si="44">SUM(E123:E160)</f>
        <v>2485698</v>
      </c>
      <c r="F161" s="171">
        <f t="shared" si="44"/>
        <v>238820</v>
      </c>
      <c r="G161" s="171">
        <f>SUM(G123:G160)</f>
        <v>2724518</v>
      </c>
      <c r="H161" s="172">
        <f t="shared" si="43"/>
        <v>0.36697176282399235</v>
      </c>
      <c r="I161" s="526"/>
      <c r="J161" s="168"/>
      <c r="K161" s="168"/>
      <c r="M161" s="364">
        <f>G161/G$228</f>
        <v>81.638390315524532</v>
      </c>
      <c r="N161" s="359">
        <f>SUMMARY!J164</f>
        <v>105.56901037202306</v>
      </c>
      <c r="O161" s="354">
        <f>M161/N161-1</f>
        <v>-0.22668224294390471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52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2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'[74]Sch C'!D175</f>
        <v>0</v>
      </c>
      <c r="D164" s="558">
        <f>'[74]Sch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536"/>
      <c r="J164" s="500">
        <v>0</v>
      </c>
      <c r="K164" s="500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'[74]Sch C'!D176</f>
        <v>0</v>
      </c>
      <c r="D165" s="558">
        <f>'[74]Sch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537"/>
      <c r="J165" s="501"/>
      <c r="K165" s="501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'[74]Sch C'!D177</f>
        <v>0</v>
      </c>
      <c r="D166" s="558">
        <f>'[74]Sch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536"/>
      <c r="J166" s="500">
        <v>0</v>
      </c>
      <c r="K166" s="500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'[74]Sch C'!D178</f>
        <v>0</v>
      </c>
      <c r="D167" s="558">
        <f>'[74]Sch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537"/>
      <c r="J167" s="501"/>
      <c r="K167" s="501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'[74]Sch C'!D179</f>
        <v>0</v>
      </c>
      <c r="D168" s="558">
        <f>'[74]Sch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536"/>
      <c r="J168" s="500">
        <v>0</v>
      </c>
      <c r="K168" s="500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'[74]Sch C'!D180</f>
        <v>0</v>
      </c>
      <c r="D169" s="558">
        <f>'[74]Sch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537"/>
      <c r="J169" s="501"/>
      <c r="K169" s="501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'[74]Sch C'!D181</f>
        <v>0</v>
      </c>
      <c r="D170" s="558">
        <f>'[74]Sch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536"/>
      <c r="J170" s="500">
        <v>0</v>
      </c>
      <c r="K170" s="500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'[74]Sch C'!D182</f>
        <v>0</v>
      </c>
      <c r="D171" s="558">
        <f>'[74]Sch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537"/>
      <c r="J171" s="501"/>
      <c r="K171" s="501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'[74]Sch C'!D183</f>
        <v>0</v>
      </c>
      <c r="D172" s="558">
        <f>'[74]Sch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536"/>
      <c r="J172" s="500">
        <v>0</v>
      </c>
      <c r="K172" s="500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'[74]Sch C'!D184</f>
        <v>0</v>
      </c>
      <c r="D173" s="558">
        <f>'[74]Sch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537"/>
      <c r="J173" s="501"/>
      <c r="K173" s="501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'[74]Sch C'!D185</f>
        <v>0</v>
      </c>
      <c r="D174" s="558">
        <f>'[74]Sch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536"/>
      <c r="J174" s="500">
        <v>0</v>
      </c>
      <c r="K174" s="500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'[74]Sch C'!D186</f>
        <v>0</v>
      </c>
      <c r="D175" s="558">
        <f>'[74]Sch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52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'[74]Sch C'!D187</f>
        <v>0</v>
      </c>
      <c r="D176" s="558">
        <f>'[74]Sch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52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'[74]Sch C'!D188</f>
        <v>0</v>
      </c>
      <c r="D177" s="558">
        <f>'[74]Sch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52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'[74]Sch C'!D189</f>
        <v>0</v>
      </c>
      <c r="D178" s="558">
        <f>'[74]Sch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52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'[74]Sch C'!D190</f>
        <v>0</v>
      </c>
      <c r="D179" s="558">
        <f>'[74]Sch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52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'[74]Sch C'!D191</f>
        <v>0</v>
      </c>
      <c r="D180" s="558">
        <f>'[74]Sch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52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'[74]Sch C'!D192</f>
        <v>0</v>
      </c>
      <c r="D181" s="558">
        <f>'[74]Sch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52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'[74]Sch C'!D193</f>
        <v>0</v>
      </c>
      <c r="D182" s="558">
        <f>'[74]Sch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52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'[74]Sch C'!D194</f>
        <v>685963</v>
      </c>
      <c r="D183" s="558">
        <f>'[74]Sch C'!F194</f>
        <v>0</v>
      </c>
      <c r="E183" s="171">
        <f t="shared" si="45"/>
        <v>685963</v>
      </c>
      <c r="F183" s="216"/>
      <c r="G183" s="171">
        <f t="shared" si="46"/>
        <v>685963</v>
      </c>
      <c r="H183" s="172">
        <f t="shared" si="47"/>
        <v>9.2393976234341008E-2</v>
      </c>
      <c r="I183" s="526"/>
      <c r="J183" s="223"/>
      <c r="K183" s="218"/>
      <c r="M183" s="364">
        <f t="shared" si="48"/>
        <v>20.554430228028647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'[74]Sch C'!D195</f>
        <v>0</v>
      </c>
      <c r="D184" s="558">
        <f>'[74]Sch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52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'[74]Sch C'!D196</f>
        <v>0</v>
      </c>
      <c r="D185" s="558">
        <f>'[74]Sch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52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'[74]Sch C'!D197</f>
        <v>0</v>
      </c>
      <c r="D186" s="558">
        <f>'[74]Sch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52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'[74]Sch C'!D198</f>
        <v>16908</v>
      </c>
      <c r="D187" s="558">
        <f>'[74]Sch C'!F198</f>
        <v>0</v>
      </c>
      <c r="E187" s="171">
        <f t="shared" si="45"/>
        <v>16908</v>
      </c>
      <c r="F187" s="216"/>
      <c r="G187" s="171">
        <f t="shared" si="46"/>
        <v>16908</v>
      </c>
      <c r="H187" s="172">
        <f t="shared" si="47"/>
        <v>2.2773784448581595E-3</v>
      </c>
      <c r="I187" s="526"/>
      <c r="J187" s="223"/>
      <c r="K187" s="218"/>
      <c r="M187" s="364">
        <f t="shared" si="48"/>
        <v>0.50663710184879995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'[74]Sch C'!D199</f>
        <v>0</v>
      </c>
      <c r="D188" s="558">
        <f>'[74]Sch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52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'[74]Sch C'!D200</f>
        <v>0</v>
      </c>
      <c r="D189" s="558">
        <f>'[74]Sch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52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'[74]Sch C'!D201</f>
        <v>0</v>
      </c>
      <c r="D190" s="558">
        <f>'[74]Sch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52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'[74]Sch C'!D202</f>
        <v>0</v>
      </c>
      <c r="D191" s="558">
        <f>'[74]Sch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52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'[74]Sch C'!D203</f>
        <v>0</v>
      </c>
      <c r="D192" s="558">
        <f>'[74]Sch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52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'[74]Sch C'!D204</f>
        <v>0</v>
      </c>
      <c r="D193" s="558">
        <f>'[74]Sch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52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'[74]Sch C'!D205</f>
        <v>293512</v>
      </c>
      <c r="D194" s="558">
        <f>'[74]Sch C'!F205</f>
        <v>0</v>
      </c>
      <c r="E194" s="171">
        <f t="shared" si="45"/>
        <v>293512</v>
      </c>
      <c r="F194" s="216"/>
      <c r="G194" s="171">
        <f t="shared" si="46"/>
        <v>293512</v>
      </c>
      <c r="H194" s="172">
        <f t="shared" si="47"/>
        <v>3.9533824349846709E-2</v>
      </c>
      <c r="I194" s="526"/>
      <c r="J194" s="223"/>
      <c r="K194" s="218"/>
      <c r="M194" s="364">
        <f t="shared" si="48"/>
        <v>8.7948940760495002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'[74]Sch C'!D206</f>
        <v>12783</v>
      </c>
      <c r="D195" s="558">
        <f>'[74]Sch C'!F206</f>
        <v>0</v>
      </c>
      <c r="E195" s="171">
        <f t="shared" si="45"/>
        <v>12783</v>
      </c>
      <c r="F195" s="216"/>
      <c r="G195" s="171">
        <f t="shared" si="46"/>
        <v>12783</v>
      </c>
      <c r="H195" s="172">
        <f t="shared" si="47"/>
        <v>1.7217724544962062E-3</v>
      </c>
      <c r="I195" s="526"/>
      <c r="J195" s="223"/>
      <c r="K195" s="218"/>
      <c r="M195" s="364">
        <f t="shared" si="48"/>
        <v>0.3830341893147155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'[74]Sch C'!D207</f>
        <v>0</v>
      </c>
      <c r="D196" s="558">
        <f>'[74]Sch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52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1009166</v>
      </c>
      <c r="D197" s="558">
        <f>SUM(D164:D196)</f>
        <v>0</v>
      </c>
      <c r="E197" s="171">
        <f t="shared" ref="E197:F197" si="49">SUM(E164:E196)</f>
        <v>1009166</v>
      </c>
      <c r="F197" s="171">
        <f t="shared" si="49"/>
        <v>0</v>
      </c>
      <c r="G197" s="171">
        <f>SUM(G164:G196)</f>
        <v>1009166</v>
      </c>
      <c r="H197" s="172">
        <f>IF($G$208=0,0,G197/$G$208)</f>
        <v>0.13592695148354209</v>
      </c>
      <c r="I197" s="526"/>
      <c r="J197" s="168"/>
      <c r="K197" s="168"/>
      <c r="M197" s="364">
        <f>G197/G$228</f>
        <v>30.238995595241661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52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2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'[74]Sch C'!D211</f>
        <v>172718</v>
      </c>
      <c r="D200" s="558">
        <f>'[74]Sch C'!F211</f>
        <v>0</v>
      </c>
      <c r="E200" s="171">
        <f t="shared" ref="E200:E205" si="50">C200+D200</f>
        <v>172718</v>
      </c>
      <c r="F200" s="171"/>
      <c r="G200" s="171">
        <f t="shared" ref="G200:G205" si="51">E200+F200</f>
        <v>172718</v>
      </c>
      <c r="H200" s="172">
        <f t="shared" ref="H200:H206" si="52">IF($G$208=0,0,G200/$G$208)</f>
        <v>2.3263795258990513E-2</v>
      </c>
      <c r="I200" s="526"/>
      <c r="J200" s="183">
        <v>10582</v>
      </c>
      <c r="K200" s="183">
        <v>8535</v>
      </c>
      <c r="M200" s="364">
        <f t="shared" ref="M200:M205" si="53">G200/G$228</f>
        <v>5.1753812962574539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'[74]Sch C'!D212</f>
        <v>18483</v>
      </c>
      <c r="D201" s="558">
        <f>'[74]Sch C'!F212</f>
        <v>0</v>
      </c>
      <c r="E201" s="171">
        <f t="shared" si="50"/>
        <v>18483</v>
      </c>
      <c r="F201" s="171"/>
      <c r="G201" s="171">
        <f t="shared" si="51"/>
        <v>18483</v>
      </c>
      <c r="H201" s="172">
        <f t="shared" si="52"/>
        <v>2.4895189139054509E-3</v>
      </c>
      <c r="I201" s="526"/>
      <c r="J201" s="168"/>
      <c r="K201" s="168"/>
      <c r="M201" s="364">
        <f t="shared" si="53"/>
        <v>0.55383094117999576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'[74]Sch C'!D213</f>
        <v>4843</v>
      </c>
      <c r="D202" s="558">
        <f>'[74]Sch C'!F213</f>
        <v>0</v>
      </c>
      <c r="E202" s="171">
        <f t="shared" si="50"/>
        <v>4843</v>
      </c>
      <c r="F202" s="171"/>
      <c r="G202" s="171">
        <f t="shared" si="51"/>
        <v>4843</v>
      </c>
      <c r="H202" s="172">
        <f t="shared" si="52"/>
        <v>6.5231510577525823E-4</v>
      </c>
      <c r="I202" s="526"/>
      <c r="J202" s="168"/>
      <c r="K202" s="168"/>
      <c r="M202" s="364">
        <f t="shared" si="53"/>
        <v>0.14511731040062326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'[74]Sch C'!D214</f>
        <v>0</v>
      </c>
      <c r="D203" s="558">
        <f>'[74]Sch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52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'[74]Sch C'!D215</f>
        <v>0</v>
      </c>
      <c r="D204" s="558">
        <f>'[74]Sch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2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'[74]Sch C'!D216</f>
        <v>3388</v>
      </c>
      <c r="D205" s="558">
        <f>'[74]Sch C'!F216</f>
        <v>0</v>
      </c>
      <c r="E205" s="171">
        <f t="shared" si="50"/>
        <v>3388</v>
      </c>
      <c r="F205" s="171"/>
      <c r="G205" s="171">
        <f t="shared" si="51"/>
        <v>3388</v>
      </c>
      <c r="H205" s="172">
        <f t="shared" si="52"/>
        <v>4.5633772008395104E-4</v>
      </c>
      <c r="I205" s="526"/>
      <c r="J205" s="168"/>
      <c r="K205" s="168"/>
      <c r="M205" s="364">
        <f t="shared" si="53"/>
        <v>0.10151919216132801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199432</v>
      </c>
      <c r="D206" s="558">
        <f>SUM(D200:D205)</f>
        <v>0</v>
      </c>
      <c r="E206" s="171">
        <f t="shared" ref="E206:F206" si="54">SUM(E200:E205)</f>
        <v>199432</v>
      </c>
      <c r="F206" s="171">
        <f t="shared" si="54"/>
        <v>0</v>
      </c>
      <c r="G206" s="171">
        <f>SUM(G200:G205)</f>
        <v>199432</v>
      </c>
      <c r="H206" s="172">
        <f t="shared" si="52"/>
        <v>2.6861966998755173E-2</v>
      </c>
      <c r="I206" s="526"/>
      <c r="J206" s="168"/>
      <c r="K206" s="168"/>
      <c r="M206" s="364">
        <f>G206/G$228</f>
        <v>5.9758487399994005</v>
      </c>
      <c r="N206" s="359">
        <f>SUMMARY!J209</f>
        <v>7.1515095990067339</v>
      </c>
      <c r="O206" s="354">
        <f>M206/N206-1</f>
        <v>-0.16439338334533171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52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7552167</v>
      </c>
      <c r="D208" s="558">
        <f>SUM(D25:D206)/2</f>
        <v>-125579</v>
      </c>
      <c r="E208" s="171">
        <f t="shared" ref="E208:F208" si="55">SUM(E25:E206)/2</f>
        <v>7426588</v>
      </c>
      <c r="F208" s="171">
        <f t="shared" si="55"/>
        <v>-2262</v>
      </c>
      <c r="G208" s="171">
        <f>SUM(G25:G206)/2</f>
        <v>7424326</v>
      </c>
      <c r="H208" s="172">
        <f>IF($G$208=0,0,G208/$G$208)</f>
        <v>1</v>
      </c>
      <c r="I208" s="526"/>
      <c r="J208" s="183">
        <f>SUM(J25:J200)</f>
        <v>215436</v>
      </c>
      <c r="K208" s="183">
        <f>SUM(K25:K200)</f>
        <v>226007</v>
      </c>
      <c r="M208" s="364">
        <f>G208/G$228</f>
        <v>222.46504659455249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528"/>
      <c r="J209" s="168"/>
      <c r="K209" s="168"/>
      <c r="O209" s="553">
        <f>SUM(O61:O206)</f>
        <v>-1.0069582241212363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528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'[74]Sch C'!D221</f>
        <v>7552167</v>
      </c>
      <c r="D211" s="196"/>
      <c r="E211" s="165"/>
      <c r="F211"/>
      <c r="G211"/>
      <c r="I211" s="528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528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531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528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309507</v>
      </c>
      <c r="D215" s="558">
        <f>D21-D208</f>
        <v>125579</v>
      </c>
      <c r="E215" s="171">
        <f t="shared" ref="E215:F215" si="56">E21-E208</f>
        <v>435086</v>
      </c>
      <c r="F215" s="171">
        <f t="shared" si="56"/>
        <v>2262</v>
      </c>
      <c r="G215" s="171">
        <f>G21-G208</f>
        <v>437348</v>
      </c>
      <c r="I215" s="528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528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528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31"/>
      <c r="J218" s="168"/>
      <c r="K218" s="168"/>
    </row>
    <row r="219" spans="1:17">
      <c r="A219" s="163"/>
      <c r="B219" s="170" t="s">
        <v>218</v>
      </c>
      <c r="C219" s="592">
        <f>'[74]Sch D'!C9</f>
        <v>19069</v>
      </c>
      <c r="D219" s="592"/>
      <c r="E219" s="235">
        <f t="shared" ref="E219:G227" si="57">C219+D219</f>
        <v>19069</v>
      </c>
      <c r="F219" s="234"/>
      <c r="G219" s="235">
        <f t="shared" si="57"/>
        <v>19069</v>
      </c>
      <c r="H219" s="172">
        <f t="shared" ref="H219:H228" si="58">IF($G$228=0,0,G219/$G$228)</f>
        <v>0.57139004584544395</v>
      </c>
      <c r="I219" s="526"/>
      <c r="J219" s="168"/>
      <c r="K219" s="168"/>
    </row>
    <row r="220" spans="1:17">
      <c r="A220" s="163"/>
      <c r="B220" s="170" t="s">
        <v>217</v>
      </c>
      <c r="C220" s="592">
        <f>'[74]Sch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26"/>
      <c r="J220" s="168"/>
      <c r="K220" s="168"/>
    </row>
    <row r="221" spans="1:17">
      <c r="A221" s="163"/>
      <c r="B221" s="170" t="s">
        <v>72</v>
      </c>
      <c r="C221" s="592">
        <f>'[74]Sch D'!E9</f>
        <v>3673</v>
      </c>
      <c r="D221" s="592"/>
      <c r="E221" s="235">
        <f t="shared" si="59"/>
        <v>3673</v>
      </c>
      <c r="F221" s="234"/>
      <c r="G221" s="235">
        <f t="shared" si="57"/>
        <v>3673</v>
      </c>
      <c r="H221" s="172">
        <f t="shared" si="58"/>
        <v>0.11005902975459203</v>
      </c>
      <c r="I221" s="526"/>
      <c r="J221" s="168"/>
      <c r="K221" s="168"/>
    </row>
    <row r="222" spans="1:17">
      <c r="A222" s="163"/>
      <c r="B222" s="202" t="s">
        <v>334</v>
      </c>
      <c r="C222" s="592">
        <f>'[74]Sch D'!F9</f>
        <v>1164</v>
      </c>
      <c r="D222" s="592"/>
      <c r="E222" s="235">
        <f>C222+D222</f>
        <v>1164</v>
      </c>
      <c r="F222" s="234"/>
      <c r="G222" s="235">
        <f>E222+F222</f>
        <v>1164</v>
      </c>
      <c r="H222" s="172">
        <f t="shared" si="58"/>
        <v>3.4878494591436188E-2</v>
      </c>
      <c r="I222" s="526"/>
      <c r="J222" s="168"/>
      <c r="K222" s="168"/>
    </row>
    <row r="223" spans="1:17">
      <c r="A223" s="163"/>
      <c r="B223" s="170" t="s">
        <v>73</v>
      </c>
      <c r="C223" s="592">
        <f>'[74]Sch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26"/>
      <c r="J223" s="168"/>
      <c r="K223" s="168"/>
    </row>
    <row r="224" spans="1:17">
      <c r="A224" s="163"/>
      <c r="B224" s="170" t="s">
        <v>74</v>
      </c>
      <c r="C224" s="592">
        <f>'[74]Sch D'!H9</f>
        <v>5239</v>
      </c>
      <c r="D224" s="592"/>
      <c r="E224" s="235">
        <f t="shared" si="59"/>
        <v>5239</v>
      </c>
      <c r="F224" s="234"/>
      <c r="G224" s="235">
        <f t="shared" si="57"/>
        <v>5239</v>
      </c>
      <c r="H224" s="172">
        <f t="shared" si="58"/>
        <v>0.15698319000389535</v>
      </c>
      <c r="I224" s="526"/>
      <c r="J224" s="168"/>
      <c r="K224" s="168"/>
    </row>
    <row r="225" spans="1:11">
      <c r="A225" s="163"/>
      <c r="B225" s="170" t="s">
        <v>236</v>
      </c>
      <c r="C225" s="592">
        <f>'[74]Sch D'!I9</f>
        <v>1568</v>
      </c>
      <c r="D225" s="592"/>
      <c r="E225" s="235">
        <f t="shared" si="59"/>
        <v>1568</v>
      </c>
      <c r="F225" s="234"/>
      <c r="G225" s="235">
        <f t="shared" si="57"/>
        <v>1568</v>
      </c>
      <c r="H225" s="172">
        <f t="shared" si="58"/>
        <v>4.698408893416834E-2</v>
      </c>
      <c r="I225" s="526"/>
      <c r="J225" s="168"/>
      <c r="K225" s="168"/>
    </row>
    <row r="226" spans="1:11">
      <c r="A226" s="163"/>
      <c r="B226" s="170" t="s">
        <v>235</v>
      </c>
      <c r="C226" s="592">
        <f>'[74]Sch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526"/>
      <c r="J226" s="168"/>
      <c r="K226" s="168"/>
    </row>
    <row r="227" spans="1:11">
      <c r="A227" s="163"/>
      <c r="B227" s="170" t="s">
        <v>179</v>
      </c>
      <c r="C227" s="592">
        <f>'[74]Sch D'!K9</f>
        <v>2660</v>
      </c>
      <c r="D227" s="592"/>
      <c r="E227" s="235">
        <f t="shared" si="59"/>
        <v>2660</v>
      </c>
      <c r="F227" s="234"/>
      <c r="G227" s="235">
        <f t="shared" si="57"/>
        <v>2660</v>
      </c>
      <c r="H227" s="172">
        <f t="shared" si="58"/>
        <v>7.9705150870464148E-2</v>
      </c>
      <c r="I227" s="52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33373</v>
      </c>
      <c r="D228" s="592">
        <f>SUM(D219:D227)</f>
        <v>0</v>
      </c>
      <c r="E228" s="237">
        <f>SUM(E219:E227)</f>
        <v>33373</v>
      </c>
      <c r="F228" s="237">
        <f>SUM(F219:F227)</f>
        <v>0</v>
      </c>
      <c r="G228" s="237">
        <f>SUM(G219:G227)</f>
        <v>33373</v>
      </c>
      <c r="H228" s="172">
        <f t="shared" si="58"/>
        <v>1</v>
      </c>
      <c r="I228" s="52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'[74]Sch D'!N22</f>
        <v>172</v>
      </c>
      <c r="D231" s="559"/>
      <c r="E231" s="235">
        <f>C231+D231</f>
        <v>172</v>
      </c>
      <c r="F231" s="235"/>
      <c r="G231" s="235">
        <f>E231+F231</f>
        <v>172</v>
      </c>
      <c r="H231" s="167"/>
      <c r="J231" s="168"/>
      <c r="K231" s="168"/>
    </row>
    <row r="232" spans="1:11">
      <c r="A232" s="163"/>
      <c r="B232" s="202" t="s">
        <v>290</v>
      </c>
      <c r="C232" s="593">
        <f>'[74]Sch D'!N24</f>
        <v>172</v>
      </c>
      <c r="D232" s="559"/>
      <c r="E232" s="235">
        <f>C232+D232</f>
        <v>172</v>
      </c>
      <c r="F232" s="235"/>
      <c r="G232" s="235">
        <f>E232+F232</f>
        <v>172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'[74]Sch D'!N28</f>
        <v>62952</v>
      </c>
      <c r="D235" s="483"/>
      <c r="E235" s="234">
        <f>E231*E233</f>
        <v>62952</v>
      </c>
      <c r="F235" s="239"/>
      <c r="G235" s="234">
        <f>G231*G233</f>
        <v>62952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'[74]Sch D'!N30</f>
        <v>0.53013407040284666</v>
      </c>
      <c r="D236" s="239"/>
      <c r="E236" s="244">
        <f>E228/E235</f>
        <v>0.53013407040284666</v>
      </c>
      <c r="F236" s="245"/>
      <c r="G236" s="244">
        <f>G228/G235</f>
        <v>0.53013407040284666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'[74]Sch D'!N32</f>
        <v>0.30291333079171434</v>
      </c>
      <c r="D237" s="239"/>
      <c r="E237" s="244">
        <f>(E219+E220)/E235</f>
        <v>0.30291333079171434</v>
      </c>
      <c r="F237" s="245"/>
      <c r="G237" s="244">
        <f>(G219+G220)/G235</f>
        <v>0.30291333079171434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'[74]Sch D'!N34</f>
        <v>0.57139004584544395</v>
      </c>
      <c r="D238" s="239"/>
      <c r="E238" s="244">
        <f>(E237/E236)</f>
        <v>0.57139004584544395</v>
      </c>
      <c r="F238" s="245"/>
      <c r="G238" s="244">
        <f>(G237/G236)</f>
        <v>0.57139004584544395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'[74]Sch B'!C85</f>
        <v>199.13193277310924</v>
      </c>
    </row>
    <row r="242" spans="2:7">
      <c r="B242" s="523" t="s">
        <v>711</v>
      </c>
      <c r="F242" s="142" t="s">
        <v>341</v>
      </c>
      <c r="G242" s="558">
        <f>'[74]Sch B'!E85</f>
        <v>197.95902285263986</v>
      </c>
    </row>
    <row r="243" spans="2:7">
      <c r="B243" s="675" t="s">
        <v>707</v>
      </c>
      <c r="F243" s="142" t="s">
        <v>342</v>
      </c>
      <c r="G243" s="558">
        <f>'[74]Sch B'!G85</f>
        <v>149.89389067524115</v>
      </c>
    </row>
    <row r="244" spans="2:7">
      <c r="B244" s="460" t="s">
        <v>708</v>
      </c>
      <c r="F244" s="142" t="s">
        <v>343</v>
      </c>
      <c r="G244" s="558">
        <f>'[74]Sch B'!I85</f>
        <v>196.62775510204082</v>
      </c>
    </row>
    <row r="245" spans="2:7">
      <c r="B245" s="508" t="s">
        <v>709</v>
      </c>
      <c r="F245" s="142"/>
    </row>
    <row r="246" spans="2:7">
      <c r="B246" s="460" t="s">
        <v>710</v>
      </c>
    </row>
    <row r="247" spans="2:7">
      <c r="B247" s="460" t="s">
        <v>704</v>
      </c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8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7" width="14.164062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381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/>
      <c r="E4" s="149"/>
      <c r="G4" s="150"/>
    </row>
    <row r="5" spans="1:17">
      <c r="A5" s="145"/>
      <c r="B5" s="148"/>
      <c r="C5" s="151"/>
      <c r="D5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575" t="s">
        <v>701</v>
      </c>
      <c r="E10" s="575"/>
      <c r="F10" s="575"/>
      <c r="G10" s="575"/>
      <c r="H10" s="575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'[75]Sch B'!E10</f>
        <v>2763639</v>
      </c>
      <c r="D11" s="558">
        <f>'[75]Sch B'!G10</f>
        <v>0</v>
      </c>
      <c r="E11" s="171">
        <f>C11+D11</f>
        <v>2763639</v>
      </c>
      <c r="F11" s="171"/>
      <c r="G11" s="171">
        <f t="shared" ref="G11:G20" si="0">E11+F11</f>
        <v>2763639</v>
      </c>
      <c r="H11" s="172">
        <f t="shared" ref="H11:H21" si="1">IF($G$21=0,0,G11/$G$21)</f>
        <v>0.53276673528251695</v>
      </c>
      <c r="I11" s="336"/>
      <c r="J11" s="368" t="s">
        <v>344</v>
      </c>
      <c r="K11" s="369">
        <f>G21</f>
        <v>5187334</v>
      </c>
      <c r="M11" s="359">
        <f>IFERROR(G11/G219,0)</f>
        <v>168.82339645693341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'[75]Sch B'!E15</f>
        <v>0</v>
      </c>
      <c r="D12" s="558">
        <f>'[75]Sch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6051288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'[75]Sch B'!E21</f>
        <v>1370256</v>
      </c>
      <c r="D13" s="672">
        <f>'[75]Sch B'!G21</f>
        <v>-73633</v>
      </c>
      <c r="E13" s="171">
        <f t="shared" si="2"/>
        <v>1296623</v>
      </c>
      <c r="F13" s="171"/>
      <c r="G13" s="171">
        <f t="shared" si="0"/>
        <v>1296623</v>
      </c>
      <c r="H13" s="172">
        <f t="shared" si="1"/>
        <v>0.2499594203881994</v>
      </c>
      <c r="I13" s="336"/>
      <c r="J13" s="370" t="s">
        <v>346</v>
      </c>
      <c r="K13" s="371">
        <f>G228</f>
        <v>24599</v>
      </c>
      <c r="M13" s="359">
        <f t="shared" si="3"/>
        <v>681.71556256572035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'[75]Sch B'!E27</f>
        <v>159202</v>
      </c>
      <c r="D14" s="672">
        <f>'[75]Sch B'!G27</f>
        <v>73632</v>
      </c>
      <c r="E14" s="171">
        <f t="shared" si="2"/>
        <v>232834</v>
      </c>
      <c r="F14" s="175"/>
      <c r="G14" s="175">
        <f>E14+F14</f>
        <v>232834</v>
      </c>
      <c r="H14" s="176">
        <f t="shared" si="1"/>
        <v>4.488509897376957E-2</v>
      </c>
      <c r="I14" s="337"/>
      <c r="J14" s="370" t="s">
        <v>347</v>
      </c>
      <c r="K14" s="371">
        <f>G231</f>
        <v>90</v>
      </c>
      <c r="M14" s="359">
        <f t="shared" si="3"/>
        <v>177.60030511060259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'[75]Sch B'!E32</f>
        <v>0</v>
      </c>
      <c r="D15" s="558">
        <f>'[75]Sch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32940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'[75]Sch B'!E37</f>
        <v>873678</v>
      </c>
      <c r="D16" s="558">
        <f>'[75]Sch B'!G37</f>
        <v>0</v>
      </c>
      <c r="E16" s="171">
        <f t="shared" si="2"/>
        <v>873678</v>
      </c>
      <c r="F16" s="171"/>
      <c r="G16" s="171">
        <f t="shared" si="0"/>
        <v>873678</v>
      </c>
      <c r="H16" s="172">
        <f t="shared" si="1"/>
        <v>0.16842524502952769</v>
      </c>
      <c r="I16" s="336"/>
      <c r="J16" s="372"/>
      <c r="K16" s="371"/>
      <c r="M16" s="359">
        <f t="shared" si="3"/>
        <v>176.21581282775313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'[75]Sch B'!E42</f>
        <v>0</v>
      </c>
      <c r="D17" s="558">
        <f>'[75]Sch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169832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'[75]Sch B'!E47</f>
        <v>0</v>
      </c>
      <c r="D18" s="558">
        <f>'[75]Sch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175828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'[75]Sch B'!E52</f>
        <v>0</v>
      </c>
      <c r="D19" s="558">
        <f>'[75]Sch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'[75]Sch B'!E67</f>
        <v>20560</v>
      </c>
      <c r="D20" s="558">
        <f>'[75]Sch B'!G67</f>
        <v>0</v>
      </c>
      <c r="E20" s="171">
        <f t="shared" si="2"/>
        <v>20560</v>
      </c>
      <c r="F20" s="171"/>
      <c r="G20" s="171">
        <f t="shared" si="0"/>
        <v>20560</v>
      </c>
      <c r="H20" s="172">
        <f t="shared" si="1"/>
        <v>3.9635003259863352E-3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5187335</v>
      </c>
      <c r="D21" s="558">
        <f>SUM(D11:D20)</f>
        <v>-1</v>
      </c>
      <c r="E21" s="171">
        <f>SUM(E11:E20)</f>
        <v>5187334</v>
      </c>
      <c r="F21" s="171">
        <f>SUM(F11:F20)</f>
        <v>0</v>
      </c>
      <c r="G21" s="171">
        <f>SUM(G11:G20)</f>
        <v>5187334</v>
      </c>
      <c r="H21" s="172">
        <f t="shared" si="1"/>
        <v>1</v>
      </c>
      <c r="I21" s="336"/>
      <c r="J21" s="168"/>
      <c r="K21" s="168"/>
      <c r="M21" s="359">
        <f>IFERROR(G21/G228,0)</f>
        <v>210.87580795967315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'[75]Sch C'!D10</f>
        <v>100572</v>
      </c>
      <c r="D25" s="558">
        <f>'[75]Sch C'!F10</f>
        <v>0</v>
      </c>
      <c r="E25" s="171">
        <f t="shared" ref="E25:E60" si="4">C25+D25</f>
        <v>100572</v>
      </c>
      <c r="F25" s="171"/>
      <c r="G25" s="182">
        <f>E25+F25</f>
        <v>100572</v>
      </c>
      <c r="H25" s="172">
        <f>IF($G$208=0,0,G25/$G$208)</f>
        <v>1.6619932814303334E-2</v>
      </c>
      <c r="I25" s="336"/>
      <c r="J25" s="183">
        <v>2080</v>
      </c>
      <c r="K25" s="183">
        <v>2160</v>
      </c>
      <c r="M25" s="359">
        <f>G25/G$228</f>
        <v>4.0884588804422943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'[75]Sch C'!D11</f>
        <v>0</v>
      </c>
      <c r="D26" s="558">
        <f>'[75]Sch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'[75]Sch C'!D12</f>
        <v>98583</v>
      </c>
      <c r="D27" s="558">
        <f>'[75]Sch C'!F12</f>
        <v>-10658</v>
      </c>
      <c r="E27" s="171">
        <f t="shared" si="4"/>
        <v>87925</v>
      </c>
      <c r="F27" s="171"/>
      <c r="G27" s="171">
        <f t="shared" si="5"/>
        <v>87925</v>
      </c>
      <c r="H27" s="172">
        <f t="shared" si="6"/>
        <v>1.4529964529865377E-2</v>
      </c>
      <c r="I27" s="336"/>
      <c r="J27" s="185">
        <v>3002</v>
      </c>
      <c r="K27" s="185">
        <v>3163</v>
      </c>
      <c r="M27" s="359">
        <f t="shared" si="7"/>
        <v>3.574332289930485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'[75]Sch C'!D13</f>
        <v>63456</v>
      </c>
      <c r="D28" s="558">
        <f>'[75]Sch C'!F13</f>
        <v>0</v>
      </c>
      <c r="E28" s="171">
        <f t="shared" si="4"/>
        <v>63456</v>
      </c>
      <c r="F28" s="171"/>
      <c r="G28" s="171">
        <f t="shared" si="5"/>
        <v>63456</v>
      </c>
      <c r="H28" s="172">
        <f t="shared" si="6"/>
        <v>1.0486362572728319E-2</v>
      </c>
      <c r="I28" s="336"/>
      <c r="J28" s="168"/>
      <c r="K28" s="168"/>
      <c r="M28" s="359">
        <f t="shared" si="7"/>
        <v>2.5796170576039676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'[75]Sch C'!D14</f>
        <v>0</v>
      </c>
      <c r="D29" s="558">
        <f>'[75]Sch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'[75]Sch C'!D15</f>
        <v>123686</v>
      </c>
      <c r="D30" s="558">
        <f>'[75]Sch C'!F15</f>
        <v>0</v>
      </c>
      <c r="E30" s="171">
        <f t="shared" si="4"/>
        <v>123686</v>
      </c>
      <c r="F30" s="171"/>
      <c r="G30" s="171">
        <f t="shared" si="5"/>
        <v>123686</v>
      </c>
      <c r="H30" s="172">
        <f t="shared" si="6"/>
        <v>2.0439615500039001E-2</v>
      </c>
      <c r="I30" s="336"/>
      <c r="J30" s="168"/>
      <c r="K30" s="168"/>
      <c r="M30" s="359">
        <f t="shared" si="7"/>
        <v>5.0280905727875114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'[75]Sch C'!D16</f>
        <v>0</v>
      </c>
      <c r="D31" s="558">
        <f>'[75]Sch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'[75]Sch C'!D17</f>
        <v>4551</v>
      </c>
      <c r="D32" s="558">
        <f>'[75]Sch C'!F17</f>
        <v>-4551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'[75]Sch C'!D18</f>
        <v>16144</v>
      </c>
      <c r="D33" s="558">
        <f>'[75]Sch C'!F18</f>
        <v>0</v>
      </c>
      <c r="E33" s="171">
        <f t="shared" si="4"/>
        <v>16144</v>
      </c>
      <c r="F33" s="171"/>
      <c r="G33" s="171">
        <f t="shared" si="5"/>
        <v>16144</v>
      </c>
      <c r="H33" s="172">
        <f t="shared" si="6"/>
        <v>2.6678617841358731E-3</v>
      </c>
      <c r="I33" s="336"/>
      <c r="J33" s="168"/>
      <c r="K33" s="168"/>
      <c r="M33" s="359">
        <f t="shared" si="7"/>
        <v>0.65628684092849299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'[75]Sch C'!D19</f>
        <v>17573</v>
      </c>
      <c r="D34" s="558">
        <f>'[75]Sch C'!F19</f>
        <v>0</v>
      </c>
      <c r="E34" s="171">
        <f t="shared" si="4"/>
        <v>17573</v>
      </c>
      <c r="F34" s="171"/>
      <c r="G34" s="171">
        <f t="shared" si="5"/>
        <v>17573</v>
      </c>
      <c r="H34" s="172">
        <f t="shared" si="6"/>
        <v>2.9040098570750558E-3</v>
      </c>
      <c r="I34" s="336"/>
      <c r="J34" s="168"/>
      <c r="K34" s="168"/>
      <c r="M34" s="359">
        <f t="shared" si="7"/>
        <v>0.71437863327777551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'[75]Sch C'!D20</f>
        <v>50447</v>
      </c>
      <c r="D35" s="558">
        <f>'[75]Sch C'!F20</f>
        <v>0</v>
      </c>
      <c r="E35" s="171">
        <f t="shared" si="4"/>
        <v>50447</v>
      </c>
      <c r="F35" s="171"/>
      <c r="G35" s="171">
        <f t="shared" si="5"/>
        <v>50447</v>
      </c>
      <c r="H35" s="172">
        <f t="shared" si="6"/>
        <v>8.3365723132000982E-3</v>
      </c>
      <c r="I35" s="336"/>
      <c r="J35" s="168"/>
      <c r="K35" s="168"/>
      <c r="M35" s="359">
        <f t="shared" si="7"/>
        <v>2.0507744217244603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'[75]Sch C'!D21</f>
        <v>0</v>
      </c>
      <c r="D36" s="558">
        <f>'[75]Sch C'!F21</f>
        <v>0</v>
      </c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336"/>
      <c r="J36" s="168"/>
      <c r="K36" s="168"/>
      <c r="M36" s="359">
        <f t="shared" si="7"/>
        <v>0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'[75]Sch C'!D22</f>
        <v>0</v>
      </c>
      <c r="D37" s="558">
        <f>'[75]Sch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'[75]Sch C'!D23</f>
        <v>3797</v>
      </c>
      <c r="D38" s="558">
        <f>'[75]Sch C'!F23</f>
        <v>0</v>
      </c>
      <c r="E38" s="171">
        <f t="shared" si="4"/>
        <v>3797</v>
      </c>
      <c r="F38" s="171"/>
      <c r="G38" s="171">
        <f t="shared" si="5"/>
        <v>3797</v>
      </c>
      <c r="H38" s="172">
        <f t="shared" si="6"/>
        <v>6.2746972214840875E-4</v>
      </c>
      <c r="I38" s="336"/>
      <c r="J38" s="168"/>
      <c r="K38" s="168"/>
      <c r="M38" s="359">
        <f t="shared" si="7"/>
        <v>0.15435586812472052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'[75]Sch C'!D24</f>
        <v>0</v>
      </c>
      <c r="D39" s="558">
        <f>'[75]Sch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'[75]Sch C'!D25</f>
        <v>0</v>
      </c>
      <c r="D40" s="558">
        <f>'[75]Sch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'[75]Sch C'!D26</f>
        <v>399752</v>
      </c>
      <c r="D41" s="558">
        <f>'[75]Sch C'!F26</f>
        <v>0</v>
      </c>
      <c r="E41" s="171">
        <f t="shared" si="4"/>
        <v>399752</v>
      </c>
      <c r="F41" s="171"/>
      <c r="G41" s="171">
        <f t="shared" si="5"/>
        <v>399752</v>
      </c>
      <c r="H41" s="172">
        <f t="shared" si="6"/>
        <v>6.6060646923431832E-2</v>
      </c>
      <c r="I41" s="336"/>
      <c r="J41" s="168"/>
      <c r="K41" s="168"/>
      <c r="M41" s="359">
        <f t="shared" si="7"/>
        <v>16.250741900077237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'[75]Sch C'!D27</f>
        <v>0</v>
      </c>
      <c r="D42" s="558">
        <f>'[75]Sch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'[75]Sch C'!D28</f>
        <v>0</v>
      </c>
      <c r="D43" s="558">
        <f>'[75]Sch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'[75]Sch C'!D29</f>
        <v>54752</v>
      </c>
      <c r="D44" s="558">
        <f>'[75]Sch C'!F29</f>
        <v>-54752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'[75]Sch C'!D30</f>
        <v>0</v>
      </c>
      <c r="D45" s="558">
        <f>'[75]Sch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'[75]Sch C'!D31</f>
        <v>0</v>
      </c>
      <c r="D46" s="558">
        <f>'[75]Sch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'[75]Sch C'!D32</f>
        <v>50161</v>
      </c>
      <c r="D47" s="558">
        <f>'[75]Sch C'!F32</f>
        <v>0</v>
      </c>
      <c r="E47" s="171">
        <f t="shared" si="4"/>
        <v>50161</v>
      </c>
      <c r="F47" s="171"/>
      <c r="G47" s="171">
        <f t="shared" si="5"/>
        <v>50161</v>
      </c>
      <c r="H47" s="172">
        <f t="shared" si="6"/>
        <v>8.2893096477972949E-3</v>
      </c>
      <c r="I47" s="336"/>
      <c r="J47" s="168"/>
      <c r="K47" s="168"/>
      <c r="M47" s="359">
        <f t="shared" si="7"/>
        <v>2.0391479328427984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'[75]Sch C'!D33</f>
        <v>0</v>
      </c>
      <c r="D48" s="558">
        <f>'[75]Sch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'[75]Sch C'!D34</f>
        <v>0</v>
      </c>
      <c r="D49" s="558">
        <f>'[75]Sch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'[75]Sch C'!D35</f>
        <v>0</v>
      </c>
      <c r="D50" s="558">
        <f>'[75]Sch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'[75]Sch C'!D36</f>
        <v>0</v>
      </c>
      <c r="D51" s="558">
        <f>'[75]Sch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'[75]Sch C'!D37</f>
        <v>0</v>
      </c>
      <c r="D52" s="558">
        <f>'[75]Sch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'[75]Sch C'!D38</f>
        <v>0</v>
      </c>
      <c r="D53" s="558">
        <f>'[75]Sch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'[75]Sch C'!D39</f>
        <v>0</v>
      </c>
      <c r="D54" s="558">
        <f>'[75]Sch C'!F39</f>
        <v>0</v>
      </c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6"/>
      <c r="J54" s="168"/>
      <c r="K54" s="168"/>
      <c r="M54" s="359">
        <f t="shared" si="7"/>
        <v>0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'[75]Sch C'!D40</f>
        <v>0</v>
      </c>
      <c r="D55" s="558">
        <f>'[75]Sch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'[75]Sch C'!D41</f>
        <v>7076</v>
      </c>
      <c r="D56" s="558">
        <f>'[75]Sch C'!F41</f>
        <v>0</v>
      </c>
      <c r="E56" s="171">
        <f t="shared" si="4"/>
        <v>7076</v>
      </c>
      <c r="F56" s="171"/>
      <c r="G56" s="171">
        <f t="shared" si="5"/>
        <v>7076</v>
      </c>
      <c r="H56" s="172">
        <f t="shared" si="6"/>
        <v>1.1693378335322993E-3</v>
      </c>
      <c r="I56" s="336"/>
      <c r="J56" s="168"/>
      <c r="K56" s="168"/>
      <c r="M56" s="359">
        <f t="shared" si="7"/>
        <v>0.28765396967356399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'[75]Sch C'!D42</f>
        <v>18393</v>
      </c>
      <c r="D57" s="558">
        <f>'[75]Sch C'!F42</f>
        <v>0</v>
      </c>
      <c r="E57" s="171">
        <f t="shared" si="4"/>
        <v>18393</v>
      </c>
      <c r="F57" s="171"/>
      <c r="G57" s="171">
        <f t="shared" si="5"/>
        <v>18393</v>
      </c>
      <c r="H57" s="172">
        <f t="shared" si="6"/>
        <v>3.039518198439737E-3</v>
      </c>
      <c r="I57" s="336"/>
      <c r="J57" s="168"/>
      <c r="K57" s="168"/>
      <c r="M57" s="359">
        <f t="shared" si="7"/>
        <v>0.74771332167974303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'[75]Sch C'!D43</f>
        <v>4284</v>
      </c>
      <c r="D58" s="558">
        <f>'[75]Sch C'!F43</f>
        <v>-4284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'[75]Sch C'!D44</f>
        <v>0</v>
      </c>
      <c r="D59" s="558">
        <f>'[75]Sch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'[75]Sch C'!D45</f>
        <v>5303</v>
      </c>
      <c r="D60" s="558">
        <f>'[75]Sch C'!F45</f>
        <v>0</v>
      </c>
      <c r="E60" s="171">
        <f t="shared" si="4"/>
        <v>5303</v>
      </c>
      <c r="F60" s="171"/>
      <c r="G60" s="171">
        <f t="shared" si="5"/>
        <v>5303</v>
      </c>
      <c r="H60" s="172">
        <f t="shared" si="6"/>
        <v>8.7634235884988449E-4</v>
      </c>
      <c r="I60" s="336"/>
      <c r="J60" s="168"/>
      <c r="K60" s="168"/>
      <c r="M60" s="359">
        <f t="shared" si="7"/>
        <v>0.21557786901906581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1018530</v>
      </c>
      <c r="D61" s="558">
        <f>SUM(D25:D60)</f>
        <v>-74245</v>
      </c>
      <c r="E61" s="171">
        <f t="shared" ref="E61:F61" si="8">SUM(E25:E60)</f>
        <v>944285</v>
      </c>
      <c r="F61" s="171">
        <f t="shared" si="8"/>
        <v>0</v>
      </c>
      <c r="G61" s="171">
        <f>SUM(G25:G60)</f>
        <v>944285</v>
      </c>
      <c r="H61" s="186">
        <f t="shared" si="6"/>
        <v>0.15604694405554653</v>
      </c>
      <c r="I61" s="338"/>
      <c r="J61" s="168"/>
      <c r="K61" s="168"/>
      <c r="M61" s="364">
        <f>G61/G$228</f>
        <v>38.387129558112122</v>
      </c>
      <c r="N61" s="359">
        <f>SUMMARY!J64</f>
        <v>53.728790309602623</v>
      </c>
      <c r="O61" s="354">
        <f>M61/N61-1</f>
        <v>-0.28553891988051294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'[75]Sch C'!D57</f>
        <v>0</v>
      </c>
      <c r="D64" s="558">
        <f>'[75]Sch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'[75]Sch C'!D58</f>
        <v>632047</v>
      </c>
      <c r="D65" s="558">
        <f>'[75]Sch C'!F58</f>
        <v>0</v>
      </c>
      <c r="E65" s="171">
        <f t="shared" si="9"/>
        <v>632047</v>
      </c>
      <c r="F65" s="171"/>
      <c r="G65" s="171">
        <f t="shared" si="10"/>
        <v>632047</v>
      </c>
      <c r="H65" s="172">
        <f t="shared" si="11"/>
        <v>0.10444834223722288</v>
      </c>
      <c r="I65" s="336"/>
      <c r="J65" s="190"/>
      <c r="K65" s="168"/>
      <c r="M65" s="359">
        <f t="shared" si="12"/>
        <v>25.694011951705352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'[75]Sch C'!D59</f>
        <v>0</v>
      </c>
      <c r="D66" s="558">
        <f>'[75]Sch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'[75]Sch C'!D60</f>
        <v>0</v>
      </c>
      <c r="D67" s="558">
        <f>'[75]Sch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'[75]Sch C'!D61</f>
        <v>0</v>
      </c>
      <c r="D68" s="558">
        <f>'[75]Sch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'[75]Sch C'!D62</f>
        <v>0</v>
      </c>
      <c r="D69" s="558">
        <f>'[75]Sch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'[75]Sch C'!D63</f>
        <v>0</v>
      </c>
      <c r="D70" s="558">
        <f>'[75]Sch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'[75]Sch C'!D64</f>
        <v>0</v>
      </c>
      <c r="D71" s="558">
        <f>'[75]Sch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'[75]Sch C'!D65</f>
        <v>0</v>
      </c>
      <c r="D72" s="558">
        <f>'[75]Sch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'[75]Sch C'!D66</f>
        <v>0</v>
      </c>
      <c r="D73" s="558">
        <f>'[75]Sch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'[75]Sch C'!D67</f>
        <v>75573</v>
      </c>
      <c r="D74" s="558">
        <f>'[75]Sch C'!F67</f>
        <v>0</v>
      </c>
      <c r="E74" s="171">
        <f t="shared" si="9"/>
        <v>75573</v>
      </c>
      <c r="F74" s="171"/>
      <c r="G74" s="171">
        <f t="shared" si="10"/>
        <v>75573</v>
      </c>
      <c r="H74" s="172">
        <f t="shared" si="11"/>
        <v>1.2488746197503738E-2</v>
      </c>
      <c r="I74" s="336"/>
      <c r="J74" s="195"/>
      <c r="K74" s="168"/>
      <c r="M74" s="359">
        <f t="shared" si="12"/>
        <v>3.0721980568315783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'[75]Sch C'!D68</f>
        <v>0</v>
      </c>
      <c r="D75" s="558">
        <f>'[75]Sch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'[75]Sch C'!D69</f>
        <v>0</v>
      </c>
      <c r="D76" s="558">
        <f>'[75]Sch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'[75]Sch C'!D70</f>
        <v>0</v>
      </c>
      <c r="D77" s="558">
        <f>'[75]Sch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'[75]Sch C'!D71</f>
        <v>0</v>
      </c>
      <c r="D78" s="558">
        <f>'[75]Sch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707620</v>
      </c>
      <c r="D79" s="558">
        <f>SUM(D64:D78)</f>
        <v>0</v>
      </c>
      <c r="E79" s="171">
        <f t="shared" ref="E79:F79" si="13">SUM(E64:E78)</f>
        <v>707620</v>
      </c>
      <c r="F79" s="171">
        <f t="shared" si="13"/>
        <v>0</v>
      </c>
      <c r="G79" s="171">
        <f>SUM(G64:G78)</f>
        <v>707620</v>
      </c>
      <c r="H79" s="172">
        <f t="shared" si="11"/>
        <v>0.11693708843472662</v>
      </c>
      <c r="I79" s="336"/>
      <c r="J79" s="195"/>
      <c r="K79" s="168"/>
      <c r="M79" s="359">
        <f t="shared" si="12"/>
        <v>28.766210008536934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'[75]Sch C'!D75</f>
        <v>33560</v>
      </c>
      <c r="D82" s="558">
        <f>'[75]Sch C'!F75</f>
        <v>0</v>
      </c>
      <c r="E82" s="171">
        <f t="shared" ref="E82:E92" si="14">C82+D82</f>
        <v>33560</v>
      </c>
      <c r="F82" s="171"/>
      <c r="G82" s="171">
        <f t="shared" ref="G82:G92" si="15">E82+F82</f>
        <v>33560</v>
      </c>
      <c r="H82" s="172">
        <f t="shared" ref="H82:H93" si="16">IF($G$208=0,0,G82/$G$208)</f>
        <v>5.5459267514618377E-3</v>
      </c>
      <c r="I82" s="336"/>
      <c r="J82" s="183">
        <v>1975</v>
      </c>
      <c r="K82" s="183">
        <v>2134</v>
      </c>
      <c r="M82" s="359">
        <f t="shared" ref="M82:M92" si="17">G82/G$228</f>
        <v>1.3642831009390626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'[75]Sch C'!D76</f>
        <v>18796</v>
      </c>
      <c r="D83" s="558">
        <f>'[75]Sch C'!F76</f>
        <v>0</v>
      </c>
      <c r="E83" s="171">
        <f t="shared" si="14"/>
        <v>18796</v>
      </c>
      <c r="F83" s="171"/>
      <c r="G83" s="171">
        <f t="shared" si="15"/>
        <v>18796</v>
      </c>
      <c r="H83" s="172">
        <f t="shared" si="16"/>
        <v>3.1061155905982331E-3</v>
      </c>
      <c r="I83" s="336"/>
      <c r="J83" s="168"/>
      <c r="K83" s="168"/>
      <c r="M83" s="359">
        <f t="shared" si="17"/>
        <v>0.76409610146753937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'[75]Sch C'!D77</f>
        <v>14168</v>
      </c>
      <c r="D84" s="558">
        <f>'[75]Sch C'!F77</f>
        <v>0</v>
      </c>
      <c r="E84" s="171">
        <f t="shared" si="14"/>
        <v>14168</v>
      </c>
      <c r="F84" s="171"/>
      <c r="G84" s="171">
        <f t="shared" si="15"/>
        <v>14168</v>
      </c>
      <c r="H84" s="172">
        <f t="shared" si="16"/>
        <v>2.3413197322619582E-3</v>
      </c>
      <c r="I84" s="336"/>
      <c r="J84" s="168"/>
      <c r="K84" s="168"/>
      <c r="M84" s="359">
        <f t="shared" si="17"/>
        <v>0.57595837229155655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'[75]Sch C'!D78</f>
        <v>0</v>
      </c>
      <c r="D85" s="558">
        <f>'[75]Sch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'[75]Sch C'!D79</f>
        <v>21993</v>
      </c>
      <c r="D86" s="558">
        <f>'[75]Sch C'!F79</f>
        <v>0</v>
      </c>
      <c r="E86" s="171">
        <f t="shared" si="14"/>
        <v>21993</v>
      </c>
      <c r="F86" s="171"/>
      <c r="G86" s="171">
        <f>E86+F86</f>
        <v>21993</v>
      </c>
      <c r="H86" s="172">
        <f t="shared" si="16"/>
        <v>3.6344328678456555E-3</v>
      </c>
      <c r="I86" s="336"/>
      <c r="J86" s="168"/>
      <c r="K86" s="168"/>
      <c r="M86" s="359">
        <f t="shared" si="17"/>
        <v>0.89406073417618603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'[75]Sch C'!D80</f>
        <v>6246</v>
      </c>
      <c r="D87" s="558">
        <f>'[75]Sch C'!F80</f>
        <v>0</v>
      </c>
      <c r="E87" s="171">
        <f t="shared" si="14"/>
        <v>6246</v>
      </c>
      <c r="F87" s="171"/>
      <c r="G87" s="171">
        <f t="shared" si="15"/>
        <v>6246</v>
      </c>
      <c r="H87" s="172">
        <f t="shared" si="16"/>
        <v>1.0321769514192681E-3</v>
      </c>
      <c r="I87" s="336"/>
      <c r="J87" s="168"/>
      <c r="K87" s="168"/>
      <c r="M87" s="359">
        <f t="shared" si="17"/>
        <v>0.25391276068132851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'[75]Sch C'!D81</f>
        <v>26315</v>
      </c>
      <c r="D88" s="558">
        <f>'[75]Sch C'!F81</f>
        <v>0</v>
      </c>
      <c r="E88" s="171">
        <f t="shared" si="14"/>
        <v>26315</v>
      </c>
      <c r="F88" s="171"/>
      <c r="G88" s="171">
        <f t="shared" si="15"/>
        <v>26315</v>
      </c>
      <c r="H88" s="172">
        <f t="shared" si="16"/>
        <v>4.3486609792824276E-3</v>
      </c>
      <c r="I88" s="336"/>
      <c r="J88" s="168"/>
      <c r="K88" s="168"/>
      <c r="M88" s="359">
        <f t="shared" si="17"/>
        <v>1.0697589332899711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'[75]Sch C'!D82</f>
        <v>0</v>
      </c>
      <c r="D89" s="558">
        <f>'[75]Sch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'[75]Sch C'!D83</f>
        <v>3388</v>
      </c>
      <c r="D90" s="558">
        <f>'[75]Sch C'!F83</f>
        <v>0</v>
      </c>
      <c r="E90" s="171">
        <f t="shared" si="14"/>
        <v>3388</v>
      </c>
      <c r="F90" s="171"/>
      <c r="G90" s="171">
        <f t="shared" si="15"/>
        <v>3388</v>
      </c>
      <c r="H90" s="172">
        <f t="shared" si="16"/>
        <v>5.5988080554090298E-4</v>
      </c>
      <c r="I90" s="336"/>
      <c r="J90" s="168"/>
      <c r="K90" s="168"/>
      <c r="M90" s="359">
        <f t="shared" si="17"/>
        <v>0.13772917598276352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'[75]Sch C'!D84</f>
        <v>118198</v>
      </c>
      <c r="D91" s="558">
        <f>'[75]Sch C'!F84</f>
        <v>0</v>
      </c>
      <c r="E91" s="171">
        <f t="shared" si="14"/>
        <v>118198</v>
      </c>
      <c r="F91" s="171"/>
      <c r="G91" s="171">
        <f t="shared" si="15"/>
        <v>118198</v>
      </c>
      <c r="H91" s="172">
        <f t="shared" si="16"/>
        <v>1.9532701137344646E-2</v>
      </c>
      <c r="I91" s="336"/>
      <c r="J91" s="168"/>
      <c r="K91" s="168"/>
      <c r="M91" s="359">
        <f t="shared" si="17"/>
        <v>4.8049920728484894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'[75]Sch C'!D85</f>
        <v>0</v>
      </c>
      <c r="D92" s="558">
        <f>'[75]Sch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242664</v>
      </c>
      <c r="D93" s="558">
        <f>SUM(D82:D92)</f>
        <v>0</v>
      </c>
      <c r="E93" s="171">
        <f t="shared" ref="E93:F93" si="18">SUM(E82:E92)</f>
        <v>242664</v>
      </c>
      <c r="F93" s="171">
        <f t="shared" si="18"/>
        <v>0</v>
      </c>
      <c r="G93" s="171">
        <f>SUM(G82:G92)</f>
        <v>242664</v>
      </c>
      <c r="H93" s="172">
        <f t="shared" si="16"/>
        <v>4.0101214815754925E-2</v>
      </c>
      <c r="I93" s="336"/>
      <c r="J93" s="168"/>
      <c r="K93" s="168"/>
      <c r="M93" s="364">
        <f>G93/G$228</f>
        <v>9.8647912516768983</v>
      </c>
      <c r="N93" s="359">
        <f>SUMMARY!J96</f>
        <v>11.458724454710746</v>
      </c>
      <c r="O93" s="354">
        <f>M93/N93-1</f>
        <v>-0.13910214957464773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'[75]Sch C'!D89</f>
        <v>233216</v>
      </c>
      <c r="D96" s="558">
        <f>'[75]Sch C'!F89</f>
        <v>0</v>
      </c>
      <c r="E96" s="171">
        <f t="shared" ref="E96:E101" si="19">C96+D96</f>
        <v>233216</v>
      </c>
      <c r="F96" s="171"/>
      <c r="G96" s="171">
        <f t="shared" ref="G96:G101" si="20">E96+F96</f>
        <v>233216</v>
      </c>
      <c r="H96" s="172">
        <f t="shared" ref="H96:H102" si="21">IF($G$208=0,0,G96/$G$208)</f>
        <v>3.8539894316714063E-2</v>
      </c>
      <c r="I96" s="336"/>
      <c r="J96" s="183">
        <v>20919</v>
      </c>
      <c r="K96" s="183">
        <v>21225</v>
      </c>
      <c r="M96" s="364">
        <f t="shared" ref="M96:M101" si="22">G96/G$228</f>
        <v>9.4807105979917878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'[75]Sch C'!D90</f>
        <v>63138</v>
      </c>
      <c r="D97" s="558">
        <f>'[75]Sch C'!F90</f>
        <v>0</v>
      </c>
      <c r="E97" s="171">
        <f t="shared" si="19"/>
        <v>63138</v>
      </c>
      <c r="F97" s="171"/>
      <c r="G97" s="171">
        <f t="shared" si="20"/>
        <v>63138</v>
      </c>
      <c r="H97" s="172">
        <f t="shared" si="21"/>
        <v>1.0433811776930795E-2</v>
      </c>
      <c r="I97" s="336"/>
      <c r="J97" s="168"/>
      <c r="K97" s="168"/>
      <c r="M97" s="364">
        <f t="shared" si="22"/>
        <v>2.5666897028334485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'[75]Sch C'!D91</f>
        <v>9924</v>
      </c>
      <c r="D98" s="558">
        <f>'[75]Sch C'!F91</f>
        <v>0</v>
      </c>
      <c r="E98" s="171">
        <f t="shared" si="19"/>
        <v>9924</v>
      </c>
      <c r="F98" s="171"/>
      <c r="G98" s="171">
        <f t="shared" si="20"/>
        <v>9924</v>
      </c>
      <c r="H98" s="172">
        <f t="shared" si="21"/>
        <v>1.6399814386623146E-3</v>
      </c>
      <c r="I98" s="336"/>
      <c r="J98" s="168"/>
      <c r="K98" s="168"/>
      <c r="M98" s="364">
        <f t="shared" si="22"/>
        <v>0.40343103378186107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'[75]Sch C'!D92</f>
        <v>194633</v>
      </c>
      <c r="D99" s="558">
        <f>'[75]Sch C'!F92</f>
        <v>0</v>
      </c>
      <c r="E99" s="171">
        <f t="shared" si="19"/>
        <v>194633</v>
      </c>
      <c r="F99" s="171"/>
      <c r="G99" s="171">
        <f t="shared" si="20"/>
        <v>194633</v>
      </c>
      <c r="H99" s="172">
        <f t="shared" si="21"/>
        <v>3.2163896347356134E-2</v>
      </c>
      <c r="I99" s="336"/>
      <c r="J99" s="168"/>
      <c r="K99" s="168"/>
      <c r="M99" s="364">
        <f t="shared" si="22"/>
        <v>7.9122322045611613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'[75]Sch C'!D93</f>
        <v>23947</v>
      </c>
      <c r="D100" s="558">
        <f>'[75]Sch C'!F93</f>
        <v>0</v>
      </c>
      <c r="E100" s="171">
        <f t="shared" si="19"/>
        <v>23947</v>
      </c>
      <c r="F100" s="171"/>
      <c r="G100" s="171">
        <f t="shared" si="20"/>
        <v>23947</v>
      </c>
      <c r="H100" s="172">
        <f t="shared" si="21"/>
        <v>3.9573393300732012E-3</v>
      </c>
      <c r="I100" s="336"/>
      <c r="J100" s="168"/>
      <c r="K100" s="168"/>
      <c r="M100" s="364">
        <f t="shared" si="22"/>
        <v>0.97349485751453313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'[75]Sch C'!D94</f>
        <v>0</v>
      </c>
      <c r="D101" s="558">
        <f>'[75]Sch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524858</v>
      </c>
      <c r="D102" s="558">
        <f>SUM(D96:D101)</f>
        <v>0</v>
      </c>
      <c r="E102" s="171">
        <f t="shared" ref="E102:F102" si="23">SUM(E96:E101)</f>
        <v>524858</v>
      </c>
      <c r="F102" s="171">
        <f t="shared" si="23"/>
        <v>0</v>
      </c>
      <c r="G102" s="171">
        <f>SUM(G96:G101)</f>
        <v>524858</v>
      </c>
      <c r="H102" s="172">
        <f t="shared" si="21"/>
        <v>8.6734923209736511E-2</v>
      </c>
      <c r="I102" s="336"/>
      <c r="J102" s="168"/>
      <c r="K102" s="168"/>
      <c r="M102" s="364">
        <f>G102/G$228</f>
        <v>21.336558396682793</v>
      </c>
      <c r="N102" s="359">
        <f>SUMMARY!J105</f>
        <v>19.901077037785338</v>
      </c>
      <c r="O102" s="354">
        <f>M102/N102-1</f>
        <v>7.2130837751744226E-2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'[75]Sch C'!D98</f>
        <v>74196</v>
      </c>
      <c r="D105" s="558">
        <f>'[75]Sch C'!F98</f>
        <v>0</v>
      </c>
      <c r="E105" s="171">
        <f t="shared" ref="E105:E110" si="24">C105+D105</f>
        <v>74196</v>
      </c>
      <c r="F105" s="171"/>
      <c r="G105" s="171">
        <f t="shared" ref="G105:G110" si="25">E105+F105</f>
        <v>74196</v>
      </c>
      <c r="H105" s="172">
        <f t="shared" ref="H105:H111" si="26">IF($G$208=0,0,G105/$G$208)</f>
        <v>1.2261191336455974E-2</v>
      </c>
      <c r="I105" s="336"/>
      <c r="J105" s="183">
        <v>6119</v>
      </c>
      <c r="K105" s="183">
        <v>6366</v>
      </c>
      <c r="M105" s="364">
        <f t="shared" ref="M105:M110" si="27">G105/G$228</f>
        <v>3.016220171551689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'[75]Sch C'!D99</f>
        <v>28419</v>
      </c>
      <c r="D106" s="558">
        <f>'[75]Sch C'!F99</f>
        <v>0</v>
      </c>
      <c r="E106" s="171">
        <f t="shared" si="24"/>
        <v>28419</v>
      </c>
      <c r="F106" s="171"/>
      <c r="G106" s="171">
        <f t="shared" si="25"/>
        <v>28419</v>
      </c>
      <c r="H106" s="172">
        <f t="shared" si="26"/>
        <v>4.6963555527352197E-3</v>
      </c>
      <c r="I106" s="336"/>
      <c r="J106" s="168"/>
      <c r="K106" s="168"/>
      <c r="M106" s="364">
        <f t="shared" si="27"/>
        <v>1.1552908654823366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'[75]Sch C'!D100</f>
        <v>8858</v>
      </c>
      <c r="D107" s="558">
        <f>'[75]Sch C'!F100</f>
        <v>0</v>
      </c>
      <c r="E107" s="171">
        <f t="shared" si="24"/>
        <v>8858</v>
      </c>
      <c r="F107" s="171"/>
      <c r="G107" s="171">
        <f t="shared" si="25"/>
        <v>8858</v>
      </c>
      <c r="H107" s="172">
        <f t="shared" si="26"/>
        <v>1.4638205948882287E-3</v>
      </c>
      <c r="I107" s="336"/>
      <c r="J107" s="168"/>
      <c r="K107" s="168"/>
      <c r="M107" s="364">
        <f t="shared" si="27"/>
        <v>0.36009593885930324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'[75]Sch C'!D101</f>
        <v>0</v>
      </c>
      <c r="D108" s="558">
        <f>'[75]Sch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'[75]Sch C'!D102</f>
        <v>10561</v>
      </c>
      <c r="D109" s="558">
        <f>'[75]Sch C'!F102</f>
        <v>0</v>
      </c>
      <c r="E109" s="171">
        <f t="shared" si="24"/>
        <v>10561</v>
      </c>
      <c r="F109" s="171"/>
      <c r="G109" s="171">
        <f t="shared" si="25"/>
        <v>10561</v>
      </c>
      <c r="H109" s="172">
        <f t="shared" si="26"/>
        <v>1.745248284332195E-3</v>
      </c>
      <c r="I109" s="336"/>
      <c r="J109" s="168"/>
      <c r="K109" s="168"/>
      <c r="M109" s="364">
        <f t="shared" si="27"/>
        <v>0.42932639538192607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'[75]Sch C'!D103</f>
        <v>0</v>
      </c>
      <c r="D110" s="558">
        <f>'[75]Sch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122034</v>
      </c>
      <c r="D111" s="558">
        <f>SUM(D105:D110)</f>
        <v>0</v>
      </c>
      <c r="E111" s="171">
        <f t="shared" ref="E111:F111" si="28">SUM(E105:E110)</f>
        <v>122034</v>
      </c>
      <c r="F111" s="171">
        <f t="shared" si="28"/>
        <v>0</v>
      </c>
      <c r="G111" s="171">
        <f>SUM(G105:G110)</f>
        <v>122034</v>
      </c>
      <c r="H111" s="172">
        <f t="shared" si="26"/>
        <v>2.0166615768411618E-2</v>
      </c>
      <c r="I111" s="336"/>
      <c r="J111" s="168"/>
      <c r="K111" s="168"/>
      <c r="M111" s="364">
        <f>G111/G$228</f>
        <v>4.9609333712752548</v>
      </c>
      <c r="N111" s="359">
        <f>SUMMARY!J114</f>
        <v>2.4242384372309496</v>
      </c>
      <c r="O111" s="354">
        <f>M111/N111-1</f>
        <v>1.0463883812278003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'[75]Sch C'!D115</f>
        <v>138872</v>
      </c>
      <c r="D114" s="558">
        <f>'[75]Sch C'!F115</f>
        <v>0</v>
      </c>
      <c r="E114" s="171">
        <f t="shared" ref="E114:E118" si="29">C114+D114</f>
        <v>138872</v>
      </c>
      <c r="F114" s="171"/>
      <c r="G114" s="171">
        <f>E114+F114</f>
        <v>138872</v>
      </c>
      <c r="H114" s="172">
        <f t="shared" ref="H114:H119" si="30">IF($G$208=0,0,G114/$G$208)</f>
        <v>2.2949163880482966E-2</v>
      </c>
      <c r="I114" s="336"/>
      <c r="J114" s="183">
        <v>11362</v>
      </c>
      <c r="K114" s="183">
        <v>12021</v>
      </c>
      <c r="M114" s="364">
        <f t="shared" ref="M114:M119" si="31">G114/G$228</f>
        <v>5.6454327411683405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'[75]Sch C'!D116</f>
        <v>50579</v>
      </c>
      <c r="D115" s="558">
        <f>'[75]Sch C'!F116</f>
        <v>0</v>
      </c>
      <c r="E115" s="171">
        <f t="shared" si="29"/>
        <v>50579</v>
      </c>
      <c r="F115" s="171"/>
      <c r="G115" s="171">
        <f>E115+F115</f>
        <v>50579</v>
      </c>
      <c r="H115" s="172">
        <f t="shared" si="30"/>
        <v>8.3583858510783166E-3</v>
      </c>
      <c r="I115" s="336"/>
      <c r="J115" s="168"/>
      <c r="K115" s="168"/>
      <c r="M115" s="364">
        <f t="shared" si="31"/>
        <v>2.0561404935159966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'[75]Sch C'!D117</f>
        <v>23917</v>
      </c>
      <c r="D116" s="558">
        <f>'[75]Sch C'!F117</f>
        <v>0</v>
      </c>
      <c r="E116" s="171">
        <f t="shared" si="29"/>
        <v>23917</v>
      </c>
      <c r="F116" s="171"/>
      <c r="G116" s="171">
        <f>E116+F116</f>
        <v>23917</v>
      </c>
      <c r="H116" s="172">
        <f t="shared" si="30"/>
        <v>3.9523817078281516E-3</v>
      </c>
      <c r="I116" s="336"/>
      <c r="J116" s="168"/>
      <c r="K116" s="168"/>
      <c r="M116" s="364">
        <f t="shared" si="31"/>
        <v>0.9722752957437294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'[75]Sch C'!D118</f>
        <v>0</v>
      </c>
      <c r="D117" s="558">
        <f>'[75]Sch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'[75]Sch C'!D119</f>
        <v>0</v>
      </c>
      <c r="D118" s="558">
        <f>'[75]Sch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213368</v>
      </c>
      <c r="D119" s="558">
        <f>SUM(D114:D118)</f>
        <v>0</v>
      </c>
      <c r="E119" s="171">
        <f t="shared" ref="E119:F119" si="32">SUM(E114:E118)</f>
        <v>213368</v>
      </c>
      <c r="F119" s="171">
        <f t="shared" si="32"/>
        <v>0</v>
      </c>
      <c r="G119" s="171">
        <f>SUM(G114:G118)</f>
        <v>213368</v>
      </c>
      <c r="H119" s="172">
        <f t="shared" si="30"/>
        <v>3.5259931439389436E-2</v>
      </c>
      <c r="I119" s="336"/>
      <c r="J119" s="168"/>
      <c r="K119" s="168"/>
      <c r="M119" s="364">
        <f t="shared" si="31"/>
        <v>8.6738485304280655</v>
      </c>
      <c r="N119" s="359">
        <f>SUMMARY!J122</f>
        <v>6.0247597205909562</v>
      </c>
      <c r="O119" s="354">
        <f>M119/N119-1</f>
        <v>0.43970032543924686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'[75]Sch C'!D124</f>
        <v>0</v>
      </c>
      <c r="D123" s="558">
        <f>'[75]Sch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'[75]Sch C'!D125</f>
        <v>267141</v>
      </c>
      <c r="D124" s="558">
        <f>'[75]Sch C'!F125</f>
        <v>0</v>
      </c>
      <c r="E124" s="171">
        <f t="shared" si="33"/>
        <v>267141</v>
      </c>
      <c r="F124" s="171"/>
      <c r="G124" s="171">
        <f>E124+F124</f>
        <v>267141</v>
      </c>
      <c r="H124" s="172">
        <f>IF($G$208=0,0,G124/$G$208)</f>
        <v>4.4146138805490669E-2</v>
      </c>
      <c r="I124" s="336"/>
      <c r="J124" s="183">
        <v>10298</v>
      </c>
      <c r="K124" s="183">
        <v>10885</v>
      </c>
      <c r="M124" s="364">
        <f t="shared" si="34"/>
        <v>10.859831700475629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'[75]Sch C'!D126</f>
        <v>0</v>
      </c>
      <c r="D125" s="558">
        <f>'[75]Sch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'[75]Sch C'!D127</f>
        <v>0</v>
      </c>
      <c r="D126" s="558">
        <f>'[75]Sch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'[75]Sch C'!D128</f>
        <v>0</v>
      </c>
      <c r="D127" s="558">
        <f>'[75]Sch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6"/>
      <c r="J127" s="183">
        <v>0</v>
      </c>
      <c r="K127" s="183">
        <v>0</v>
      </c>
      <c r="M127" s="364">
        <f t="shared" si="34"/>
        <v>0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'[75]Sch C'!D130</f>
        <v>0</v>
      </c>
      <c r="D129" s="558">
        <f>'[75]Sch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'[75]Sch C'!D131</f>
        <v>0</v>
      </c>
      <c r="D130" s="558">
        <f>'[75]Sch C'!F131</f>
        <v>0</v>
      </c>
      <c r="E130" s="171">
        <f t="shared" si="35"/>
        <v>0</v>
      </c>
      <c r="F130" s="171">
        <v>74070.710000000006</v>
      </c>
      <c r="G130" s="171">
        <f>E130+F130</f>
        <v>74070.710000000006</v>
      </c>
      <c r="H130" s="172">
        <f>IF($G$208=0,0,G130/$G$208)</f>
        <v>1.2240486653419902E-2</v>
      </c>
      <c r="I130" s="508" t="s">
        <v>722</v>
      </c>
      <c r="J130" s="204"/>
      <c r="K130" s="204"/>
      <c r="M130" s="364">
        <f t="shared" si="34"/>
        <v>3.011126875076223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'[75]Sch C'!D132</f>
        <v>0</v>
      </c>
      <c r="D131" s="558">
        <f>'[75]Sch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'[75]Sch C'!D133</f>
        <v>0</v>
      </c>
      <c r="D132" s="558">
        <f>'[75]Sch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'[75]Sch C'!D134</f>
        <v>0</v>
      </c>
      <c r="D133" s="558">
        <f>'[75]Sch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6"/>
      <c r="J133" s="168"/>
      <c r="K133" s="168"/>
      <c r="M133" s="364">
        <f t="shared" si="34"/>
        <v>0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'[75]Sch C'!D136</f>
        <v>342746</v>
      </c>
      <c r="D135" s="558">
        <f>'[75]Sch C'!F136</f>
        <v>0</v>
      </c>
      <c r="E135" s="171">
        <f t="shared" ref="E135:E138" si="36">C135+D135</f>
        <v>342746</v>
      </c>
      <c r="F135" s="171"/>
      <c r="G135" s="171">
        <f>E135+F135</f>
        <v>342746</v>
      </c>
      <c r="H135" s="172">
        <f>IF($G$208=0,0,G135/$G$208)</f>
        <v>5.6640173133389121E-2</v>
      </c>
      <c r="I135" s="336"/>
      <c r="J135" s="183">
        <v>10685</v>
      </c>
      <c r="K135" s="183">
        <v>10982</v>
      </c>
      <c r="M135" s="364">
        <f t="shared" si="34"/>
        <v>13.933330623196065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'[75]Sch C'!D137</f>
        <v>377294</v>
      </c>
      <c r="D136" s="558">
        <f>'[75]Sch C'!F137</f>
        <v>0</v>
      </c>
      <c r="E136" s="171">
        <f t="shared" si="36"/>
        <v>377294</v>
      </c>
      <c r="F136" s="171"/>
      <c r="G136" s="171">
        <f>E136+F136</f>
        <v>377294</v>
      </c>
      <c r="H136" s="172">
        <f>IF($G$208=0,0,G136/$G$208)</f>
        <v>6.2349370910787918E-2</v>
      </c>
      <c r="I136" s="336"/>
      <c r="J136" s="183">
        <v>19969</v>
      </c>
      <c r="K136" s="183">
        <v>20825</v>
      </c>
      <c r="M136" s="364">
        <f t="shared" si="34"/>
        <v>15.337777958453596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'[75]Sch C'!D138</f>
        <v>841333</v>
      </c>
      <c r="D137" s="558">
        <f>'[75]Sch C'!F138</f>
        <v>0</v>
      </c>
      <c r="E137" s="171">
        <f t="shared" si="36"/>
        <v>841333</v>
      </c>
      <c r="F137" s="171"/>
      <c r="G137" s="171">
        <f>E137+F137</f>
        <v>841333</v>
      </c>
      <c r="H137" s="172">
        <f>IF($G$208=0,0,G137/$G$208)</f>
        <v>0.13903370654313593</v>
      </c>
      <c r="I137" s="336"/>
      <c r="J137" s="183">
        <v>65762</v>
      </c>
      <c r="K137" s="183">
        <v>67741</v>
      </c>
      <c r="M137" s="364">
        <f t="shared" si="34"/>
        <v>34.201918777186066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'[75]Sch C'!D139</f>
        <v>33021</v>
      </c>
      <c r="D138" s="558">
        <f>'[75]Sch C'!F139</f>
        <v>0</v>
      </c>
      <c r="E138" s="171">
        <f t="shared" si="36"/>
        <v>33021</v>
      </c>
      <c r="F138" s="171"/>
      <c r="G138" s="171">
        <f>E138+F138</f>
        <v>33021</v>
      </c>
      <c r="H138" s="172">
        <f>IF($G$208=0,0,G138/$G$208)</f>
        <v>5.4568548051257852E-3</v>
      </c>
      <c r="I138" s="336"/>
      <c r="J138" s="183">
        <v>2123</v>
      </c>
      <c r="K138" s="183">
        <v>2339</v>
      </c>
      <c r="M138" s="364">
        <f t="shared" si="34"/>
        <v>1.3423716411236228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'[75]Sch C'!D141</f>
        <v>516151</v>
      </c>
      <c r="D140" s="558">
        <f>'[75]Sch C'!F141</f>
        <v>0</v>
      </c>
      <c r="E140" s="171">
        <f t="shared" ref="E140:E143" si="37">C140+D140</f>
        <v>516151</v>
      </c>
      <c r="F140" s="171">
        <v>-421117.35</v>
      </c>
      <c r="G140" s="171">
        <f>E140+F140</f>
        <v>95033.650000000023</v>
      </c>
      <c r="H140" s="172">
        <f>IF($G$208=0,0,G140/$G$208)</f>
        <v>1.5704697908941044E-2</v>
      </c>
      <c r="I140" s="508" t="s">
        <v>722</v>
      </c>
      <c r="J140" s="513" t="s">
        <v>723</v>
      </c>
      <c r="K140" s="168"/>
      <c r="M140" s="364">
        <f t="shared" si="34"/>
        <v>3.8633135493312745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'[75]Sch C'!D142</f>
        <v>0</v>
      </c>
      <c r="D141" s="558">
        <f>'[75]Sch C'!F142</f>
        <v>0</v>
      </c>
      <c r="E141" s="171">
        <f t="shared" si="37"/>
        <v>0</v>
      </c>
      <c r="F141" s="171">
        <v>104612.93</v>
      </c>
      <c r="G141" s="171">
        <f>E141+F141</f>
        <v>104612.93</v>
      </c>
      <c r="H141" s="172">
        <f>IF($G$208=0,0,G141/$G$208)</f>
        <v>1.7287712962926239E-2</v>
      </c>
      <c r="I141" s="508" t="s">
        <v>722</v>
      </c>
      <c r="J141" s="168"/>
      <c r="K141" s="168"/>
      <c r="M141" s="364">
        <f t="shared" si="34"/>
        <v>4.252731005325419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'[75]Sch C'!D143</f>
        <v>0</v>
      </c>
      <c r="D142" s="558">
        <f>'[75]Sch C'!F143</f>
        <v>0</v>
      </c>
      <c r="E142" s="171">
        <f t="shared" si="37"/>
        <v>0</v>
      </c>
      <c r="F142" s="171">
        <v>233277.97</v>
      </c>
      <c r="G142" s="171">
        <f>E142+F142</f>
        <v>233277.97</v>
      </c>
      <c r="H142" s="172">
        <f>IF($G$208=0,0,G142/$G$208)</f>
        <v>3.8550135111731589E-2</v>
      </c>
      <c r="I142" s="508" t="s">
        <v>722</v>
      </c>
      <c r="J142" s="168"/>
      <c r="K142" s="168"/>
      <c r="M142" s="364">
        <f t="shared" si="34"/>
        <v>9.4832298060896782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'[75]Sch C'!D144</f>
        <v>0</v>
      </c>
      <c r="D143" s="558">
        <f>'[75]Sch C'!F144</f>
        <v>0</v>
      </c>
      <c r="E143" s="171">
        <f t="shared" si="37"/>
        <v>0</v>
      </c>
      <c r="F143" s="171">
        <v>9155.74</v>
      </c>
      <c r="G143" s="171">
        <f>E143+F143</f>
        <v>9155.74</v>
      </c>
      <c r="H143" s="172">
        <f>IF($G$208=0,0,G143/$G$208)</f>
        <v>1.5130233431295949E-3</v>
      </c>
      <c r="I143" s="508" t="s">
        <v>722</v>
      </c>
      <c r="J143" s="168"/>
      <c r="K143" s="168"/>
      <c r="M143" s="364">
        <f t="shared" si="34"/>
        <v>0.37219968291393957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'[75]Sch C'!D146</f>
        <v>0</v>
      </c>
      <c r="D145" s="558">
        <f>'[75]Sch C'!F146</f>
        <v>0</v>
      </c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336"/>
      <c r="J145" s="183">
        <v>0</v>
      </c>
      <c r="K145" s="183">
        <v>0</v>
      </c>
      <c r="M145" s="364">
        <f t="shared" si="34"/>
        <v>0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'[75]Sch C'!D147</f>
        <v>209213</v>
      </c>
      <c r="D146" s="558">
        <f>'[75]Sch C'!F147</f>
        <v>0</v>
      </c>
      <c r="E146" s="171">
        <f t="shared" si="38"/>
        <v>209213</v>
      </c>
      <c r="F146" s="171"/>
      <c r="G146" s="171">
        <f t="shared" si="39"/>
        <v>209213</v>
      </c>
      <c r="H146" s="172">
        <f t="shared" si="40"/>
        <v>3.4573300758450103E-2</v>
      </c>
      <c r="I146" s="336"/>
      <c r="J146" s="183">
        <v>4650</v>
      </c>
      <c r="K146" s="183">
        <v>4650</v>
      </c>
      <c r="M146" s="364">
        <f t="shared" si="34"/>
        <v>8.5049392251717553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'[75]Sch C'!D148</f>
        <v>0</v>
      </c>
      <c r="D147" s="558">
        <f>'[75]Sch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'[75]Sch C'!D149</f>
        <v>0</v>
      </c>
      <c r="D148" s="558">
        <f>'[75]Sch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'[75]Sch C'!D150</f>
        <v>0</v>
      </c>
      <c r="D149" s="558">
        <f>'[75]Sch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6"/>
      <c r="J149" s="183">
        <v>0</v>
      </c>
      <c r="K149" s="183">
        <v>0</v>
      </c>
      <c r="M149" s="364">
        <f t="shared" si="34"/>
        <v>0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'[75]Sch C'!D151</f>
        <v>143741</v>
      </c>
      <c r="D150" s="558">
        <f>'[75]Sch C'!F151</f>
        <v>0</v>
      </c>
      <c r="E150" s="171">
        <f t="shared" si="38"/>
        <v>143741</v>
      </c>
      <c r="F150" s="171"/>
      <c r="G150" s="171">
        <f t="shared" si="39"/>
        <v>143741</v>
      </c>
      <c r="H150" s="172">
        <f t="shared" si="40"/>
        <v>2.3753785970854469E-2</v>
      </c>
      <c r="I150" s="336"/>
      <c r="J150" s="168"/>
      <c r="K150" s="168"/>
      <c r="M150" s="364">
        <f t="shared" si="34"/>
        <v>5.843367616569779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'[75]Sch C'!D152</f>
        <v>40</v>
      </c>
      <c r="D151" s="558">
        <f>'[75]Sch C'!F152</f>
        <v>0</v>
      </c>
      <c r="E151" s="171">
        <f t="shared" si="38"/>
        <v>40</v>
      </c>
      <c r="F151" s="171"/>
      <c r="G151" s="171">
        <f t="shared" si="39"/>
        <v>40</v>
      </c>
      <c r="H151" s="172">
        <f t="shared" si="40"/>
        <v>6.6101629933990912E-6</v>
      </c>
      <c r="I151" s="336"/>
      <c r="J151" s="168"/>
      <c r="K151" s="168"/>
      <c r="M151" s="364">
        <f t="shared" si="34"/>
        <v>1.6260823610715883E-3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'[75]Sch C'!D153</f>
        <v>0</v>
      </c>
      <c r="D152" s="558">
        <f>'[75]Sch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'[75]Sch C'!D154</f>
        <v>0</v>
      </c>
      <c r="D153" s="558">
        <f>'[75]Sch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'[75]Sch C'!D156</f>
        <v>0</v>
      </c>
      <c r="D155" s="558">
        <f>'[75]Sch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'[75]Sch C'!D157</f>
        <v>0</v>
      </c>
      <c r="D156" s="558">
        <f>'[75]Sch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'[75]Sch C'!D158</f>
        <v>0</v>
      </c>
      <c r="D157" s="558">
        <f>'[75]Sch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'[75]Sch C'!D159</f>
        <v>0</v>
      </c>
      <c r="D158" s="558">
        <f>'[75]Sch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'[75]Sch C'!D160</f>
        <v>0</v>
      </c>
      <c r="D159" s="558">
        <f>'[75]Sch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'[75]Sch C'!D161</f>
        <v>5761</v>
      </c>
      <c r="D160" s="558">
        <f>'[75]Sch C'!F161</f>
        <v>0</v>
      </c>
      <c r="E160" s="171">
        <f t="shared" si="41"/>
        <v>5761</v>
      </c>
      <c r="F160" s="171"/>
      <c r="G160" s="171">
        <f t="shared" si="42"/>
        <v>5761</v>
      </c>
      <c r="H160" s="172">
        <f t="shared" si="43"/>
        <v>9.5202872512430408E-4</v>
      </c>
      <c r="I160" s="336"/>
      <c r="J160" s="168"/>
      <c r="K160" s="168"/>
      <c r="M160" s="364">
        <f t="shared" si="34"/>
        <v>0.2341965120533355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2736441</v>
      </c>
      <c r="D161" s="558">
        <f>SUM(D123:D160)</f>
        <v>0</v>
      </c>
      <c r="E161" s="171">
        <f t="shared" ref="E161:F161" si="44">SUM(E123:E160)</f>
        <v>2736441</v>
      </c>
      <c r="F161" s="171">
        <f t="shared" si="44"/>
        <v>3.8198777474462986E-11</v>
      </c>
      <c r="G161" s="171">
        <f>SUM(G123:G160)</f>
        <v>2736441.0000000005</v>
      </c>
      <c r="H161" s="172">
        <f t="shared" si="43"/>
        <v>0.45220802579550012</v>
      </c>
      <c r="I161" s="336"/>
      <c r="J161" s="168"/>
      <c r="K161" s="168"/>
      <c r="M161" s="364">
        <f>G161/G$228</f>
        <v>111.24196105532747</v>
      </c>
      <c r="N161" s="359">
        <f>SUMMARY!J164</f>
        <v>105.56901037202306</v>
      </c>
      <c r="O161" s="354">
        <f>M161/N161-1</f>
        <v>5.3736893651963324E-2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'[75]Sch C'!D175</f>
        <v>0</v>
      </c>
      <c r="D164" s="558">
        <f>'[75]Sch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'[75]Sch C'!D176</f>
        <v>0</v>
      </c>
      <c r="D165" s="558">
        <f>'[75]Sch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'[75]Sch C'!D177</f>
        <v>118517</v>
      </c>
      <c r="D166" s="558">
        <f>'[75]Sch C'!F177</f>
        <v>0</v>
      </c>
      <c r="E166" s="171">
        <f t="shared" si="45"/>
        <v>118517</v>
      </c>
      <c r="F166" s="216"/>
      <c r="G166" s="171">
        <f t="shared" si="46"/>
        <v>118517</v>
      </c>
      <c r="H166" s="172">
        <f t="shared" si="47"/>
        <v>1.9585417187217003E-2</v>
      </c>
      <c r="I166" s="342"/>
      <c r="J166" s="217">
        <v>5157</v>
      </c>
      <c r="K166" s="217">
        <v>5252</v>
      </c>
      <c r="L166" s="218"/>
      <c r="M166" s="364">
        <f t="shared" si="48"/>
        <v>4.817960079678036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'[75]Sch C'!D178</f>
        <v>46995</v>
      </c>
      <c r="D167" s="558">
        <f>'[75]Sch C'!F178</f>
        <v>0</v>
      </c>
      <c r="E167" s="171">
        <f t="shared" si="45"/>
        <v>46995</v>
      </c>
      <c r="F167" s="216"/>
      <c r="G167" s="171">
        <f t="shared" si="46"/>
        <v>46995</v>
      </c>
      <c r="H167" s="172">
        <f t="shared" si="47"/>
        <v>7.7661152468697569E-3</v>
      </c>
      <c r="I167" s="343"/>
      <c r="J167" s="222"/>
      <c r="K167" s="222"/>
      <c r="L167" s="218"/>
      <c r="M167" s="364">
        <f t="shared" si="48"/>
        <v>1.9104435139639824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'[75]Sch C'!D179</f>
        <v>0</v>
      </c>
      <c r="D168" s="558">
        <f>'[75]Sch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'[75]Sch C'!D180</f>
        <v>0</v>
      </c>
      <c r="D169" s="558">
        <f>'[75]Sch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'[75]Sch C'!D181</f>
        <v>0</v>
      </c>
      <c r="D170" s="558">
        <f>'[75]Sch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'[75]Sch C'!D182</f>
        <v>0</v>
      </c>
      <c r="D171" s="558">
        <f>'[75]Sch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'[75]Sch C'!D183</f>
        <v>0</v>
      </c>
      <c r="D172" s="558">
        <f>'[75]Sch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'[75]Sch C'!D184</f>
        <v>0</v>
      </c>
      <c r="D173" s="558">
        <f>'[75]Sch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'[75]Sch C'!D185</f>
        <v>0</v>
      </c>
      <c r="D174" s="558">
        <f>'[75]Sch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'[75]Sch C'!D186</f>
        <v>0</v>
      </c>
      <c r="D175" s="558">
        <f>'[75]Sch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'[75]Sch C'!D187</f>
        <v>0</v>
      </c>
      <c r="D176" s="558">
        <f>'[75]Sch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'[75]Sch C'!D188</f>
        <v>0</v>
      </c>
      <c r="D177" s="558">
        <f>'[75]Sch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'[75]Sch C'!D189</f>
        <v>0</v>
      </c>
      <c r="D178" s="558">
        <f>'[75]Sch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'[75]Sch C'!D190</f>
        <v>0</v>
      </c>
      <c r="D179" s="558">
        <f>'[75]Sch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'[75]Sch C'!D191</f>
        <v>0</v>
      </c>
      <c r="D180" s="558">
        <f>'[75]Sch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'[75]Sch C'!D192</f>
        <v>0</v>
      </c>
      <c r="D181" s="558">
        <f>'[75]Sch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'[75]Sch C'!D193</f>
        <v>0</v>
      </c>
      <c r="D182" s="558">
        <f>'[75]Sch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'[75]Sch C'!D194</f>
        <v>1251</v>
      </c>
      <c r="D183" s="558">
        <f>'[75]Sch C'!F194</f>
        <v>0</v>
      </c>
      <c r="E183" s="171">
        <f t="shared" si="45"/>
        <v>1251</v>
      </c>
      <c r="F183" s="216"/>
      <c r="G183" s="171">
        <f t="shared" si="46"/>
        <v>1251</v>
      </c>
      <c r="H183" s="172">
        <f t="shared" si="47"/>
        <v>2.0673284761855659E-4</v>
      </c>
      <c r="I183" s="336"/>
      <c r="J183" s="223"/>
      <c r="K183" s="218"/>
      <c r="M183" s="364">
        <f t="shared" si="48"/>
        <v>5.0855725842513924E-2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'[75]Sch C'!D195</f>
        <v>0</v>
      </c>
      <c r="D184" s="558">
        <f>'[75]Sch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'[75]Sch C'!D196</f>
        <v>0</v>
      </c>
      <c r="D185" s="558">
        <f>'[75]Sch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'[75]Sch C'!D197</f>
        <v>2012</v>
      </c>
      <c r="D186" s="558">
        <f>'[75]Sch C'!F197</f>
        <v>0</v>
      </c>
      <c r="E186" s="171">
        <f t="shared" si="45"/>
        <v>2012</v>
      </c>
      <c r="F186" s="216"/>
      <c r="G186" s="171">
        <f t="shared" si="46"/>
        <v>2012</v>
      </c>
      <c r="H186" s="172">
        <f t="shared" si="47"/>
        <v>3.3249119856797426E-4</v>
      </c>
      <c r="I186" s="336"/>
      <c r="J186" s="223"/>
      <c r="K186" s="218"/>
      <c r="M186" s="364">
        <f t="shared" si="48"/>
        <v>8.1791942761900896E-2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'[75]Sch C'!D198</f>
        <v>52962</v>
      </c>
      <c r="D187" s="558">
        <f>'[75]Sch C'!F198</f>
        <v>0</v>
      </c>
      <c r="E187" s="171">
        <f t="shared" si="45"/>
        <v>52962</v>
      </c>
      <c r="F187" s="216"/>
      <c r="G187" s="171">
        <f t="shared" si="46"/>
        <v>52962</v>
      </c>
      <c r="H187" s="172">
        <f t="shared" si="47"/>
        <v>8.7521863114100665E-3</v>
      </c>
      <c r="I187" s="336"/>
      <c r="J187" s="223"/>
      <c r="K187" s="218"/>
      <c r="M187" s="364">
        <f t="shared" si="48"/>
        <v>2.1530143501768366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'[75]Sch C'!D199</f>
        <v>0</v>
      </c>
      <c r="D188" s="558">
        <f>'[75]Sch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'[75]Sch C'!D200</f>
        <v>0</v>
      </c>
      <c r="D189" s="558">
        <f>'[75]Sch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'[75]Sch C'!D201</f>
        <v>0</v>
      </c>
      <c r="D190" s="558">
        <f>'[75]Sch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'[75]Sch C'!D202</f>
        <v>0</v>
      </c>
      <c r="D191" s="558">
        <f>'[75]Sch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'[75]Sch C'!D203</f>
        <v>0</v>
      </c>
      <c r="D192" s="558">
        <f>'[75]Sch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'[75]Sch C'!D204</f>
        <v>0</v>
      </c>
      <c r="D193" s="558">
        <f>'[75]Sch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'[75]Sch C'!D205</f>
        <v>157743</v>
      </c>
      <c r="D194" s="558">
        <f>'[75]Sch C'!F205</f>
        <v>0</v>
      </c>
      <c r="E194" s="171">
        <f t="shared" si="45"/>
        <v>157743</v>
      </c>
      <c r="F194" s="216"/>
      <c r="G194" s="171">
        <f t="shared" si="46"/>
        <v>157743</v>
      </c>
      <c r="H194" s="172">
        <f t="shared" si="47"/>
        <v>2.606767352669382E-2</v>
      </c>
      <c r="I194" s="336"/>
      <c r="J194" s="223"/>
      <c r="K194" s="218"/>
      <c r="M194" s="364">
        <f t="shared" si="48"/>
        <v>6.4125777470628886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'[75]Sch C'!D206</f>
        <v>22981</v>
      </c>
      <c r="D195" s="558">
        <f>'[75]Sch C'!F206</f>
        <v>0</v>
      </c>
      <c r="E195" s="171">
        <f t="shared" si="45"/>
        <v>22981</v>
      </c>
      <c r="F195" s="216"/>
      <c r="G195" s="171">
        <f t="shared" si="46"/>
        <v>22981</v>
      </c>
      <c r="H195" s="172">
        <f t="shared" si="47"/>
        <v>3.797703893782613E-3</v>
      </c>
      <c r="I195" s="336"/>
      <c r="J195" s="223"/>
      <c r="K195" s="218"/>
      <c r="M195" s="364">
        <f t="shared" si="48"/>
        <v>0.93422496849465431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'[75]Sch C'!D207</f>
        <v>0</v>
      </c>
      <c r="D196" s="558">
        <f>'[75]Sch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402461</v>
      </c>
      <c r="D197" s="558">
        <f>SUM(D164:D196)</f>
        <v>0</v>
      </c>
      <c r="E197" s="171">
        <f t="shared" ref="E197:F197" si="49">SUM(E164:E196)</f>
        <v>402461</v>
      </c>
      <c r="F197" s="171">
        <f t="shared" si="49"/>
        <v>0</v>
      </c>
      <c r="G197" s="171">
        <f>SUM(G164:G196)</f>
        <v>402461</v>
      </c>
      <c r="H197" s="172">
        <f>IF($G$208=0,0,G197/$G$208)</f>
        <v>6.6508320212159786E-2</v>
      </c>
      <c r="I197" s="336"/>
      <c r="J197" s="168"/>
      <c r="K197" s="168"/>
      <c r="M197" s="364">
        <f>G197/G$228</f>
        <v>16.36086832798081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'[75]Sch C'!D211</f>
        <v>103013</v>
      </c>
      <c r="D200" s="558">
        <f>'[75]Sch C'!F211</f>
        <v>0</v>
      </c>
      <c r="E200" s="171">
        <f t="shared" ref="E200:E205" si="50">C200+D200</f>
        <v>103013</v>
      </c>
      <c r="F200" s="171"/>
      <c r="G200" s="171">
        <f t="shared" ref="G200:G205" si="51">E200+F200</f>
        <v>103013</v>
      </c>
      <c r="H200" s="172">
        <f t="shared" ref="H200:H206" si="52">IF($G$208=0,0,G200/$G$208)</f>
        <v>1.7023318010975515E-2</v>
      </c>
      <c r="I200" s="336"/>
      <c r="J200" s="183">
        <v>5731</v>
      </c>
      <c r="K200" s="183">
        <v>6085</v>
      </c>
      <c r="M200" s="364">
        <f t="shared" ref="M200:M205" si="53">G200/G$228</f>
        <v>4.1876905565266878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'[75]Sch C'!D212</f>
        <v>27549</v>
      </c>
      <c r="D201" s="558">
        <f>'[75]Sch C'!F212</f>
        <v>0</v>
      </c>
      <c r="E201" s="171">
        <f t="shared" si="50"/>
        <v>27549</v>
      </c>
      <c r="F201" s="171"/>
      <c r="G201" s="171">
        <f t="shared" si="51"/>
        <v>27549</v>
      </c>
      <c r="H201" s="172">
        <f t="shared" si="52"/>
        <v>4.552584507628789E-3</v>
      </c>
      <c r="I201" s="336"/>
      <c r="J201" s="168"/>
      <c r="K201" s="168"/>
      <c r="M201" s="364">
        <f t="shared" si="53"/>
        <v>1.1199235741290297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'[75]Sch C'!D213</f>
        <v>19097</v>
      </c>
      <c r="D202" s="558">
        <f>'[75]Sch C'!F213</f>
        <v>0</v>
      </c>
      <c r="E202" s="171">
        <f t="shared" si="50"/>
        <v>19097</v>
      </c>
      <c r="F202" s="171"/>
      <c r="G202" s="171">
        <f t="shared" si="51"/>
        <v>19097</v>
      </c>
      <c r="H202" s="172">
        <f t="shared" si="52"/>
        <v>3.1558570671235612E-3</v>
      </c>
      <c r="I202" s="336"/>
      <c r="J202" s="168"/>
      <c r="K202" s="168"/>
      <c r="M202" s="364">
        <f t="shared" si="53"/>
        <v>0.77633237123460308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'[75]Sch C'!D214</f>
        <v>0</v>
      </c>
      <c r="D203" s="558">
        <f>'[75]Sch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'[75]Sch C'!D215</f>
        <v>0</v>
      </c>
      <c r="D204" s="558">
        <f>'[75]Sch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'[75]Sch C'!D216</f>
        <v>7898</v>
      </c>
      <c r="D205" s="558">
        <f>'[75]Sch C'!F216</f>
        <v>0</v>
      </c>
      <c r="E205" s="171">
        <f t="shared" si="50"/>
        <v>7898</v>
      </c>
      <c r="F205" s="171"/>
      <c r="G205" s="171">
        <f t="shared" si="51"/>
        <v>7898</v>
      </c>
      <c r="H205" s="172">
        <f t="shared" si="52"/>
        <v>1.3051766830466506E-3</v>
      </c>
      <c r="I205" s="336"/>
      <c r="J205" s="168"/>
      <c r="K205" s="168"/>
      <c r="M205" s="364">
        <f t="shared" si="53"/>
        <v>0.32106996219358508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157557</v>
      </c>
      <c r="D206" s="558">
        <f>SUM(D200:D205)</f>
        <v>0</v>
      </c>
      <c r="E206" s="171">
        <f t="shared" ref="E206:F206" si="54">SUM(E200:E205)</f>
        <v>157557</v>
      </c>
      <c r="F206" s="171">
        <f t="shared" si="54"/>
        <v>0</v>
      </c>
      <c r="G206" s="171">
        <f>SUM(G200:G205)</f>
        <v>157557</v>
      </c>
      <c r="H206" s="172">
        <f t="shared" si="52"/>
        <v>2.6036936268774517E-2</v>
      </c>
      <c r="I206" s="336"/>
      <c r="J206" s="168"/>
      <c r="K206" s="168"/>
      <c r="M206" s="364">
        <f>G206/G$228</f>
        <v>6.4050164640839062</v>
      </c>
      <c r="N206" s="359">
        <f>SUMMARY!J209</f>
        <v>7.1515095990067339</v>
      </c>
      <c r="O206" s="354">
        <f>M206/N206-1</f>
        <v>-0.10438259567273844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6125533</v>
      </c>
      <c r="D208" s="558">
        <f>SUM(D25:D206)/2</f>
        <v>-74245</v>
      </c>
      <c r="E208" s="171">
        <f t="shared" ref="E208:F208" si="55">SUM(E25:E206)/2</f>
        <v>6051288</v>
      </c>
      <c r="F208" s="171">
        <f t="shared" si="55"/>
        <v>3.8198777474462986E-11</v>
      </c>
      <c r="G208" s="171">
        <f>SUM(G25:G206)/2</f>
        <v>6051288</v>
      </c>
      <c r="H208" s="172">
        <f>IF($G$208=0,0,G208/$G$208)</f>
        <v>1</v>
      </c>
      <c r="I208" s="336"/>
      <c r="J208" s="183">
        <f>SUM(J25:J200)</f>
        <v>169832</v>
      </c>
      <c r="K208" s="183">
        <f>SUM(K25:K200)</f>
        <v>175828</v>
      </c>
      <c r="M208" s="364">
        <f>G208/G$228</f>
        <v>245.99731696410424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1.0829327729428555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'[75]Sch C'!D221</f>
        <v>6125533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-938198</v>
      </c>
      <c r="D215" s="558">
        <f>D21-D208</f>
        <v>74244</v>
      </c>
      <c r="E215" s="171">
        <f t="shared" ref="E215:F215" si="56">E21-E208</f>
        <v>-863954</v>
      </c>
      <c r="F215" s="171">
        <f t="shared" si="56"/>
        <v>-3.8198777474462986E-11</v>
      </c>
      <c r="G215" s="171">
        <f>G21-G208</f>
        <v>-863954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'[75]Sch D'!C9</f>
        <v>16370</v>
      </c>
      <c r="D219" s="592"/>
      <c r="E219" s="235">
        <f t="shared" ref="E219:G227" si="57">C219+D219</f>
        <v>16370</v>
      </c>
      <c r="F219" s="234"/>
      <c r="G219" s="235">
        <f t="shared" si="57"/>
        <v>16370</v>
      </c>
      <c r="H219" s="172">
        <f t="shared" ref="H219:H228" si="58">IF($G$228=0,0,G219/$G$228)</f>
        <v>0.66547420626854747</v>
      </c>
      <c r="I219" s="336"/>
      <c r="J219" s="168"/>
      <c r="K219" s="168"/>
    </row>
    <row r="220" spans="1:17">
      <c r="A220" s="163"/>
      <c r="B220" s="170" t="s">
        <v>217</v>
      </c>
      <c r="C220" s="592">
        <f>'[75]Sch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'[75]Sch D'!E9</f>
        <v>1902</v>
      </c>
      <c r="D221" s="592"/>
      <c r="E221" s="235">
        <f t="shared" si="59"/>
        <v>1902</v>
      </c>
      <c r="F221" s="234"/>
      <c r="G221" s="235">
        <f t="shared" si="57"/>
        <v>1902</v>
      </c>
      <c r="H221" s="172">
        <f t="shared" si="58"/>
        <v>7.7320216268954023E-2</v>
      </c>
      <c r="I221" s="336"/>
      <c r="J221" s="168"/>
      <c r="K221" s="168"/>
    </row>
    <row r="222" spans="1:17">
      <c r="A222" s="163"/>
      <c r="B222" s="202" t="s">
        <v>334</v>
      </c>
      <c r="C222" s="592">
        <f>'[75]Sch D'!F9</f>
        <v>1311</v>
      </c>
      <c r="D222" s="592"/>
      <c r="E222" s="235">
        <f>C222+D222</f>
        <v>1311</v>
      </c>
      <c r="F222" s="234"/>
      <c r="G222" s="235">
        <f>E222+F222</f>
        <v>1311</v>
      </c>
      <c r="H222" s="172">
        <f t="shared" si="58"/>
        <v>5.3294849384121303E-2</v>
      </c>
      <c r="I222" s="336"/>
      <c r="J222" s="168"/>
      <c r="K222" s="168"/>
    </row>
    <row r="223" spans="1:17">
      <c r="A223" s="163"/>
      <c r="B223" s="170" t="s">
        <v>73</v>
      </c>
      <c r="C223" s="592">
        <f>'[75]Sch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'[75]Sch D'!H9</f>
        <v>4958</v>
      </c>
      <c r="D224" s="592"/>
      <c r="E224" s="235">
        <f t="shared" si="59"/>
        <v>4958</v>
      </c>
      <c r="F224" s="234"/>
      <c r="G224" s="235">
        <f t="shared" si="57"/>
        <v>4958</v>
      </c>
      <c r="H224" s="172">
        <f t="shared" si="58"/>
        <v>0.20155290865482337</v>
      </c>
      <c r="I224" s="336"/>
      <c r="J224" s="168"/>
      <c r="K224" s="168"/>
    </row>
    <row r="225" spans="1:11">
      <c r="A225" s="163"/>
      <c r="B225" s="170" t="s">
        <v>236</v>
      </c>
      <c r="C225" s="592">
        <f>'[75]Sch D'!I9</f>
        <v>58</v>
      </c>
      <c r="D225" s="592"/>
      <c r="E225" s="235">
        <f t="shared" si="59"/>
        <v>58</v>
      </c>
      <c r="F225" s="234"/>
      <c r="G225" s="235">
        <f t="shared" si="57"/>
        <v>58</v>
      </c>
      <c r="H225" s="172">
        <f t="shared" si="58"/>
        <v>2.3578194235538029E-3</v>
      </c>
      <c r="I225" s="336"/>
      <c r="J225" s="168"/>
      <c r="K225" s="168"/>
    </row>
    <row r="226" spans="1:11">
      <c r="A226" s="163"/>
      <c r="B226" s="170" t="s">
        <v>235</v>
      </c>
      <c r="C226" s="592">
        <f>'[75]Sch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'[75]Sch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24599</v>
      </c>
      <c r="D228" s="592">
        <f>SUM(D219:D227)</f>
        <v>0</v>
      </c>
      <c r="E228" s="237">
        <f>SUM(E219:E227)</f>
        <v>24599</v>
      </c>
      <c r="F228" s="237">
        <f>SUM(F219:F227)</f>
        <v>0</v>
      </c>
      <c r="G228" s="237">
        <f>SUM(G219:G227)</f>
        <v>24599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'[75]Sch D'!N22</f>
        <v>90</v>
      </c>
      <c r="D231" s="559"/>
      <c r="E231" s="235">
        <f>C231+D231</f>
        <v>90</v>
      </c>
      <c r="F231" s="235"/>
      <c r="G231" s="235">
        <f>E231+F231</f>
        <v>90</v>
      </c>
      <c r="H231" s="167"/>
      <c r="J231" s="168"/>
      <c r="K231" s="168"/>
    </row>
    <row r="232" spans="1:11">
      <c r="A232" s="163"/>
      <c r="B232" s="202" t="s">
        <v>290</v>
      </c>
      <c r="C232" s="593">
        <f>'[75]Sch D'!N24</f>
        <v>90</v>
      </c>
      <c r="D232" s="559"/>
      <c r="E232" s="235">
        <f>C232+D232</f>
        <v>90</v>
      </c>
      <c r="F232" s="235"/>
      <c r="G232" s="235">
        <f>E232+F232</f>
        <v>90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'[75]Sch D'!N28</f>
        <v>32940</v>
      </c>
      <c r="D235" s="483"/>
      <c r="E235" s="234">
        <f>E231*E233</f>
        <v>32940</v>
      </c>
      <c r="F235" s="239"/>
      <c r="G235" s="234">
        <f>G231*G233</f>
        <v>32940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'[75]Sch D'!N30</f>
        <v>0.74678202792956894</v>
      </c>
      <c r="D236" s="239"/>
      <c r="E236" s="244">
        <f>E228/E235</f>
        <v>0.74678202792956894</v>
      </c>
      <c r="F236" s="245"/>
      <c r="G236" s="244">
        <f>G228/G235</f>
        <v>0.74678202792956894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'[75]Sch D'!N32</f>
        <v>0.49696417729204617</v>
      </c>
      <c r="D237" s="239"/>
      <c r="E237" s="244">
        <f>(E219+E220)/E235</f>
        <v>0.49696417729204617</v>
      </c>
      <c r="F237" s="245"/>
      <c r="G237" s="244">
        <f>(G219+G220)/G235</f>
        <v>0.49696417729204617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'[75]Sch D'!N34</f>
        <v>0.66547420626854747</v>
      </c>
      <c r="D238" s="239"/>
      <c r="E238" s="244">
        <f>(E237/E236)</f>
        <v>0.66547420626854747</v>
      </c>
      <c r="F238" s="245"/>
      <c r="G238" s="244">
        <f>(G237/G236)</f>
        <v>0.66547420626854747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'[75]Sch B'!C85</f>
        <v>161.23457943925234</v>
      </c>
    </row>
    <row r="242" spans="2:7">
      <c r="F242" s="142" t="s">
        <v>341</v>
      </c>
      <c r="G242" s="558">
        <f>'[75]Sch B'!E85</f>
        <v>191.76396538158929</v>
      </c>
    </row>
    <row r="243" spans="2:7">
      <c r="F243" s="142" t="s">
        <v>342</v>
      </c>
      <c r="G243" s="558">
        <f>'[75]Sch B'!G85</f>
        <v>176.46859903381642</v>
      </c>
    </row>
    <row r="244" spans="2:7">
      <c r="F244" s="142" t="s">
        <v>343</v>
      </c>
      <c r="G244" s="558">
        <f>'[75]Sch B'!I85</f>
        <v>172.70719178082192</v>
      </c>
    </row>
    <row r="245" spans="2:7">
      <c r="F245" s="142"/>
    </row>
  </sheetData>
  <customSheetViews>
    <customSheetView guid="{00D6F160-3E2B-11D5-8BE5-C1A1C12816BD}" showPageBreaks="1" showGridLines="0" showRuler="0" topLeftCell="A127">
      <selection activeCell="F131" sqref="F13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0">
    <tabColor rgb="FFE28CAB"/>
  </sheetPr>
  <dimension ref="A1:T246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8203125" style="140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</row>
    <row r="2" spans="1:17" ht="23">
      <c r="B2" s="143" t="s">
        <v>189</v>
      </c>
      <c r="C2" s="246" t="s">
        <v>365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  <c r="F3" s="140" t="s">
        <v>429</v>
      </c>
    </row>
    <row r="4" spans="1:17">
      <c r="A4" s="145"/>
      <c r="B4" s="148" t="s">
        <v>80</v>
      </c>
      <c r="C4" s="489">
        <v>42551</v>
      </c>
      <c r="D4" s="144"/>
      <c r="E4" s="149"/>
      <c r="F4" s="140" t="s">
        <v>430</v>
      </c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'[76]Sch B'!E10</f>
        <v>2934520.55</v>
      </c>
      <c r="D11" s="558">
        <f>'[76]Sch B'!G10</f>
        <v>1456078.2399999998</v>
      </c>
      <c r="E11" s="171">
        <f>C11+D11</f>
        <v>4390598.7899999991</v>
      </c>
      <c r="F11" s="171"/>
      <c r="G11" s="171">
        <f t="shared" ref="G11:G20" si="0">E11+F11</f>
        <v>4390598.7899999991</v>
      </c>
      <c r="H11" s="172">
        <f t="shared" ref="H11:H21" si="1">IF($G$21=0,0,G11/$G$21)</f>
        <v>0.6607654727361989</v>
      </c>
      <c r="J11" s="368" t="s">
        <v>344</v>
      </c>
      <c r="K11" s="369">
        <f>G21</f>
        <v>6644715.8199999994</v>
      </c>
      <c r="M11" s="359">
        <f>IFERROR(G11/G219,0)</f>
        <v>266.40366421940411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'[76]Sch B'!E15</f>
        <v>0</v>
      </c>
      <c r="D12" s="558">
        <f>'[76]Sch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7815408.1842820924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'[76]Sch B'!E21</f>
        <v>813388.35000000009</v>
      </c>
      <c r="D13" s="558">
        <f>'[76]Sch B'!G21</f>
        <v>0</v>
      </c>
      <c r="E13" s="171">
        <f t="shared" si="2"/>
        <v>813388.35000000009</v>
      </c>
      <c r="F13" s="171"/>
      <c r="G13" s="171">
        <f t="shared" si="0"/>
        <v>813388.35000000009</v>
      </c>
      <c r="H13" s="172">
        <f t="shared" si="1"/>
        <v>0.12241130727544043</v>
      </c>
      <c r="J13" s="370" t="s">
        <v>346</v>
      </c>
      <c r="K13" s="371">
        <f>G228</f>
        <v>24934</v>
      </c>
      <c r="M13" s="359">
        <f t="shared" si="3"/>
        <v>433.57587953091689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'[76]Sch B'!E27</f>
        <v>23284.829999999998</v>
      </c>
      <c r="D14" s="558">
        <f>'[76]Sch B'!G27</f>
        <v>0</v>
      </c>
      <c r="E14" s="171">
        <f t="shared" si="2"/>
        <v>23284.829999999998</v>
      </c>
      <c r="F14" s="175"/>
      <c r="G14" s="175">
        <f>E14+F14</f>
        <v>23284.829999999998</v>
      </c>
      <c r="H14" s="176">
        <f t="shared" si="1"/>
        <v>3.5042627300801558E-3</v>
      </c>
      <c r="J14" s="370" t="s">
        <v>347</v>
      </c>
      <c r="K14" s="371">
        <f>G231</f>
        <v>110</v>
      </c>
      <c r="M14" s="359">
        <f t="shared" si="3"/>
        <v>204.25289473684208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'[76]Sch B'!E32</f>
        <v>0</v>
      </c>
      <c r="D15" s="558">
        <f>'[76]Sch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J15" s="370" t="s">
        <v>348</v>
      </c>
      <c r="K15" s="371">
        <f>G235</f>
        <v>40260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'[76]Sch B'!E37</f>
        <v>1236662.74</v>
      </c>
      <c r="D16" s="558">
        <f>'[76]Sch B'!G37</f>
        <v>0</v>
      </c>
      <c r="E16" s="171">
        <f t="shared" si="2"/>
        <v>1236662.74</v>
      </c>
      <c r="F16" s="171"/>
      <c r="G16" s="171">
        <f t="shared" si="0"/>
        <v>1236662.74</v>
      </c>
      <c r="H16" s="172">
        <f t="shared" si="1"/>
        <v>0.18611220908466181</v>
      </c>
      <c r="J16" s="372"/>
      <c r="K16" s="371"/>
      <c r="M16" s="359">
        <f t="shared" si="3"/>
        <v>191.34500077363452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'[76]Sch B'!E42</f>
        <v>0</v>
      </c>
      <c r="D17" s="558">
        <f>'[76]Sch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508"/>
      <c r="J17" s="370" t="s">
        <v>156</v>
      </c>
      <c r="K17" s="371">
        <f>J208</f>
        <v>205485.17999999996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'[76]Sch B'!E47</f>
        <v>0</v>
      </c>
      <c r="D18" s="558">
        <f>'[76]Sch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508"/>
      <c r="J18" s="373" t="s">
        <v>252</v>
      </c>
      <c r="K18" s="374">
        <f>K208</f>
        <v>221890.58999999997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'[76]Sch B'!E52</f>
        <v>0</v>
      </c>
      <c r="D19" s="558">
        <f>'[76]Sch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'[76]Sch B'!E67</f>
        <v>2287171.14</v>
      </c>
      <c r="D20" s="558">
        <f>'[76]Sch B'!G67</f>
        <v>-2106390.0299999998</v>
      </c>
      <c r="E20" s="171">
        <f t="shared" si="2"/>
        <v>180781.11000000034</v>
      </c>
      <c r="F20" s="171"/>
      <c r="G20" s="171">
        <f t="shared" si="0"/>
        <v>180781.11000000034</v>
      </c>
      <c r="H20" s="172">
        <f t="shared" si="1"/>
        <v>2.7206748173618709E-2</v>
      </c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7295027.6099999994</v>
      </c>
      <c r="D21" s="558">
        <f>SUM(D11:D20)</f>
        <v>-650311.79</v>
      </c>
      <c r="E21" s="171">
        <f>SUM(E11:E20)</f>
        <v>6644715.8199999994</v>
      </c>
      <c r="F21" s="171">
        <f>SUM(F11:F20)</f>
        <v>0</v>
      </c>
      <c r="G21" s="171">
        <f>SUM(G11:G20)</f>
        <v>6644715.8199999994</v>
      </c>
      <c r="H21" s="172">
        <f t="shared" si="1"/>
        <v>1</v>
      </c>
      <c r="J21" s="168"/>
      <c r="K21" s="168"/>
      <c r="M21" s="359">
        <f>IFERROR(G21/G228,0)</f>
        <v>266.4921721344349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'[76]Sch C'!D10</f>
        <v>101980.07</v>
      </c>
      <c r="D25" s="558">
        <f>'[76]Sch C'!F10</f>
        <v>0</v>
      </c>
      <c r="E25" s="171">
        <f t="shared" ref="E25:E60" si="4">C25+D25</f>
        <v>101980.07</v>
      </c>
      <c r="F25" s="171"/>
      <c r="G25" s="182">
        <f>E25+F25</f>
        <v>101980.07</v>
      </c>
      <c r="H25" s="172">
        <f>IF($G$208=0,0,G25/$G$208)</f>
        <v>1.3048591653228882E-2</v>
      </c>
      <c r="J25" s="183">
        <v>1899.58</v>
      </c>
      <c r="K25" s="183">
        <v>2080.08</v>
      </c>
      <c r="M25" s="359">
        <f>G25/G$228</f>
        <v>4.0900004010587958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'[76]Sch C'!D11</f>
        <v>0</v>
      </c>
      <c r="D26" s="558">
        <f>'[76]Sch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'[76]Sch C'!D12</f>
        <v>130643.72</v>
      </c>
      <c r="D27" s="558">
        <f>'[76]Sch C'!F12</f>
        <v>0</v>
      </c>
      <c r="E27" s="171">
        <f t="shared" si="4"/>
        <v>130643.72</v>
      </c>
      <c r="F27" s="171"/>
      <c r="G27" s="171">
        <f t="shared" si="5"/>
        <v>130643.72</v>
      </c>
      <c r="H27" s="172">
        <f t="shared" si="6"/>
        <v>1.6716173604693262E-2</v>
      </c>
      <c r="J27" s="185">
        <v>5600.44</v>
      </c>
      <c r="K27" s="185">
        <v>6174.17</v>
      </c>
      <c r="M27" s="359">
        <f t="shared" si="7"/>
        <v>5.2395812946177909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'[76]Sch C'!D13</f>
        <v>1838403.49</v>
      </c>
      <c r="D28" s="558">
        <f>'[76]Sch C'!F13</f>
        <v>-1728864</v>
      </c>
      <c r="E28" s="171">
        <f t="shared" si="4"/>
        <v>109539.48999999999</v>
      </c>
      <c r="F28" s="171"/>
      <c r="G28" s="171">
        <f t="shared" si="5"/>
        <v>109539.48999999999</v>
      </c>
      <c r="H28" s="172">
        <f t="shared" si="6"/>
        <v>1.4015837358348042E-2</v>
      </c>
      <c r="J28" s="168"/>
      <c r="K28" s="168"/>
      <c r="M28" s="359">
        <f t="shared" si="7"/>
        <v>4.393177588834523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'[76]Sch C'!D14</f>
        <v>0</v>
      </c>
      <c r="D29" s="558">
        <f>'[76]Sch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'[76]Sch C'!D15</f>
        <v>154781.87</v>
      </c>
      <c r="D30" s="558">
        <f>'[76]Sch C'!F15</f>
        <v>-154781.87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'[76]Sch C'!D16</f>
        <v>0</v>
      </c>
      <c r="D31" s="558">
        <f>'[76]Sch C'!F16</f>
        <v>187790</v>
      </c>
      <c r="E31" s="171">
        <f t="shared" si="4"/>
        <v>187790</v>
      </c>
      <c r="F31" s="171"/>
      <c r="G31" s="171">
        <f t="shared" si="5"/>
        <v>187790</v>
      </c>
      <c r="H31" s="172">
        <f t="shared" si="6"/>
        <v>2.4028175569597587E-2</v>
      </c>
      <c r="J31" s="168"/>
      <c r="K31" s="168"/>
      <c r="M31" s="359">
        <f t="shared" si="7"/>
        <v>7.531483115424721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'[76]Sch C'!D17</f>
        <v>0</v>
      </c>
      <c r="D32" s="558">
        <f>'[76]Sch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'[76]Sch C'!D18</f>
        <v>27338.82</v>
      </c>
      <c r="D33" s="558">
        <f>'[76]Sch C'!F18</f>
        <v>0</v>
      </c>
      <c r="E33" s="171">
        <f t="shared" si="4"/>
        <v>27338.82</v>
      </c>
      <c r="F33" s="171"/>
      <c r="G33" s="171">
        <f t="shared" si="5"/>
        <v>27338.82</v>
      </c>
      <c r="H33" s="172">
        <f t="shared" si="6"/>
        <v>3.4980668130657963E-3</v>
      </c>
      <c r="J33" s="168"/>
      <c r="K33" s="168"/>
      <c r="M33" s="359">
        <f t="shared" si="7"/>
        <v>1.0964474211919468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'[76]Sch C'!D19</f>
        <v>9755.0400000000009</v>
      </c>
      <c r="D34" s="558">
        <f>'[76]Sch C'!F19</f>
        <v>0</v>
      </c>
      <c r="E34" s="171">
        <f t="shared" si="4"/>
        <v>9755.0400000000009</v>
      </c>
      <c r="F34" s="171"/>
      <c r="G34" s="171">
        <f t="shared" si="5"/>
        <v>9755.0400000000009</v>
      </c>
      <c r="H34" s="172">
        <f t="shared" si="6"/>
        <v>1.2481804878238844E-3</v>
      </c>
      <c r="J34" s="168"/>
      <c r="K34" s="168"/>
      <c r="M34" s="359">
        <f t="shared" si="7"/>
        <v>0.39123445897168529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'[76]Sch C'!D20</f>
        <v>12069.38</v>
      </c>
      <c r="D35" s="558">
        <f>'[76]Sch C'!F20</f>
        <v>0</v>
      </c>
      <c r="E35" s="171">
        <f t="shared" si="4"/>
        <v>12069.38</v>
      </c>
      <c r="F35" s="171"/>
      <c r="G35" s="171">
        <f t="shared" si="5"/>
        <v>12069.38</v>
      </c>
      <c r="H35" s="172">
        <f t="shared" si="6"/>
        <v>1.5443057758996203E-3</v>
      </c>
      <c r="J35" s="168"/>
      <c r="K35" s="168"/>
      <c r="M35" s="359">
        <f t="shared" si="7"/>
        <v>0.484053100184487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'[76]Sch C'!D21</f>
        <v>14300</v>
      </c>
      <c r="D36" s="558">
        <f>'[76]Sch C'!F21</f>
        <v>0</v>
      </c>
      <c r="E36" s="171">
        <f t="shared" si="4"/>
        <v>14300</v>
      </c>
      <c r="F36" s="171"/>
      <c r="G36" s="171">
        <f t="shared" si="5"/>
        <v>14300</v>
      </c>
      <c r="H36" s="172">
        <f t="shared" si="6"/>
        <v>1.8297188915557031E-3</v>
      </c>
      <c r="J36" s="168"/>
      <c r="K36" s="168"/>
      <c r="M36" s="359">
        <f t="shared" si="7"/>
        <v>0.57351407716371217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'[76]Sch C'!D22</f>
        <v>0</v>
      </c>
      <c r="D37" s="558">
        <f>'[76]Sch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'[76]Sch C'!D23</f>
        <v>11455.98</v>
      </c>
      <c r="D38" s="558">
        <f>'[76]Sch C'!F23</f>
        <v>0</v>
      </c>
      <c r="E38" s="171">
        <f t="shared" si="4"/>
        <v>11455.98</v>
      </c>
      <c r="F38" s="171"/>
      <c r="G38" s="171">
        <f t="shared" si="5"/>
        <v>11455.98</v>
      </c>
      <c r="H38" s="172">
        <f t="shared" si="6"/>
        <v>1.4658197921177834E-3</v>
      </c>
      <c r="J38" s="168"/>
      <c r="K38" s="168"/>
      <c r="M38" s="359">
        <f t="shared" si="7"/>
        <v>0.45945215368573034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'[76]Sch C'!D24</f>
        <v>6948.17</v>
      </c>
      <c r="D39" s="558">
        <f>'[76]Sch C'!F24</f>
        <v>0</v>
      </c>
      <c r="E39" s="171">
        <f t="shared" si="4"/>
        <v>6948.17</v>
      </c>
      <c r="F39" s="171"/>
      <c r="G39" s="171">
        <f t="shared" si="5"/>
        <v>6948.17</v>
      </c>
      <c r="H39" s="172">
        <f t="shared" si="6"/>
        <v>8.8903481893290838E-4</v>
      </c>
      <c r="J39" s="168"/>
      <c r="K39" s="168"/>
      <c r="M39" s="359">
        <f t="shared" si="7"/>
        <v>0.27866246891794338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'[76]Sch C'!D25</f>
        <v>0</v>
      </c>
      <c r="D40" s="558">
        <f>'[76]Sch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'[76]Sch C'!D26</f>
        <v>421089.17</v>
      </c>
      <c r="D41" s="558">
        <f>'[76]Sch C'!F26</f>
        <v>0</v>
      </c>
      <c r="E41" s="171">
        <f t="shared" si="4"/>
        <v>421089.17</v>
      </c>
      <c r="F41" s="171"/>
      <c r="G41" s="171">
        <f t="shared" si="5"/>
        <v>421089.17</v>
      </c>
      <c r="H41" s="172">
        <f t="shared" si="6"/>
        <v>5.3879357299196573E-2</v>
      </c>
      <c r="J41" s="168"/>
      <c r="K41" s="168"/>
      <c r="M41" s="359">
        <f t="shared" si="7"/>
        <v>16.888151520012833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'[76]Sch C'!D27</f>
        <v>11.55</v>
      </c>
      <c r="D42" s="558">
        <f>'[76]Sch C'!F27</f>
        <v>0</v>
      </c>
      <c r="E42" s="171">
        <f t="shared" si="4"/>
        <v>11.55</v>
      </c>
      <c r="F42" s="171"/>
      <c r="G42" s="171">
        <f t="shared" si="5"/>
        <v>11.55</v>
      </c>
      <c r="H42" s="172">
        <f t="shared" si="6"/>
        <v>1.4778498739488372E-6</v>
      </c>
      <c r="J42" s="168"/>
      <c r="K42" s="168"/>
      <c r="M42" s="359">
        <f t="shared" si="7"/>
        <v>4.6322290847838297E-4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'[76]Sch C'!D28</f>
        <v>0</v>
      </c>
      <c r="D43" s="558">
        <f>'[76]Sch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'[76]Sch C'!D29</f>
        <v>39039.199999999997</v>
      </c>
      <c r="D44" s="558">
        <f>'[76]Sch C'!F29</f>
        <v>-39039.199999999997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'[76]Sch C'!D30</f>
        <v>0</v>
      </c>
      <c r="D45" s="558">
        <f>'[76]Sch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'[76]Sch C'!D31</f>
        <v>96786.12</v>
      </c>
      <c r="D46" s="558">
        <f>'[76]Sch C'!F31</f>
        <v>0</v>
      </c>
      <c r="E46" s="171">
        <f t="shared" si="4"/>
        <v>96786.12</v>
      </c>
      <c r="F46" s="171"/>
      <c r="G46" s="171">
        <f t="shared" si="5"/>
        <v>96786.12</v>
      </c>
      <c r="H46" s="172">
        <f t="shared" si="6"/>
        <v>1.2384013440865543E-2</v>
      </c>
      <c r="J46" s="168"/>
      <c r="K46" s="168"/>
      <c r="M46" s="359">
        <f t="shared" si="7"/>
        <v>3.8816924681158258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'[76]Sch C'!D32</f>
        <v>55042.45</v>
      </c>
      <c r="D47" s="558">
        <f>'[76]Sch C'!F32</f>
        <v>0</v>
      </c>
      <c r="E47" s="171">
        <f t="shared" si="4"/>
        <v>55042.45</v>
      </c>
      <c r="F47" s="171"/>
      <c r="G47" s="171">
        <f t="shared" si="5"/>
        <v>55042.45</v>
      </c>
      <c r="H47" s="172">
        <f t="shared" si="6"/>
        <v>7.0428119302454687E-3</v>
      </c>
      <c r="J47" s="168"/>
      <c r="K47" s="168"/>
      <c r="M47" s="359">
        <f t="shared" si="7"/>
        <v>2.2075258682922914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'[76]Sch C'!D33</f>
        <v>0</v>
      </c>
      <c r="D48" s="558">
        <f>'[76]Sch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'[76]Sch C'!D34</f>
        <v>0</v>
      </c>
      <c r="D49" s="558">
        <f>'[76]Sch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'[76]Sch C'!D35</f>
        <v>0</v>
      </c>
      <c r="D50" s="558">
        <f>'[76]Sch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'[76]Sch C'!D36</f>
        <v>0</v>
      </c>
      <c r="D51" s="558">
        <f>'[76]Sch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'[76]Sch C'!D37</f>
        <v>0</v>
      </c>
      <c r="D52" s="558">
        <f>'[76]Sch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'[76]Sch C'!D38</f>
        <v>0</v>
      </c>
      <c r="D53" s="558">
        <f>'[76]Sch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'[76]Sch C'!D39</f>
        <v>7493.35</v>
      </c>
      <c r="D54" s="558">
        <f>'[76]Sch C'!F39</f>
        <v>0</v>
      </c>
      <c r="E54" s="171">
        <f t="shared" si="4"/>
        <v>7493.35</v>
      </c>
      <c r="F54" s="171"/>
      <c r="G54" s="171">
        <f t="shared" si="5"/>
        <v>7493.35</v>
      </c>
      <c r="H54" s="172">
        <f t="shared" si="6"/>
        <v>9.5879189203069428E-4</v>
      </c>
      <c r="J54" s="168"/>
      <c r="K54" s="168"/>
      <c r="M54" s="359">
        <f t="shared" si="7"/>
        <v>0.30052739231571352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'[76]Sch C'!D40</f>
        <v>7264.91</v>
      </c>
      <c r="D55" s="558">
        <f>'[76]Sch C'!F40</f>
        <v>-7264.91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'[76]Sch C'!D41</f>
        <v>0</v>
      </c>
      <c r="D56" s="558">
        <f>'[76]Sch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J56" s="168"/>
      <c r="K56" s="168"/>
      <c r="M56" s="359">
        <f t="shared" si="7"/>
        <v>0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'[76]Sch C'!D42</f>
        <v>29.5</v>
      </c>
      <c r="D57" s="558">
        <f>'[76]Sch C'!F42</f>
        <v>0</v>
      </c>
      <c r="E57" s="171">
        <f t="shared" si="4"/>
        <v>29.5</v>
      </c>
      <c r="F57" s="171"/>
      <c r="G57" s="171">
        <f t="shared" si="5"/>
        <v>29.5</v>
      </c>
      <c r="H57" s="172">
        <f t="shared" si="6"/>
        <v>3.7745949161463804E-6</v>
      </c>
      <c r="J57" s="168"/>
      <c r="K57" s="168"/>
      <c r="M57" s="359">
        <f t="shared" si="7"/>
        <v>1.1831234458971685E-3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'[76]Sch C'!D43</f>
        <v>4094.76</v>
      </c>
      <c r="D58" s="558">
        <f>'[76]Sch C'!F43</f>
        <v>0</v>
      </c>
      <c r="E58" s="171">
        <f t="shared" si="4"/>
        <v>4094.76</v>
      </c>
      <c r="F58" s="171">
        <v>-3685.28</v>
      </c>
      <c r="G58" s="171">
        <f t="shared" si="5"/>
        <v>409.48</v>
      </c>
      <c r="H58" s="172">
        <f t="shared" si="6"/>
        <v>5.2393936483512541E-5</v>
      </c>
      <c r="I58" s="236" t="s">
        <v>724</v>
      </c>
      <c r="J58" s="168"/>
      <c r="K58" s="168"/>
      <c r="M58" s="359">
        <f t="shared" si="7"/>
        <v>1.6422555546643139E-2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'[76]Sch C'!D44</f>
        <v>0</v>
      </c>
      <c r="D59" s="558">
        <f>'[76]Sch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'[76]Sch C'!D45</f>
        <v>649695.68000000005</v>
      </c>
      <c r="D60" s="558">
        <f>'[76]Sch C'!F45</f>
        <v>-650311.79</v>
      </c>
      <c r="E60" s="171">
        <f t="shared" si="4"/>
        <v>-616.10999999998603</v>
      </c>
      <c r="F60" s="171"/>
      <c r="G60" s="171">
        <f t="shared" si="5"/>
        <v>-616.10999999998603</v>
      </c>
      <c r="H60" s="172">
        <f t="shared" si="6"/>
        <v>-7.8832734704640462E-5</v>
      </c>
      <c r="J60" s="168"/>
      <c r="K60" s="168"/>
      <c r="M60" s="359">
        <f t="shared" si="7"/>
        <v>-2.4709633432260611E-2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3588223.23</v>
      </c>
      <c r="D61" s="558">
        <f>SUM(D25:D60)</f>
        <v>-2392471.77</v>
      </c>
      <c r="E61" s="171">
        <f t="shared" ref="E61:F61" si="8">SUM(E25:E60)</f>
        <v>1195751.4600000004</v>
      </c>
      <c r="F61" s="171">
        <f t="shared" si="8"/>
        <v>-3685.28</v>
      </c>
      <c r="G61" s="171">
        <f>SUM(G25:G60)</f>
        <v>1192066.1800000002</v>
      </c>
      <c r="H61" s="186">
        <f t="shared" si="6"/>
        <v>0.15252769297417074</v>
      </c>
      <c r="J61" s="168"/>
      <c r="K61" s="168"/>
      <c r="M61" s="364">
        <f>G61/G$228</f>
        <v>47.808862597256763</v>
      </c>
      <c r="N61" s="359">
        <f>SUMMARY!J64</f>
        <v>53.728790309602623</v>
      </c>
      <c r="O61" s="354">
        <f>M61/N61-1</f>
        <v>-0.11018166756097292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'[76]Sch C'!D57</f>
        <v>0</v>
      </c>
      <c r="D64" s="558">
        <f>'[76]Sch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'[76]Sch C'!D58</f>
        <v>203302.9</v>
      </c>
      <c r="D65" s="558">
        <f>'[76]Sch C'!F58</f>
        <v>0</v>
      </c>
      <c r="E65" s="171">
        <f t="shared" si="9"/>
        <v>203302.9</v>
      </c>
      <c r="F65" s="171"/>
      <c r="G65" s="171">
        <f t="shared" si="10"/>
        <v>203302.9</v>
      </c>
      <c r="H65" s="172">
        <f t="shared" si="11"/>
        <v>2.6013087890773421E-2</v>
      </c>
      <c r="J65" s="190"/>
      <c r="K65" s="168"/>
      <c r="M65" s="359">
        <f t="shared" si="12"/>
        <v>8.1536416138605912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'[76]Sch C'!D59</f>
        <v>0</v>
      </c>
      <c r="D66" s="558">
        <f>'[76]Sch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'[76]Sch C'!D60</f>
        <v>0</v>
      </c>
      <c r="D67" s="558">
        <f>'[76]Sch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'[76]Sch C'!D61</f>
        <v>21689.599999999999</v>
      </c>
      <c r="D68" s="558">
        <f>'[76]Sch C'!F61</f>
        <v>0</v>
      </c>
      <c r="E68" s="171">
        <f t="shared" si="9"/>
        <v>21689.599999999999</v>
      </c>
      <c r="F68" s="171"/>
      <c r="G68" s="171">
        <f t="shared" si="10"/>
        <v>21689.599999999999</v>
      </c>
      <c r="H68" s="172">
        <f t="shared" si="11"/>
        <v>2.7752357251948656E-3</v>
      </c>
      <c r="J68" s="193"/>
      <c r="K68" s="168"/>
      <c r="M68" s="359">
        <f t="shared" si="12"/>
        <v>0.86988048447902455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'[76]Sch C'!D62</f>
        <v>1499.98</v>
      </c>
      <c r="D69" s="558">
        <f>'[76]Sch C'!F62</f>
        <v>0</v>
      </c>
      <c r="E69" s="171">
        <f t="shared" si="9"/>
        <v>1499.98</v>
      </c>
      <c r="F69" s="171"/>
      <c r="G69" s="171">
        <f t="shared" si="10"/>
        <v>1499.98</v>
      </c>
      <c r="H69" s="172">
        <f t="shared" si="11"/>
        <v>1.9192599601088975E-4</v>
      </c>
      <c r="J69" s="195"/>
      <c r="K69" s="168"/>
      <c r="M69" s="359">
        <f t="shared" si="12"/>
        <v>6.0158017165316435E-2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'[76]Sch C'!D63</f>
        <v>0</v>
      </c>
      <c r="D70" s="558">
        <f>'[76]Sch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'[76]Sch C'!D64</f>
        <v>0</v>
      </c>
      <c r="D71" s="558">
        <f>'[76]Sch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'[76]Sch C'!D65</f>
        <v>2577.88</v>
      </c>
      <c r="D72" s="558">
        <f>'[76]Sch C'!F65</f>
        <v>0</v>
      </c>
      <c r="E72" s="171">
        <f t="shared" si="9"/>
        <v>2577.88</v>
      </c>
      <c r="F72" s="171"/>
      <c r="G72" s="171">
        <f t="shared" si="10"/>
        <v>2577.88</v>
      </c>
      <c r="H72" s="172">
        <f t="shared" si="11"/>
        <v>3.2984585567577736E-4</v>
      </c>
      <c r="J72" s="195"/>
      <c r="K72" s="168"/>
      <c r="M72" s="359">
        <f t="shared" si="12"/>
        <v>0.10338814470201332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'[76]Sch C'!D66</f>
        <v>200</v>
      </c>
      <c r="D73" s="558">
        <f>'[76]Sch C'!F66</f>
        <v>0</v>
      </c>
      <c r="E73" s="171">
        <f t="shared" si="9"/>
        <v>200</v>
      </c>
      <c r="F73" s="171"/>
      <c r="G73" s="171">
        <f t="shared" si="10"/>
        <v>200</v>
      </c>
      <c r="H73" s="172">
        <f t="shared" si="11"/>
        <v>2.559047400777207E-5</v>
      </c>
      <c r="J73" s="195"/>
      <c r="K73" s="168"/>
      <c r="M73" s="359">
        <f t="shared" si="12"/>
        <v>8.0211759043875824E-3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'[76]Sch C'!D67</f>
        <v>22522.68</v>
      </c>
      <c r="D74" s="558">
        <f>'[76]Sch C'!F67</f>
        <v>0</v>
      </c>
      <c r="E74" s="171">
        <f t="shared" si="9"/>
        <v>22522.68</v>
      </c>
      <c r="F74" s="171"/>
      <c r="G74" s="171">
        <f t="shared" si="10"/>
        <v>22522.68</v>
      </c>
      <c r="H74" s="172">
        <f t="shared" si="11"/>
        <v>2.8818302856268392E-3</v>
      </c>
      <c r="J74" s="195"/>
      <c r="K74" s="168"/>
      <c r="M74" s="359">
        <f t="shared" si="12"/>
        <v>0.90329189059116066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'[76]Sch C'!D68</f>
        <v>0</v>
      </c>
      <c r="D75" s="558">
        <f>'[76]Sch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'[76]Sch C'!D69</f>
        <v>0</v>
      </c>
      <c r="D76" s="558">
        <f>'[76]Sch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'[76]Sch C'!D70</f>
        <v>0</v>
      </c>
      <c r="D77" s="558">
        <f>'[76]Sch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'[76]Sch C'!D71</f>
        <v>0</v>
      </c>
      <c r="D78" s="558">
        <f>'[76]Sch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251793.04</v>
      </c>
      <c r="D79" s="558">
        <f>SUM(D64:D78)</f>
        <v>0</v>
      </c>
      <c r="E79" s="171">
        <f t="shared" ref="E79:F79" si="13">SUM(E64:E78)</f>
        <v>251793.04</v>
      </c>
      <c r="F79" s="171">
        <f t="shared" si="13"/>
        <v>0</v>
      </c>
      <c r="G79" s="171">
        <f>SUM(G64:G78)</f>
        <v>251793.04</v>
      </c>
      <c r="H79" s="172">
        <f t="shared" si="11"/>
        <v>3.2217516227289571E-2</v>
      </c>
      <c r="J79" s="195"/>
      <c r="K79" s="168"/>
      <c r="M79" s="359">
        <f t="shared" si="12"/>
        <v>10.098381326702494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'[76]Sch C'!D75</f>
        <v>156529</v>
      </c>
      <c r="D82" s="558">
        <f>'[76]Sch C'!F75</f>
        <v>0</v>
      </c>
      <c r="E82" s="171">
        <f t="shared" ref="E82:E92" si="14">C82+D82</f>
        <v>156529</v>
      </c>
      <c r="F82" s="171"/>
      <c r="G82" s="171">
        <f t="shared" ref="G82:G92" si="15">E82+F82</f>
        <v>156529</v>
      </c>
      <c r="H82" s="172">
        <f t="shared" ref="H82:H93" si="16">IF($G$208=0,0,G82/$G$208)</f>
        <v>2.0028256529812771E-2</v>
      </c>
      <c r="J82" s="183">
        <v>6549.61</v>
      </c>
      <c r="K82" s="183">
        <v>7059.06</v>
      </c>
      <c r="M82" s="359">
        <f t="shared" ref="M82:M92" si="17">G82/G$228</f>
        <v>6.2777332156894197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'[76]Sch C'!D76</f>
        <v>0</v>
      </c>
      <c r="D83" s="558">
        <f>'[76]Sch C'!F76</f>
        <v>73706.971347807004</v>
      </c>
      <c r="E83" s="171">
        <f t="shared" si="14"/>
        <v>73706.971347807004</v>
      </c>
      <c r="F83" s="171"/>
      <c r="G83" s="171">
        <f t="shared" si="15"/>
        <v>73706.971347807004</v>
      </c>
      <c r="H83" s="172">
        <f t="shared" si="16"/>
        <v>9.4309816723382803E-3</v>
      </c>
      <c r="J83" s="168"/>
      <c r="K83" s="168"/>
      <c r="M83" s="359">
        <f t="shared" si="17"/>
        <v>2.9560829128020778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'[76]Sch C'!D77</f>
        <v>4390.01</v>
      </c>
      <c r="D84" s="558">
        <f>'[76]Sch C'!F77</f>
        <v>0</v>
      </c>
      <c r="E84" s="171">
        <f t="shared" si="14"/>
        <v>4390.01</v>
      </c>
      <c r="F84" s="171"/>
      <c r="G84" s="171">
        <f t="shared" si="15"/>
        <v>4390.01</v>
      </c>
      <c r="H84" s="172">
        <f t="shared" si="16"/>
        <v>5.6171218399429736E-4</v>
      </c>
      <c r="J84" s="168"/>
      <c r="K84" s="168"/>
      <c r="M84" s="359">
        <f t="shared" si="17"/>
        <v>0.17606521216010268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'[76]Sch C'!D78</f>
        <v>345.76</v>
      </c>
      <c r="D85" s="558">
        <f>'[76]Sch C'!F78</f>
        <v>0</v>
      </c>
      <c r="E85" s="171">
        <f t="shared" si="14"/>
        <v>345.76</v>
      </c>
      <c r="F85" s="171"/>
      <c r="G85" s="171">
        <f t="shared" si="15"/>
        <v>345.76</v>
      </c>
      <c r="H85" s="172">
        <f t="shared" si="16"/>
        <v>4.4240811464636354E-5</v>
      </c>
      <c r="J85" s="168"/>
      <c r="K85" s="168"/>
      <c r="M85" s="359">
        <f t="shared" si="17"/>
        <v>1.3867008903505253E-2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'[76]Sch C'!D79</f>
        <v>5166.16</v>
      </c>
      <c r="D86" s="558">
        <f>'[76]Sch C'!F79</f>
        <v>0</v>
      </c>
      <c r="E86" s="171">
        <f t="shared" si="14"/>
        <v>5166.16</v>
      </c>
      <c r="F86" s="171"/>
      <c r="G86" s="171">
        <f>E86+F86</f>
        <v>5166.16</v>
      </c>
      <c r="H86" s="172">
        <f t="shared" si="16"/>
        <v>6.6102241599995881E-4</v>
      </c>
      <c r="J86" s="168"/>
      <c r="K86" s="168"/>
      <c r="M86" s="359">
        <f t="shared" si="17"/>
        <v>0.20719339055105479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'[76]Sch C'!D80</f>
        <v>38220.32</v>
      </c>
      <c r="D87" s="558">
        <f>'[76]Sch C'!F80</f>
        <v>0</v>
      </c>
      <c r="E87" s="171">
        <f t="shared" si="14"/>
        <v>38220.32</v>
      </c>
      <c r="F87" s="171"/>
      <c r="G87" s="171">
        <f t="shared" si="15"/>
        <v>38220.32</v>
      </c>
      <c r="H87" s="172">
        <f t="shared" si="16"/>
        <v>4.8903805276436551E-3</v>
      </c>
      <c r="J87" s="168"/>
      <c r="K87" s="168"/>
      <c r="M87" s="359">
        <f t="shared" si="17"/>
        <v>1.5328595492099142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'[76]Sch C'!D81</f>
        <v>27050.21</v>
      </c>
      <c r="D88" s="558">
        <f>'[76]Sch C'!F81</f>
        <v>0</v>
      </c>
      <c r="E88" s="171">
        <f t="shared" si="14"/>
        <v>27050.21</v>
      </c>
      <c r="F88" s="171"/>
      <c r="G88" s="171">
        <f t="shared" si="15"/>
        <v>27050.21</v>
      </c>
      <c r="H88" s="172">
        <f t="shared" si="16"/>
        <v>3.4611384795488805E-3</v>
      </c>
      <c r="J88" s="168"/>
      <c r="K88" s="168"/>
      <c r="M88" s="359">
        <f t="shared" si="17"/>
        <v>1.0848724633031201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'[76]Sch C'!D82</f>
        <v>26243.3</v>
      </c>
      <c r="D89" s="558">
        <f>'[76]Sch C'!F82</f>
        <v>0</v>
      </c>
      <c r="E89" s="171">
        <f t="shared" si="14"/>
        <v>26243.3</v>
      </c>
      <c r="F89" s="171"/>
      <c r="G89" s="171">
        <f t="shared" si="15"/>
        <v>26243.3</v>
      </c>
      <c r="H89" s="172">
        <f t="shared" si="16"/>
        <v>3.3578924326408237E-3</v>
      </c>
      <c r="J89" s="168"/>
      <c r="K89" s="168"/>
      <c r="M89" s="359">
        <f t="shared" si="17"/>
        <v>1.0525106280580734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'[76]Sch C'!D83</f>
        <v>3252.26</v>
      </c>
      <c r="D90" s="558">
        <f>'[76]Sch C'!F83</f>
        <v>0</v>
      </c>
      <c r="E90" s="171">
        <f t="shared" si="14"/>
        <v>3252.26</v>
      </c>
      <c r="F90" s="171"/>
      <c r="G90" s="171">
        <f t="shared" si="15"/>
        <v>3252.26</v>
      </c>
      <c r="H90" s="172">
        <f t="shared" si="16"/>
        <v>4.1613437498258402E-4</v>
      </c>
      <c r="J90" s="168"/>
      <c r="K90" s="168"/>
      <c r="M90" s="359">
        <f t="shared" si="17"/>
        <v>0.13043474773401781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'[76]Sch C'!D84</f>
        <v>189516.39</v>
      </c>
      <c r="D91" s="558">
        <f>'[76]Sch C'!F84</f>
        <v>0</v>
      </c>
      <c r="E91" s="171">
        <f t="shared" si="14"/>
        <v>189516.39</v>
      </c>
      <c r="F91" s="171"/>
      <c r="G91" s="171">
        <f t="shared" si="15"/>
        <v>189516.39</v>
      </c>
      <c r="H91" s="172">
        <f t="shared" si="16"/>
        <v>2.4249071261708974E-2</v>
      </c>
      <c r="J91" s="168"/>
      <c r="K91" s="168"/>
      <c r="M91" s="359">
        <f t="shared" si="17"/>
        <v>7.6007215047726007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'[76]Sch C'!D85</f>
        <v>0</v>
      </c>
      <c r="D92" s="558">
        <f>'[76]Sch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450713.41000000003</v>
      </c>
      <c r="D93" s="558">
        <f>SUM(D82:D92)</f>
        <v>73706.971347807004</v>
      </c>
      <c r="E93" s="171">
        <f t="shared" ref="E93:F93" si="18">SUM(E82:E92)</f>
        <v>524420.38134780712</v>
      </c>
      <c r="F93" s="171">
        <f t="shared" si="18"/>
        <v>0</v>
      </c>
      <c r="G93" s="171">
        <f>SUM(G82:G92)</f>
        <v>524420.38134780712</v>
      </c>
      <c r="H93" s="172">
        <f t="shared" si="16"/>
        <v>6.710083069013488E-2</v>
      </c>
      <c r="J93" s="168"/>
      <c r="K93" s="168"/>
      <c r="M93" s="364">
        <f>G93/G$228</f>
        <v>21.032340633183889</v>
      </c>
      <c r="N93" s="359">
        <f>SUMMARY!J96</f>
        <v>11.458724454710746</v>
      </c>
      <c r="O93" s="354">
        <f>M93/N93-1</f>
        <v>0.8354870750502581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'[76]Sch C'!D89</f>
        <v>274843.06</v>
      </c>
      <c r="D96" s="558">
        <f>'[76]Sch C'!F89</f>
        <v>0</v>
      </c>
      <c r="E96" s="171">
        <f t="shared" ref="E96:E101" si="19">C96+D96</f>
        <v>274843.06</v>
      </c>
      <c r="F96" s="171"/>
      <c r="G96" s="171">
        <f t="shared" ref="G96:G101" si="20">E96+F96</f>
        <v>274843.06</v>
      </c>
      <c r="H96" s="172">
        <f t="shared" ref="H96:H102" si="21">IF($G$208=0,0,G96/$G$208)</f>
        <v>3.5166820915732699E-2</v>
      </c>
      <c r="J96" s="183">
        <v>19736.400000000001</v>
      </c>
      <c r="K96" s="183">
        <v>21571.4</v>
      </c>
      <c r="M96" s="364">
        <f t="shared" ref="M96:M101" si="22">G96/G$228</f>
        <v>11.022822651800753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'[76]Sch C'!D90</f>
        <v>0</v>
      </c>
      <c r="D97" s="558">
        <f>'[76]Sch C'!F90</f>
        <v>129419.14628320377</v>
      </c>
      <c r="E97" s="171">
        <f t="shared" si="19"/>
        <v>129419.14628320377</v>
      </c>
      <c r="F97" s="171"/>
      <c r="G97" s="171">
        <f t="shared" si="20"/>
        <v>129419.14628320377</v>
      </c>
      <c r="H97" s="172">
        <f t="shared" si="21"/>
        <v>1.6559486495341887E-2</v>
      </c>
      <c r="J97" s="168"/>
      <c r="K97" s="168"/>
      <c r="M97" s="364">
        <f t="shared" si="22"/>
        <v>5.190468688666229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'[76]Sch C'!D91</f>
        <v>10124.01</v>
      </c>
      <c r="D98" s="558">
        <f>'[76]Sch C'!F91</f>
        <v>0</v>
      </c>
      <c r="E98" s="171">
        <f t="shared" si="19"/>
        <v>10124.01</v>
      </c>
      <c r="F98" s="171"/>
      <c r="G98" s="171">
        <f t="shared" si="20"/>
        <v>10124.01</v>
      </c>
      <c r="H98" s="172">
        <f t="shared" si="21"/>
        <v>1.2953910737971226E-3</v>
      </c>
      <c r="J98" s="168"/>
      <c r="K98" s="168"/>
      <c r="M98" s="364">
        <f t="shared" si="22"/>
        <v>0.40603232533889472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'[76]Sch C'!D92</f>
        <v>224846.4</v>
      </c>
      <c r="D99" s="558">
        <f>'[76]Sch C'!F92</f>
        <v>0</v>
      </c>
      <c r="E99" s="171">
        <f t="shared" si="19"/>
        <v>224846.4</v>
      </c>
      <c r="F99" s="171"/>
      <c r="G99" s="171">
        <f t="shared" si="20"/>
        <v>224846.4</v>
      </c>
      <c r="H99" s="172">
        <f t="shared" si="21"/>
        <v>2.876962977470561E-2</v>
      </c>
      <c r="J99" s="168"/>
      <c r="K99" s="168"/>
      <c r="M99" s="364">
        <f t="shared" si="22"/>
        <v>9.0176626293414603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'[76]Sch C'!D93</f>
        <v>31350.15</v>
      </c>
      <c r="D100" s="558">
        <f>'[76]Sch C'!F93</f>
        <v>0</v>
      </c>
      <c r="E100" s="171">
        <f t="shared" si="19"/>
        <v>31350.15</v>
      </c>
      <c r="F100" s="171"/>
      <c r="G100" s="171">
        <f t="shared" si="20"/>
        <v>31350.15</v>
      </c>
      <c r="H100" s="172">
        <f t="shared" si="21"/>
        <v>4.0113259935737784E-3</v>
      </c>
      <c r="J100" s="168"/>
      <c r="K100" s="168"/>
      <c r="M100" s="364">
        <f t="shared" si="22"/>
        <v>1.2573253388946821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'[76]Sch C'!D94</f>
        <v>0</v>
      </c>
      <c r="D101" s="558">
        <f>'[76]Sch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541163.62</v>
      </c>
      <c r="D102" s="558">
        <f>SUM(D96:D101)</f>
        <v>129419.14628320377</v>
      </c>
      <c r="E102" s="171">
        <f t="shared" ref="E102:F102" si="23">SUM(E96:E101)</f>
        <v>670582.76628320385</v>
      </c>
      <c r="F102" s="171">
        <f t="shared" si="23"/>
        <v>0</v>
      </c>
      <c r="G102" s="171">
        <f>SUM(G96:G101)</f>
        <v>670582.76628320385</v>
      </c>
      <c r="H102" s="172">
        <f t="shared" si="21"/>
        <v>8.5802654253151103E-2</v>
      </c>
      <c r="J102" s="168"/>
      <c r="K102" s="168"/>
      <c r="M102" s="364">
        <f>G102/G$228</f>
        <v>26.894311634042026</v>
      </c>
      <c r="N102" s="359">
        <f>SUMMARY!J105</f>
        <v>19.901077037785338</v>
      </c>
      <c r="O102" s="354">
        <f>M102/N102-1</f>
        <v>0.35139980529591064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'[76]Sch C'!D98</f>
        <v>25242.79</v>
      </c>
      <c r="D105" s="558">
        <f>'[76]Sch C'!F98</f>
        <v>0</v>
      </c>
      <c r="E105" s="171">
        <f t="shared" ref="E105:E110" si="24">C105+D105</f>
        <v>25242.79</v>
      </c>
      <c r="F105" s="171"/>
      <c r="G105" s="171">
        <f t="shared" ref="G105:G110" si="25">E105+F105</f>
        <v>25242.79</v>
      </c>
      <c r="H105" s="172">
        <f t="shared" ref="H105:H111" si="26">IF($G$208=0,0,G105/$G$208)</f>
        <v>3.2298748068932438E-3</v>
      </c>
      <c r="J105" s="183">
        <v>1865.81</v>
      </c>
      <c r="K105" s="183">
        <v>2063.09</v>
      </c>
      <c r="M105" s="364">
        <f t="shared" ref="M105:M110" si="27">G105/G$228</f>
        <v>1.0123842945375792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'[76]Sch C'!D99</f>
        <v>0</v>
      </c>
      <c r="D106" s="558">
        <f>'[76]Sch C'!F99</f>
        <v>11886.42104190731</v>
      </c>
      <c r="E106" s="171">
        <f t="shared" si="24"/>
        <v>11886.42104190731</v>
      </c>
      <c r="F106" s="171"/>
      <c r="G106" s="171">
        <f t="shared" si="25"/>
        <v>11886.42104190731</v>
      </c>
      <c r="H106" s="172">
        <f t="shared" si="26"/>
        <v>1.52089574359182E-3</v>
      </c>
      <c r="J106" s="168"/>
      <c r="K106" s="168"/>
      <c r="M106" s="364">
        <f t="shared" si="27"/>
        <v>0.47671537025376232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'[76]Sch C'!D100</f>
        <v>1725.74</v>
      </c>
      <c r="D107" s="558">
        <f>'[76]Sch C'!F100</f>
        <v>0</v>
      </c>
      <c r="E107" s="171">
        <f t="shared" si="24"/>
        <v>1725.74</v>
      </c>
      <c r="F107" s="171"/>
      <c r="G107" s="171">
        <f t="shared" si="25"/>
        <v>1725.74</v>
      </c>
      <c r="H107" s="172">
        <f t="shared" si="26"/>
        <v>2.2081252307086288E-4</v>
      </c>
      <c r="J107" s="168"/>
      <c r="K107" s="168"/>
      <c r="M107" s="364">
        <f t="shared" si="27"/>
        <v>6.9212320526189142E-2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'[76]Sch C'!D101</f>
        <v>0</v>
      </c>
      <c r="D108" s="558">
        <f>'[76]Sch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'[76]Sch C'!D102</f>
        <v>1366.66</v>
      </c>
      <c r="D109" s="558">
        <f>'[76]Sch C'!F102</f>
        <v>0</v>
      </c>
      <c r="E109" s="171">
        <f t="shared" si="24"/>
        <v>1366.66</v>
      </c>
      <c r="F109" s="171"/>
      <c r="G109" s="171">
        <f t="shared" si="25"/>
        <v>1366.66</v>
      </c>
      <c r="H109" s="172">
        <f t="shared" si="26"/>
        <v>1.7486738603730891E-4</v>
      </c>
      <c r="J109" s="168"/>
      <c r="K109" s="168"/>
      <c r="M109" s="364">
        <f t="shared" si="27"/>
        <v>5.4811101307451676E-2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'[76]Sch C'!D103</f>
        <v>0</v>
      </c>
      <c r="D110" s="558">
        <f>'[76]Sch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28335.190000000002</v>
      </c>
      <c r="D111" s="558">
        <f>SUM(D105:D110)</f>
        <v>11886.42104190731</v>
      </c>
      <c r="E111" s="171">
        <f t="shared" ref="E111:F111" si="28">SUM(E105:E110)</f>
        <v>40221.611041907316</v>
      </c>
      <c r="F111" s="171">
        <f t="shared" si="28"/>
        <v>0</v>
      </c>
      <c r="G111" s="171">
        <f>SUM(G105:G110)</f>
        <v>40221.611041907316</v>
      </c>
      <c r="H111" s="172">
        <f t="shared" si="26"/>
        <v>5.1464504595932362E-3</v>
      </c>
      <c r="J111" s="168"/>
      <c r="K111" s="168"/>
      <c r="M111" s="364">
        <f>G111/G$228</f>
        <v>1.6131230866249826</v>
      </c>
      <c r="N111" s="359">
        <f>SUMMARY!J114</f>
        <v>2.4242384372309496</v>
      </c>
      <c r="O111" s="354">
        <f>M111/N111-1</f>
        <v>-0.33458563239862305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'[76]Sch C'!D115</f>
        <v>215066.3</v>
      </c>
      <c r="D114" s="558">
        <f>'[76]Sch C'!F115</f>
        <v>0</v>
      </c>
      <c r="E114" s="171">
        <f t="shared" ref="E114:E118" si="29">C114+D114</f>
        <v>215066.3</v>
      </c>
      <c r="F114" s="171"/>
      <c r="G114" s="171">
        <f>E114+F114</f>
        <v>215066.3</v>
      </c>
      <c r="H114" s="172">
        <f t="shared" ref="H114:H119" si="30">IF($G$208=0,0,G114/$G$208)</f>
        <v>2.7518242800488552E-2</v>
      </c>
      <c r="J114" s="183">
        <v>15894.74</v>
      </c>
      <c r="K114" s="183">
        <v>17323.28</v>
      </c>
      <c r="M114" s="364">
        <f t="shared" ref="M114:M119" si="31">G114/G$228</f>
        <v>8.6254231170289568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'[76]Sch C'!D116</f>
        <v>0</v>
      </c>
      <c r="D115" s="558">
        <f>'[76]Sch C'!F116</f>
        <v>101271.23799410247</v>
      </c>
      <c r="E115" s="171">
        <f t="shared" si="29"/>
        <v>101271.23799410247</v>
      </c>
      <c r="F115" s="171"/>
      <c r="G115" s="171">
        <f>E115+F115</f>
        <v>101271.23799410247</v>
      </c>
      <c r="H115" s="172">
        <f t="shared" si="30"/>
        <v>1.2957894918114892E-2</v>
      </c>
      <c r="J115" s="168"/>
      <c r="K115" s="168"/>
      <c r="M115" s="364">
        <f t="shared" si="31"/>
        <v>4.0615720700289755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'[76]Sch C'!D117</f>
        <v>52572.78</v>
      </c>
      <c r="D116" s="558">
        <f>'[76]Sch C'!F117</f>
        <v>0</v>
      </c>
      <c r="E116" s="171">
        <f t="shared" si="29"/>
        <v>52572.78</v>
      </c>
      <c r="F116" s="171"/>
      <c r="G116" s="171">
        <f>E116+F116</f>
        <v>52572.78</v>
      </c>
      <c r="H116" s="172">
        <f t="shared" si="30"/>
        <v>6.7268118005315968E-3</v>
      </c>
      <c r="J116" s="168"/>
      <c r="K116" s="168"/>
      <c r="M116" s="364">
        <f t="shared" si="31"/>
        <v>2.1084775808133474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'[76]Sch C'!D118</f>
        <v>642.26</v>
      </c>
      <c r="D117" s="558">
        <f>'[76]Sch C'!F118</f>
        <v>0</v>
      </c>
      <c r="E117" s="171">
        <f t="shared" si="29"/>
        <v>642.26</v>
      </c>
      <c r="F117" s="171"/>
      <c r="G117" s="171">
        <f>E117+F117</f>
        <v>642.26</v>
      </c>
      <c r="H117" s="172">
        <f t="shared" si="30"/>
        <v>8.2178689181158456E-5</v>
      </c>
      <c r="J117" s="168"/>
      <c r="K117" s="168"/>
      <c r="M117" s="364">
        <f t="shared" si="31"/>
        <v>2.5758402181759846E-2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'[76]Sch C'!D119</f>
        <v>0</v>
      </c>
      <c r="D118" s="558">
        <f>'[76]Sch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268281.33999999997</v>
      </c>
      <c r="D119" s="558">
        <f>SUM(D114:D118)</f>
        <v>101271.23799410247</v>
      </c>
      <c r="E119" s="171">
        <f t="shared" ref="E119:F119" si="32">SUM(E114:E118)</f>
        <v>369552.5779941025</v>
      </c>
      <c r="F119" s="171">
        <f t="shared" si="32"/>
        <v>0</v>
      </c>
      <c r="G119" s="171">
        <f>SUM(G114:G118)</f>
        <v>369552.5779941025</v>
      </c>
      <c r="H119" s="172">
        <f t="shared" si="30"/>
        <v>4.7285128208316207E-2</v>
      </c>
      <c r="J119" s="168"/>
      <c r="K119" s="168"/>
      <c r="M119" s="364">
        <f t="shared" si="31"/>
        <v>14.821231170053039</v>
      </c>
      <c r="N119" s="359">
        <f>SUMMARY!J122</f>
        <v>6.0247597205909562</v>
      </c>
      <c r="O119" s="354">
        <f>M119/N119-1</f>
        <v>1.4600534888384322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'[76]Sch C'!D124</f>
        <v>0</v>
      </c>
      <c r="D123" s="558">
        <f>'[76]Sch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'[76]Sch C'!D125</f>
        <v>85431.22</v>
      </c>
      <c r="D124" s="558">
        <f>'[76]Sch C'!F125</f>
        <v>0</v>
      </c>
      <c r="E124" s="171">
        <f t="shared" si="33"/>
        <v>85431.22</v>
      </c>
      <c r="F124" s="171"/>
      <c r="G124" s="171">
        <f>E124+F124</f>
        <v>85431.22</v>
      </c>
      <c r="H124" s="172">
        <f>IF($G$208=0,0,G124/$G$208)</f>
        <v>1.0931127074311287E-2</v>
      </c>
      <c r="J124" s="183">
        <v>1864.08</v>
      </c>
      <c r="K124" s="183">
        <v>2080.08</v>
      </c>
      <c r="M124" s="364">
        <f t="shared" si="34"/>
        <v>3.426294216732173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'[76]Sch C'!D126</f>
        <v>0</v>
      </c>
      <c r="D125" s="558">
        <f>'[76]Sch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'[76]Sch C'!D127</f>
        <v>0</v>
      </c>
      <c r="D126" s="558">
        <f>'[76]Sch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'[76]Sch C'!D128</f>
        <v>106822.78</v>
      </c>
      <c r="D127" s="558">
        <f>'[76]Sch C'!F128</f>
        <v>0</v>
      </c>
      <c r="E127" s="171">
        <f t="shared" si="33"/>
        <v>106822.78</v>
      </c>
      <c r="F127" s="171"/>
      <c r="G127" s="171">
        <f>E127+F127</f>
        <v>106822.78</v>
      </c>
      <c r="H127" s="172">
        <f>IF($G$208=0,0,G127/$G$208)</f>
        <v>1.3668227875139771E-2</v>
      </c>
      <c r="J127" s="183">
        <v>5109.1000000000004</v>
      </c>
      <c r="K127" s="183">
        <v>5899.73</v>
      </c>
      <c r="M127" s="364">
        <f t="shared" si="34"/>
        <v>4.2842215448784788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405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'[76]Sch C'!D130</f>
        <v>0</v>
      </c>
      <c r="D129" s="558">
        <f>'[76]Sch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'[76]Sch C'!D131</f>
        <v>0</v>
      </c>
      <c r="D130" s="558">
        <f>'[76]Sch C'!F131</f>
        <v>40228.178067630899</v>
      </c>
      <c r="E130" s="171">
        <f t="shared" si="35"/>
        <v>40228.178067630899</v>
      </c>
      <c r="F130" s="171"/>
      <c r="G130" s="171">
        <f>E130+F130</f>
        <v>40228.178067630899</v>
      </c>
      <c r="H130" s="172">
        <f>IF($G$208=0,0,G130/$G$208)</f>
        <v>5.1472907260986748E-3</v>
      </c>
      <c r="J130" s="204"/>
      <c r="K130" s="204"/>
      <c r="M130" s="364">
        <f t="shared" si="34"/>
        <v>1.6133864629674701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'[76]Sch C'!D132</f>
        <v>0</v>
      </c>
      <c r="D131" s="558">
        <f>'[76]Sch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'[76]Sch C'!D133</f>
        <v>0</v>
      </c>
      <c r="D132" s="558">
        <f>'[76]Sch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'[76]Sch C'!D134</f>
        <v>0</v>
      </c>
      <c r="D133" s="558">
        <f>'[76]Sch C'!F134</f>
        <v>50301.117267427064</v>
      </c>
      <c r="E133" s="171">
        <f t="shared" si="35"/>
        <v>50301.117267427064</v>
      </c>
      <c r="F133" s="171"/>
      <c r="G133" s="171">
        <f>E133+F133</f>
        <v>50301.117267427064</v>
      </c>
      <c r="H133" s="172">
        <f>IF($G$208=0,0,G133/$G$208)</f>
        <v>6.4361471699699363E-3</v>
      </c>
      <c r="J133" s="168"/>
      <c r="K133" s="168"/>
      <c r="M133" s="364">
        <f t="shared" si="34"/>
        <v>2.017370548946301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'[76]Sch C'!D136</f>
        <v>654281.36</v>
      </c>
      <c r="D135" s="558">
        <f>'[76]Sch C'!F136</f>
        <v>0</v>
      </c>
      <c r="E135" s="171">
        <f t="shared" ref="E135:E138" si="36">C135+D135</f>
        <v>654281.36</v>
      </c>
      <c r="F135" s="171"/>
      <c r="G135" s="171">
        <f>E135+F135</f>
        <v>654281.36</v>
      </c>
      <c r="H135" s="172">
        <f>IF($G$208=0,0,G135/$G$208)</f>
        <v>8.3716850684248806E-2</v>
      </c>
      <c r="J135" s="183">
        <v>21096.240000000002</v>
      </c>
      <c r="K135" s="183">
        <v>23128.17</v>
      </c>
      <c r="M135" s="364">
        <f t="shared" si="34"/>
        <v>26.240529397609688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'[76]Sch C'!D137</f>
        <v>460808.11</v>
      </c>
      <c r="D136" s="558">
        <f>'[76]Sch C'!F137</f>
        <v>0</v>
      </c>
      <c r="E136" s="171">
        <f t="shared" si="36"/>
        <v>460808.11</v>
      </c>
      <c r="F136" s="171"/>
      <c r="G136" s="171">
        <f>E136+F136</f>
        <v>460808.11</v>
      </c>
      <c r="H136" s="172">
        <f>IF($G$208=0,0,G136/$G$208)</f>
        <v>5.8961489807627866E-2</v>
      </c>
      <c r="J136" s="183">
        <v>22015.279999999999</v>
      </c>
      <c r="K136" s="183">
        <v>24069.65</v>
      </c>
      <c r="M136" s="364">
        <f t="shared" si="34"/>
        <v>18.481114542391914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'[76]Sch C'!D138</f>
        <v>1240913.1399999999</v>
      </c>
      <c r="D137" s="558">
        <f>'[76]Sch C'!F138</f>
        <v>0</v>
      </c>
      <c r="E137" s="171">
        <f t="shared" si="36"/>
        <v>1240913.1399999999</v>
      </c>
      <c r="F137" s="171"/>
      <c r="G137" s="171">
        <f>E137+F137</f>
        <v>1240913.1399999999</v>
      </c>
      <c r="H137" s="172">
        <f>IF($G$208=0,0,G137/$G$208)</f>
        <v>0.1587777772753641</v>
      </c>
      <c r="J137" s="183">
        <v>81635.95</v>
      </c>
      <c r="K137" s="183">
        <v>86616.26</v>
      </c>
      <c r="M137" s="364">
        <f t="shared" si="34"/>
        <v>49.767912890029677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'[76]Sch C'!D139</f>
        <v>0</v>
      </c>
      <c r="D138" s="558">
        <f>'[76]Sch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'[76]Sch C'!D141</f>
        <v>0</v>
      </c>
      <c r="D140" s="558">
        <f>'[76]Sch C'!F141</f>
        <v>308090.49731950118</v>
      </c>
      <c r="E140" s="171">
        <f t="shared" ref="E140:E143" si="37">C140+D140</f>
        <v>308090.49731950118</v>
      </c>
      <c r="F140" s="171"/>
      <c r="G140" s="171">
        <f>E140+F140</f>
        <v>308090.49731950118</v>
      </c>
      <c r="H140" s="172">
        <f>IF($G$208=0,0,G140/$G$208)</f>
        <v>3.9420909318481329E-2</v>
      </c>
      <c r="J140" s="168"/>
      <c r="K140" s="168"/>
      <c r="M140" s="364">
        <f t="shared" si="34"/>
        <v>12.356240367349852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'[76]Sch C'!D142</f>
        <v>0</v>
      </c>
      <c r="D141" s="558">
        <f>'[76]Sch C'!F142</f>
        <v>216987.07690336677</v>
      </c>
      <c r="E141" s="171">
        <f t="shared" si="37"/>
        <v>216987.07690336677</v>
      </c>
      <c r="F141" s="171"/>
      <c r="G141" s="171">
        <f>E141+F141</f>
        <v>216987.07690336677</v>
      </c>
      <c r="H141" s="172">
        <f>IF($G$208=0,0,G141/$G$208)</f>
        <v>2.7764010757590236E-2</v>
      </c>
      <c r="J141" s="168"/>
      <c r="K141" s="168"/>
      <c r="M141" s="364">
        <f t="shared" si="34"/>
        <v>8.7024575641039057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'[76]Sch C'!D143</f>
        <v>0</v>
      </c>
      <c r="D142" s="558">
        <f>'[76]Sch C'!F143</f>
        <v>584325.90290040325</v>
      </c>
      <c r="E142" s="171">
        <f t="shared" si="37"/>
        <v>584325.90290040325</v>
      </c>
      <c r="F142" s="171"/>
      <c r="G142" s="171">
        <f>E142+F142</f>
        <v>584325.90290040325</v>
      </c>
      <c r="H142" s="172">
        <f>IF($G$208=0,0,G142/$G$208)</f>
        <v>7.4765884151203582E-2</v>
      </c>
      <c r="J142" s="168"/>
      <c r="K142" s="168"/>
      <c r="M142" s="364">
        <f t="shared" si="34"/>
        <v>23.434904263271164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'[76]Sch C'!D144</f>
        <v>0</v>
      </c>
      <c r="D143" s="558">
        <f>'[76]Sch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'[76]Sch C'!D146</f>
        <v>16800</v>
      </c>
      <c r="D145" s="558">
        <f>'[76]Sch C'!F146</f>
        <v>0</v>
      </c>
      <c r="E145" s="171">
        <f t="shared" ref="E145:E153" si="38">C145+D145</f>
        <v>16800</v>
      </c>
      <c r="F145" s="171"/>
      <c r="G145" s="171">
        <f t="shared" ref="G145:G153" si="39">E145+F145</f>
        <v>16800</v>
      </c>
      <c r="H145" s="172">
        <f t="shared" ref="H145:H153" si="40">IF($G$208=0,0,G145/$G$208)</f>
        <v>2.1495998166528541E-3</v>
      </c>
      <c r="J145" s="183">
        <v>0</v>
      </c>
      <c r="K145" s="183">
        <v>0</v>
      </c>
      <c r="M145" s="364">
        <f t="shared" si="34"/>
        <v>0.67377877596855695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'[76]Sch C'!D147</f>
        <v>0</v>
      </c>
      <c r="D146" s="558">
        <f>'[76]Sch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'[76]Sch C'!D148</f>
        <v>0</v>
      </c>
      <c r="D147" s="558">
        <f>'[76]Sch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'[76]Sch C'!D149</f>
        <v>0</v>
      </c>
      <c r="D148" s="558">
        <f>'[76]Sch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'[76]Sch C'!D150</f>
        <v>7513.43</v>
      </c>
      <c r="D149" s="558">
        <f>'[76]Sch C'!F150</f>
        <v>0</v>
      </c>
      <c r="E149" s="171">
        <f t="shared" si="38"/>
        <v>7513.43</v>
      </c>
      <c r="F149" s="171"/>
      <c r="G149" s="171">
        <f t="shared" si="39"/>
        <v>7513.43</v>
      </c>
      <c r="H149" s="172">
        <f t="shared" si="40"/>
        <v>9.6136117562107464E-4</v>
      </c>
      <c r="J149" s="183">
        <v>0</v>
      </c>
      <c r="K149" s="183">
        <v>0</v>
      </c>
      <c r="M149" s="364">
        <f t="shared" si="34"/>
        <v>0.30133271837651399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'[76]Sch C'!D151</f>
        <v>185007.03</v>
      </c>
      <c r="D150" s="558">
        <f>'[76]Sch C'!F151</f>
        <v>0</v>
      </c>
      <c r="E150" s="171">
        <f t="shared" si="38"/>
        <v>185007.03</v>
      </c>
      <c r="F150" s="171"/>
      <c r="G150" s="171">
        <f t="shared" si="39"/>
        <v>185007.03</v>
      </c>
      <c r="H150" s="172">
        <f t="shared" si="40"/>
        <v>2.3672087962350537E-2</v>
      </c>
      <c r="I150" s="508"/>
      <c r="J150" s="168"/>
      <c r="K150" s="168"/>
      <c r="M150" s="364">
        <f t="shared" si="34"/>
        <v>7.4198696558915538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'[76]Sch C'!D152</f>
        <v>793.66</v>
      </c>
      <c r="D151" s="558">
        <f>'[76]Sch C'!F152</f>
        <v>0</v>
      </c>
      <c r="E151" s="171">
        <f t="shared" si="38"/>
        <v>793.66</v>
      </c>
      <c r="F151" s="171"/>
      <c r="G151" s="171">
        <f t="shared" si="39"/>
        <v>793.66</v>
      </c>
      <c r="H151" s="172">
        <f t="shared" si="40"/>
        <v>1.0155067800504191E-4</v>
      </c>
      <c r="J151" s="168"/>
      <c r="K151" s="168"/>
      <c r="M151" s="364">
        <f t="shared" si="34"/>
        <v>3.1830432341381248E-2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'[76]Sch C'!D153</f>
        <v>3781.96</v>
      </c>
      <c r="D152" s="558">
        <f>'[76]Sch C'!F153</f>
        <v>0</v>
      </c>
      <c r="E152" s="171">
        <f t="shared" si="38"/>
        <v>3781.96</v>
      </c>
      <c r="F152" s="171"/>
      <c r="G152" s="171">
        <f t="shared" si="39"/>
        <v>3781.96</v>
      </c>
      <c r="H152" s="172">
        <f t="shared" si="40"/>
        <v>4.8391074539216828E-4</v>
      </c>
      <c r="J152" s="168"/>
      <c r="K152" s="168"/>
      <c r="M152" s="364">
        <f t="shared" si="34"/>
        <v>0.15167883211678831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'[76]Sch C'!D154</f>
        <v>0</v>
      </c>
      <c r="D153" s="558">
        <f>'[76]Sch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'[76]Sch C'!D156</f>
        <v>0</v>
      </c>
      <c r="D155" s="558">
        <f>'[76]Sch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'[76]Sch C'!D157</f>
        <v>0</v>
      </c>
      <c r="D156" s="558">
        <f>'[76]Sch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'[76]Sch C'!D158</f>
        <v>0</v>
      </c>
      <c r="D157" s="558">
        <f>'[76]Sch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'[76]Sch C'!D159</f>
        <v>0</v>
      </c>
      <c r="D158" s="558">
        <f>'[76]Sch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'[76]Sch C'!D160</f>
        <v>0</v>
      </c>
      <c r="D159" s="558">
        <f>'[76]Sch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'[76]Sch C'!D161</f>
        <v>0</v>
      </c>
      <c r="D160" s="558">
        <f>'[76]Sch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J160" s="168"/>
      <c r="K160" s="168"/>
      <c r="M160" s="364">
        <f t="shared" si="34"/>
        <v>0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2762152.69</v>
      </c>
      <c r="D161" s="558">
        <f>SUM(D123:D160)</f>
        <v>1199932.7724583293</v>
      </c>
      <c r="E161" s="171">
        <f t="shared" ref="E161:F161" si="44">SUM(E123:E160)</f>
        <v>3962085.4624583293</v>
      </c>
      <c r="F161" s="171">
        <f t="shared" si="44"/>
        <v>0</v>
      </c>
      <c r="G161" s="171">
        <f>SUM(G123:G160)</f>
        <v>3962085.4624583293</v>
      </c>
      <c r="H161" s="172">
        <f t="shared" si="43"/>
        <v>0.50695822521805733</v>
      </c>
      <c r="J161" s="168"/>
      <c r="K161" s="168"/>
      <c r="M161" s="364">
        <f>G161/G$228</f>
        <v>158.90292221297543</v>
      </c>
      <c r="N161" s="359">
        <f>SUMMARY!J164</f>
        <v>105.56901037202306</v>
      </c>
      <c r="O161" s="354">
        <f>M161/N161-1</f>
        <v>0.50520424178463674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'[76]Sch C'!D175</f>
        <v>0</v>
      </c>
      <c r="D164" s="558">
        <f>'[76]Sch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407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'[76]Sch C'!D176</f>
        <v>0</v>
      </c>
      <c r="D165" s="558">
        <f>'[76]Sch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408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'[76]Sch C'!D177</f>
        <v>179157.92</v>
      </c>
      <c r="D166" s="558">
        <f>'[76]Sch C'!F177</f>
        <v>0</v>
      </c>
      <c r="E166" s="171">
        <f t="shared" si="45"/>
        <v>179157.92</v>
      </c>
      <c r="F166" s="216"/>
      <c r="G166" s="171">
        <f t="shared" si="46"/>
        <v>179157.92</v>
      </c>
      <c r="H166" s="172">
        <f t="shared" si="47"/>
        <v>2.2923680475232543E-2</v>
      </c>
      <c r="I166" s="407"/>
      <c r="J166" s="217">
        <v>7321.74</v>
      </c>
      <c r="K166" s="217">
        <v>7849.98</v>
      </c>
      <c r="L166" s="218"/>
      <c r="M166" s="364">
        <f t="shared" si="48"/>
        <v>7.1852859549209915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'[76]Sch C'!D178</f>
        <v>0</v>
      </c>
      <c r="D167" s="558">
        <f>'[76]Sch C'!F178</f>
        <v>84362.563334415361</v>
      </c>
      <c r="E167" s="171">
        <f t="shared" si="45"/>
        <v>84362.563334415361</v>
      </c>
      <c r="F167" s="216"/>
      <c r="G167" s="171">
        <f t="shared" si="46"/>
        <v>84362.563334415361</v>
      </c>
      <c r="H167" s="172">
        <f t="shared" si="47"/>
        <v>1.0794389921191907E-2</v>
      </c>
      <c r="I167" s="408"/>
      <c r="J167" s="222"/>
      <c r="K167" s="222"/>
      <c r="L167" s="218"/>
      <c r="M167" s="364">
        <f t="shared" si="48"/>
        <v>3.3834348012519193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'[76]Sch C'!D179</f>
        <v>0</v>
      </c>
      <c r="D168" s="558">
        <f>'[76]Sch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407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'[76]Sch C'!D180</f>
        <v>0</v>
      </c>
      <c r="D169" s="558">
        <f>'[76]Sch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408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'[76]Sch C'!D181</f>
        <v>0</v>
      </c>
      <c r="D170" s="558">
        <f>'[76]Sch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407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'[76]Sch C'!D182</f>
        <v>0</v>
      </c>
      <c r="D171" s="558">
        <f>'[76]Sch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408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'[76]Sch C'!D183</f>
        <v>69744.34</v>
      </c>
      <c r="D172" s="558">
        <f>'[76]Sch C'!F183</f>
        <v>0</v>
      </c>
      <c r="E172" s="171">
        <f t="shared" si="45"/>
        <v>69744.34</v>
      </c>
      <c r="F172" s="216"/>
      <c r="G172" s="171">
        <f t="shared" si="46"/>
        <v>69744.34</v>
      </c>
      <c r="H172" s="172">
        <f t="shared" si="47"/>
        <v>8.9239535997960896E-3</v>
      </c>
      <c r="I172" s="407"/>
      <c r="J172" s="217">
        <v>1626.09</v>
      </c>
      <c r="K172" s="217">
        <v>1626.09</v>
      </c>
      <c r="L172" s="218"/>
      <c r="M172" s="364">
        <f t="shared" si="48"/>
        <v>2.7971580973770753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'[76]Sch C'!D184</f>
        <v>0</v>
      </c>
      <c r="D173" s="558">
        <f>'[76]Sch C'!F184</f>
        <v>32841.480301105286</v>
      </c>
      <c r="E173" s="171">
        <f t="shared" si="45"/>
        <v>32841.480301105286</v>
      </c>
      <c r="F173" s="216"/>
      <c r="G173" s="171">
        <f t="shared" si="46"/>
        <v>32841.480301105286</v>
      </c>
      <c r="H173" s="172">
        <f t="shared" si="47"/>
        <v>4.2021452401109667E-3</v>
      </c>
      <c r="I173" s="408"/>
      <c r="J173" s="222"/>
      <c r="K173" s="222"/>
      <c r="L173" s="218"/>
      <c r="M173" s="364">
        <f t="shared" si="48"/>
        <v>1.3171364522782261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'[76]Sch C'!D185</f>
        <v>0</v>
      </c>
      <c r="D174" s="558">
        <f>'[76]Sch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407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'[76]Sch C'!D186</f>
        <v>0</v>
      </c>
      <c r="D175" s="558">
        <f>'[76]Sch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'[76]Sch C'!D187</f>
        <v>0</v>
      </c>
      <c r="D176" s="558">
        <f>'[76]Sch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'[76]Sch C'!D188</f>
        <v>3083.95</v>
      </c>
      <c r="D177" s="558">
        <f>'[76]Sch C'!F188</f>
        <v>0</v>
      </c>
      <c r="E177" s="171">
        <f t="shared" si="45"/>
        <v>3083.95</v>
      </c>
      <c r="F177" s="216"/>
      <c r="G177" s="171">
        <f t="shared" si="46"/>
        <v>3083.95</v>
      </c>
      <c r="H177" s="172">
        <f t="shared" si="47"/>
        <v>3.9459871158134335E-4</v>
      </c>
      <c r="I177" s="223"/>
      <c r="J177" s="223"/>
      <c r="K177" s="218"/>
      <c r="L177" s="220"/>
      <c r="M177" s="364">
        <f t="shared" si="48"/>
        <v>0.12368452715168043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'[76]Sch C'!D189</f>
        <v>0</v>
      </c>
      <c r="D178" s="558">
        <f>'[76]Sch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223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'[76]Sch C'!D190</f>
        <v>0</v>
      </c>
      <c r="D179" s="558">
        <f>'[76]Sch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'[76]Sch C'!D191</f>
        <v>655.07000000000005</v>
      </c>
      <c r="D180" s="558">
        <f>'[76]Sch C'!F191</f>
        <v>0</v>
      </c>
      <c r="E180" s="171">
        <f t="shared" si="45"/>
        <v>655.07000000000005</v>
      </c>
      <c r="F180" s="216"/>
      <c r="G180" s="171">
        <f t="shared" si="46"/>
        <v>655.07000000000005</v>
      </c>
      <c r="H180" s="172">
        <f t="shared" si="47"/>
        <v>8.3817759041356259E-5</v>
      </c>
      <c r="I180" s="223"/>
      <c r="J180" s="223"/>
      <c r="K180" s="218"/>
      <c r="L180" s="220"/>
      <c r="M180" s="364">
        <f t="shared" si="48"/>
        <v>2.6272158498435873E-2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'[76]Sch C'!D192</f>
        <v>0</v>
      </c>
      <c r="D181" s="558">
        <f>'[76]Sch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223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'[76]Sch C'!D193</f>
        <v>0</v>
      </c>
      <c r="D182" s="558">
        <f>'[76]Sch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223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'[76]Sch C'!D194</f>
        <v>0</v>
      </c>
      <c r="D183" s="558">
        <f>'[76]Sch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223"/>
      <c r="J183" s="223"/>
      <c r="K183" s="218"/>
      <c r="M183" s="364">
        <f t="shared" si="48"/>
        <v>0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'[76]Sch C'!D195</f>
        <v>0</v>
      </c>
      <c r="D184" s="558">
        <f>'[76]Sch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223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'[76]Sch C'!D196</f>
        <v>0</v>
      </c>
      <c r="D185" s="558">
        <f>'[76]Sch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'[76]Sch C'!D197</f>
        <v>0</v>
      </c>
      <c r="D186" s="558">
        <f>'[76]Sch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223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'[76]Sch C'!D198</f>
        <v>5586.95</v>
      </c>
      <c r="D187" s="558">
        <f>'[76]Sch C'!F198</f>
        <v>0</v>
      </c>
      <c r="E187" s="171">
        <f t="shared" si="45"/>
        <v>5586.95</v>
      </c>
      <c r="F187" s="216"/>
      <c r="G187" s="171">
        <f t="shared" si="46"/>
        <v>5586.95</v>
      </c>
      <c r="H187" s="172">
        <f t="shared" si="47"/>
        <v>7.1486349378861085E-4</v>
      </c>
      <c r="I187" s="223"/>
      <c r="J187" s="223"/>
      <c r="K187" s="218"/>
      <c r="M187" s="364">
        <f t="shared" si="48"/>
        <v>0.22406954359509104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'[76]Sch C'!D199</f>
        <v>0</v>
      </c>
      <c r="D188" s="558">
        <f>'[76]Sch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'[76]Sch C'!D200</f>
        <v>0</v>
      </c>
      <c r="D189" s="558">
        <f>'[76]Sch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'[76]Sch C'!D201</f>
        <v>0</v>
      </c>
      <c r="D190" s="558">
        <f>'[76]Sch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'[76]Sch C'!D202</f>
        <v>0</v>
      </c>
      <c r="D191" s="558">
        <f>'[76]Sch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'[76]Sch C'!D203</f>
        <v>0</v>
      </c>
      <c r="D192" s="558">
        <f>'[76]Sch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'[76]Sch C'!D204</f>
        <v>0</v>
      </c>
      <c r="D193" s="558">
        <f>'[76]Sch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'[76]Sch C'!D205</f>
        <v>97779.46</v>
      </c>
      <c r="D194" s="558">
        <f>'[76]Sch C'!F205</f>
        <v>0</v>
      </c>
      <c r="E194" s="171">
        <f t="shared" si="45"/>
        <v>97779.46</v>
      </c>
      <c r="F194" s="216"/>
      <c r="G194" s="171">
        <f t="shared" si="46"/>
        <v>97779.46</v>
      </c>
      <c r="H194" s="172">
        <f t="shared" si="47"/>
        <v>1.2511113648119946E-2</v>
      </c>
      <c r="I194" s="223"/>
      <c r="J194" s="223"/>
      <c r="K194" s="218"/>
      <c r="M194" s="364">
        <f t="shared" si="48"/>
        <v>3.9215312424801478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'[76]Sch C'!D206</f>
        <v>18078.759999999998</v>
      </c>
      <c r="D195" s="558">
        <f>'[76]Sch C'!F206</f>
        <v>0</v>
      </c>
      <c r="E195" s="171">
        <f t="shared" si="45"/>
        <v>18078.759999999998</v>
      </c>
      <c r="F195" s="216"/>
      <c r="G195" s="171">
        <f t="shared" si="46"/>
        <v>18078.759999999998</v>
      </c>
      <c r="H195" s="172">
        <f t="shared" si="47"/>
        <v>2.3132201893637469E-3</v>
      </c>
      <c r="I195" s="223"/>
      <c r="J195" s="223"/>
      <c r="K195" s="218"/>
      <c r="M195" s="364">
        <f t="shared" si="48"/>
        <v>0.72506457046603023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'[76]Sch C'!D207</f>
        <v>0</v>
      </c>
      <c r="D196" s="558">
        <f>'[76]Sch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223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374086.45000000007</v>
      </c>
      <c r="D197" s="558">
        <f>SUM(D164:D196)</f>
        <v>117204.04363552065</v>
      </c>
      <c r="E197" s="171">
        <f t="shared" ref="E197:F197" si="49">SUM(E164:E196)</f>
        <v>491290.49363552069</v>
      </c>
      <c r="F197" s="171">
        <f t="shared" si="49"/>
        <v>0</v>
      </c>
      <c r="G197" s="171">
        <f>SUM(G164:G196)</f>
        <v>491290.49363552069</v>
      </c>
      <c r="H197" s="172">
        <f>IF($G$208=0,0,G197/$G$208)</f>
        <v>6.286178303822651E-2</v>
      </c>
      <c r="J197" s="168"/>
      <c r="K197" s="168"/>
      <c r="M197" s="364">
        <f>G197/G$228</f>
        <v>19.703637348019598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'[76]Sch C'!D211</f>
        <v>202691.45</v>
      </c>
      <c r="D200" s="558">
        <f>'[76]Sch C'!F211</f>
        <v>0</v>
      </c>
      <c r="E200" s="171">
        <f t="shared" ref="E200:E205" si="50">C200+D200</f>
        <v>202691.45</v>
      </c>
      <c r="F200" s="171"/>
      <c r="G200" s="171">
        <f t="shared" ref="G200:G205" si="51">E200+F200</f>
        <v>202691.45</v>
      </c>
      <c r="H200" s="172">
        <f t="shared" ref="H200:H206" si="52">IF($G$208=0,0,G200/$G$208)</f>
        <v>2.5934851414113162E-2</v>
      </c>
      <c r="J200" s="183">
        <v>13270.12</v>
      </c>
      <c r="K200" s="183">
        <v>14349.55</v>
      </c>
      <c r="M200" s="364">
        <f t="shared" ref="M200:M205" si="53">G200/G$228</f>
        <v>8.1291188738269042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'[76]Sch C'!D212</f>
        <v>0</v>
      </c>
      <c r="D201" s="558">
        <f>'[76]Sch C'!F212</f>
        <v>95444.121521222623</v>
      </c>
      <c r="E201" s="171">
        <f t="shared" si="50"/>
        <v>95444.121521222623</v>
      </c>
      <c r="F201" s="171"/>
      <c r="G201" s="171">
        <f t="shared" si="51"/>
        <v>95444.121521222623</v>
      </c>
      <c r="H201" s="172">
        <f t="shared" si="52"/>
        <v>1.2212301554917432E-2</v>
      </c>
      <c r="J201" s="168"/>
      <c r="K201" s="168"/>
      <c r="M201" s="364">
        <f t="shared" si="53"/>
        <v>3.8278704388073566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'[76]Sch C'!D213</f>
        <v>15260.1</v>
      </c>
      <c r="D202" s="558">
        <f>'[76]Sch C'!F213</f>
        <v>0</v>
      </c>
      <c r="E202" s="171">
        <f t="shared" si="50"/>
        <v>15260.1</v>
      </c>
      <c r="F202" s="171"/>
      <c r="G202" s="171">
        <f t="shared" si="51"/>
        <v>15260.1</v>
      </c>
      <c r="H202" s="172">
        <f t="shared" si="52"/>
        <v>1.952565962030013E-3</v>
      </c>
      <c r="J202" s="168"/>
      <c r="K202" s="168"/>
      <c r="M202" s="364">
        <f t="shared" si="53"/>
        <v>0.61201973209272476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'[76]Sch C'!D214</f>
        <v>0</v>
      </c>
      <c r="D203" s="558">
        <f>'[76]Sch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'[76]Sch C'!D215</f>
        <v>0</v>
      </c>
      <c r="D204" s="558">
        <f>'[76]Sch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'[76]Sch C'!D216</f>
        <v>0</v>
      </c>
      <c r="D205" s="558">
        <f>'[76]Sch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508"/>
      <c r="J205" s="168"/>
      <c r="K205" s="168"/>
      <c r="M205" s="364">
        <f t="shared" si="53"/>
        <v>0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217951.55000000002</v>
      </c>
      <c r="D206" s="558">
        <f>SUM(D200:D205)</f>
        <v>95444.121521222623</v>
      </c>
      <c r="E206" s="171">
        <f t="shared" ref="E206:F206" si="54">SUM(E200:E205)</f>
        <v>313395.67152122263</v>
      </c>
      <c r="F206" s="171">
        <f t="shared" si="54"/>
        <v>0</v>
      </c>
      <c r="G206" s="171">
        <f>SUM(G200:G205)</f>
        <v>313395.67152122263</v>
      </c>
      <c r="H206" s="172">
        <f t="shared" si="52"/>
        <v>4.009971893106061E-2</v>
      </c>
      <c r="J206" s="168"/>
      <c r="K206" s="168"/>
      <c r="M206" s="364">
        <f>G206/G$228</f>
        <v>12.569009044726984</v>
      </c>
      <c r="N206" s="359">
        <f>SUMMARY!J209</f>
        <v>7.1515095990067339</v>
      </c>
      <c r="O206" s="354">
        <f>M206/N206-1</f>
        <v>0.75753229031150027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8482700.5199999977</v>
      </c>
      <c r="D208" s="558">
        <f>SUM(D25:D206)/2</f>
        <v>-663607.05571790622</v>
      </c>
      <c r="E208" s="171">
        <f t="shared" ref="E208:F208" si="55">SUM(E25:E206)/2</f>
        <v>7819093.4642820926</v>
      </c>
      <c r="F208" s="171">
        <f t="shared" si="55"/>
        <v>-3685.28</v>
      </c>
      <c r="G208" s="171">
        <f>SUM(G25:G206)/2</f>
        <v>7815408.1842820924</v>
      </c>
      <c r="H208" s="172">
        <f>IF($G$208=0,0,G208/$G$208)</f>
        <v>1</v>
      </c>
      <c r="J208" s="183">
        <f>SUM(J25:J200)</f>
        <v>205485.17999999996</v>
      </c>
      <c r="K208" s="183">
        <f>SUM(K25:K200)</f>
        <v>221890.58999999997</v>
      </c>
      <c r="M208" s="364">
        <f>G208/G$228</f>
        <v>313.44381905358517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J209" s="168"/>
      <c r="K209" s="168"/>
      <c r="O209" s="553">
        <f>SUM(O61:O206)</f>
        <v>3.4649096013211418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'[76]Sch C'!D221</f>
        <v>8482700.5199999996</v>
      </c>
      <c r="D211" s="196"/>
      <c r="E211" s="165"/>
      <c r="F211"/>
      <c r="G211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-1187672.9099999983</v>
      </c>
      <c r="D215" s="558">
        <f>D21-D208</f>
        <v>13295.265717906179</v>
      </c>
      <c r="E215" s="171">
        <f t="shared" ref="E215:F215" si="56">E21-E208</f>
        <v>-1174377.6442820933</v>
      </c>
      <c r="F215" s="171">
        <f t="shared" si="56"/>
        <v>3685.28</v>
      </c>
      <c r="G215" s="171">
        <f>G21-G208</f>
        <v>-1170692.364282093</v>
      </c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167"/>
      <c r="J218" s="168"/>
      <c r="K218" s="168"/>
    </row>
    <row r="219" spans="1:17">
      <c r="A219" s="163"/>
      <c r="B219" s="170" t="s">
        <v>218</v>
      </c>
      <c r="C219" s="592">
        <f>'[76]Sch D'!C9</f>
        <v>16481</v>
      </c>
      <c r="D219" s="592"/>
      <c r="E219" s="235">
        <f t="shared" ref="E219:G227" si="57">C219+D219</f>
        <v>16481</v>
      </c>
      <c r="F219" s="234"/>
      <c r="G219" s="235">
        <f t="shared" si="57"/>
        <v>16481</v>
      </c>
      <c r="H219" s="172">
        <f t="shared" ref="H219:H228" si="58">IF($G$228=0,0,G219/$G$228)</f>
        <v>0.66098500040105879</v>
      </c>
      <c r="I219" s="167"/>
      <c r="J219" s="168"/>
      <c r="K219" s="168"/>
    </row>
    <row r="220" spans="1:17">
      <c r="A220" s="163"/>
      <c r="B220" s="170" t="s">
        <v>217</v>
      </c>
      <c r="C220" s="592">
        <f>'[76]Sch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167"/>
      <c r="J220" s="168"/>
      <c r="K220" s="168"/>
    </row>
    <row r="221" spans="1:17">
      <c r="A221" s="163"/>
      <c r="B221" s="170" t="s">
        <v>72</v>
      </c>
      <c r="C221" s="592">
        <f>'[76]Sch D'!E9</f>
        <v>1876</v>
      </c>
      <c r="D221" s="592"/>
      <c r="E221" s="235">
        <f t="shared" si="59"/>
        <v>1876</v>
      </c>
      <c r="F221" s="234"/>
      <c r="G221" s="235">
        <f t="shared" si="57"/>
        <v>1876</v>
      </c>
      <c r="H221" s="172">
        <f t="shared" si="58"/>
        <v>7.5238629983155531E-2</v>
      </c>
      <c r="I221" s="167"/>
      <c r="J221" s="168"/>
      <c r="K221" s="168"/>
    </row>
    <row r="222" spans="1:17">
      <c r="A222" s="163"/>
      <c r="B222" s="202" t="s">
        <v>334</v>
      </c>
      <c r="C222" s="592">
        <f>'[76]Sch D'!F9</f>
        <v>114</v>
      </c>
      <c r="D222" s="592"/>
      <c r="E222" s="235">
        <f>C222+D222</f>
        <v>114</v>
      </c>
      <c r="F222" s="234"/>
      <c r="G222" s="235">
        <f>E222+F222</f>
        <v>114</v>
      </c>
      <c r="H222" s="172">
        <f t="shared" si="58"/>
        <v>4.5720702655009226E-3</v>
      </c>
      <c r="I222" s="167"/>
      <c r="J222" s="168"/>
      <c r="K222" s="168"/>
    </row>
    <row r="223" spans="1:17">
      <c r="A223" s="163"/>
      <c r="B223" s="170" t="s">
        <v>73</v>
      </c>
      <c r="C223" s="592">
        <f>'[76]Sch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167"/>
      <c r="J223" s="168"/>
      <c r="K223" s="168"/>
    </row>
    <row r="224" spans="1:17">
      <c r="A224" s="163"/>
      <c r="B224" s="170" t="s">
        <v>74</v>
      </c>
      <c r="C224" s="592">
        <f>'[76]Sch D'!H9</f>
        <v>6463</v>
      </c>
      <c r="D224" s="592"/>
      <c r="E224" s="235">
        <f t="shared" si="59"/>
        <v>6463</v>
      </c>
      <c r="F224" s="234"/>
      <c r="G224" s="235">
        <f t="shared" si="57"/>
        <v>6463</v>
      </c>
      <c r="H224" s="172">
        <f t="shared" si="58"/>
        <v>0.25920429935028477</v>
      </c>
      <c r="I224" s="508"/>
      <c r="J224" s="168"/>
      <c r="K224" s="168"/>
    </row>
    <row r="225" spans="1:11">
      <c r="A225" s="163"/>
      <c r="B225" s="170" t="s">
        <v>236</v>
      </c>
      <c r="C225" s="592">
        <f>'[76]Sch D'!I9</f>
        <v>0</v>
      </c>
      <c r="D225" s="592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167"/>
      <c r="J225" s="168"/>
      <c r="K225" s="168"/>
    </row>
    <row r="226" spans="1:11">
      <c r="A226" s="163"/>
      <c r="B226" s="170" t="s">
        <v>235</v>
      </c>
      <c r="C226" s="592">
        <f>'[76]Sch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508"/>
      <c r="J226" s="168"/>
      <c r="K226" s="168"/>
    </row>
    <row r="227" spans="1:11">
      <c r="A227" s="163"/>
      <c r="B227" s="170" t="s">
        <v>179</v>
      </c>
      <c r="C227" s="592">
        <f>'[76]Sch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167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24934</v>
      </c>
      <c r="D228" s="592">
        <f>SUM(D219:D227)</f>
        <v>0</v>
      </c>
      <c r="E228" s="237">
        <f>SUM(E219:E227)</f>
        <v>24934</v>
      </c>
      <c r="F228" s="237">
        <f>SUM(F219:F227)</f>
        <v>0</v>
      </c>
      <c r="G228" s="237">
        <f>SUM(G219:G227)</f>
        <v>24934</v>
      </c>
      <c r="H228" s="172">
        <f t="shared" si="58"/>
        <v>1</v>
      </c>
      <c r="I228" s="167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I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I230" s="167"/>
      <c r="J230" s="168"/>
      <c r="K230" s="168"/>
    </row>
    <row r="231" spans="1:11">
      <c r="A231" s="163"/>
      <c r="B231" s="202" t="s">
        <v>219</v>
      </c>
      <c r="C231" s="593">
        <f>'[76]Sch D'!N22</f>
        <v>110</v>
      </c>
      <c r="D231" s="559"/>
      <c r="E231" s="235">
        <f>C231+D231</f>
        <v>110</v>
      </c>
      <c r="F231" s="235"/>
      <c r="G231" s="235">
        <f>E231+F231</f>
        <v>110</v>
      </c>
      <c r="H231" s="167"/>
      <c r="I231" s="167"/>
      <c r="J231" s="168"/>
      <c r="K231" s="168"/>
    </row>
    <row r="232" spans="1:11">
      <c r="A232" s="163"/>
      <c r="B232" s="202" t="s">
        <v>290</v>
      </c>
      <c r="C232" s="593">
        <f>'[76]Sch D'!N24</f>
        <v>110</v>
      </c>
      <c r="D232" s="559"/>
      <c r="E232" s="235">
        <f>C232+D232</f>
        <v>110</v>
      </c>
      <c r="F232" s="235"/>
      <c r="G232" s="235">
        <f>E232+F232</f>
        <v>110</v>
      </c>
      <c r="H232" s="167"/>
      <c r="I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I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I234" s="167"/>
      <c r="J234" s="168"/>
      <c r="K234" s="168"/>
    </row>
    <row r="235" spans="1:11" ht="26.5">
      <c r="A235" s="163"/>
      <c r="B235" s="243" t="s">
        <v>335</v>
      </c>
      <c r="C235" s="593">
        <f>'[76]Sch D'!N28</f>
        <v>40260</v>
      </c>
      <c r="D235" s="483"/>
      <c r="E235" s="234">
        <f>E231*E233</f>
        <v>40260</v>
      </c>
      <c r="F235" s="239"/>
      <c r="G235" s="234">
        <f>G231*G233</f>
        <v>40260</v>
      </c>
      <c r="H235" s="167"/>
      <c r="I235" s="167"/>
      <c r="J235" s="168"/>
      <c r="K235" s="168"/>
    </row>
    <row r="236" spans="1:11" ht="26.5">
      <c r="A236" s="163"/>
      <c r="B236" s="243" t="s">
        <v>336</v>
      </c>
      <c r="C236" s="594">
        <f>'[76]Sch D'!N30</f>
        <v>0.61932439145553897</v>
      </c>
      <c r="D236" s="239"/>
      <c r="E236" s="244">
        <f>E228/E235</f>
        <v>0.61932439145553897</v>
      </c>
      <c r="F236" s="245"/>
      <c r="G236" s="244">
        <f>G228/G235</f>
        <v>0.61932439145553897</v>
      </c>
      <c r="H236" s="167"/>
      <c r="I236" s="167"/>
      <c r="J236" s="168"/>
      <c r="K236" s="168"/>
    </row>
    <row r="237" spans="1:11" ht="26.5">
      <c r="A237" s="163"/>
      <c r="B237" s="243" t="s">
        <v>337</v>
      </c>
      <c r="C237" s="594">
        <f>'[76]Sch D'!N32</f>
        <v>0.40936413313462494</v>
      </c>
      <c r="D237" s="239"/>
      <c r="E237" s="244">
        <f>(E219+E220)/E235</f>
        <v>0.40936413313462494</v>
      </c>
      <c r="F237" s="245"/>
      <c r="G237" s="244">
        <f>(G219+G220)/G235</f>
        <v>0.40936413313462494</v>
      </c>
      <c r="H237" s="167"/>
      <c r="I237" s="167"/>
      <c r="J237" s="168"/>
      <c r="K237" s="168"/>
    </row>
    <row r="238" spans="1:11" ht="26.5">
      <c r="A238" s="163"/>
      <c r="B238" s="243" t="s">
        <v>338</v>
      </c>
      <c r="C238" s="594">
        <f>'[76]Sch D'!N34</f>
        <v>0.66098500040105879</v>
      </c>
      <c r="D238" s="239"/>
      <c r="E238" s="244">
        <f>(E237/E236)</f>
        <v>0.66098500040105879</v>
      </c>
      <c r="F238" s="245"/>
      <c r="G238" s="244">
        <f>(G237/G236)</f>
        <v>0.66098500040105879</v>
      </c>
      <c r="H238" s="167"/>
      <c r="I238" s="167"/>
      <c r="J238" s="168"/>
      <c r="K238" s="168"/>
    </row>
    <row r="241" spans="2:7">
      <c r="B241" s="148" t="s">
        <v>339</v>
      </c>
      <c r="F241" s="142" t="s">
        <v>340</v>
      </c>
      <c r="G241" s="558">
        <f>'[76]Sch B'!C85</f>
        <v>182.48522468868435</v>
      </c>
    </row>
    <row r="242" spans="2:7">
      <c r="F242" s="142" t="s">
        <v>341</v>
      </c>
      <c r="G242" s="558">
        <f>'[76]Sch B'!E85</f>
        <v>194.99420136730888</v>
      </c>
    </row>
    <row r="243" spans="2:7">
      <c r="B243"/>
      <c r="F243" s="142" t="s">
        <v>342</v>
      </c>
      <c r="G243" s="558">
        <f>'[76]Sch B'!G85</f>
        <v>188.45849860335196</v>
      </c>
    </row>
    <row r="244" spans="2:7">
      <c r="B244"/>
      <c r="F244" s="142" t="s">
        <v>343</v>
      </c>
      <c r="G244" s="558">
        <f>'[76]Sch B'!I85</f>
        <v>200.6312761904762</v>
      </c>
    </row>
    <row r="245" spans="2:7">
      <c r="B245"/>
      <c r="F245" s="142"/>
    </row>
    <row r="246" spans="2:7">
      <c r="B246" s="458" t="s">
        <v>428</v>
      </c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28CAB"/>
  </sheetPr>
  <dimension ref="A1:T249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417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'[8]Sch B'!E10</f>
        <v>436226</v>
      </c>
      <c r="D11" s="558">
        <f>'[8]Sch B'!G10</f>
        <v>0</v>
      </c>
      <c r="E11" s="171">
        <f>C11+D11</f>
        <v>436226</v>
      </c>
      <c r="F11" s="171"/>
      <c r="G11" s="171">
        <f t="shared" ref="G11:G20" si="0">E11+F11</f>
        <v>436226</v>
      </c>
      <c r="H11" s="172">
        <f t="shared" ref="H11:H21" si="1">IF($G$21=0,0,G11/$G$21)</f>
        <v>3.7324954514527289E-2</v>
      </c>
      <c r="I11" s="453"/>
      <c r="J11" s="368" t="s">
        <v>344</v>
      </c>
      <c r="K11" s="369">
        <f>G21</f>
        <v>11687248</v>
      </c>
      <c r="M11" s="359">
        <f>IFERROR(G11/G219,0)</f>
        <v>178.63472563472564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'[8]Sch B'!E15</f>
        <v>0</v>
      </c>
      <c r="D12" s="558">
        <f>'[8]Sch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10637441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'[8]Sch B'!E21</f>
        <v>2182970</v>
      </c>
      <c r="D13" s="558">
        <f>'[8]Sch B'!G21</f>
        <v>0</v>
      </c>
      <c r="E13" s="171">
        <f t="shared" si="2"/>
        <v>2182970</v>
      </c>
      <c r="F13" s="171"/>
      <c r="G13" s="171">
        <f t="shared" si="0"/>
        <v>2182970</v>
      </c>
      <c r="H13" s="172">
        <f t="shared" si="1"/>
        <v>0.18678220912228438</v>
      </c>
      <c r="J13" s="370" t="s">
        <v>346</v>
      </c>
      <c r="K13" s="371">
        <f>G228</f>
        <v>38523</v>
      </c>
      <c r="M13" s="359">
        <f t="shared" si="3"/>
        <v>572.807662030963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'[8]Sch B'!E27</f>
        <v>660681</v>
      </c>
      <c r="D14" s="558">
        <f>'[8]Sch B'!G27</f>
        <v>0</v>
      </c>
      <c r="E14" s="171">
        <f t="shared" si="2"/>
        <v>660681</v>
      </c>
      <c r="F14" s="175"/>
      <c r="G14" s="175">
        <f>E14+F14</f>
        <v>660681</v>
      </c>
      <c r="H14" s="176">
        <f t="shared" si="1"/>
        <v>5.6530074488023184E-2</v>
      </c>
      <c r="J14" s="370" t="s">
        <v>347</v>
      </c>
      <c r="K14" s="371">
        <f>G231</f>
        <v>108</v>
      </c>
      <c r="M14" s="359">
        <f t="shared" si="3"/>
        <v>545.11633663366342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'[8]Sch B'!E32</f>
        <v>6015783</v>
      </c>
      <c r="D15" s="558">
        <f>'[8]Sch B'!G32</f>
        <v>-2721734</v>
      </c>
      <c r="E15" s="171">
        <f t="shared" si="2"/>
        <v>3294049</v>
      </c>
      <c r="F15" s="171"/>
      <c r="G15" s="171">
        <f t="shared" si="0"/>
        <v>3294049</v>
      </c>
      <c r="H15" s="172">
        <f t="shared" si="1"/>
        <v>0.28184984181049294</v>
      </c>
      <c r="J15" s="370" t="s">
        <v>348</v>
      </c>
      <c r="K15" s="371">
        <f>G235</f>
        <v>39528</v>
      </c>
      <c r="M15" s="359">
        <f t="shared" si="3"/>
        <v>404.17779141104296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'[8]Sch B'!E37</f>
        <v>2208257</v>
      </c>
      <c r="D16" s="558">
        <f>'[8]Sch B'!G37</f>
        <v>2721734</v>
      </c>
      <c r="E16" s="171">
        <f t="shared" si="2"/>
        <v>4929991</v>
      </c>
      <c r="F16" s="171"/>
      <c r="G16" s="171">
        <f t="shared" si="0"/>
        <v>4929991</v>
      </c>
      <c r="H16" s="172">
        <f t="shared" si="1"/>
        <v>0.42182650697580815</v>
      </c>
      <c r="J16" s="372"/>
      <c r="K16" s="371"/>
      <c r="M16" s="359">
        <f t="shared" si="3"/>
        <v>220.71951110315186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629</v>
      </c>
      <c r="C17" s="558">
        <f>'[8]Sch B'!E42</f>
        <v>50589</v>
      </c>
      <c r="D17" s="558">
        <f>'[8]Sch B'!G42</f>
        <v>0</v>
      </c>
      <c r="E17" s="171">
        <f t="shared" si="2"/>
        <v>50589</v>
      </c>
      <c r="F17" s="171"/>
      <c r="G17" s="171">
        <f>E17+F17</f>
        <v>50589</v>
      </c>
      <c r="H17" s="172">
        <f t="shared" si="1"/>
        <v>4.3285639185546504E-3</v>
      </c>
      <c r="I17" s="453"/>
      <c r="J17" s="370" t="s">
        <v>156</v>
      </c>
      <c r="K17" s="371">
        <f>J208</f>
        <v>283314</v>
      </c>
      <c r="M17" s="359">
        <f t="shared" si="3"/>
        <v>199.16929133858267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'[8]Sch B'!E47</f>
        <v>0</v>
      </c>
      <c r="D18" s="558">
        <f>'[8]Sch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53"/>
      <c r="J18" s="373" t="s">
        <v>252</v>
      </c>
      <c r="K18" s="374">
        <f>K208</f>
        <v>339844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'[8]Sch B'!E52</f>
        <v>130015</v>
      </c>
      <c r="D19" s="558">
        <f>'[8]Sch B'!G52</f>
        <v>0</v>
      </c>
      <c r="E19" s="171">
        <f t="shared" si="2"/>
        <v>130015</v>
      </c>
      <c r="F19" s="171"/>
      <c r="G19" s="171">
        <f t="shared" si="0"/>
        <v>130015</v>
      </c>
      <c r="H19" s="172">
        <f t="shared" si="1"/>
        <v>1.1124517936130045E-2</v>
      </c>
      <c r="I19" s="336"/>
      <c r="J19" s="168"/>
      <c r="K19" s="168"/>
      <c r="M19" s="359">
        <f t="shared" si="3"/>
        <v>408.85220125786162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'[8]Sch B'!E67</f>
        <v>41324</v>
      </c>
      <c r="D20" s="558">
        <f>'[8]Sch B'!G67</f>
        <v>-38597</v>
      </c>
      <c r="E20" s="171">
        <f t="shared" si="2"/>
        <v>2727</v>
      </c>
      <c r="F20" s="171"/>
      <c r="G20" s="171">
        <f t="shared" si="0"/>
        <v>2727</v>
      </c>
      <c r="H20" s="172">
        <f t="shared" si="1"/>
        <v>2.3333123417933804E-4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11725845</v>
      </c>
      <c r="D21" s="558">
        <f>SUM(D11:D20)</f>
        <v>-38597</v>
      </c>
      <c r="E21" s="171">
        <f>SUM(E11:E20)</f>
        <v>11687248</v>
      </c>
      <c r="F21" s="171">
        <f>SUM(F11:F20)</f>
        <v>0</v>
      </c>
      <c r="G21" s="171">
        <f>SUM(G11:G20)</f>
        <v>11687248</v>
      </c>
      <c r="H21" s="172">
        <f t="shared" si="1"/>
        <v>1</v>
      </c>
      <c r="I21" s="336"/>
      <c r="J21" s="168"/>
      <c r="K21" s="168"/>
      <c r="M21" s="359">
        <f>IFERROR(G21/G228,0)</f>
        <v>303.38364094177507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'[8]Sch C'!D10</f>
        <v>0</v>
      </c>
      <c r="D25" s="558">
        <f>'[8]Sch C'!F10</f>
        <v>146106</v>
      </c>
      <c r="E25" s="171">
        <f t="shared" ref="E25:E60" si="4">C25+D25</f>
        <v>146106</v>
      </c>
      <c r="F25" s="171"/>
      <c r="G25" s="182">
        <f>E25+F25</f>
        <v>146106</v>
      </c>
      <c r="H25" s="172">
        <f>IF($G$208=0,0,G25/$G$208)</f>
        <v>1.3735070304972785E-2</v>
      </c>
      <c r="I25" s="336"/>
      <c r="J25" s="183">
        <v>1720</v>
      </c>
      <c r="K25" s="183">
        <v>2080</v>
      </c>
      <c r="M25" s="359">
        <f>G25/G$228</f>
        <v>3.7926952729538197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'[8]Sch C'!D11</f>
        <v>0</v>
      </c>
      <c r="D26" s="558">
        <f>'[8]Sch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'[8]Sch C'!D12</f>
        <v>408782</v>
      </c>
      <c r="D27" s="558">
        <f>'[8]Sch C'!F12</f>
        <v>-146106</v>
      </c>
      <c r="E27" s="171">
        <f t="shared" si="4"/>
        <v>262676</v>
      </c>
      <c r="F27" s="171"/>
      <c r="G27" s="171">
        <f t="shared" si="5"/>
        <v>262676</v>
      </c>
      <c r="H27" s="172">
        <f t="shared" si="6"/>
        <v>2.4693532965306225E-2</v>
      </c>
      <c r="I27" s="336"/>
      <c r="J27" s="185">
        <v>13306</v>
      </c>
      <c r="K27" s="185">
        <v>16056</v>
      </c>
      <c r="M27" s="359">
        <f t="shared" si="7"/>
        <v>6.8186797497598839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'[8]Sch C'!D13</f>
        <v>106146</v>
      </c>
      <c r="D28" s="558">
        <f>'[8]Sch C'!F13</f>
        <v>0</v>
      </c>
      <c r="E28" s="171">
        <f t="shared" si="4"/>
        <v>106146</v>
      </c>
      <c r="F28" s="171"/>
      <c r="G28" s="171">
        <f t="shared" si="5"/>
        <v>106146</v>
      </c>
      <c r="H28" s="172">
        <f t="shared" si="6"/>
        <v>9.9785277304945807E-3</v>
      </c>
      <c r="I28" s="336"/>
      <c r="J28" s="168"/>
      <c r="K28" s="168"/>
      <c r="M28" s="359">
        <f t="shared" si="7"/>
        <v>2.7553928821742857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'[8]Sch C'!D14</f>
        <v>0</v>
      </c>
      <c r="D29" s="558">
        <f>'[8]Sch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'[8]Sch C'!D15</f>
        <v>0</v>
      </c>
      <c r="D30" s="558">
        <f>'[8]Sch C'!F15</f>
        <v>675343</v>
      </c>
      <c r="E30" s="171">
        <f t="shared" si="4"/>
        <v>675343</v>
      </c>
      <c r="F30" s="171"/>
      <c r="G30" s="171">
        <f t="shared" si="5"/>
        <v>675343</v>
      </c>
      <c r="H30" s="172">
        <f t="shared" si="6"/>
        <v>6.3487355652548386E-2</v>
      </c>
      <c r="I30" s="336"/>
      <c r="J30" s="168"/>
      <c r="K30" s="168"/>
      <c r="M30" s="359">
        <f t="shared" si="7"/>
        <v>17.530903616021597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'[8]Sch C'!D16</f>
        <v>675343</v>
      </c>
      <c r="D31" s="558">
        <f>'[8]Sch C'!F16</f>
        <v>-675343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'[8]Sch C'!D17</f>
        <v>16793</v>
      </c>
      <c r="D32" s="558">
        <f>'[8]Sch C'!F17</f>
        <v>-16793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'[8]Sch C'!D18</f>
        <v>84259</v>
      </c>
      <c r="D33" s="558">
        <f>'[8]Sch C'!F18</f>
        <v>0</v>
      </c>
      <c r="E33" s="171">
        <f t="shared" si="4"/>
        <v>84259</v>
      </c>
      <c r="F33" s="171"/>
      <c r="G33" s="171">
        <f t="shared" si="5"/>
        <v>84259</v>
      </c>
      <c r="H33" s="172">
        <f t="shared" si="6"/>
        <v>7.9209840035775522E-3</v>
      </c>
      <c r="I33" s="336"/>
      <c r="J33" s="168"/>
      <c r="K33" s="168"/>
      <c r="M33" s="359">
        <f t="shared" si="7"/>
        <v>2.1872387924097292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'[8]Sch C'!D19</f>
        <v>6369</v>
      </c>
      <c r="D34" s="558">
        <f>'[8]Sch C'!F19</f>
        <v>0</v>
      </c>
      <c r="E34" s="171">
        <f t="shared" si="4"/>
        <v>6369</v>
      </c>
      <c r="F34" s="171"/>
      <c r="G34" s="171">
        <f t="shared" si="5"/>
        <v>6369</v>
      </c>
      <c r="H34" s="172">
        <f t="shared" si="6"/>
        <v>5.9873422564693892E-4</v>
      </c>
      <c r="I34" s="336"/>
      <c r="J34" s="168"/>
      <c r="K34" s="168"/>
      <c r="M34" s="359">
        <f t="shared" si="7"/>
        <v>0.1653298029748462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'[8]Sch C'!D20</f>
        <v>44551</v>
      </c>
      <c r="D35" s="558">
        <f>'[8]Sch C'!F20</f>
        <v>0</v>
      </c>
      <c r="E35" s="171">
        <f t="shared" si="4"/>
        <v>44551</v>
      </c>
      <c r="F35" s="171"/>
      <c r="G35" s="171">
        <f t="shared" si="5"/>
        <v>44551</v>
      </c>
      <c r="H35" s="172">
        <f t="shared" si="6"/>
        <v>4.1881313372266879E-3</v>
      </c>
      <c r="I35" s="336"/>
      <c r="J35" s="168"/>
      <c r="K35" s="168"/>
      <c r="M35" s="359">
        <f t="shared" si="7"/>
        <v>1.1564779482387146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'[8]Sch C'!D21</f>
        <v>7138</v>
      </c>
      <c r="D36" s="558">
        <f>'[8]Sch C'!F21</f>
        <v>0</v>
      </c>
      <c r="E36" s="171">
        <f t="shared" si="4"/>
        <v>7138</v>
      </c>
      <c r="F36" s="171"/>
      <c r="G36" s="171">
        <f t="shared" si="5"/>
        <v>7138</v>
      </c>
      <c r="H36" s="172">
        <f t="shared" si="6"/>
        <v>6.7102604846409962E-4</v>
      </c>
      <c r="I36" s="336"/>
      <c r="J36" s="168"/>
      <c r="K36" s="168"/>
      <c r="M36" s="359">
        <f t="shared" si="7"/>
        <v>0.18529190353814604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'[8]Sch C'!D22</f>
        <v>0</v>
      </c>
      <c r="D37" s="558">
        <f>'[8]Sch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'[8]Sch C'!D23</f>
        <v>22956</v>
      </c>
      <c r="D38" s="558">
        <f>'[8]Sch C'!F23</f>
        <v>0</v>
      </c>
      <c r="E38" s="171">
        <f t="shared" si="4"/>
        <v>22956</v>
      </c>
      <c r="F38" s="171"/>
      <c r="G38" s="171">
        <f t="shared" si="5"/>
        <v>22956</v>
      </c>
      <c r="H38" s="172">
        <f t="shared" si="6"/>
        <v>2.1580378213143557E-3</v>
      </c>
      <c r="I38" s="336"/>
      <c r="J38" s="168"/>
      <c r="K38" s="168"/>
      <c r="M38" s="359">
        <f t="shared" si="7"/>
        <v>0.59590374581418892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'[8]Sch C'!D24</f>
        <v>14308</v>
      </c>
      <c r="D39" s="558">
        <f>'[8]Sch C'!F24</f>
        <v>0</v>
      </c>
      <c r="E39" s="171">
        <f t="shared" si="4"/>
        <v>14308</v>
      </c>
      <c r="F39" s="171"/>
      <c r="G39" s="171">
        <f t="shared" si="5"/>
        <v>14308</v>
      </c>
      <c r="H39" s="172">
        <f t="shared" si="6"/>
        <v>1.3450603392300836E-3</v>
      </c>
      <c r="I39" s="336"/>
      <c r="J39" s="168"/>
      <c r="K39" s="168"/>
      <c r="M39" s="359">
        <f t="shared" si="7"/>
        <v>0.37141447966150093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'[8]Sch C'!D25</f>
        <v>0</v>
      </c>
      <c r="D40" s="558">
        <f>'[8]Sch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'[8]Sch C'!D26</f>
        <v>0</v>
      </c>
      <c r="D41" s="558">
        <f>'[8]Sch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6"/>
      <c r="J41" s="168"/>
      <c r="K41" s="168"/>
      <c r="M41" s="359">
        <f t="shared" si="7"/>
        <v>0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'[8]Sch C'!D27</f>
        <v>859</v>
      </c>
      <c r="D42" s="558">
        <f>'[8]Sch C'!F27</f>
        <v>-215</v>
      </c>
      <c r="E42" s="171">
        <f t="shared" si="4"/>
        <v>644</v>
      </c>
      <c r="F42" s="171"/>
      <c r="G42" s="171">
        <f t="shared" si="5"/>
        <v>644</v>
      </c>
      <c r="H42" s="172">
        <f t="shared" si="6"/>
        <v>6.0540876325424505E-5</v>
      </c>
      <c r="I42" s="336"/>
      <c r="J42" s="168"/>
      <c r="K42" s="168"/>
      <c r="M42" s="359">
        <f t="shared" si="7"/>
        <v>1.6717285777327829E-2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'[8]Sch C'!D28</f>
        <v>0</v>
      </c>
      <c r="D43" s="558">
        <f>'[8]Sch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'[8]Sch C'!D29</f>
        <v>41389</v>
      </c>
      <c r="D44" s="558">
        <f>'[8]Sch C'!F29</f>
        <v>-41389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'[8]Sch C'!D30</f>
        <v>3000</v>
      </c>
      <c r="D45" s="558">
        <f>'[8]Sch C'!F30</f>
        <v>-3000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'[8]Sch C'!D31</f>
        <v>0</v>
      </c>
      <c r="D46" s="558">
        <f>'[8]Sch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'[8]Sch C'!D32</f>
        <v>84822</v>
      </c>
      <c r="D47" s="558">
        <f>'[8]Sch C'!F32</f>
        <v>0</v>
      </c>
      <c r="E47" s="171">
        <f t="shared" si="4"/>
        <v>84822</v>
      </c>
      <c r="F47" s="171"/>
      <c r="G47" s="171">
        <f t="shared" si="5"/>
        <v>84822</v>
      </c>
      <c r="H47" s="172">
        <f t="shared" si="6"/>
        <v>7.9739102665763312E-3</v>
      </c>
      <c r="I47" s="336"/>
      <c r="J47" s="168"/>
      <c r="K47" s="168"/>
      <c r="M47" s="359">
        <f t="shared" si="7"/>
        <v>2.2018534382057471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'[8]Sch C'!D33</f>
        <v>0</v>
      </c>
      <c r="D48" s="558">
        <f>'[8]Sch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'[8]Sch C'!D34</f>
        <v>762</v>
      </c>
      <c r="D49" s="558">
        <f>'[8]Sch C'!F34</f>
        <v>0</v>
      </c>
      <c r="E49" s="171">
        <f t="shared" si="4"/>
        <v>762</v>
      </c>
      <c r="F49" s="171"/>
      <c r="G49" s="171">
        <f t="shared" si="5"/>
        <v>762</v>
      </c>
      <c r="H49" s="172">
        <f t="shared" si="6"/>
        <v>7.1633769813623407E-5</v>
      </c>
      <c r="I49" s="336"/>
      <c r="J49" s="168"/>
      <c r="K49" s="168"/>
      <c r="M49" s="359">
        <f t="shared" si="7"/>
        <v>1.9780390935285413E-2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'[8]Sch C'!D35</f>
        <v>0</v>
      </c>
      <c r="D50" s="558">
        <f>'[8]Sch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'[8]Sch C'!D36</f>
        <v>76377</v>
      </c>
      <c r="D51" s="558">
        <f>'[8]Sch C'!F36</f>
        <v>0</v>
      </c>
      <c r="E51" s="171">
        <f t="shared" si="4"/>
        <v>76377</v>
      </c>
      <c r="F51" s="171"/>
      <c r="G51" s="171">
        <f t="shared" si="5"/>
        <v>76377</v>
      </c>
      <c r="H51" s="172">
        <f t="shared" si="6"/>
        <v>7.1800163215946389E-3</v>
      </c>
      <c r="I51" s="336"/>
      <c r="J51" s="183">
        <v>5374</v>
      </c>
      <c r="K51" s="183">
        <v>6139</v>
      </c>
      <c r="M51" s="359">
        <f t="shared" si="7"/>
        <v>1.9826337512654777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'[8]Sch C'!D37</f>
        <v>8892</v>
      </c>
      <c r="D52" s="558">
        <f>'[8]Sch C'!F37</f>
        <v>0</v>
      </c>
      <c r="E52" s="171">
        <f t="shared" si="4"/>
        <v>8892</v>
      </c>
      <c r="F52" s="171"/>
      <c r="G52" s="171">
        <f t="shared" si="5"/>
        <v>8892</v>
      </c>
      <c r="H52" s="172">
        <f t="shared" si="6"/>
        <v>8.3591532963614087E-4</v>
      </c>
      <c r="I52" s="336"/>
      <c r="J52" s="168"/>
      <c r="K52" s="168"/>
      <c r="M52" s="359">
        <f t="shared" si="7"/>
        <v>0.23082314461490538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'[8]Sch C'!D38</f>
        <v>858</v>
      </c>
      <c r="D53" s="558">
        <f>'[8]Sch C'!F38</f>
        <v>-858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'[8]Sch C'!D39</f>
        <v>15522</v>
      </c>
      <c r="D54" s="558">
        <f>'[8]Sch C'!F39</f>
        <v>0</v>
      </c>
      <c r="E54" s="171">
        <f t="shared" si="4"/>
        <v>15522</v>
      </c>
      <c r="F54" s="171"/>
      <c r="G54" s="171">
        <f t="shared" si="5"/>
        <v>15522</v>
      </c>
      <c r="H54" s="172">
        <f t="shared" si="6"/>
        <v>1.4591855315578249E-3</v>
      </c>
      <c r="I54" s="336"/>
      <c r="J54" s="168"/>
      <c r="K54" s="168"/>
      <c r="M54" s="359">
        <f t="shared" si="7"/>
        <v>0.40292812086286117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'[8]Sch C'!D40</f>
        <v>14163</v>
      </c>
      <c r="D55" s="558">
        <f>'[8]Sch C'!F40</f>
        <v>-14163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'[8]Sch C'!D41</f>
        <v>86912</v>
      </c>
      <c r="D56" s="558">
        <f>'[8]Sch C'!F41</f>
        <v>0</v>
      </c>
      <c r="E56" s="171">
        <f t="shared" si="4"/>
        <v>86912</v>
      </c>
      <c r="F56" s="171"/>
      <c r="G56" s="171">
        <f t="shared" si="5"/>
        <v>86912</v>
      </c>
      <c r="H56" s="172">
        <f t="shared" si="6"/>
        <v>8.1703860919181588E-3</v>
      </c>
      <c r="I56" s="336"/>
      <c r="J56" s="168"/>
      <c r="K56" s="168"/>
      <c r="M56" s="359">
        <f t="shared" si="7"/>
        <v>2.2561067414271991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'[8]Sch C'!D42</f>
        <v>737</v>
      </c>
      <c r="D57" s="558">
        <f>'[8]Sch C'!F42</f>
        <v>0</v>
      </c>
      <c r="E57" s="171">
        <f t="shared" si="4"/>
        <v>737</v>
      </c>
      <c r="F57" s="171"/>
      <c r="G57" s="171">
        <f t="shared" si="5"/>
        <v>737</v>
      </c>
      <c r="H57" s="172">
        <f t="shared" si="6"/>
        <v>6.9283580515276183E-5</v>
      </c>
      <c r="I57" s="336"/>
      <c r="J57" s="168"/>
      <c r="K57" s="168"/>
      <c r="M57" s="359">
        <f t="shared" si="7"/>
        <v>1.913142797809101E-2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'[8]Sch C'!D43</f>
        <v>23998</v>
      </c>
      <c r="D58" s="558">
        <f>'[8]Sch C'!F43</f>
        <v>-23998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'[8]Sch C'!D44</f>
        <v>0</v>
      </c>
      <c r="D59" s="558">
        <f>'[8]Sch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'[8]Sch C'!D45</f>
        <v>432742</v>
      </c>
      <c r="D60" s="558">
        <f>'[8]Sch C'!F45</f>
        <v>-424526</v>
      </c>
      <c r="E60" s="171">
        <f t="shared" si="4"/>
        <v>8216</v>
      </c>
      <c r="F60" s="171"/>
      <c r="G60" s="171">
        <f t="shared" si="5"/>
        <v>8216</v>
      </c>
      <c r="H60" s="172">
        <f t="shared" si="6"/>
        <v>7.7236621100883196E-4</v>
      </c>
      <c r="I60" s="336"/>
      <c r="J60" s="168"/>
      <c r="K60" s="168"/>
      <c r="M60" s="359">
        <f t="shared" si="7"/>
        <v>0.21327518625236871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2177678</v>
      </c>
      <c r="D61" s="558">
        <f>SUM(D25:D60)</f>
        <v>-524942</v>
      </c>
      <c r="E61" s="171">
        <f t="shared" ref="E61:F61" si="8">SUM(E25:E60)</f>
        <v>1652736</v>
      </c>
      <c r="F61" s="171">
        <f t="shared" si="8"/>
        <v>0</v>
      </c>
      <c r="G61" s="171">
        <f>SUM(G25:G60)</f>
        <v>1652736</v>
      </c>
      <c r="H61" s="186">
        <f t="shared" si="6"/>
        <v>0.15536969840772794</v>
      </c>
      <c r="I61" s="338"/>
      <c r="J61" s="168"/>
      <c r="K61" s="168"/>
      <c r="M61" s="364">
        <f>G61/G$228</f>
        <v>42.902577680865974</v>
      </c>
      <c r="N61" s="359">
        <f>SUMMARY!J64</f>
        <v>53.728790309602623</v>
      </c>
      <c r="O61" s="354">
        <f>M61/N61-1</f>
        <v>-0.20149742003035098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'[8]Sch C'!D57</f>
        <v>0</v>
      </c>
      <c r="D64" s="558">
        <f>'[8]Sch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'[8]Sch C'!D58</f>
        <v>925</v>
      </c>
      <c r="D65" s="558">
        <f>'[8]Sch C'!F58</f>
        <v>0</v>
      </c>
      <c r="E65" s="171">
        <f t="shared" si="9"/>
        <v>925</v>
      </c>
      <c r="F65" s="171"/>
      <c r="G65" s="171">
        <f t="shared" si="10"/>
        <v>925</v>
      </c>
      <c r="H65" s="172">
        <f t="shared" si="11"/>
        <v>8.6957004038847315E-5</v>
      </c>
      <c r="I65" s="336"/>
      <c r="J65" s="190"/>
      <c r="K65" s="168"/>
      <c r="M65" s="359">
        <f t="shared" si="12"/>
        <v>2.4011629416192923E-2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'[8]Sch C'!D59</f>
        <v>0</v>
      </c>
      <c r="D66" s="558">
        <f>'[8]Sch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'[8]Sch C'!D60</f>
        <v>0</v>
      </c>
      <c r="D67" s="558">
        <f>'[8]Sch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'[8]Sch C'!D61</f>
        <v>18872</v>
      </c>
      <c r="D68" s="558">
        <f>'[8]Sch C'!F61</f>
        <v>0</v>
      </c>
      <c r="E68" s="171">
        <f t="shared" si="9"/>
        <v>18872</v>
      </c>
      <c r="F68" s="171"/>
      <c r="G68" s="171">
        <f t="shared" si="10"/>
        <v>18872</v>
      </c>
      <c r="H68" s="172">
        <f t="shared" si="11"/>
        <v>1.7741108975363529E-3</v>
      </c>
      <c r="I68" s="336"/>
      <c r="J68" s="193"/>
      <c r="K68" s="168"/>
      <c r="M68" s="359">
        <f t="shared" si="12"/>
        <v>0.48988915712691122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'[8]Sch C'!D62</f>
        <v>397</v>
      </c>
      <c r="D69" s="558">
        <f>'[8]Sch C'!F62</f>
        <v>0</v>
      </c>
      <c r="E69" s="171">
        <f t="shared" si="9"/>
        <v>397</v>
      </c>
      <c r="F69" s="171"/>
      <c r="G69" s="171">
        <f t="shared" si="10"/>
        <v>397</v>
      </c>
      <c r="H69" s="172">
        <f t="shared" si="11"/>
        <v>3.7321006057753925E-5</v>
      </c>
      <c r="I69" s="336"/>
      <c r="J69" s="195"/>
      <c r="K69" s="168"/>
      <c r="M69" s="359">
        <f t="shared" si="12"/>
        <v>1.0305531760247125E-2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'[8]Sch C'!D63</f>
        <v>0</v>
      </c>
      <c r="D70" s="558">
        <f>'[8]Sch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'[8]Sch C'!D64</f>
        <v>0</v>
      </c>
      <c r="D71" s="558">
        <f>'[8]Sch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'[8]Sch C'!D65</f>
        <v>1908</v>
      </c>
      <c r="D72" s="558">
        <f>'[8]Sch C'!F65</f>
        <v>0</v>
      </c>
      <c r="E72" s="171">
        <f t="shared" si="9"/>
        <v>1908</v>
      </c>
      <c r="F72" s="171"/>
      <c r="G72" s="171">
        <f t="shared" si="10"/>
        <v>1908</v>
      </c>
      <c r="H72" s="172">
        <f t="shared" si="11"/>
        <v>1.793664472498602E-4</v>
      </c>
      <c r="I72" s="336"/>
      <c r="J72" s="195"/>
      <c r="K72" s="168"/>
      <c r="M72" s="359">
        <f t="shared" si="12"/>
        <v>4.9528852893076861E-2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'[8]Sch C'!D66</f>
        <v>72577</v>
      </c>
      <c r="D73" s="558">
        <f>'[8]Sch C'!F66</f>
        <v>0</v>
      </c>
      <c r="E73" s="171">
        <f t="shared" si="9"/>
        <v>72577</v>
      </c>
      <c r="F73" s="171"/>
      <c r="G73" s="171">
        <f t="shared" si="10"/>
        <v>72577</v>
      </c>
      <c r="H73" s="172">
        <f t="shared" si="11"/>
        <v>6.8227875482458613E-3</v>
      </c>
      <c r="I73" s="336"/>
      <c r="J73" s="195"/>
      <c r="K73" s="168"/>
      <c r="M73" s="359">
        <f t="shared" si="12"/>
        <v>1.8839913817719285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'[8]Sch C'!D67</f>
        <v>29837</v>
      </c>
      <c r="D74" s="558">
        <f>'[8]Sch C'!F67</f>
        <v>0</v>
      </c>
      <c r="E74" s="171">
        <f t="shared" si="9"/>
        <v>29837</v>
      </c>
      <c r="F74" s="171"/>
      <c r="G74" s="171">
        <f t="shared" si="10"/>
        <v>29837</v>
      </c>
      <c r="H74" s="172">
        <f t="shared" si="11"/>
        <v>2.8049039237914458E-3</v>
      </c>
      <c r="I74" s="336"/>
      <c r="J74" s="195"/>
      <c r="K74" s="168"/>
      <c r="M74" s="359">
        <f t="shared" si="12"/>
        <v>0.77452431015237655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'[8]Sch C'!D68</f>
        <v>0</v>
      </c>
      <c r="D75" s="558">
        <f>'[8]Sch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'[8]Sch C'!D69</f>
        <v>1611</v>
      </c>
      <c r="D76" s="558">
        <f>'[8]Sch C'!F69</f>
        <v>0</v>
      </c>
      <c r="E76" s="171">
        <f t="shared" si="9"/>
        <v>1611</v>
      </c>
      <c r="F76" s="171"/>
      <c r="G76" s="171">
        <f t="shared" si="10"/>
        <v>1611</v>
      </c>
      <c r="H76" s="172">
        <f t="shared" si="11"/>
        <v>1.5144619838549517E-4</v>
      </c>
      <c r="I76" s="336"/>
      <c r="J76" s="195"/>
      <c r="K76" s="168"/>
      <c r="M76" s="359">
        <f t="shared" si="12"/>
        <v>4.1819172961607351E-2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'[8]Sch C'!D70</f>
        <v>0</v>
      </c>
      <c r="D77" s="558">
        <f>'[8]Sch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'[8]Sch C'!D71</f>
        <v>0</v>
      </c>
      <c r="D78" s="558">
        <f>'[8]Sch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126127</v>
      </c>
      <c r="D79" s="558">
        <f>SUM(D64:D78)</f>
        <v>0</v>
      </c>
      <c r="E79" s="171">
        <f t="shared" ref="E79:F79" si="13">SUM(E64:E78)</f>
        <v>126127</v>
      </c>
      <c r="F79" s="171">
        <f t="shared" si="13"/>
        <v>0</v>
      </c>
      <c r="G79" s="171">
        <f>SUM(G64:G78)</f>
        <v>126127</v>
      </c>
      <c r="H79" s="172">
        <f t="shared" si="11"/>
        <v>1.1856893025305616E-2</v>
      </c>
      <c r="I79" s="336"/>
      <c r="J79" s="195"/>
      <c r="K79" s="168"/>
      <c r="M79" s="359">
        <f t="shared" si="12"/>
        <v>3.2740700360823403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'[8]Sch C'!D75</f>
        <v>91821</v>
      </c>
      <c r="D82" s="558">
        <f>'[8]Sch C'!F75</f>
        <v>0</v>
      </c>
      <c r="E82" s="171">
        <f t="shared" ref="E82:E92" si="14">C82+D82</f>
        <v>91821</v>
      </c>
      <c r="F82" s="171"/>
      <c r="G82" s="171">
        <f t="shared" ref="G82:G92" si="15">E82+F82</f>
        <v>91821</v>
      </c>
      <c r="H82" s="172">
        <f t="shared" ref="H82:H93" si="16">IF($G$208=0,0,G82/$G$208)</f>
        <v>8.6318692625416207E-3</v>
      </c>
      <c r="I82" s="336"/>
      <c r="J82" s="183">
        <v>4980</v>
      </c>
      <c r="K82" s="183">
        <v>6039</v>
      </c>
      <c r="M82" s="359">
        <f t="shared" ref="M82:M92" si="17">G82/G$228</f>
        <v>2.3835371077018923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'[8]Sch C'!D76</f>
        <v>16820</v>
      </c>
      <c r="D83" s="558">
        <f>'[8]Sch C'!F76</f>
        <v>0</v>
      </c>
      <c r="E83" s="171">
        <f t="shared" si="14"/>
        <v>16820</v>
      </c>
      <c r="F83" s="171"/>
      <c r="G83" s="171">
        <f t="shared" si="15"/>
        <v>16820</v>
      </c>
      <c r="H83" s="172">
        <f t="shared" si="16"/>
        <v>1.5812073599280128E-3</v>
      </c>
      <c r="I83" s="336"/>
      <c r="J83" s="168"/>
      <c r="K83" s="168"/>
      <c r="M83" s="359">
        <f t="shared" si="17"/>
        <v>0.43662227760039457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'[8]Sch C'!D77</f>
        <v>20002</v>
      </c>
      <c r="D84" s="558">
        <f>'[8]Sch C'!F77</f>
        <v>0</v>
      </c>
      <c r="E84" s="171">
        <f t="shared" si="14"/>
        <v>20002</v>
      </c>
      <c r="F84" s="171"/>
      <c r="G84" s="171">
        <f t="shared" si="15"/>
        <v>20002</v>
      </c>
      <c r="H84" s="172">
        <f t="shared" si="16"/>
        <v>1.8803394538216475E-3</v>
      </c>
      <c r="I84" s="336"/>
      <c r="J84" s="168"/>
      <c r="K84" s="168"/>
      <c r="M84" s="359">
        <f t="shared" si="17"/>
        <v>0.51922228279209826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'[8]Sch C'!D78</f>
        <v>0</v>
      </c>
      <c r="D85" s="558">
        <f>'[8]Sch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'[8]Sch C'!D79</f>
        <v>34303</v>
      </c>
      <c r="D86" s="558">
        <f>'[8]Sch C'!F79</f>
        <v>0</v>
      </c>
      <c r="E86" s="171">
        <f t="shared" si="14"/>
        <v>34303</v>
      </c>
      <c r="F86" s="171"/>
      <c r="G86" s="171">
        <f>E86+F86</f>
        <v>34303</v>
      </c>
      <c r="H86" s="172">
        <f t="shared" si="16"/>
        <v>3.2247417400481939E-3</v>
      </c>
      <c r="I86" s="336"/>
      <c r="J86" s="168"/>
      <c r="K86" s="168"/>
      <c r="M86" s="359">
        <f t="shared" si="17"/>
        <v>0.89045505282558468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'[8]Sch C'!D80</f>
        <v>9779</v>
      </c>
      <c r="D87" s="558">
        <f>'[8]Sch C'!F80</f>
        <v>0</v>
      </c>
      <c r="E87" s="171">
        <f t="shared" si="14"/>
        <v>9779</v>
      </c>
      <c r="F87" s="171"/>
      <c r="G87" s="171">
        <f t="shared" si="15"/>
        <v>9779</v>
      </c>
      <c r="H87" s="172">
        <f t="shared" si="16"/>
        <v>9.1930004594150045E-4</v>
      </c>
      <c r="I87" s="336"/>
      <c r="J87" s="168"/>
      <c r="K87" s="168"/>
      <c r="M87" s="359">
        <f t="shared" si="17"/>
        <v>0.25384835033616282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'[8]Sch C'!D81</f>
        <v>54116</v>
      </c>
      <c r="D88" s="558">
        <f>'[8]Sch C'!F81</f>
        <v>0</v>
      </c>
      <c r="E88" s="171">
        <f t="shared" si="14"/>
        <v>54116</v>
      </c>
      <c r="F88" s="171"/>
      <c r="G88" s="171">
        <f t="shared" si="15"/>
        <v>54116</v>
      </c>
      <c r="H88" s="172">
        <f t="shared" si="16"/>
        <v>5.0873137627743363E-3</v>
      </c>
      <c r="I88" s="336"/>
      <c r="J88" s="168"/>
      <c r="K88" s="168"/>
      <c r="M88" s="359">
        <f t="shared" si="17"/>
        <v>1.4047711756612933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'[8]Sch C'!D82</f>
        <v>64861</v>
      </c>
      <c r="D89" s="558">
        <f>'[8]Sch C'!F82</f>
        <v>0</v>
      </c>
      <c r="E89" s="171">
        <f t="shared" si="14"/>
        <v>64861</v>
      </c>
      <c r="F89" s="171"/>
      <c r="G89" s="171">
        <f t="shared" si="15"/>
        <v>64861</v>
      </c>
      <c r="H89" s="172">
        <f t="shared" si="16"/>
        <v>6.097425123203974E-3</v>
      </c>
      <c r="I89" s="336"/>
      <c r="J89" s="168"/>
      <c r="K89" s="168"/>
      <c r="M89" s="359">
        <f t="shared" si="17"/>
        <v>1.6836954546634477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'[8]Sch C'!D83</f>
        <v>23129</v>
      </c>
      <c r="D90" s="558">
        <f>'[8]Sch C'!F83</f>
        <v>0</v>
      </c>
      <c r="E90" s="171">
        <f t="shared" si="14"/>
        <v>23129</v>
      </c>
      <c r="F90" s="171"/>
      <c r="G90" s="171">
        <f t="shared" si="15"/>
        <v>23129</v>
      </c>
      <c r="H90" s="172">
        <f t="shared" si="16"/>
        <v>2.1743011312589182E-3</v>
      </c>
      <c r="I90" s="336"/>
      <c r="J90" s="168"/>
      <c r="K90" s="168"/>
      <c r="M90" s="359">
        <f t="shared" si="17"/>
        <v>0.6003945694779742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'[8]Sch C'!D84</f>
        <v>242822</v>
      </c>
      <c r="D91" s="558">
        <f>'[8]Sch C'!F84</f>
        <v>0</v>
      </c>
      <c r="E91" s="171">
        <f t="shared" si="14"/>
        <v>242822</v>
      </c>
      <c r="F91" s="171"/>
      <c r="G91" s="171">
        <f t="shared" si="15"/>
        <v>242822</v>
      </c>
      <c r="H91" s="172">
        <f t="shared" si="16"/>
        <v>2.2827106632130792E-2</v>
      </c>
      <c r="I91" s="336"/>
      <c r="J91" s="168"/>
      <c r="K91" s="168"/>
      <c r="M91" s="359">
        <f t="shared" si="17"/>
        <v>6.3032993276743765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'[8]Sch C'!D85</f>
        <v>0</v>
      </c>
      <c r="D92" s="558">
        <f>'[8]Sch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557653</v>
      </c>
      <c r="D93" s="558">
        <f>SUM(D82:D92)</f>
        <v>0</v>
      </c>
      <c r="E93" s="171">
        <f t="shared" ref="E93:F93" si="18">SUM(E82:E92)</f>
        <v>557653</v>
      </c>
      <c r="F93" s="171">
        <f t="shared" si="18"/>
        <v>0</v>
      </c>
      <c r="G93" s="171">
        <f>SUM(G82:G92)</f>
        <v>557653</v>
      </c>
      <c r="H93" s="172">
        <f t="shared" si="16"/>
        <v>5.2423604511648993E-2</v>
      </c>
      <c r="I93" s="336"/>
      <c r="J93" s="168"/>
      <c r="K93" s="168"/>
      <c r="M93" s="364">
        <f>G93/G$228</f>
        <v>14.475845598733224</v>
      </c>
      <c r="N93" s="359">
        <f>SUMMARY!J96</f>
        <v>11.458724454710746</v>
      </c>
      <c r="O93" s="354">
        <f>M93/N93-1</f>
        <v>0.26330340309231559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'[8]Sch C'!D89</f>
        <v>386749</v>
      </c>
      <c r="D96" s="558">
        <f>'[8]Sch C'!F89</f>
        <v>0</v>
      </c>
      <c r="E96" s="171">
        <f t="shared" ref="E96:E101" si="19">C96+D96</f>
        <v>386749</v>
      </c>
      <c r="F96" s="171"/>
      <c r="G96" s="171">
        <f t="shared" ref="G96:G101" si="20">E96+F96</f>
        <v>386749</v>
      </c>
      <c r="H96" s="172">
        <f t="shared" ref="H96:H102" si="21">IF($G$208=0,0,G96/$G$208)</f>
        <v>3.6357334437859629E-2</v>
      </c>
      <c r="I96" s="336"/>
      <c r="J96" s="183">
        <v>26513</v>
      </c>
      <c r="K96" s="183">
        <v>31079</v>
      </c>
      <c r="M96" s="364">
        <f t="shared" ref="M96:M101" si="22">G96/G$228</f>
        <v>10.039430989279133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'[8]Sch C'!D90</f>
        <v>67907</v>
      </c>
      <c r="D97" s="558">
        <f>'[8]Sch C'!F90</f>
        <v>0</v>
      </c>
      <c r="E97" s="171">
        <f t="shared" si="19"/>
        <v>67907</v>
      </c>
      <c r="F97" s="171"/>
      <c r="G97" s="171">
        <f t="shared" si="20"/>
        <v>67907</v>
      </c>
      <c r="H97" s="172">
        <f t="shared" si="21"/>
        <v>6.3837721873145998E-3</v>
      </c>
      <c r="I97" s="336"/>
      <c r="J97" s="168"/>
      <c r="K97" s="168"/>
      <c r="M97" s="364">
        <f t="shared" si="22"/>
        <v>1.7627651013680139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'[8]Sch C'!D91</f>
        <v>24620</v>
      </c>
      <c r="D98" s="558">
        <f>'[8]Sch C'!F91</f>
        <v>0</v>
      </c>
      <c r="E98" s="171">
        <f t="shared" si="19"/>
        <v>24620</v>
      </c>
      <c r="F98" s="171"/>
      <c r="G98" s="171">
        <f t="shared" si="20"/>
        <v>24620</v>
      </c>
      <c r="H98" s="172">
        <f t="shared" si="21"/>
        <v>2.3144664210123468E-3</v>
      </c>
      <c r="I98" s="336"/>
      <c r="J98" s="168"/>
      <c r="K98" s="168"/>
      <c r="M98" s="364">
        <f t="shared" si="22"/>
        <v>0.63909872024504844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'[8]Sch C'!D92</f>
        <v>369655</v>
      </c>
      <c r="D99" s="558">
        <f>'[8]Sch C'!F92</f>
        <v>994</v>
      </c>
      <c r="E99" s="171">
        <f t="shared" si="19"/>
        <v>370649</v>
      </c>
      <c r="F99" s="171"/>
      <c r="G99" s="171">
        <f t="shared" si="20"/>
        <v>370649</v>
      </c>
      <c r="H99" s="172">
        <f t="shared" si="21"/>
        <v>3.4843812529724016E-2</v>
      </c>
      <c r="I99" s="336"/>
      <c r="J99" s="168"/>
      <c r="K99" s="168"/>
      <c r="M99" s="364">
        <f t="shared" si="22"/>
        <v>9.6214988448459362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'[8]Sch C'!D93</f>
        <v>36849</v>
      </c>
      <c r="D100" s="558">
        <f>'[8]Sch C'!F93</f>
        <v>0</v>
      </c>
      <c r="E100" s="171">
        <f t="shared" si="19"/>
        <v>36849</v>
      </c>
      <c r="F100" s="171"/>
      <c r="G100" s="171">
        <f t="shared" si="20"/>
        <v>36849</v>
      </c>
      <c r="H100" s="172">
        <f t="shared" si="21"/>
        <v>3.4640850181918751E-3</v>
      </c>
      <c r="I100" s="336"/>
      <c r="J100" s="168"/>
      <c r="K100" s="168"/>
      <c r="M100" s="364">
        <f t="shared" si="22"/>
        <v>0.95654544038626277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'[8]Sch C'!D94</f>
        <v>0</v>
      </c>
      <c r="D101" s="558">
        <f>'[8]Sch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885780</v>
      </c>
      <c r="D102" s="558">
        <f>SUM(D96:D101)</f>
        <v>994</v>
      </c>
      <c r="E102" s="171">
        <f t="shared" ref="E102:F102" si="23">SUM(E96:E101)</f>
        <v>886774</v>
      </c>
      <c r="F102" s="171">
        <f t="shared" si="23"/>
        <v>0</v>
      </c>
      <c r="G102" s="171">
        <f>SUM(G96:G101)</f>
        <v>886774</v>
      </c>
      <c r="H102" s="172">
        <f t="shared" si="21"/>
        <v>8.3363470594102471E-2</v>
      </c>
      <c r="I102" s="336"/>
      <c r="J102" s="168"/>
      <c r="K102" s="168"/>
      <c r="M102" s="364">
        <f>G102/G$228</f>
        <v>23.019339096124394</v>
      </c>
      <c r="N102" s="359">
        <f>SUMMARY!J105</f>
        <v>19.901077037785338</v>
      </c>
      <c r="O102" s="354">
        <f>M102/N102-1</f>
        <v>0.15668810549391576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'[8]Sch C'!D98</f>
        <v>61406</v>
      </c>
      <c r="D105" s="558">
        <f>'[8]Sch C'!F98</f>
        <v>0</v>
      </c>
      <c r="E105" s="171">
        <f t="shared" ref="E105:E110" si="24">C105+D105</f>
        <v>61406</v>
      </c>
      <c r="F105" s="171"/>
      <c r="G105" s="171">
        <f t="shared" ref="G105:G110" si="25">E105+F105</f>
        <v>61406</v>
      </c>
      <c r="H105" s="172">
        <f t="shared" ref="H105:H111" si="26">IF($G$208=0,0,G105/$G$208)</f>
        <v>5.772628962172387E-3</v>
      </c>
      <c r="I105" s="336"/>
      <c r="J105" s="183">
        <v>5000</v>
      </c>
      <c r="K105" s="183">
        <v>5913</v>
      </c>
      <c r="M105" s="364">
        <f t="shared" ref="M105:M110" si="27">G105/G$228</f>
        <v>1.5940087739791813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'[8]Sch C'!D99</f>
        <v>14772</v>
      </c>
      <c r="D106" s="558">
        <f>'[8]Sch C'!F99</f>
        <v>0</v>
      </c>
      <c r="E106" s="171">
        <f t="shared" si="24"/>
        <v>14772</v>
      </c>
      <c r="F106" s="171"/>
      <c r="G106" s="171">
        <f t="shared" si="25"/>
        <v>14772</v>
      </c>
      <c r="H106" s="172">
        <f t="shared" si="26"/>
        <v>1.3886798526074082E-3</v>
      </c>
      <c r="I106" s="336"/>
      <c r="J106" s="168"/>
      <c r="K106" s="168"/>
      <c r="M106" s="364">
        <f t="shared" si="27"/>
        <v>0.38345923214702904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'[8]Sch C'!D100</f>
        <v>1094</v>
      </c>
      <c r="D107" s="558">
        <f>'[8]Sch C'!F100</f>
        <v>0</v>
      </c>
      <c r="E107" s="171">
        <f t="shared" si="24"/>
        <v>1094</v>
      </c>
      <c r="F107" s="171"/>
      <c r="G107" s="171">
        <f t="shared" si="25"/>
        <v>1094</v>
      </c>
      <c r="H107" s="172">
        <f t="shared" si="26"/>
        <v>1.0284428369567456E-4</v>
      </c>
      <c r="I107" s="336"/>
      <c r="J107" s="168"/>
      <c r="K107" s="168"/>
      <c r="M107" s="364">
        <f t="shared" si="27"/>
        <v>2.8398619006827091E-2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'[8]Sch C'!D101</f>
        <v>0</v>
      </c>
      <c r="D108" s="558">
        <f>'[8]Sch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'[8]Sch C'!D102</f>
        <v>18342</v>
      </c>
      <c r="D109" s="558">
        <f>'[8]Sch C'!F102</f>
        <v>0</v>
      </c>
      <c r="E109" s="171">
        <f t="shared" si="24"/>
        <v>18342</v>
      </c>
      <c r="F109" s="171"/>
      <c r="G109" s="171">
        <f t="shared" si="25"/>
        <v>18342</v>
      </c>
      <c r="H109" s="172">
        <f t="shared" si="26"/>
        <v>1.7242868844113918E-3</v>
      </c>
      <c r="I109" s="336"/>
      <c r="J109" s="168"/>
      <c r="K109" s="168"/>
      <c r="M109" s="364">
        <f t="shared" si="27"/>
        <v>0.47613114243438986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'[8]Sch C'!D103</f>
        <v>0</v>
      </c>
      <c r="D110" s="558">
        <f>'[8]Sch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95614</v>
      </c>
      <c r="D111" s="558">
        <f>SUM(D105:D110)</f>
        <v>0</v>
      </c>
      <c r="E111" s="171">
        <f t="shared" ref="E111:F111" si="28">SUM(E105:E110)</f>
        <v>95614</v>
      </c>
      <c r="F111" s="171">
        <f t="shared" si="28"/>
        <v>0</v>
      </c>
      <c r="G111" s="171">
        <f>SUM(G105:G110)</f>
        <v>95614</v>
      </c>
      <c r="H111" s="172">
        <f t="shared" si="26"/>
        <v>8.9884399828868613E-3</v>
      </c>
      <c r="I111" s="336"/>
      <c r="J111" s="168"/>
      <c r="K111" s="168"/>
      <c r="M111" s="364">
        <f>G111/G$228</f>
        <v>2.4819977675674272</v>
      </c>
      <c r="N111" s="359">
        <f>SUMMARY!J114</f>
        <v>2.4242384372309496</v>
      </c>
      <c r="O111" s="354">
        <f>M111/N111-1</f>
        <v>2.3825762948652907E-2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'[8]Sch C'!D115</f>
        <v>214591</v>
      </c>
      <c r="D114" s="558">
        <f>'[8]Sch C'!F115</f>
        <v>0</v>
      </c>
      <c r="E114" s="171">
        <f t="shared" ref="E114:E118" si="29">C114+D114</f>
        <v>214591</v>
      </c>
      <c r="F114" s="171"/>
      <c r="G114" s="171">
        <f>E114+F114</f>
        <v>214591</v>
      </c>
      <c r="H114" s="172">
        <f t="shared" ref="H114:H119" si="30">IF($G$208=0,0,G114/$G$208)</f>
        <v>2.0173178868865171E-2</v>
      </c>
      <c r="I114" s="336"/>
      <c r="J114" s="183">
        <v>17759</v>
      </c>
      <c r="K114" s="183">
        <v>20949</v>
      </c>
      <c r="M114" s="364">
        <f t="shared" ref="M114:M119" si="31">G114/G$228</f>
        <v>5.5704643978921684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'[8]Sch C'!D116</f>
        <v>46834</v>
      </c>
      <c r="D115" s="558">
        <f>'[8]Sch C'!F116</f>
        <v>0</v>
      </c>
      <c r="E115" s="171">
        <f t="shared" si="29"/>
        <v>46834</v>
      </c>
      <c r="F115" s="171"/>
      <c r="G115" s="171">
        <f>E115+F115</f>
        <v>46834</v>
      </c>
      <c r="H115" s="172">
        <f t="shared" si="30"/>
        <v>4.402750623951757E-3</v>
      </c>
      <c r="I115" s="336"/>
      <c r="J115" s="168"/>
      <c r="K115" s="168"/>
      <c r="M115" s="364">
        <f t="shared" si="31"/>
        <v>1.2157412454897074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'[8]Sch C'!D117</f>
        <v>72950</v>
      </c>
      <c r="D116" s="558">
        <f>'[8]Sch C'!F117</f>
        <v>0</v>
      </c>
      <c r="E116" s="171">
        <f t="shared" si="29"/>
        <v>72950</v>
      </c>
      <c r="F116" s="171"/>
      <c r="G116" s="171">
        <f>E116+F116</f>
        <v>72950</v>
      </c>
      <c r="H116" s="172">
        <f t="shared" si="30"/>
        <v>6.8578523725772019E-3</v>
      </c>
      <c r="I116" s="336"/>
      <c r="J116" s="168"/>
      <c r="K116" s="168"/>
      <c r="M116" s="364">
        <f t="shared" si="31"/>
        <v>1.893673909093269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'[8]Sch C'!D118</f>
        <v>471</v>
      </c>
      <c r="D117" s="558">
        <f>'[8]Sch C'!F118</f>
        <v>0</v>
      </c>
      <c r="E117" s="171">
        <f t="shared" si="29"/>
        <v>471</v>
      </c>
      <c r="F117" s="171"/>
      <c r="G117" s="171">
        <f>E117+F117</f>
        <v>471</v>
      </c>
      <c r="H117" s="172">
        <f t="shared" si="30"/>
        <v>4.4277566380861715E-5</v>
      </c>
      <c r="I117" s="336"/>
      <c r="J117" s="168"/>
      <c r="K117" s="168"/>
      <c r="M117" s="364">
        <f t="shared" si="31"/>
        <v>1.2226462113542559E-2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'[8]Sch C'!D119</f>
        <v>149</v>
      </c>
      <c r="D118" s="558">
        <f>'[8]Sch C'!F119</f>
        <v>0</v>
      </c>
      <c r="E118" s="171">
        <f t="shared" si="29"/>
        <v>149</v>
      </c>
      <c r="F118" s="171"/>
      <c r="G118" s="171">
        <f>E118+F118</f>
        <v>149</v>
      </c>
      <c r="H118" s="172">
        <f t="shared" si="30"/>
        <v>1.400712821814946E-5</v>
      </c>
      <c r="I118" s="336"/>
      <c r="J118" s="168"/>
      <c r="K118" s="168"/>
      <c r="M118" s="364">
        <f t="shared" si="31"/>
        <v>3.8678192248786441E-3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387</v>
      </c>
      <c r="C119" s="558">
        <f>SUM(C114:C118)</f>
        <v>334995</v>
      </c>
      <c r="D119" s="558">
        <f>SUM(D114:D118)</f>
        <v>0</v>
      </c>
      <c r="E119" s="171">
        <f t="shared" ref="E119:F119" si="32">SUM(E114:E118)</f>
        <v>334995</v>
      </c>
      <c r="F119" s="171">
        <f t="shared" si="32"/>
        <v>0</v>
      </c>
      <c r="G119" s="171">
        <f>SUM(G114:G118)</f>
        <v>334995</v>
      </c>
      <c r="H119" s="172">
        <f t="shared" si="30"/>
        <v>3.1492066559993141E-2</v>
      </c>
      <c r="I119" s="336"/>
      <c r="J119" s="168"/>
      <c r="K119" s="168"/>
      <c r="M119" s="364">
        <f t="shared" si="31"/>
        <v>8.6959738338135661</v>
      </c>
      <c r="N119" s="359">
        <f>SUMMARY!J122</f>
        <v>6.0247597205909562</v>
      </c>
      <c r="O119" s="354">
        <f>M119/N119-1</f>
        <v>0.44337272142043127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'[8]Sch C'!D124</f>
        <v>0</v>
      </c>
      <c r="D123" s="558">
        <f>'[8]Sch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'[8]Sch C'!D125</f>
        <v>527336</v>
      </c>
      <c r="D124" s="558">
        <f>'[8]Sch C'!F125</f>
        <v>0</v>
      </c>
      <c r="E124" s="171">
        <f t="shared" si="33"/>
        <v>527336</v>
      </c>
      <c r="F124" s="171"/>
      <c r="G124" s="171">
        <f>E124+F124</f>
        <v>527336</v>
      </c>
      <c r="H124" s="172">
        <f>IF($G$208=0,0,G124/$G$208)</f>
        <v>4.9573576953329285E-2</v>
      </c>
      <c r="I124" s="336"/>
      <c r="J124" s="183">
        <v>17107</v>
      </c>
      <c r="K124" s="183">
        <v>19755</v>
      </c>
      <c r="M124" s="364">
        <f t="shared" si="34"/>
        <v>13.688861199802716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'[8]Sch C'!D126</f>
        <v>0</v>
      </c>
      <c r="D125" s="558">
        <f>'[8]Sch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'[8]Sch C'!D127</f>
        <v>0</v>
      </c>
      <c r="D126" s="558">
        <f>'[8]Sch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'[8]Sch C'!D128</f>
        <v>44388</v>
      </c>
      <c r="D127" s="558">
        <f>'[8]Sch C'!F128</f>
        <v>0</v>
      </c>
      <c r="E127" s="171">
        <f t="shared" si="33"/>
        <v>44388</v>
      </c>
      <c r="F127" s="171"/>
      <c r="G127" s="171">
        <f>E127+F127</f>
        <v>44388</v>
      </c>
      <c r="H127" s="172">
        <f>IF($G$208=0,0,G127/$G$208)</f>
        <v>4.1728081030014642E-3</v>
      </c>
      <c r="I127" s="336"/>
      <c r="J127" s="183">
        <v>2508</v>
      </c>
      <c r="K127" s="183">
        <v>3052</v>
      </c>
      <c r="M127" s="364">
        <f t="shared" si="34"/>
        <v>1.1522467097578071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'[8]Sch C'!D130</f>
        <v>0</v>
      </c>
      <c r="D129" s="558">
        <f>'[8]Sch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'[8]Sch C'!D131</f>
        <v>56953</v>
      </c>
      <c r="D130" s="558">
        <f>'[8]Sch C'!F131</f>
        <v>0</v>
      </c>
      <c r="E130" s="171">
        <f t="shared" si="35"/>
        <v>56953</v>
      </c>
      <c r="F130" s="171"/>
      <c r="G130" s="171">
        <f>E130+F130</f>
        <v>56953</v>
      </c>
      <c r="H130" s="172">
        <f>IF($G$208=0,0,G130/$G$208)</f>
        <v>5.3540132443507795E-3</v>
      </c>
      <c r="I130" s="336"/>
      <c r="J130" s="204"/>
      <c r="K130" s="204"/>
      <c r="M130" s="364">
        <f t="shared" si="34"/>
        <v>1.4784154920437143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'[8]Sch C'!D132</f>
        <v>0</v>
      </c>
      <c r="D131" s="558">
        <f>'[8]Sch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'[8]Sch C'!D133</f>
        <v>0</v>
      </c>
      <c r="D132" s="558">
        <f>'[8]Sch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'[8]Sch C'!D134</f>
        <v>4814</v>
      </c>
      <c r="D133" s="558">
        <f>'[8]Sch C'!F134</f>
        <v>0</v>
      </c>
      <c r="E133" s="171">
        <f t="shared" si="35"/>
        <v>4814</v>
      </c>
      <c r="F133" s="171"/>
      <c r="G133" s="171">
        <f>E133+F133</f>
        <v>4814</v>
      </c>
      <c r="H133" s="172">
        <f>IF($G$208=0,0,G133/$G$208)</f>
        <v>4.5255245128974158E-4</v>
      </c>
      <c r="I133" s="336"/>
      <c r="J133" s="168"/>
      <c r="K133" s="168"/>
      <c r="M133" s="364">
        <f t="shared" si="34"/>
        <v>0.12496430703735431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'[8]Sch C'!D136</f>
        <v>1202725</v>
      </c>
      <c r="D135" s="558">
        <f>'[8]Sch C'!F136</f>
        <v>0</v>
      </c>
      <c r="E135" s="171">
        <f t="shared" ref="E135:E138" si="36">C135+D135</f>
        <v>1202725</v>
      </c>
      <c r="F135" s="171"/>
      <c r="G135" s="171">
        <f>E135+F135</f>
        <v>1202725</v>
      </c>
      <c r="H135" s="172">
        <f>IF($G$208=0,0,G135/$G$208)</f>
        <v>0.11306525695418664</v>
      </c>
      <c r="I135" s="336"/>
      <c r="J135" s="183">
        <v>34545</v>
      </c>
      <c r="K135" s="183">
        <v>39975</v>
      </c>
      <c r="M135" s="364">
        <f t="shared" si="34"/>
        <v>31.220958907665551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'[8]Sch C'!D137</f>
        <v>614800</v>
      </c>
      <c r="D136" s="558">
        <f>'[8]Sch C'!F137</f>
        <v>0</v>
      </c>
      <c r="E136" s="171">
        <f t="shared" si="36"/>
        <v>614800</v>
      </c>
      <c r="F136" s="171"/>
      <c r="G136" s="171">
        <f>E136+F136</f>
        <v>614800</v>
      </c>
      <c r="H136" s="172">
        <f>IF($G$208=0,0,G136/$G$208)</f>
        <v>5.7795855224954951E-2</v>
      </c>
      <c r="I136" s="336"/>
      <c r="J136" s="183">
        <v>24314</v>
      </c>
      <c r="K136" s="183">
        <v>28583</v>
      </c>
      <c r="M136" s="364">
        <f t="shared" si="34"/>
        <v>15.959297043324767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'[8]Sch C'!D138</f>
        <v>1562440</v>
      </c>
      <c r="D137" s="558">
        <f>'[8]Sch C'!F138</f>
        <v>126123</v>
      </c>
      <c r="E137" s="171">
        <f t="shared" si="36"/>
        <v>1688563</v>
      </c>
      <c r="F137" s="171"/>
      <c r="G137" s="171">
        <f>E137+F137</f>
        <v>1688563</v>
      </c>
      <c r="H137" s="172">
        <f>IF($G$208=0,0,G137/$G$208)</f>
        <v>0.15873770768740339</v>
      </c>
      <c r="I137" s="336"/>
      <c r="J137" s="183">
        <v>117606</v>
      </c>
      <c r="K137" s="183">
        <v>145361</v>
      </c>
      <c r="M137" s="364">
        <f t="shared" si="34"/>
        <v>43.832593515562131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'[8]Sch C'!D139</f>
        <v>126123</v>
      </c>
      <c r="D138" s="558">
        <f>'[8]Sch C'!F139</f>
        <v>-126123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'[8]Sch C'!D141</f>
        <v>823057</v>
      </c>
      <c r="D140" s="558">
        <f>'[8]Sch C'!F141</f>
        <v>-540716</v>
      </c>
      <c r="E140" s="171">
        <f t="shared" ref="E140:E143" si="37">C140+D140</f>
        <v>282341</v>
      </c>
      <c r="F140" s="171"/>
      <c r="G140" s="171">
        <f>E140+F140</f>
        <v>282341</v>
      </c>
      <c r="H140" s="172">
        <f>IF($G$208=0,0,G140/$G$208)</f>
        <v>2.6542191867386152E-2</v>
      </c>
      <c r="I140" s="336"/>
      <c r="J140" s="168"/>
      <c r="K140" s="168"/>
      <c r="M140" s="364">
        <f t="shared" si="34"/>
        <v>7.3291540118890017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'[8]Sch C'!D142</f>
        <v>0</v>
      </c>
      <c r="D141" s="558">
        <f>'[8]Sch C'!F142</f>
        <v>144325</v>
      </c>
      <c r="E141" s="171">
        <f t="shared" si="37"/>
        <v>144325</v>
      </c>
      <c r="F141" s="171"/>
      <c r="G141" s="171">
        <f>E141+F141</f>
        <v>144325</v>
      </c>
      <c r="H141" s="172">
        <f>IF($G$208=0,0,G141/$G$208)</f>
        <v>1.3567642819358528E-2</v>
      </c>
      <c r="I141" s="336"/>
      <c r="J141" s="168"/>
      <c r="K141" s="168"/>
      <c r="M141" s="364">
        <f t="shared" si="34"/>
        <v>3.7464631518832907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'[8]Sch C'!D143</f>
        <v>0</v>
      </c>
      <c r="D142" s="558">
        <f>'[8]Sch C'!F143</f>
        <v>396392</v>
      </c>
      <c r="E142" s="171">
        <f t="shared" si="37"/>
        <v>396392</v>
      </c>
      <c r="F142" s="171"/>
      <c r="G142" s="171">
        <f>E142+F142</f>
        <v>396392</v>
      </c>
      <c r="H142" s="172">
        <f>IF($G$208=0,0,G142/$G$208)</f>
        <v>3.7263849454018123E-2</v>
      </c>
      <c r="I142" s="336"/>
      <c r="J142" s="168"/>
      <c r="K142" s="168"/>
      <c r="M142" s="364">
        <f t="shared" si="34"/>
        <v>10.289748981128158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'[8]Sch C'!D144</f>
        <v>0</v>
      </c>
      <c r="D143" s="558">
        <f>'[8]Sch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'[8]Sch C'!D146</f>
        <v>47375</v>
      </c>
      <c r="D145" s="558">
        <f>'[8]Sch C'!F146</f>
        <v>0</v>
      </c>
      <c r="E145" s="171">
        <f t="shared" ref="E145:E153" si="38">C145+D145</f>
        <v>47375</v>
      </c>
      <c r="F145" s="171"/>
      <c r="G145" s="171">
        <f t="shared" ref="G145:G153" si="39">E145+F145</f>
        <v>47375</v>
      </c>
      <c r="H145" s="172">
        <f t="shared" ref="H145:H153" si="40">IF($G$208=0,0,G145/$G$208)</f>
        <v>4.4536087203679905E-3</v>
      </c>
      <c r="I145" s="336"/>
      <c r="J145" s="183">
        <v>320</v>
      </c>
      <c r="K145" s="183">
        <v>320</v>
      </c>
      <c r="M145" s="364">
        <f t="shared" si="34"/>
        <v>1.2297848038833943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'[8]Sch C'!D147</f>
        <v>0</v>
      </c>
      <c r="D146" s="558">
        <f>'[8]Sch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'[8]Sch C'!D148</f>
        <v>0</v>
      </c>
      <c r="D147" s="558">
        <f>'[8]Sch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'[8]Sch C'!D149</f>
        <v>0</v>
      </c>
      <c r="D148" s="558">
        <f>'[8]Sch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'[8]Sch C'!D150</f>
        <v>557</v>
      </c>
      <c r="D149" s="558">
        <f>'[8]Sch C'!F150</f>
        <v>0</v>
      </c>
      <c r="E149" s="171">
        <f t="shared" si="38"/>
        <v>557</v>
      </c>
      <c r="F149" s="171"/>
      <c r="G149" s="171">
        <f t="shared" si="39"/>
        <v>557</v>
      </c>
      <c r="H149" s="172">
        <f t="shared" si="40"/>
        <v>5.2362217567176167E-5</v>
      </c>
      <c r="I149" s="336"/>
      <c r="J149" s="183">
        <v>0</v>
      </c>
      <c r="K149" s="183">
        <v>0</v>
      </c>
      <c r="M149" s="364">
        <f t="shared" si="34"/>
        <v>1.4458894686291307E-2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'[8]Sch C'!D151</f>
        <v>193441</v>
      </c>
      <c r="D150" s="558">
        <f>'[8]Sch C'!F151</f>
        <v>0</v>
      </c>
      <c r="E150" s="171">
        <f t="shared" si="38"/>
        <v>193441</v>
      </c>
      <c r="F150" s="171"/>
      <c r="G150" s="171">
        <f t="shared" si="39"/>
        <v>193441</v>
      </c>
      <c r="H150" s="172">
        <f t="shared" si="40"/>
        <v>1.818491872246342E-2</v>
      </c>
      <c r="I150" s="336"/>
      <c r="J150" s="168"/>
      <c r="K150" s="168"/>
      <c r="M150" s="364">
        <f t="shared" si="34"/>
        <v>5.0214417361057029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'[8]Sch C'!D152</f>
        <v>29444</v>
      </c>
      <c r="D151" s="558">
        <f>'[8]Sch C'!F152</f>
        <v>0</v>
      </c>
      <c r="E151" s="171">
        <f t="shared" si="38"/>
        <v>29444</v>
      </c>
      <c r="F151" s="171"/>
      <c r="G151" s="171">
        <f t="shared" si="39"/>
        <v>29444</v>
      </c>
      <c r="H151" s="172">
        <f t="shared" si="40"/>
        <v>2.7679589480214275E-3</v>
      </c>
      <c r="I151" s="336"/>
      <c r="J151" s="168"/>
      <c r="K151" s="168"/>
      <c r="M151" s="364">
        <f t="shared" si="34"/>
        <v>0.76432261246528044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'[8]Sch C'!D153</f>
        <v>0</v>
      </c>
      <c r="D152" s="558">
        <f>'[8]Sch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'[8]Sch C'!D154</f>
        <v>25</v>
      </c>
      <c r="D153" s="558">
        <f>'[8]Sch C'!F154</f>
        <v>0</v>
      </c>
      <c r="E153" s="171">
        <f t="shared" si="38"/>
        <v>25</v>
      </c>
      <c r="F153" s="171"/>
      <c r="G153" s="171">
        <f t="shared" si="39"/>
        <v>25</v>
      </c>
      <c r="H153" s="172">
        <f t="shared" si="40"/>
        <v>2.3501892983472245E-6</v>
      </c>
      <c r="I153" s="336"/>
      <c r="J153" s="168"/>
      <c r="K153" s="168"/>
      <c r="M153" s="364">
        <f t="shared" si="34"/>
        <v>6.4896295719440338E-4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'[8]Sch C'!D156</f>
        <v>0</v>
      </c>
      <c r="D155" s="558">
        <f>'[8]Sch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'[8]Sch C'!D157</f>
        <v>0</v>
      </c>
      <c r="D156" s="558">
        <f>'[8]Sch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'[8]Sch C'!D158</f>
        <v>0</v>
      </c>
      <c r="D157" s="558">
        <f>'[8]Sch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'[8]Sch C'!D159</f>
        <v>0</v>
      </c>
      <c r="D158" s="558">
        <f>'[8]Sch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'[8]Sch C'!D160</f>
        <v>0</v>
      </c>
      <c r="D159" s="558">
        <f>'[8]Sch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'[8]Sch C'!D161</f>
        <v>27871</v>
      </c>
      <c r="D160" s="558">
        <f>'[8]Sch C'!F161</f>
        <v>0</v>
      </c>
      <c r="E160" s="171">
        <f t="shared" si="41"/>
        <v>27871</v>
      </c>
      <c r="F160" s="171"/>
      <c r="G160" s="171">
        <f t="shared" si="42"/>
        <v>27871</v>
      </c>
      <c r="H160" s="172">
        <f t="shared" si="43"/>
        <v>2.6200850373694199E-3</v>
      </c>
      <c r="I160" s="336"/>
      <c r="J160" s="168"/>
      <c r="K160" s="168"/>
      <c r="M160" s="364">
        <f t="shared" si="34"/>
        <v>0.72348986319860864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5261349</v>
      </c>
      <c r="D161" s="558">
        <f>SUM(D123:D160)</f>
        <v>1</v>
      </c>
      <c r="E161" s="171">
        <f t="shared" ref="E161:F161" si="44">SUM(E123:E160)</f>
        <v>5261350</v>
      </c>
      <c r="F161" s="171">
        <f t="shared" si="44"/>
        <v>0</v>
      </c>
      <c r="G161" s="171">
        <f>SUM(G123:G160)</f>
        <v>5261350</v>
      </c>
      <c r="H161" s="172">
        <f t="shared" si="43"/>
        <v>0.49460673859436682</v>
      </c>
      <c r="I161" s="336"/>
      <c r="J161" s="168"/>
      <c r="K161" s="168"/>
      <c r="M161" s="364">
        <f>G161/G$228</f>
        <v>136.57685019339095</v>
      </c>
      <c r="N161" s="359">
        <f>SUMMARY!J164</f>
        <v>105.56901037202306</v>
      </c>
      <c r="O161" s="354">
        <f>M161/N161-1</f>
        <v>0.29372104287135858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'[8]Sch C'!D175</f>
        <v>0</v>
      </c>
      <c r="D164" s="558">
        <f>'[8]Sch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'[8]Sch C'!D176</f>
        <v>0</v>
      </c>
      <c r="D165" s="558">
        <f>'[8]Sch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'[8]Sch C'!D177</f>
        <v>0</v>
      </c>
      <c r="D166" s="558">
        <f>'[8]Sch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'[8]Sch C'!D178</f>
        <v>0</v>
      </c>
      <c r="D167" s="558">
        <f>'[8]Sch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'[8]Sch C'!D179</f>
        <v>0</v>
      </c>
      <c r="D168" s="558">
        <f>'[8]Sch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'[8]Sch C'!D180</f>
        <v>0</v>
      </c>
      <c r="D169" s="558">
        <f>'[8]Sch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'[8]Sch C'!D181</f>
        <v>0</v>
      </c>
      <c r="D170" s="558">
        <f>'[8]Sch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'[8]Sch C'!D182</f>
        <v>0</v>
      </c>
      <c r="D171" s="558">
        <f>'[8]Sch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'[8]Sch C'!D183</f>
        <v>0</v>
      </c>
      <c r="D172" s="558">
        <f>'[8]Sch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'[8]Sch C'!D184</f>
        <v>0</v>
      </c>
      <c r="D173" s="558">
        <f>'[8]Sch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'[8]Sch C'!D185</f>
        <v>0</v>
      </c>
      <c r="D174" s="558">
        <f>'[8]Sch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'[8]Sch C'!D186</f>
        <v>0</v>
      </c>
      <c r="D175" s="558">
        <f>'[8]Sch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'[8]Sch C'!D187</f>
        <v>0</v>
      </c>
      <c r="D176" s="558">
        <f>'[8]Sch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'[8]Sch C'!D188</f>
        <v>746</v>
      </c>
      <c r="D177" s="558">
        <f>'[8]Sch C'!F188</f>
        <v>0</v>
      </c>
      <c r="E177" s="171">
        <f t="shared" si="45"/>
        <v>746</v>
      </c>
      <c r="F177" s="216"/>
      <c r="G177" s="171">
        <f t="shared" si="46"/>
        <v>746</v>
      </c>
      <c r="H177" s="172">
        <f t="shared" si="47"/>
        <v>7.0129648662681178E-5</v>
      </c>
      <c r="I177" s="336"/>
      <c r="J177" s="223"/>
      <c r="K177" s="218"/>
      <c r="L177" s="220"/>
      <c r="M177" s="364">
        <f t="shared" si="48"/>
        <v>1.9365054642680995E-2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'[8]Sch C'!D189</f>
        <v>0</v>
      </c>
      <c r="D178" s="558">
        <f>'[8]Sch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'[8]Sch C'!D190</f>
        <v>0</v>
      </c>
      <c r="D179" s="558">
        <f>'[8]Sch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'[8]Sch C'!D191</f>
        <v>0</v>
      </c>
      <c r="D180" s="558">
        <f>'[8]Sch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'[8]Sch C'!D192</f>
        <v>0</v>
      </c>
      <c r="D181" s="558">
        <f>'[8]Sch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'[8]Sch C'!D193</f>
        <v>24872</v>
      </c>
      <c r="D182" s="558">
        <f>'[8]Sch C'!F193</f>
        <v>0</v>
      </c>
      <c r="E182" s="171">
        <f t="shared" si="45"/>
        <v>24872</v>
      </c>
      <c r="F182" s="216"/>
      <c r="G182" s="171">
        <f t="shared" si="46"/>
        <v>24872</v>
      </c>
      <c r="H182" s="172">
        <f t="shared" si="47"/>
        <v>2.3381563291396869E-3</v>
      </c>
      <c r="I182" s="336"/>
      <c r="J182" s="223"/>
      <c r="K182" s="218"/>
      <c r="L182" s="220"/>
      <c r="M182" s="364">
        <f t="shared" si="48"/>
        <v>0.64564026685356801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'[8]Sch C'!D194</f>
        <v>396561</v>
      </c>
      <c r="D183" s="558">
        <f>'[8]Sch C'!F194</f>
        <v>0</v>
      </c>
      <c r="E183" s="171">
        <f t="shared" si="45"/>
        <v>396561</v>
      </c>
      <c r="F183" s="216"/>
      <c r="G183" s="171">
        <f t="shared" si="46"/>
        <v>396561</v>
      </c>
      <c r="H183" s="172">
        <f t="shared" si="47"/>
        <v>3.7279736733674948E-2</v>
      </c>
      <c r="I183" s="336"/>
      <c r="J183" s="223"/>
      <c r="K183" s="218"/>
      <c r="M183" s="364">
        <f t="shared" si="48"/>
        <v>10.294135970718791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'[8]Sch C'!D195</f>
        <v>178431</v>
      </c>
      <c r="D184" s="558">
        <f>'[8]Sch C'!F195</f>
        <v>0</v>
      </c>
      <c r="E184" s="171">
        <f t="shared" si="45"/>
        <v>178431</v>
      </c>
      <c r="F184" s="216"/>
      <c r="G184" s="171">
        <f t="shared" si="46"/>
        <v>178431</v>
      </c>
      <c r="H184" s="172">
        <f t="shared" si="47"/>
        <v>1.6773865067735746E-2</v>
      </c>
      <c r="I184" s="336"/>
      <c r="J184" s="223"/>
      <c r="K184" s="218"/>
      <c r="M184" s="364">
        <f t="shared" si="48"/>
        <v>4.6318043766061834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'[8]Sch C'!D196</f>
        <v>0</v>
      </c>
      <c r="D185" s="558">
        <f>'[8]Sch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'[8]Sch C'!D197</f>
        <v>305629</v>
      </c>
      <c r="D186" s="558">
        <f>'[8]Sch C'!F197</f>
        <v>0</v>
      </c>
      <c r="E186" s="171">
        <f t="shared" si="45"/>
        <v>305629</v>
      </c>
      <c r="F186" s="216"/>
      <c r="G186" s="171">
        <f t="shared" si="46"/>
        <v>305629</v>
      </c>
      <c r="H186" s="172">
        <f t="shared" si="47"/>
        <v>2.8731440202582559E-2</v>
      </c>
      <c r="I186" s="336"/>
      <c r="J186" s="223"/>
      <c r="K186" s="218"/>
      <c r="M186" s="364">
        <f t="shared" si="48"/>
        <v>7.9336759857747321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'[8]Sch C'!D198</f>
        <v>63421</v>
      </c>
      <c r="D187" s="558">
        <f>'[8]Sch C'!F198</f>
        <v>0</v>
      </c>
      <c r="E187" s="171">
        <f t="shared" si="45"/>
        <v>63421</v>
      </c>
      <c r="F187" s="216"/>
      <c r="G187" s="171">
        <f t="shared" si="46"/>
        <v>63421</v>
      </c>
      <c r="H187" s="172">
        <f t="shared" si="47"/>
        <v>5.9620542196191732E-3</v>
      </c>
      <c r="I187" s="336"/>
      <c r="J187" s="223"/>
      <c r="K187" s="218"/>
      <c r="M187" s="364">
        <f t="shared" si="48"/>
        <v>1.6463151883290501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'[8]Sch C'!D199</f>
        <v>0</v>
      </c>
      <c r="D188" s="558">
        <f>'[8]Sch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'[8]Sch C'!D200</f>
        <v>0</v>
      </c>
      <c r="D189" s="558">
        <f>'[8]Sch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'[8]Sch C'!D201</f>
        <v>0</v>
      </c>
      <c r="D190" s="558">
        <f>'[8]Sch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'[8]Sch C'!D202</f>
        <v>0</v>
      </c>
      <c r="D191" s="558">
        <f>'[8]Sch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'[8]Sch C'!D203</f>
        <v>0</v>
      </c>
      <c r="D192" s="558">
        <f>'[8]Sch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'[8]Sch C'!D204</f>
        <v>0</v>
      </c>
      <c r="D193" s="558">
        <f>'[8]Sch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'[8]Sch C'!D205</f>
        <v>412788</v>
      </c>
      <c r="D194" s="558">
        <f>'[8]Sch C'!F205</f>
        <v>0</v>
      </c>
      <c r="E194" s="171">
        <f t="shared" si="45"/>
        <v>412788</v>
      </c>
      <c r="F194" s="216"/>
      <c r="G194" s="171">
        <f t="shared" si="46"/>
        <v>412788</v>
      </c>
      <c r="H194" s="172">
        <f t="shared" si="47"/>
        <v>3.8805197603446168E-2</v>
      </c>
      <c r="I194" s="336"/>
      <c r="J194" s="223"/>
      <c r="K194" s="218"/>
      <c r="M194" s="364">
        <f t="shared" si="48"/>
        <v>10.715364846974534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'[8]Sch C'!D206</f>
        <v>10000</v>
      </c>
      <c r="D195" s="558">
        <f>'[8]Sch C'!F206</f>
        <v>0</v>
      </c>
      <c r="E195" s="171">
        <f t="shared" si="45"/>
        <v>10000</v>
      </c>
      <c r="F195" s="216"/>
      <c r="G195" s="171">
        <f t="shared" si="46"/>
        <v>10000</v>
      </c>
      <c r="H195" s="172">
        <f t="shared" si="47"/>
        <v>9.4007571933888985E-4</v>
      </c>
      <c r="I195" s="336"/>
      <c r="J195" s="223"/>
      <c r="K195" s="218"/>
      <c r="M195" s="364">
        <f t="shared" si="48"/>
        <v>0.25958518287776133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'[8]Sch C'!D207</f>
        <v>5199</v>
      </c>
      <c r="D196" s="558">
        <f>'[8]Sch C'!F207</f>
        <v>0</v>
      </c>
      <c r="E196" s="171">
        <f t="shared" si="45"/>
        <v>5199</v>
      </c>
      <c r="F196" s="216"/>
      <c r="G196" s="171">
        <f t="shared" si="46"/>
        <v>5199</v>
      </c>
      <c r="H196" s="172">
        <f t="shared" si="47"/>
        <v>4.8874536648428884E-4</v>
      </c>
      <c r="I196" s="336"/>
      <c r="J196" s="223"/>
      <c r="K196" s="218"/>
      <c r="M196" s="364">
        <f t="shared" si="48"/>
        <v>0.13495833657814812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1397647</v>
      </c>
      <c r="D197" s="558">
        <f>SUM(D164:D196)</f>
        <v>0</v>
      </c>
      <c r="E197" s="171">
        <f t="shared" ref="E197:F197" si="49">SUM(E164:E196)</f>
        <v>1397647</v>
      </c>
      <c r="F197" s="171">
        <f t="shared" si="49"/>
        <v>0</v>
      </c>
      <c r="G197" s="171">
        <f>SUM(G164:G196)</f>
        <v>1397647</v>
      </c>
      <c r="H197" s="172">
        <f>IF($G$208=0,0,G197/$G$208)</f>
        <v>0.13138940089068415</v>
      </c>
      <c r="I197" s="336"/>
      <c r="J197" s="168"/>
      <c r="K197" s="168"/>
      <c r="M197" s="364">
        <f>G197/G$228</f>
        <v>36.280845209355448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'[8]Sch C'!D211</f>
        <v>228749</v>
      </c>
      <c r="D200" s="558">
        <f>'[8]Sch C'!F211</f>
        <v>0</v>
      </c>
      <c r="E200" s="171">
        <f t="shared" ref="E200:E205" si="50">C200+D200</f>
        <v>228749</v>
      </c>
      <c r="F200" s="171"/>
      <c r="G200" s="171">
        <f t="shared" ref="G200:G205" si="51">E200+F200</f>
        <v>228749</v>
      </c>
      <c r="H200" s="172">
        <f t="shared" ref="H200:H206" si="52">IF($G$208=0,0,G200/$G$208)</f>
        <v>2.1504138072305171E-2</v>
      </c>
      <c r="I200" s="336"/>
      <c r="J200" s="183">
        <v>12262</v>
      </c>
      <c r="K200" s="183">
        <v>14543</v>
      </c>
      <c r="M200" s="364">
        <f t="shared" ref="M200:M205" si="53">G200/G$228</f>
        <v>5.9379850998105024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'[8]Sch C'!D212</f>
        <v>68657</v>
      </c>
      <c r="D201" s="558">
        <f>'[8]Sch C'!F212</f>
        <v>0</v>
      </c>
      <c r="E201" s="171">
        <f t="shared" si="50"/>
        <v>68657</v>
      </c>
      <c r="F201" s="171"/>
      <c r="G201" s="171">
        <f t="shared" si="51"/>
        <v>68657</v>
      </c>
      <c r="H201" s="172">
        <f t="shared" si="52"/>
        <v>6.4542778662650159E-3</v>
      </c>
      <c r="I201" s="336"/>
      <c r="J201" s="168"/>
      <c r="K201" s="168"/>
      <c r="M201" s="364">
        <f t="shared" si="53"/>
        <v>1.782233990083846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'[8]Sch C'!D213</f>
        <v>13867</v>
      </c>
      <c r="D202" s="558">
        <f>'[8]Sch C'!F213</f>
        <v>0</v>
      </c>
      <c r="E202" s="171">
        <f t="shared" si="50"/>
        <v>13867</v>
      </c>
      <c r="F202" s="171"/>
      <c r="G202" s="171">
        <f t="shared" si="51"/>
        <v>13867</v>
      </c>
      <c r="H202" s="172">
        <f t="shared" si="52"/>
        <v>1.3036030000072385E-3</v>
      </c>
      <c r="I202" s="336"/>
      <c r="J202" s="168"/>
      <c r="K202" s="168"/>
      <c r="M202" s="364">
        <f t="shared" si="53"/>
        <v>0.35996677309659164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'[8]Sch C'!D214</f>
        <v>0</v>
      </c>
      <c r="D203" s="558">
        <f>'[8]Sch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'[8]Sch C'!D215</f>
        <v>0</v>
      </c>
      <c r="D204" s="558">
        <f>'[8]Sch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'[8]Sch C'!D216</f>
        <v>13272</v>
      </c>
      <c r="D205" s="558">
        <f>'[8]Sch C'!F216</f>
        <v>0</v>
      </c>
      <c r="E205" s="171">
        <f t="shared" si="50"/>
        <v>13272</v>
      </c>
      <c r="F205" s="171"/>
      <c r="G205" s="171">
        <f t="shared" si="51"/>
        <v>13272</v>
      </c>
      <c r="H205" s="172">
        <f t="shared" si="52"/>
        <v>1.2476684947065747E-3</v>
      </c>
      <c r="I205" s="336"/>
      <c r="J205" s="168"/>
      <c r="K205" s="168"/>
      <c r="M205" s="364">
        <f t="shared" si="53"/>
        <v>0.34452145471536483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324545</v>
      </c>
      <c r="D206" s="558">
        <f>SUM(D200:D205)</f>
        <v>0</v>
      </c>
      <c r="E206" s="171">
        <f t="shared" ref="E206:F206" si="54">SUM(E200:E205)</f>
        <v>324545</v>
      </c>
      <c r="F206" s="171">
        <f t="shared" si="54"/>
        <v>0</v>
      </c>
      <c r="G206" s="171">
        <f>SUM(G200:G205)</f>
        <v>324545</v>
      </c>
      <c r="H206" s="172">
        <f t="shared" si="52"/>
        <v>3.0509687433284E-2</v>
      </c>
      <c r="I206" s="336"/>
      <c r="J206" s="168"/>
      <c r="K206" s="168"/>
      <c r="M206" s="364">
        <f>G206/G$228</f>
        <v>8.4247073177063054</v>
      </c>
      <c r="N206" s="359">
        <f>SUMMARY!J209</f>
        <v>7.1515095990067339</v>
      </c>
      <c r="O206" s="354">
        <f>M206/N206-1</f>
        <v>0.17803202262028761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11161388</v>
      </c>
      <c r="D208" s="558">
        <f>SUM(D25:D206)/2</f>
        <v>-523947</v>
      </c>
      <c r="E208" s="171">
        <f t="shared" ref="E208:F208" si="55">SUM(E25:E206)/2</f>
        <v>10637441</v>
      </c>
      <c r="F208" s="171">
        <f t="shared" si="55"/>
        <v>0</v>
      </c>
      <c r="G208" s="171">
        <f>SUM(G25:G206)/2</f>
        <v>10637441</v>
      </c>
      <c r="H208" s="172">
        <f>IF($G$208=0,0,G208/$G$208)</f>
        <v>1</v>
      </c>
      <c r="I208" s="336"/>
      <c r="J208" s="183">
        <f>SUM(J25:J200)</f>
        <v>283314</v>
      </c>
      <c r="K208" s="183">
        <f>SUM(K25:K200)</f>
        <v>339844</v>
      </c>
      <c r="M208" s="364">
        <f>G208/G$228</f>
        <v>276.13220673363963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1.1574456384166107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'[8]Sch C'!D221</f>
        <v>11161388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564457</v>
      </c>
      <c r="D215" s="558">
        <f>D21-D208</f>
        <v>485350</v>
      </c>
      <c r="E215" s="171">
        <f t="shared" ref="E215:F215" si="56">E21-E208</f>
        <v>1049807</v>
      </c>
      <c r="F215" s="171">
        <f t="shared" si="56"/>
        <v>0</v>
      </c>
      <c r="G215" s="171">
        <f>G21-G208</f>
        <v>1049807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'[8]Sch D'!C9</f>
        <v>2442</v>
      </c>
      <c r="D219" s="592"/>
      <c r="E219" s="235">
        <f t="shared" ref="E219:G227" si="57">C219+D219</f>
        <v>2442</v>
      </c>
      <c r="F219" s="456"/>
      <c r="G219" s="235">
        <f t="shared" si="57"/>
        <v>2442</v>
      </c>
      <c r="H219" s="172">
        <f t="shared" ref="H219:H228" si="58">IF($G$228=0,0,G219/$G$228)</f>
        <v>6.3390701658749313E-2</v>
      </c>
      <c r="I219" s="336"/>
      <c r="J219" s="168"/>
      <c r="K219" s="168"/>
    </row>
    <row r="220" spans="1:17">
      <c r="A220" s="163"/>
      <c r="B220" s="170" t="s">
        <v>217</v>
      </c>
      <c r="C220" s="592">
        <f>'[8]Sch D'!D9</f>
        <v>0</v>
      </c>
      <c r="D220" s="592"/>
      <c r="E220" s="235">
        <f t="shared" ref="E220:E227" si="59">C220+D220</f>
        <v>0</v>
      </c>
      <c r="F220" s="456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'[8]Sch D'!E9</f>
        <v>3811</v>
      </c>
      <c r="D221" s="592"/>
      <c r="E221" s="235">
        <f t="shared" si="59"/>
        <v>3811</v>
      </c>
      <c r="F221" s="456"/>
      <c r="G221" s="235">
        <f t="shared" si="57"/>
        <v>3811</v>
      </c>
      <c r="H221" s="172">
        <f t="shared" si="58"/>
        <v>9.8927913194714848E-2</v>
      </c>
      <c r="I221" s="336"/>
      <c r="J221" s="168"/>
      <c r="K221" s="168"/>
    </row>
    <row r="222" spans="1:17">
      <c r="A222" s="163"/>
      <c r="B222" s="202" t="s">
        <v>334</v>
      </c>
      <c r="C222" s="592">
        <f>'[8]Sch D'!F9</f>
        <v>1212</v>
      </c>
      <c r="D222" s="592"/>
      <c r="E222" s="235">
        <f>C222+D222</f>
        <v>1212</v>
      </c>
      <c r="F222" s="456"/>
      <c r="G222" s="235">
        <f>E222+F222</f>
        <v>1212</v>
      </c>
      <c r="H222" s="172">
        <f t="shared" si="58"/>
        <v>3.1461724164784675E-2</v>
      </c>
      <c r="I222" s="336"/>
      <c r="J222" s="168"/>
      <c r="K222" s="168"/>
    </row>
    <row r="223" spans="1:17">
      <c r="A223" s="163"/>
      <c r="B223" s="170" t="s">
        <v>73</v>
      </c>
      <c r="C223" s="592">
        <f>'[8]Sch D'!G9</f>
        <v>8150</v>
      </c>
      <c r="D223" s="592"/>
      <c r="E223" s="235">
        <f t="shared" si="59"/>
        <v>8150</v>
      </c>
      <c r="F223" s="456"/>
      <c r="G223" s="235">
        <f t="shared" si="57"/>
        <v>8150</v>
      </c>
      <c r="H223" s="172">
        <f t="shared" si="58"/>
        <v>0.21156192404537549</v>
      </c>
      <c r="I223" s="336"/>
      <c r="J223" s="168"/>
      <c r="K223" s="168"/>
    </row>
    <row r="224" spans="1:17">
      <c r="A224" s="163"/>
      <c r="B224" s="170" t="s">
        <v>74</v>
      </c>
      <c r="C224" s="592">
        <f>'[8]Sch D'!H9</f>
        <v>22336</v>
      </c>
      <c r="D224" s="592"/>
      <c r="E224" s="235">
        <f t="shared" si="59"/>
        <v>22336</v>
      </c>
      <c r="F224" s="456"/>
      <c r="G224" s="235">
        <f t="shared" si="57"/>
        <v>22336</v>
      </c>
      <c r="H224" s="172">
        <f t="shared" si="58"/>
        <v>0.57980946447576776</v>
      </c>
      <c r="I224" s="336"/>
      <c r="J224" s="168"/>
      <c r="K224" s="168"/>
    </row>
    <row r="225" spans="1:11">
      <c r="A225" s="163"/>
      <c r="B225" s="170" t="s">
        <v>236</v>
      </c>
      <c r="C225" s="592">
        <f>'[8]Sch D'!I9</f>
        <v>254</v>
      </c>
      <c r="D225" s="592"/>
      <c r="E225" s="235">
        <f t="shared" si="59"/>
        <v>254</v>
      </c>
      <c r="F225" s="456"/>
      <c r="G225" s="235">
        <f t="shared" si="57"/>
        <v>254</v>
      </c>
      <c r="H225" s="172">
        <f t="shared" si="58"/>
        <v>6.5934636450951378E-3</v>
      </c>
      <c r="I225" s="336"/>
      <c r="J225" s="168"/>
      <c r="K225" s="168"/>
    </row>
    <row r="226" spans="1:11">
      <c r="A226" s="163"/>
      <c r="B226" s="170" t="s">
        <v>457</v>
      </c>
      <c r="C226" s="592">
        <f>'[8]Sch D'!J9</f>
        <v>0</v>
      </c>
      <c r="D226" s="592"/>
      <c r="E226" s="235">
        <f>C226+D226</f>
        <v>0</v>
      </c>
      <c r="F226" s="456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'[8]Sch D'!K9</f>
        <v>318</v>
      </c>
      <c r="D227" s="592"/>
      <c r="E227" s="235">
        <f t="shared" si="59"/>
        <v>318</v>
      </c>
      <c r="F227" s="234"/>
      <c r="G227" s="235">
        <f t="shared" si="57"/>
        <v>318</v>
      </c>
      <c r="H227" s="172">
        <f t="shared" si="58"/>
        <v>8.2548088155128107E-3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38523</v>
      </c>
      <c r="D228" s="592">
        <f>SUM(D219:D227)</f>
        <v>0</v>
      </c>
      <c r="E228" s="237">
        <f>SUM(E219:E227)</f>
        <v>38523</v>
      </c>
      <c r="F228" s="237">
        <f>SUM(F219:F227)</f>
        <v>0</v>
      </c>
      <c r="G228" s="237">
        <f>SUM(G219:G227)</f>
        <v>38523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'[8]Sch D'!N22</f>
        <v>108</v>
      </c>
      <c r="D231" s="559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593">
        <f>'[8]Sch D'!N24</f>
        <v>108</v>
      </c>
      <c r="D232" s="559"/>
      <c r="E232" s="235">
        <f>C232+D232</f>
        <v>108</v>
      </c>
      <c r="F232" s="235"/>
      <c r="G232" s="235">
        <f>E232+F232</f>
        <v>108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'[8]Sch D'!N28</f>
        <v>39528</v>
      </c>
      <c r="D235" s="483"/>
      <c r="E235" s="234">
        <f>E231*E233</f>
        <v>39528</v>
      </c>
      <c r="F235" s="239"/>
      <c r="G235" s="234">
        <f>G231*G233</f>
        <v>39528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'[8]Sch D'!N30</f>
        <v>0.97457498482088645</v>
      </c>
      <c r="D236" s="239"/>
      <c r="E236" s="244">
        <f>E228/E235</f>
        <v>0.97457498482088645</v>
      </c>
      <c r="F236" s="245"/>
      <c r="G236" s="244">
        <f>G228/G235</f>
        <v>0.97457498482088645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'[8]Sch D'!N32</f>
        <v>6.1778992106860962E-2</v>
      </c>
      <c r="D237" s="239"/>
      <c r="E237" s="244">
        <f>(E219+E220)/E235</f>
        <v>6.1778992106860962E-2</v>
      </c>
      <c r="F237" s="245"/>
      <c r="G237" s="244">
        <f>(G219+G220)/G235</f>
        <v>6.1778992106860962E-2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'[8]Sch D'!N34</f>
        <v>6.3390701658749327E-2</v>
      </c>
      <c r="D238" s="239"/>
      <c r="E238" s="244">
        <f>(E237/E236)</f>
        <v>6.3390701658749327E-2</v>
      </c>
      <c r="F238" s="245"/>
      <c r="G238" s="244">
        <f>(G237/G236)</f>
        <v>6.3390701658749327E-2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'[8]Sch B'!C85</f>
        <v>220.71954413943701</v>
      </c>
    </row>
    <row r="242" spans="2:7">
      <c r="F242" s="142" t="s">
        <v>341</v>
      </c>
      <c r="G242" s="558">
        <f>'[8]Sch B'!E85</f>
        <v>220.71952461508539</v>
      </c>
    </row>
    <row r="243" spans="2:7">
      <c r="F243" s="142" t="s">
        <v>342</v>
      </c>
      <c r="G243" s="558">
        <f>'[8]Sch B'!G85</f>
        <v>220.71949290257029</v>
      </c>
    </row>
    <row r="244" spans="2:7">
      <c r="F244" s="142" t="s">
        <v>343</v>
      </c>
      <c r="G244" s="558">
        <f>'[8]Sch B'!I85</f>
        <v>220.71947498373547</v>
      </c>
    </row>
    <row r="245" spans="2:7">
      <c r="F245" s="142"/>
    </row>
    <row r="246" spans="2:7">
      <c r="B246" s="454"/>
    </row>
    <row r="247" spans="2:7">
      <c r="B247" s="455"/>
    </row>
    <row r="248" spans="2:7">
      <c r="B248" s="455"/>
    </row>
    <row r="249" spans="2:7">
      <c r="B249" s="468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9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578</v>
      </c>
      <c r="D2" s="246"/>
      <c r="E2" s="144"/>
    </row>
    <row r="3" spans="1:17">
      <c r="A3" s="145"/>
      <c r="B3" s="140" t="s">
        <v>79</v>
      </c>
      <c r="C3" s="489">
        <v>42186</v>
      </c>
      <c r="D3" s="377" t="s">
        <v>579</v>
      </c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'[77]Sch B'!E10</f>
        <v>2887429</v>
      </c>
      <c r="D11" s="558">
        <f>'[77]Sch B'!G10</f>
        <v>18226</v>
      </c>
      <c r="E11" s="171">
        <f>C11+D11</f>
        <v>2905655</v>
      </c>
      <c r="F11" s="171"/>
      <c r="G11" s="171">
        <f t="shared" ref="G11:G20" si="0">E11+F11</f>
        <v>2905655</v>
      </c>
      <c r="H11" s="172">
        <f t="shared" ref="H11:H21" si="1">IF($G$21=0,0,G11/$G$21)</f>
        <v>0.6703293078039656</v>
      </c>
      <c r="I11" s="336"/>
      <c r="J11" s="368" t="s">
        <v>344</v>
      </c>
      <c r="K11" s="369">
        <f>G21</f>
        <v>4334668</v>
      </c>
      <c r="M11" s="359">
        <f>IFERROR(G11/G219,0)</f>
        <v>195.37755513717053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'[77]Sch B'!E15</f>
        <v>0</v>
      </c>
      <c r="D12" s="558">
        <f>'[77]Sch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4728107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'[77]Sch B'!E21</f>
        <v>608146</v>
      </c>
      <c r="D13" s="558">
        <f>'[77]Sch B'!G21</f>
        <v>498</v>
      </c>
      <c r="E13" s="171">
        <f t="shared" si="2"/>
        <v>608644</v>
      </c>
      <c r="F13" s="171"/>
      <c r="G13" s="171">
        <f t="shared" si="0"/>
        <v>608644</v>
      </c>
      <c r="H13" s="172">
        <f t="shared" si="1"/>
        <v>0.14041306046968302</v>
      </c>
      <c r="I13" s="336"/>
      <c r="J13" s="370" t="s">
        <v>346</v>
      </c>
      <c r="K13" s="371">
        <f>G228</f>
        <v>18995</v>
      </c>
      <c r="M13" s="359">
        <f t="shared" si="3"/>
        <v>692.42775881683735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'[77]Sch B'!E27</f>
        <v>189954</v>
      </c>
      <c r="D14" s="558">
        <f>'[77]Sch B'!G27</f>
        <v>691</v>
      </c>
      <c r="E14" s="171">
        <f t="shared" si="2"/>
        <v>190645</v>
      </c>
      <c r="F14" s="175"/>
      <c r="G14" s="175">
        <f>E14+F14</f>
        <v>190645</v>
      </c>
      <c r="H14" s="176">
        <f t="shared" si="1"/>
        <v>4.3981453712256625E-2</v>
      </c>
      <c r="I14" s="337"/>
      <c r="J14" s="370" t="s">
        <v>347</v>
      </c>
      <c r="K14" s="371">
        <f>G231</f>
        <v>99</v>
      </c>
      <c r="M14" s="359">
        <f t="shared" si="3"/>
        <v>595.765625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'[77]Sch B'!E32</f>
        <v>0</v>
      </c>
      <c r="D15" s="558">
        <f>'[77]Sch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36234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'[77]Sch B'!E37</f>
        <v>212920</v>
      </c>
      <c r="D16" s="558">
        <f>'[77]Sch B'!G37</f>
        <v>-13290</v>
      </c>
      <c r="E16" s="171">
        <f t="shared" si="2"/>
        <v>199630</v>
      </c>
      <c r="F16" s="171"/>
      <c r="G16" s="171">
        <f t="shared" si="0"/>
        <v>199630</v>
      </c>
      <c r="H16" s="172">
        <f t="shared" si="1"/>
        <v>4.6054276821200606E-2</v>
      </c>
      <c r="I16" s="336"/>
      <c r="J16" s="372"/>
      <c r="K16" s="371"/>
      <c r="M16" s="359">
        <f t="shared" si="3"/>
        <v>184.33056325023085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'[77]Sch B'!E42</f>
        <v>275487</v>
      </c>
      <c r="D17" s="558">
        <f>'[77]Sch B'!G42</f>
        <v>-2183</v>
      </c>
      <c r="E17" s="171">
        <f t="shared" si="2"/>
        <v>273304</v>
      </c>
      <c r="F17" s="171"/>
      <c r="G17" s="171">
        <f>E17+F17</f>
        <v>273304</v>
      </c>
      <c r="H17" s="172">
        <f t="shared" si="1"/>
        <v>6.3050734220014087E-2</v>
      </c>
      <c r="I17" s="336"/>
      <c r="J17" s="370" t="s">
        <v>156</v>
      </c>
      <c r="K17" s="371">
        <f>J208</f>
        <v>85329</v>
      </c>
      <c r="M17" s="359">
        <f t="shared" si="3"/>
        <v>180.75661375661375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'[77]Sch B'!E47</f>
        <v>0</v>
      </c>
      <c r="D18" s="558">
        <f>'[77]Sch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89030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'[77]Sch B'!E52</f>
        <v>161440</v>
      </c>
      <c r="D19" s="558">
        <f>'[77]Sch B'!G52</f>
        <v>-4656</v>
      </c>
      <c r="E19" s="171">
        <f t="shared" si="2"/>
        <v>156784</v>
      </c>
      <c r="F19" s="171"/>
      <c r="G19" s="171">
        <f t="shared" si="0"/>
        <v>156784</v>
      </c>
      <c r="H19" s="172">
        <f t="shared" si="1"/>
        <v>3.6169782783825662E-2</v>
      </c>
      <c r="I19" s="336"/>
      <c r="J19" s="168"/>
      <c r="K19" s="168"/>
      <c r="M19" s="359">
        <f t="shared" si="3"/>
        <v>476.54711246200606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'[77]Sch B'!E67</f>
        <v>313679</v>
      </c>
      <c r="D20" s="558">
        <f>'[77]Sch B'!G67</f>
        <v>-313673</v>
      </c>
      <c r="E20" s="171">
        <f t="shared" si="2"/>
        <v>6</v>
      </c>
      <c r="F20" s="171"/>
      <c r="G20" s="171">
        <f t="shared" si="0"/>
        <v>6</v>
      </c>
      <c r="H20" s="172">
        <f t="shared" si="1"/>
        <v>1.3841890543866336E-6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4649055</v>
      </c>
      <c r="D21" s="558">
        <f>SUM(D11:D20)</f>
        <v>-314387</v>
      </c>
      <c r="E21" s="171">
        <f>SUM(E11:E20)</f>
        <v>4334668</v>
      </c>
      <c r="F21" s="171">
        <f>SUM(F11:F20)</f>
        <v>0</v>
      </c>
      <c r="G21" s="171">
        <f>SUM(G11:G20)</f>
        <v>4334668</v>
      </c>
      <c r="H21" s="172">
        <f t="shared" si="1"/>
        <v>1</v>
      </c>
      <c r="I21" s="336"/>
      <c r="J21" s="168"/>
      <c r="K21" s="168"/>
      <c r="M21" s="359">
        <f>IFERROR(G21/G228,0)</f>
        <v>228.20047380889707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'[77]Sch C'!D10</f>
        <v>109815</v>
      </c>
      <c r="D25" s="558">
        <f>'[77]Sch C'!F10</f>
        <v>4844</v>
      </c>
      <c r="E25" s="171">
        <f t="shared" ref="E25:E60" si="4">C25+D25</f>
        <v>114659</v>
      </c>
      <c r="F25" s="171"/>
      <c r="G25" s="182">
        <f>E25+F25</f>
        <v>114659</v>
      </c>
      <c r="H25" s="172">
        <f>IF($G$208=0,0,G25/$G$208)</f>
        <v>2.4250508713106536E-2</v>
      </c>
      <c r="I25" s="336"/>
      <c r="J25" s="183">
        <v>1952</v>
      </c>
      <c r="K25" s="183">
        <v>2088</v>
      </c>
      <c r="M25" s="359">
        <f>G25/G$228</f>
        <v>6.036272703342985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'[77]Sch C'!D11</f>
        <v>0</v>
      </c>
      <c r="D26" s="558">
        <f>'[77]Sch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'[77]Sch C'!D12</f>
        <v>155408</v>
      </c>
      <c r="D27" s="558">
        <f>'[77]Sch C'!F12</f>
        <v>-4844</v>
      </c>
      <c r="E27" s="171">
        <f t="shared" si="4"/>
        <v>150564</v>
      </c>
      <c r="F27" s="171"/>
      <c r="G27" s="171">
        <f t="shared" si="5"/>
        <v>150564</v>
      </c>
      <c r="H27" s="172">
        <f t="shared" si="6"/>
        <v>3.1844456988811803E-2</v>
      </c>
      <c r="I27" s="336"/>
      <c r="J27" s="185">
        <v>5920</v>
      </c>
      <c r="K27" s="185">
        <v>6253</v>
      </c>
      <c r="M27" s="359">
        <f t="shared" si="7"/>
        <v>7.9265069755198736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'[77]Sch C'!D13</f>
        <v>87965</v>
      </c>
      <c r="D28" s="558">
        <f>'[77]Sch C'!F13</f>
        <v>-54733</v>
      </c>
      <c r="E28" s="171">
        <f t="shared" si="4"/>
        <v>33232</v>
      </c>
      <c r="F28" s="171"/>
      <c r="G28" s="171">
        <f t="shared" si="5"/>
        <v>33232</v>
      </c>
      <c r="H28" s="172">
        <f t="shared" si="6"/>
        <v>7.0286057400985218E-3</v>
      </c>
      <c r="I28" s="336"/>
      <c r="J28" s="168"/>
      <c r="K28" s="168"/>
      <c r="M28" s="359">
        <f t="shared" si="7"/>
        <v>1.7495130297446697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'[77]Sch C'!D14</f>
        <v>0</v>
      </c>
      <c r="D29" s="558">
        <f>'[77]Sch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'[77]Sch C'!D15</f>
        <v>0</v>
      </c>
      <c r="D30" s="558">
        <f>'[77]Sch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'[77]Sch C'!D16</f>
        <v>417445</v>
      </c>
      <c r="D31" s="558">
        <f>'[77]Sch C'!F16</f>
        <v>-176633</v>
      </c>
      <c r="E31" s="171">
        <f t="shared" si="4"/>
        <v>240812</v>
      </c>
      <c r="F31" s="171"/>
      <c r="G31" s="171">
        <f t="shared" si="5"/>
        <v>240812</v>
      </c>
      <c r="H31" s="172">
        <f t="shared" si="6"/>
        <v>5.0932011479435636E-2</v>
      </c>
      <c r="I31" s="336"/>
      <c r="J31" s="168"/>
      <c r="K31" s="168"/>
      <c r="M31" s="359">
        <f t="shared" si="7"/>
        <v>12.677652013687812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'[77]Sch C'!D17</f>
        <v>17317</v>
      </c>
      <c r="D32" s="558">
        <f>'[77]Sch C'!F17</f>
        <v>-17317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'[77]Sch C'!D18</f>
        <v>40871</v>
      </c>
      <c r="D33" s="558">
        <f>'[77]Sch C'!F18</f>
        <v>0</v>
      </c>
      <c r="E33" s="171">
        <f t="shared" si="4"/>
        <v>40871</v>
      </c>
      <c r="F33" s="171"/>
      <c r="G33" s="171">
        <f t="shared" si="5"/>
        <v>40871</v>
      </c>
      <c r="H33" s="172">
        <f t="shared" si="6"/>
        <v>8.6442629153697242E-3</v>
      </c>
      <c r="I33" s="336"/>
      <c r="J33" s="168"/>
      <c r="K33" s="168"/>
      <c r="M33" s="359">
        <f t="shared" si="7"/>
        <v>2.1516714924980258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'[77]Sch C'!D19</f>
        <v>3429</v>
      </c>
      <c r="D34" s="558">
        <f>'[77]Sch C'!F19</f>
        <v>-502</v>
      </c>
      <c r="E34" s="171">
        <f t="shared" si="4"/>
        <v>2927</v>
      </c>
      <c r="F34" s="171"/>
      <c r="G34" s="171">
        <f t="shared" si="5"/>
        <v>2927</v>
      </c>
      <c r="H34" s="172">
        <f t="shared" si="6"/>
        <v>6.190638240632033E-4</v>
      </c>
      <c r="I34" s="336"/>
      <c r="J34" s="168"/>
      <c r="K34" s="168"/>
      <c r="M34" s="359">
        <f t="shared" si="7"/>
        <v>0.15409318241642536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'[77]Sch C'!D20</f>
        <v>21119</v>
      </c>
      <c r="D35" s="558">
        <f>'[77]Sch C'!F20</f>
        <v>-628</v>
      </c>
      <c r="E35" s="171">
        <f t="shared" si="4"/>
        <v>20491</v>
      </c>
      <c r="F35" s="171"/>
      <c r="G35" s="171">
        <f t="shared" si="5"/>
        <v>20491</v>
      </c>
      <c r="H35" s="172">
        <f t="shared" si="6"/>
        <v>4.3338697707137339E-3</v>
      </c>
      <c r="I35" s="336"/>
      <c r="J35" s="168"/>
      <c r="K35" s="168"/>
      <c r="M35" s="359">
        <f t="shared" si="7"/>
        <v>1.0787575677809951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'[77]Sch C'!D21</f>
        <v>48215</v>
      </c>
      <c r="D36" s="558">
        <f>'[77]Sch C'!F21</f>
        <v>0</v>
      </c>
      <c r="E36" s="171">
        <f t="shared" si="4"/>
        <v>48215</v>
      </c>
      <c r="F36" s="171"/>
      <c r="G36" s="171">
        <f t="shared" si="5"/>
        <v>48215</v>
      </c>
      <c r="H36" s="172">
        <f t="shared" si="6"/>
        <v>1.0197527255622599E-2</v>
      </c>
      <c r="I36" s="336"/>
      <c r="J36" s="168"/>
      <c r="K36" s="168"/>
      <c r="M36" s="359">
        <f t="shared" si="7"/>
        <v>2.5382995525138194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'[77]Sch C'!D22</f>
        <v>0</v>
      </c>
      <c r="D37" s="558">
        <f>'[77]Sch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'[77]Sch C'!D23</f>
        <v>42446</v>
      </c>
      <c r="D38" s="558">
        <f>'[77]Sch C'!F23</f>
        <v>-377</v>
      </c>
      <c r="E38" s="171">
        <f t="shared" si="4"/>
        <v>42069</v>
      </c>
      <c r="F38" s="171"/>
      <c r="G38" s="171">
        <f t="shared" si="5"/>
        <v>42069</v>
      </c>
      <c r="H38" s="172">
        <f t="shared" si="6"/>
        <v>8.8976412758848301E-3</v>
      </c>
      <c r="I38" s="336"/>
      <c r="J38" s="168"/>
      <c r="K38" s="168"/>
      <c r="M38" s="359">
        <f t="shared" si="7"/>
        <v>2.2147407212424324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'[77]Sch C'!D24</f>
        <v>0</v>
      </c>
      <c r="D39" s="558">
        <f>'[77]Sch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'[77]Sch C'!D25</f>
        <v>0</v>
      </c>
      <c r="D40" s="558">
        <f>'[77]Sch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'[77]Sch C'!D26</f>
        <v>323257</v>
      </c>
      <c r="D41" s="558">
        <f>'[77]Sch C'!F26</f>
        <v>0</v>
      </c>
      <c r="E41" s="171">
        <f t="shared" si="4"/>
        <v>323257</v>
      </c>
      <c r="F41" s="171"/>
      <c r="G41" s="171">
        <f t="shared" si="5"/>
        <v>323257</v>
      </c>
      <c r="H41" s="172">
        <f t="shared" si="6"/>
        <v>6.8369222608540794E-2</v>
      </c>
      <c r="I41" s="336"/>
      <c r="J41" s="168"/>
      <c r="K41" s="168"/>
      <c r="M41" s="359">
        <f t="shared" si="7"/>
        <v>17.018004738088973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'[77]Sch C'!D27</f>
        <v>0</v>
      </c>
      <c r="D42" s="558">
        <f>'[77]Sch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'[77]Sch C'!D28</f>
        <v>0</v>
      </c>
      <c r="D43" s="558">
        <f>'[77]Sch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'[77]Sch C'!D29</f>
        <v>36230</v>
      </c>
      <c r="D44" s="558">
        <f>'[77]Sch C'!F29</f>
        <v>-36230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'[77]Sch C'!D30</f>
        <v>0</v>
      </c>
      <c r="D45" s="558">
        <f>'[77]Sch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'[77]Sch C'!D31</f>
        <v>0</v>
      </c>
      <c r="D46" s="558">
        <f>'[77]Sch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'[77]Sch C'!D32</f>
        <v>18599</v>
      </c>
      <c r="D47" s="558">
        <f>'[77]Sch C'!F32</f>
        <v>0</v>
      </c>
      <c r="E47" s="171">
        <f t="shared" si="4"/>
        <v>18599</v>
      </c>
      <c r="F47" s="171"/>
      <c r="G47" s="171">
        <f t="shared" si="5"/>
        <v>18599</v>
      </c>
      <c r="H47" s="172">
        <f t="shared" si="6"/>
        <v>3.9337096220538152E-3</v>
      </c>
      <c r="I47" s="336"/>
      <c r="J47" s="168"/>
      <c r="K47" s="168"/>
      <c r="M47" s="359">
        <f t="shared" si="7"/>
        <v>0.97915240852856011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'[77]Sch C'!D33</f>
        <v>0</v>
      </c>
      <c r="D48" s="558">
        <f>'[77]Sch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'[77]Sch C'!D34</f>
        <v>4953</v>
      </c>
      <c r="D49" s="558">
        <f>'[77]Sch C'!F34</f>
        <v>0</v>
      </c>
      <c r="E49" s="171">
        <f t="shared" si="4"/>
        <v>4953</v>
      </c>
      <c r="F49" s="171"/>
      <c r="G49" s="171">
        <f t="shared" si="5"/>
        <v>4953</v>
      </c>
      <c r="H49" s="172">
        <f t="shared" si="6"/>
        <v>1.0475651249009382E-3</v>
      </c>
      <c r="I49" s="336"/>
      <c r="J49" s="168"/>
      <c r="K49" s="168"/>
      <c r="M49" s="359">
        <f t="shared" si="7"/>
        <v>0.26075282969202423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'[77]Sch C'!D35</f>
        <v>0</v>
      </c>
      <c r="D50" s="558">
        <f>'[77]Sch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'[77]Sch C'!D36</f>
        <v>0</v>
      </c>
      <c r="D51" s="558">
        <f>'[77]Sch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'[77]Sch C'!D37</f>
        <v>0</v>
      </c>
      <c r="D52" s="558">
        <f>'[77]Sch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'[77]Sch C'!D38</f>
        <v>0</v>
      </c>
      <c r="D53" s="558">
        <f>'[77]Sch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'[77]Sch C'!D39</f>
        <v>10403</v>
      </c>
      <c r="D54" s="558">
        <f>'[77]Sch C'!F39</f>
        <v>0</v>
      </c>
      <c r="E54" s="171">
        <f t="shared" si="4"/>
        <v>10403</v>
      </c>
      <c r="F54" s="171"/>
      <c r="G54" s="171">
        <f t="shared" si="5"/>
        <v>10403</v>
      </c>
      <c r="H54" s="172">
        <f t="shared" si="6"/>
        <v>2.200246314222584E-3</v>
      </c>
      <c r="I54" s="336"/>
      <c r="J54" s="168"/>
      <c r="K54" s="168"/>
      <c r="M54" s="359">
        <f t="shared" si="7"/>
        <v>0.54767043958936568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'[77]Sch C'!D40</f>
        <v>0</v>
      </c>
      <c r="D55" s="558">
        <f>'[77]Sch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'[77]Sch C'!D41</f>
        <v>20699</v>
      </c>
      <c r="D56" s="558">
        <f>'[77]Sch C'!F41</f>
        <v>3228</v>
      </c>
      <c r="E56" s="171">
        <f t="shared" si="4"/>
        <v>23927</v>
      </c>
      <c r="F56" s="171"/>
      <c r="G56" s="171">
        <f t="shared" si="5"/>
        <v>23927</v>
      </c>
      <c r="H56" s="172">
        <f t="shared" si="6"/>
        <v>5.0605876728255089E-3</v>
      </c>
      <c r="I56" s="336"/>
      <c r="J56" s="168"/>
      <c r="K56" s="168"/>
      <c r="M56" s="359">
        <f t="shared" si="7"/>
        <v>1.2596472755988417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'[77]Sch C'!D42</f>
        <v>317</v>
      </c>
      <c r="D57" s="558">
        <f>'[77]Sch C'!F42</f>
        <v>0</v>
      </c>
      <c r="E57" s="171">
        <f t="shared" si="4"/>
        <v>317</v>
      </c>
      <c r="F57" s="171"/>
      <c r="G57" s="171">
        <f t="shared" si="5"/>
        <v>317</v>
      </c>
      <c r="H57" s="172">
        <f t="shared" si="6"/>
        <v>6.704586000274528E-5</v>
      </c>
      <c r="I57" s="336"/>
      <c r="J57" s="168"/>
      <c r="K57" s="168"/>
      <c r="M57" s="359">
        <f t="shared" si="7"/>
        <v>1.668860226375362E-2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'[77]Sch C'!D43</f>
        <v>7416</v>
      </c>
      <c r="D58" s="558">
        <f>'[77]Sch C'!F43</f>
        <v>-7416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'[77]Sch C'!D44</f>
        <v>0</v>
      </c>
      <c r="D59" s="558">
        <f>'[77]Sch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'[77]Sch C'!D45</f>
        <v>69255</v>
      </c>
      <c r="D60" s="558">
        <f>'[77]Sch C'!F45</f>
        <v>-44867</v>
      </c>
      <c r="E60" s="171">
        <f t="shared" si="4"/>
        <v>24388</v>
      </c>
      <c r="F60" s="171"/>
      <c r="G60" s="171">
        <f t="shared" si="5"/>
        <v>24388</v>
      </c>
      <c r="H60" s="172">
        <f t="shared" si="6"/>
        <v>5.1580896963626249E-3</v>
      </c>
      <c r="I60" s="336"/>
      <c r="J60" s="168"/>
      <c r="K60" s="168"/>
      <c r="M60" s="359">
        <f t="shared" si="7"/>
        <v>1.2839168202158462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1435159</v>
      </c>
      <c r="D61" s="558">
        <f>SUM(D25:D60)</f>
        <v>-335475</v>
      </c>
      <c r="E61" s="171">
        <f t="shared" ref="E61:F61" si="8">SUM(E25:E60)</f>
        <v>1099684</v>
      </c>
      <c r="F61" s="171">
        <f t="shared" si="8"/>
        <v>0</v>
      </c>
      <c r="G61" s="171">
        <f>SUM(G25:G60)</f>
        <v>1099684</v>
      </c>
      <c r="H61" s="186">
        <f t="shared" si="6"/>
        <v>0.23258441486201561</v>
      </c>
      <c r="I61" s="338"/>
      <c r="J61" s="168"/>
      <c r="K61" s="168"/>
      <c r="M61" s="364">
        <f>G61/G$228</f>
        <v>57.893340352724401</v>
      </c>
      <c r="N61" s="359">
        <f>SUMMARY!J64</f>
        <v>53.728790309602623</v>
      </c>
      <c r="O61" s="354">
        <f>M61/N61-1</f>
        <v>7.7510586393706227E-2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'[77]Sch C'!D57</f>
        <v>307836</v>
      </c>
      <c r="D64" s="558">
        <f>'[77]Sch C'!F57</f>
        <v>-307836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'[77]Sch C'!D58</f>
        <v>0</v>
      </c>
      <c r="D65" s="558">
        <f>'[77]Sch C'!F58</f>
        <v>15766</v>
      </c>
      <c r="E65" s="171">
        <f t="shared" si="9"/>
        <v>15766</v>
      </c>
      <c r="F65" s="171"/>
      <c r="G65" s="171">
        <f t="shared" si="10"/>
        <v>15766</v>
      </c>
      <c r="H65" s="172">
        <f t="shared" si="11"/>
        <v>3.3345269047422152E-3</v>
      </c>
      <c r="I65" s="336"/>
      <c r="J65" s="190"/>
      <c r="K65" s="168"/>
      <c r="M65" s="359">
        <f t="shared" si="12"/>
        <v>0.83000789681495135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'[77]Sch C'!D59</f>
        <v>403109</v>
      </c>
      <c r="D66" s="558">
        <f>'[77]Sch C'!F59</f>
        <v>-329601</v>
      </c>
      <c r="E66" s="171">
        <f t="shared" si="9"/>
        <v>73508</v>
      </c>
      <c r="F66" s="171"/>
      <c r="G66" s="171">
        <f t="shared" si="10"/>
        <v>73508</v>
      </c>
      <c r="H66" s="172">
        <f t="shared" si="11"/>
        <v>1.5547025479753314E-2</v>
      </c>
      <c r="I66" s="336"/>
      <c r="J66" s="190"/>
      <c r="K66" s="168"/>
      <c r="M66" s="359">
        <f t="shared" si="12"/>
        <v>3.869860489602527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'[77]Sch C'!D60</f>
        <v>29706</v>
      </c>
      <c r="D67" s="558">
        <f>'[77]Sch C'!F60</f>
        <v>0</v>
      </c>
      <c r="E67" s="171">
        <f t="shared" si="9"/>
        <v>29706</v>
      </c>
      <c r="F67" s="171"/>
      <c r="G67" s="171">
        <f t="shared" si="10"/>
        <v>29706</v>
      </c>
      <c r="H67" s="172">
        <f t="shared" si="11"/>
        <v>6.2828527357777645E-3</v>
      </c>
      <c r="I67" s="336"/>
      <c r="J67" s="193"/>
      <c r="K67" s="168"/>
      <c r="M67" s="359">
        <f t="shared" si="12"/>
        <v>1.5638852329560411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'[77]Sch C'!D61</f>
        <v>14003</v>
      </c>
      <c r="D68" s="558">
        <f>'[77]Sch C'!F61</f>
        <v>-8615</v>
      </c>
      <c r="E68" s="171">
        <f t="shared" si="9"/>
        <v>5388</v>
      </c>
      <c r="F68" s="171"/>
      <c r="G68" s="171">
        <f t="shared" si="10"/>
        <v>5388</v>
      </c>
      <c r="H68" s="172">
        <f t="shared" si="11"/>
        <v>1.1395681189110146E-3</v>
      </c>
      <c r="I68" s="336"/>
      <c r="J68" s="193"/>
      <c r="K68" s="168"/>
      <c r="M68" s="359">
        <f t="shared" si="12"/>
        <v>0.28365359305080284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'[77]Sch C'!D62</f>
        <v>0</v>
      </c>
      <c r="D69" s="558">
        <f>'[77]Sch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'[77]Sch C'!D63</f>
        <v>0</v>
      </c>
      <c r="D70" s="558">
        <f>'[77]Sch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'[77]Sch C'!D64</f>
        <v>0</v>
      </c>
      <c r="D71" s="558">
        <f>'[77]Sch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'[77]Sch C'!D65</f>
        <v>0</v>
      </c>
      <c r="D72" s="558">
        <f>'[77]Sch C'!F65</f>
        <v>8615</v>
      </c>
      <c r="E72" s="171">
        <f t="shared" si="9"/>
        <v>8615</v>
      </c>
      <c r="F72" s="171"/>
      <c r="G72" s="171">
        <f t="shared" si="10"/>
        <v>8615</v>
      </c>
      <c r="H72" s="172">
        <f t="shared" si="11"/>
        <v>1.8220822836708221E-3</v>
      </c>
      <c r="I72" s="336"/>
      <c r="J72" s="195"/>
      <c r="K72" s="168"/>
      <c r="M72" s="359">
        <f t="shared" si="12"/>
        <v>0.45354040536983414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'[77]Sch C'!D66</f>
        <v>0</v>
      </c>
      <c r="D73" s="558">
        <f>'[77]Sch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'[77]Sch C'!D67</f>
        <v>153969</v>
      </c>
      <c r="D74" s="558">
        <f>'[77]Sch C'!F67</f>
        <v>-141644</v>
      </c>
      <c r="E74" s="171">
        <f t="shared" si="9"/>
        <v>12325</v>
      </c>
      <c r="F74" s="171"/>
      <c r="G74" s="171">
        <f t="shared" si="10"/>
        <v>12325</v>
      </c>
      <c r="H74" s="172">
        <f t="shared" si="11"/>
        <v>2.606751496952163E-3</v>
      </c>
      <c r="I74" s="336"/>
      <c r="J74" s="195"/>
      <c r="K74" s="168"/>
      <c r="M74" s="359">
        <f t="shared" si="12"/>
        <v>0.64885496183206104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'[77]Sch C'!D68</f>
        <v>0</v>
      </c>
      <c r="D75" s="558">
        <f>'[77]Sch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'[77]Sch C'!D69</f>
        <v>0</v>
      </c>
      <c r="D76" s="558">
        <f>'[77]Sch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'[77]Sch C'!D70</f>
        <v>0</v>
      </c>
      <c r="D77" s="558">
        <f>'[77]Sch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'[77]Sch C'!D71</f>
        <v>1229</v>
      </c>
      <c r="D78" s="558">
        <f>'[77]Sch C'!F71</f>
        <v>-1049</v>
      </c>
      <c r="E78" s="171">
        <f t="shared" si="9"/>
        <v>180</v>
      </c>
      <c r="F78" s="171"/>
      <c r="G78" s="171">
        <f t="shared" si="10"/>
        <v>180</v>
      </c>
      <c r="H78" s="172">
        <f t="shared" si="11"/>
        <v>3.8070204417962625E-5</v>
      </c>
      <c r="I78" s="336"/>
      <c r="J78" s="195"/>
      <c r="K78" s="168"/>
      <c r="M78" s="359">
        <f t="shared" si="12"/>
        <v>9.476177941563569E-3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909852</v>
      </c>
      <c r="D79" s="558">
        <f>SUM(D64:D78)</f>
        <v>-764364</v>
      </c>
      <c r="E79" s="171">
        <f t="shared" ref="E79:F79" si="13">SUM(E64:E78)</f>
        <v>145488</v>
      </c>
      <c r="F79" s="171">
        <f t="shared" si="13"/>
        <v>0</v>
      </c>
      <c r="G79" s="171">
        <f>SUM(G64:G78)</f>
        <v>145488</v>
      </c>
      <c r="H79" s="172">
        <f t="shared" si="11"/>
        <v>3.0770877224225255E-2</v>
      </c>
      <c r="I79" s="336"/>
      <c r="J79" s="195"/>
      <c r="K79" s="168"/>
      <c r="M79" s="359">
        <f t="shared" si="12"/>
        <v>7.6592787575677814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'[77]Sch C'!D75</f>
        <v>74740</v>
      </c>
      <c r="D82" s="558">
        <f>'[77]Sch C'!F75</f>
        <v>0</v>
      </c>
      <c r="E82" s="171">
        <f t="shared" ref="E82:E92" si="14">C82+D82</f>
        <v>74740</v>
      </c>
      <c r="F82" s="171"/>
      <c r="G82" s="171">
        <f t="shared" ref="G82:G92" si="15">E82+F82</f>
        <v>74740</v>
      </c>
      <c r="H82" s="172">
        <f t="shared" ref="H82:H93" si="16">IF($G$208=0,0,G82/$G$208)</f>
        <v>1.5807594878880702E-2</v>
      </c>
      <c r="I82" s="336"/>
      <c r="J82" s="183">
        <v>4153</v>
      </c>
      <c r="K82" s="183">
        <v>4514</v>
      </c>
      <c r="M82" s="359">
        <f t="shared" ref="M82:M92" si="17">G82/G$228</f>
        <v>3.9347196630692287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'[77]Sch C'!D76</f>
        <v>6958</v>
      </c>
      <c r="D83" s="558">
        <f>'[77]Sch C'!F76</f>
        <v>2548</v>
      </c>
      <c r="E83" s="171">
        <f t="shared" si="14"/>
        <v>9506</v>
      </c>
      <c r="F83" s="171"/>
      <c r="G83" s="171">
        <f t="shared" si="15"/>
        <v>9506</v>
      </c>
      <c r="H83" s="172">
        <f t="shared" si="16"/>
        <v>2.010529795539737E-3</v>
      </c>
      <c r="I83" s="336"/>
      <c r="J83" s="168"/>
      <c r="K83" s="168"/>
      <c r="M83" s="359">
        <f t="shared" si="17"/>
        <v>0.50044748618057389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'[77]Sch C'!D77</f>
        <v>13714</v>
      </c>
      <c r="D84" s="558">
        <f>'[77]Sch C'!F77</f>
        <v>0</v>
      </c>
      <c r="E84" s="171">
        <f t="shared" si="14"/>
        <v>13714</v>
      </c>
      <c r="F84" s="171"/>
      <c r="G84" s="171">
        <f t="shared" si="15"/>
        <v>13714</v>
      </c>
      <c r="H84" s="172">
        <f t="shared" si="16"/>
        <v>2.9005265743774411E-3</v>
      </c>
      <c r="I84" s="336"/>
      <c r="J84" s="168"/>
      <c r="K84" s="168"/>
      <c r="M84" s="359">
        <f t="shared" si="17"/>
        <v>0.72197946828112658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'[77]Sch C'!D78</f>
        <v>1196</v>
      </c>
      <c r="D85" s="558">
        <f>'[77]Sch C'!F78</f>
        <v>0</v>
      </c>
      <c r="E85" s="171">
        <f t="shared" si="14"/>
        <v>1196</v>
      </c>
      <c r="F85" s="171"/>
      <c r="G85" s="171">
        <f t="shared" si="15"/>
        <v>1196</v>
      </c>
      <c r="H85" s="172">
        <f t="shared" si="16"/>
        <v>2.5295535824379608E-4</v>
      </c>
      <c r="I85" s="336"/>
      <c r="J85" s="168"/>
      <c r="K85" s="168"/>
      <c r="M85" s="359">
        <f t="shared" si="17"/>
        <v>6.2963937878389054E-2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'[77]Sch C'!D79</f>
        <v>3998</v>
      </c>
      <c r="D86" s="558">
        <f>'[77]Sch C'!F79</f>
        <v>0</v>
      </c>
      <c r="E86" s="171">
        <f t="shared" si="14"/>
        <v>3998</v>
      </c>
      <c r="F86" s="171"/>
      <c r="G86" s="171">
        <f>E86+F86</f>
        <v>3998</v>
      </c>
      <c r="H86" s="172">
        <f t="shared" si="16"/>
        <v>8.4558154035008096E-4</v>
      </c>
      <c r="I86" s="336"/>
      <c r="J86" s="168"/>
      <c r="K86" s="168"/>
      <c r="M86" s="359">
        <f t="shared" si="17"/>
        <v>0.2104764411687286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'[77]Sch C'!D80</f>
        <v>6972</v>
      </c>
      <c r="D87" s="558">
        <f>'[77]Sch C'!F80</f>
        <v>0</v>
      </c>
      <c r="E87" s="171">
        <f t="shared" si="14"/>
        <v>6972</v>
      </c>
      <c r="F87" s="171"/>
      <c r="G87" s="171">
        <f t="shared" si="15"/>
        <v>6972</v>
      </c>
      <c r="H87" s="172">
        <f t="shared" si="16"/>
        <v>1.4745859177890857E-3</v>
      </c>
      <c r="I87" s="336"/>
      <c r="J87" s="168"/>
      <c r="K87" s="168"/>
      <c r="M87" s="359">
        <f t="shared" si="17"/>
        <v>0.36704395893656228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'[77]Sch C'!D81</f>
        <v>25657</v>
      </c>
      <c r="D88" s="558">
        <f>'[77]Sch C'!F81</f>
        <v>0</v>
      </c>
      <c r="E88" s="171">
        <f t="shared" si="14"/>
        <v>25657</v>
      </c>
      <c r="F88" s="171"/>
      <c r="G88" s="171">
        <f t="shared" si="15"/>
        <v>25657</v>
      </c>
      <c r="H88" s="172">
        <f t="shared" si="16"/>
        <v>5.4264846375092612E-3</v>
      </c>
      <c r="I88" s="336"/>
      <c r="J88" s="168"/>
      <c r="K88" s="168"/>
      <c r="M88" s="359">
        <f t="shared" si="17"/>
        <v>1.3507238747038695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'[77]Sch C'!D82</f>
        <v>0</v>
      </c>
      <c r="D89" s="558">
        <f>'[77]Sch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'[77]Sch C'!D83</f>
        <v>4865</v>
      </c>
      <c r="D90" s="558">
        <f>'[77]Sch C'!F83</f>
        <v>0</v>
      </c>
      <c r="E90" s="171">
        <f t="shared" si="14"/>
        <v>4865</v>
      </c>
      <c r="F90" s="171"/>
      <c r="G90" s="171">
        <f t="shared" si="15"/>
        <v>4865</v>
      </c>
      <c r="H90" s="172">
        <f t="shared" si="16"/>
        <v>1.0289530249632675E-3</v>
      </c>
      <c r="I90" s="336"/>
      <c r="J90" s="168"/>
      <c r="K90" s="168"/>
      <c r="M90" s="359">
        <f t="shared" si="17"/>
        <v>0.25612003158725982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'[77]Sch C'!D84</f>
        <v>89260</v>
      </c>
      <c r="D91" s="558">
        <f>'[77]Sch C'!F84</f>
        <v>0</v>
      </c>
      <c r="E91" s="171">
        <f t="shared" si="14"/>
        <v>89260</v>
      </c>
      <c r="F91" s="171"/>
      <c r="G91" s="171">
        <f t="shared" si="15"/>
        <v>89260</v>
      </c>
      <c r="H91" s="172">
        <f t="shared" si="16"/>
        <v>1.8878591368596355E-2</v>
      </c>
      <c r="I91" s="336"/>
      <c r="J91" s="168"/>
      <c r="K91" s="168"/>
      <c r="M91" s="359">
        <f t="shared" si="17"/>
        <v>4.6991313503553567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'[77]Sch C'!D85</f>
        <v>12738</v>
      </c>
      <c r="D92" s="558">
        <f>'[77]Sch C'!F85</f>
        <v>33290</v>
      </c>
      <c r="E92" s="171">
        <f t="shared" si="14"/>
        <v>46028</v>
      </c>
      <c r="F92" s="171"/>
      <c r="G92" s="171">
        <f t="shared" si="15"/>
        <v>46028</v>
      </c>
      <c r="H92" s="172">
        <f t="shared" si="16"/>
        <v>9.7349742719443529E-3</v>
      </c>
      <c r="I92" s="336"/>
      <c r="J92" s="168"/>
      <c r="K92" s="168"/>
      <c r="M92" s="359">
        <f t="shared" si="17"/>
        <v>2.4231639905238223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240098</v>
      </c>
      <c r="D93" s="558">
        <f>SUM(D82:D92)</f>
        <v>35838</v>
      </c>
      <c r="E93" s="171">
        <f t="shared" ref="E93:F93" si="18">SUM(E82:E92)</f>
        <v>275936</v>
      </c>
      <c r="F93" s="171">
        <f t="shared" si="18"/>
        <v>0</v>
      </c>
      <c r="G93" s="171">
        <f>SUM(G82:G92)</f>
        <v>275936</v>
      </c>
      <c r="H93" s="172">
        <f t="shared" si="16"/>
        <v>5.8360777368194082E-2</v>
      </c>
      <c r="I93" s="336"/>
      <c r="J93" s="168"/>
      <c r="K93" s="168"/>
      <c r="M93" s="364">
        <f>G93/G$228</f>
        <v>14.526770202684917</v>
      </c>
      <c r="N93" s="359">
        <f>SUMMARY!J96</f>
        <v>11.458724454710746</v>
      </c>
      <c r="O93" s="354">
        <f>M93/N93-1</f>
        <v>0.26774758046589398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'[77]Sch C'!D89</f>
        <v>0</v>
      </c>
      <c r="D96" s="558">
        <f>'[77]Sch C'!F89</f>
        <v>0</v>
      </c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6"/>
      <c r="J96" s="183">
        <v>0</v>
      </c>
      <c r="K96" s="183">
        <v>0</v>
      </c>
      <c r="M96" s="364">
        <f t="shared" ref="M96:M101" si="22">G96/G$228</f>
        <v>0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'[77]Sch C'!D90</f>
        <v>0</v>
      </c>
      <c r="D97" s="558">
        <f>'[77]Sch C'!F90</f>
        <v>0</v>
      </c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6"/>
      <c r="J97" s="168"/>
      <c r="K97" s="168"/>
      <c r="M97" s="364">
        <f t="shared" si="22"/>
        <v>0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'[77]Sch C'!D91</f>
        <v>424910</v>
      </c>
      <c r="D98" s="558">
        <f>'[77]Sch C'!F91</f>
        <v>-120342</v>
      </c>
      <c r="E98" s="171">
        <f t="shared" si="19"/>
        <v>304568</v>
      </c>
      <c r="F98" s="171"/>
      <c r="G98" s="171">
        <f t="shared" si="20"/>
        <v>304568</v>
      </c>
      <c r="H98" s="172">
        <f t="shared" si="21"/>
        <v>6.4416477884277998E-2</v>
      </c>
      <c r="I98" s="336"/>
      <c r="J98" s="168"/>
      <c r="K98" s="168"/>
      <c r="M98" s="364">
        <f t="shared" si="22"/>
        <v>16.034114240589627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'[77]Sch C'!D92</f>
        <v>2629</v>
      </c>
      <c r="D99" s="558">
        <f>'[77]Sch C'!F92</f>
        <v>120342</v>
      </c>
      <c r="E99" s="171">
        <f t="shared" si="19"/>
        <v>122971</v>
      </c>
      <c r="F99" s="171"/>
      <c r="G99" s="171">
        <f t="shared" si="20"/>
        <v>122971</v>
      </c>
      <c r="H99" s="172">
        <f t="shared" si="21"/>
        <v>2.6008506152673787E-2</v>
      </c>
      <c r="I99" s="336"/>
      <c r="J99" s="168"/>
      <c r="K99" s="168"/>
      <c r="M99" s="364">
        <f t="shared" si="22"/>
        <v>6.4738615425111874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'[77]Sch C'!D93</f>
        <v>2418</v>
      </c>
      <c r="D100" s="558">
        <f>'[77]Sch C'!F93</f>
        <v>0</v>
      </c>
      <c r="E100" s="171">
        <f t="shared" si="19"/>
        <v>2418</v>
      </c>
      <c r="F100" s="171"/>
      <c r="G100" s="171">
        <f t="shared" si="20"/>
        <v>2418</v>
      </c>
      <c r="H100" s="172">
        <f t="shared" si="21"/>
        <v>5.1140974601463125E-4</v>
      </c>
      <c r="I100" s="336"/>
      <c r="J100" s="168"/>
      <c r="K100" s="168"/>
      <c r="M100" s="364">
        <f t="shared" si="22"/>
        <v>0.12729665701500395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'[77]Sch C'!D94</f>
        <v>205</v>
      </c>
      <c r="D101" s="558">
        <f>'[77]Sch C'!F94</f>
        <v>102</v>
      </c>
      <c r="E101" s="171">
        <f t="shared" si="19"/>
        <v>307</v>
      </c>
      <c r="F101" s="171"/>
      <c r="G101" s="171">
        <f t="shared" si="20"/>
        <v>307</v>
      </c>
      <c r="H101" s="172">
        <f t="shared" si="21"/>
        <v>6.4930848646191803E-5</v>
      </c>
      <c r="I101" s="336"/>
      <c r="J101" s="168"/>
      <c r="K101" s="168"/>
      <c r="M101" s="364">
        <f t="shared" si="22"/>
        <v>1.6162147933666753E-2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430162</v>
      </c>
      <c r="D102" s="558">
        <f>SUM(D96:D101)</f>
        <v>102</v>
      </c>
      <c r="E102" s="171">
        <f t="shared" ref="E102:F102" si="23">SUM(E96:E101)</f>
        <v>430264</v>
      </c>
      <c r="F102" s="171">
        <f t="shared" si="23"/>
        <v>0</v>
      </c>
      <c r="G102" s="171">
        <f>SUM(G96:G101)</f>
        <v>430264</v>
      </c>
      <c r="H102" s="172">
        <f t="shared" si="21"/>
        <v>9.1001324631612604E-2</v>
      </c>
      <c r="I102" s="336"/>
      <c r="J102" s="168"/>
      <c r="K102" s="168"/>
      <c r="M102" s="364">
        <f>G102/G$228</f>
        <v>22.651434588049487</v>
      </c>
      <c r="N102" s="359">
        <f>SUMMARY!J105</f>
        <v>19.901077037785338</v>
      </c>
      <c r="O102" s="354">
        <f>M102/N102-1</f>
        <v>0.13820144231601939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'[77]Sch C'!D98</f>
        <v>0</v>
      </c>
      <c r="D105" s="558">
        <f>'[77]Sch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'[77]Sch C'!D99</f>
        <v>0</v>
      </c>
      <c r="D106" s="558">
        <f>'[77]Sch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'[77]Sch C'!D100</f>
        <v>0</v>
      </c>
      <c r="D107" s="558">
        <f>'[77]Sch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6"/>
      <c r="J107" s="168"/>
      <c r="K107" s="168"/>
      <c r="M107" s="364">
        <f t="shared" si="27"/>
        <v>0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'[77]Sch C'!D101</f>
        <v>83271</v>
      </c>
      <c r="D108" s="558">
        <f>'[77]Sch C'!F101</f>
        <v>0</v>
      </c>
      <c r="E108" s="171">
        <f t="shared" si="24"/>
        <v>83271</v>
      </c>
      <c r="F108" s="171"/>
      <c r="G108" s="171">
        <f t="shared" si="25"/>
        <v>83271</v>
      </c>
      <c r="H108" s="172">
        <f t="shared" si="26"/>
        <v>1.7611911067156476E-2</v>
      </c>
      <c r="I108" s="336"/>
      <c r="J108" s="168"/>
      <c r="K108" s="168"/>
      <c r="M108" s="364">
        <f t="shared" si="27"/>
        <v>4.3838378520663328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'[77]Sch C'!D102</f>
        <v>47</v>
      </c>
      <c r="D109" s="558">
        <f>'[77]Sch C'!F102</f>
        <v>0</v>
      </c>
      <c r="E109" s="171">
        <f t="shared" si="24"/>
        <v>47</v>
      </c>
      <c r="F109" s="171"/>
      <c r="G109" s="171">
        <f t="shared" si="25"/>
        <v>47</v>
      </c>
      <c r="H109" s="172">
        <f t="shared" si="26"/>
        <v>9.9405533758013517E-6</v>
      </c>
      <c r="I109" s="336"/>
      <c r="J109" s="168"/>
      <c r="K109" s="168"/>
      <c r="M109" s="364">
        <f t="shared" si="27"/>
        <v>2.4743353514082651E-3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'[77]Sch C'!D103</f>
        <v>0</v>
      </c>
      <c r="D110" s="558">
        <f>'[77]Sch C'!F103</f>
        <v>2</v>
      </c>
      <c r="E110" s="171">
        <f t="shared" si="24"/>
        <v>2</v>
      </c>
      <c r="F110" s="171"/>
      <c r="G110" s="171">
        <f t="shared" si="25"/>
        <v>2</v>
      </c>
      <c r="H110" s="172">
        <f t="shared" si="26"/>
        <v>4.2300227131069581E-7</v>
      </c>
      <c r="I110" s="336"/>
      <c r="J110" s="168"/>
      <c r="K110" s="168"/>
      <c r="M110" s="364">
        <f t="shared" si="27"/>
        <v>1.05290866017373E-4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83318</v>
      </c>
      <c r="D111" s="558">
        <f>SUM(D105:D110)</f>
        <v>2</v>
      </c>
      <c r="E111" s="171">
        <f t="shared" ref="E111:F111" si="28">SUM(E105:E110)</f>
        <v>83320</v>
      </c>
      <c r="F111" s="171">
        <f t="shared" si="28"/>
        <v>0</v>
      </c>
      <c r="G111" s="171">
        <f>SUM(G105:G110)</f>
        <v>83320</v>
      </c>
      <c r="H111" s="172">
        <f t="shared" si="26"/>
        <v>1.7622274622803587E-2</v>
      </c>
      <c r="I111" s="336"/>
      <c r="J111" s="168"/>
      <c r="K111" s="168"/>
      <c r="M111" s="364">
        <f>G111/G$228</f>
        <v>4.3864174782837591</v>
      </c>
      <c r="N111" s="359">
        <f>SUMMARY!J114</f>
        <v>2.4242384372309496</v>
      </c>
      <c r="O111" s="354">
        <f>M111/N111-1</f>
        <v>0.80940018560801286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'[77]Sch C'!D115</f>
        <v>0</v>
      </c>
      <c r="D114" s="558">
        <f>'[77]Sch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'[77]Sch C'!D116</f>
        <v>0</v>
      </c>
      <c r="D115" s="558">
        <f>'[77]Sch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'[77]Sch C'!D117</f>
        <v>871</v>
      </c>
      <c r="D116" s="558">
        <f>'[77]Sch C'!F117</f>
        <v>0</v>
      </c>
      <c r="E116" s="171">
        <f t="shared" si="29"/>
        <v>871</v>
      </c>
      <c r="F116" s="171"/>
      <c r="G116" s="171">
        <f>E116+F116</f>
        <v>871</v>
      </c>
      <c r="H116" s="172">
        <f t="shared" si="30"/>
        <v>1.8421748915580801E-4</v>
      </c>
      <c r="I116" s="336"/>
      <c r="J116" s="168"/>
      <c r="K116" s="168"/>
      <c r="M116" s="364">
        <f t="shared" si="31"/>
        <v>4.585417215056594E-2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'[77]Sch C'!D118</f>
        <v>124907</v>
      </c>
      <c r="D117" s="558">
        <f>'[77]Sch C'!F118</f>
        <v>0</v>
      </c>
      <c r="E117" s="171">
        <f t="shared" si="29"/>
        <v>124907</v>
      </c>
      <c r="F117" s="171"/>
      <c r="G117" s="171">
        <f>E117+F117</f>
        <v>124907</v>
      </c>
      <c r="H117" s="172">
        <f t="shared" si="30"/>
        <v>2.6417972351302541E-2</v>
      </c>
      <c r="I117" s="336"/>
      <c r="J117" s="168"/>
      <c r="K117" s="168"/>
      <c r="M117" s="364">
        <f t="shared" si="31"/>
        <v>6.5757831008160039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'[77]Sch C'!D119</f>
        <v>0</v>
      </c>
      <c r="D118" s="558">
        <f>'[77]Sch C'!F119</f>
        <v>19</v>
      </c>
      <c r="E118" s="171">
        <f t="shared" si="29"/>
        <v>19</v>
      </c>
      <c r="F118" s="171"/>
      <c r="G118" s="171">
        <f>E118+F118</f>
        <v>19</v>
      </c>
      <c r="H118" s="172">
        <f t="shared" si="30"/>
        <v>4.0185215774516104E-6</v>
      </c>
      <c r="I118" s="336"/>
      <c r="J118" s="168"/>
      <c r="K118" s="168"/>
      <c r="M118" s="364">
        <f t="shared" si="31"/>
        <v>1.0002632271650434E-3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125778</v>
      </c>
      <c r="D119" s="558">
        <f>SUM(D114:D118)</f>
        <v>19</v>
      </c>
      <c r="E119" s="171">
        <f t="shared" ref="E119:F119" si="32">SUM(E114:E118)</f>
        <v>125797</v>
      </c>
      <c r="F119" s="171">
        <f t="shared" si="32"/>
        <v>0</v>
      </c>
      <c r="G119" s="171">
        <f>SUM(G114:G118)</f>
        <v>125797</v>
      </c>
      <c r="H119" s="172">
        <f t="shared" si="30"/>
        <v>2.66062083620358E-2</v>
      </c>
      <c r="I119" s="336"/>
      <c r="J119" s="168"/>
      <c r="K119" s="168"/>
      <c r="M119" s="364">
        <f t="shared" si="31"/>
        <v>6.6226375361937349</v>
      </c>
      <c r="N119" s="359">
        <f>SUMMARY!J122</f>
        <v>6.0247597205909562</v>
      </c>
      <c r="O119" s="354">
        <f>M119/N119-1</f>
        <v>9.9236790068058411E-2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'[77]Sch C'!D124</f>
        <v>0</v>
      </c>
      <c r="D123" s="558">
        <f>'[77]Sch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'[77]Sch C'!D125</f>
        <v>315174</v>
      </c>
      <c r="D124" s="558">
        <f>'[77]Sch C'!F125</f>
        <v>0</v>
      </c>
      <c r="E124" s="171">
        <f t="shared" si="33"/>
        <v>315174</v>
      </c>
      <c r="F124" s="171"/>
      <c r="G124" s="171">
        <f>E124+F124</f>
        <v>315174</v>
      </c>
      <c r="H124" s="172">
        <f>IF($G$208=0,0,G124/$G$208)</f>
        <v>6.665965892903862E-2</v>
      </c>
      <c r="I124" s="336"/>
      <c r="J124" s="183">
        <v>8336</v>
      </c>
      <c r="K124" s="183">
        <v>8976</v>
      </c>
      <c r="M124" s="364">
        <f t="shared" si="34"/>
        <v>16.592471703079759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'[77]Sch C'!D126</f>
        <v>0</v>
      </c>
      <c r="D125" s="558">
        <f>'[77]Sch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'[77]Sch C'!D127</f>
        <v>0</v>
      </c>
      <c r="D126" s="558">
        <f>'[77]Sch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'[77]Sch C'!D128</f>
        <v>81304</v>
      </c>
      <c r="D127" s="558">
        <f>'[77]Sch C'!F128</f>
        <v>0</v>
      </c>
      <c r="E127" s="171">
        <f t="shared" si="33"/>
        <v>81304</v>
      </c>
      <c r="F127" s="171"/>
      <c r="G127" s="171">
        <f>E127+F127</f>
        <v>81304</v>
      </c>
      <c r="H127" s="172">
        <f>IF($G$208=0,0,G127/$G$208)</f>
        <v>1.7195888333322407E-2</v>
      </c>
      <c r="I127" s="336"/>
      <c r="J127" s="183">
        <v>4558</v>
      </c>
      <c r="K127" s="183">
        <v>4883</v>
      </c>
      <c r="M127" s="364">
        <f t="shared" si="34"/>
        <v>4.2802842853382472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'[77]Sch C'!D130</f>
        <v>0</v>
      </c>
      <c r="D129" s="558">
        <f>'[77]Sch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'[77]Sch C'!D131</f>
        <v>27872</v>
      </c>
      <c r="D130" s="558">
        <f>'[77]Sch C'!F131</f>
        <v>10745</v>
      </c>
      <c r="E130" s="171">
        <f t="shared" si="35"/>
        <v>38617</v>
      </c>
      <c r="F130" s="171"/>
      <c r="G130" s="171">
        <f>E130+F130</f>
        <v>38617</v>
      </c>
      <c r="H130" s="172">
        <f>IF($G$208=0,0,G130/$G$208)</f>
        <v>8.1675393556025697E-3</v>
      </c>
      <c r="I130" s="336"/>
      <c r="J130" s="204"/>
      <c r="K130" s="204"/>
      <c r="M130" s="364">
        <f t="shared" si="34"/>
        <v>2.0330086864964465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'[77]Sch C'!D132</f>
        <v>0</v>
      </c>
      <c r="D131" s="558">
        <f>'[77]Sch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'[77]Sch C'!D133</f>
        <v>0</v>
      </c>
      <c r="D132" s="558">
        <f>'[77]Sch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'[77]Sch C'!D134</f>
        <v>8316</v>
      </c>
      <c r="D133" s="558">
        <f>'[77]Sch C'!F134</f>
        <v>2772</v>
      </c>
      <c r="E133" s="171">
        <f t="shared" si="35"/>
        <v>11088</v>
      </c>
      <c r="F133" s="171"/>
      <c r="G133" s="171">
        <f>E133+F133</f>
        <v>11088</v>
      </c>
      <c r="H133" s="172">
        <f>IF($G$208=0,0,G133/$G$208)</f>
        <v>2.3451245921464977E-3</v>
      </c>
      <c r="I133" s="336"/>
      <c r="J133" s="168"/>
      <c r="K133" s="168"/>
      <c r="M133" s="364">
        <f t="shared" si="34"/>
        <v>0.58373256120031591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'[77]Sch C'!D136</f>
        <v>223157</v>
      </c>
      <c r="D135" s="558">
        <f>'[77]Sch C'!F136</f>
        <v>4923</v>
      </c>
      <c r="E135" s="171">
        <f t="shared" ref="E135:E138" si="36">C135+D135</f>
        <v>228080</v>
      </c>
      <c r="F135" s="171"/>
      <c r="G135" s="171">
        <f>E135+F135</f>
        <v>228080</v>
      </c>
      <c r="H135" s="172">
        <f>IF($G$208=0,0,G135/$G$208)</f>
        <v>4.823917902027175E-2</v>
      </c>
      <c r="I135" s="336"/>
      <c r="J135" s="183">
        <v>7086</v>
      </c>
      <c r="K135" s="183">
        <v>7258</v>
      </c>
      <c r="M135" s="364">
        <f t="shared" si="34"/>
        <v>12.007370360621216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'[77]Sch C'!D137</f>
        <v>327981</v>
      </c>
      <c r="D136" s="558">
        <f>'[77]Sch C'!F137</f>
        <v>7410</v>
      </c>
      <c r="E136" s="171">
        <f t="shared" si="36"/>
        <v>335391</v>
      </c>
      <c r="F136" s="171"/>
      <c r="G136" s="171">
        <f>E136+F136</f>
        <v>335391</v>
      </c>
      <c r="H136" s="172">
        <f>IF($G$208=0,0,G136/$G$208)</f>
        <v>7.0935577388582791E-2</v>
      </c>
      <c r="I136" s="336"/>
      <c r="J136" s="183">
        <v>11947</v>
      </c>
      <c r="K136" s="183">
        <v>12615</v>
      </c>
      <c r="M136" s="364">
        <f t="shared" si="34"/>
        <v>17.656804422216371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'[77]Sch C'!D138</f>
        <v>471005</v>
      </c>
      <c r="D137" s="558">
        <f>'[77]Sch C'!F138</f>
        <v>10121</v>
      </c>
      <c r="E137" s="171">
        <f t="shared" si="36"/>
        <v>481126</v>
      </c>
      <c r="F137" s="171"/>
      <c r="G137" s="171">
        <f>E137+F137</f>
        <v>481126</v>
      </c>
      <c r="H137" s="172">
        <f>IF($G$208=0,0,G137/$G$208)</f>
        <v>0.10175869539331492</v>
      </c>
      <c r="I137" s="336"/>
      <c r="J137" s="183">
        <v>35914</v>
      </c>
      <c r="K137" s="183">
        <v>36671</v>
      </c>
      <c r="M137" s="364">
        <f t="shared" si="34"/>
        <v>25.329086601737298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'[77]Sch C'!D139</f>
        <v>22454</v>
      </c>
      <c r="D138" s="558">
        <f>'[77]Sch C'!F139</f>
        <v>-22454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'[77]Sch C'!D141</f>
        <v>0</v>
      </c>
      <c r="D140" s="558">
        <f>'[77]Sch C'!F141</f>
        <v>31197</v>
      </c>
      <c r="E140" s="171">
        <f t="shared" ref="E140:E143" si="37">C140+D140</f>
        <v>31197</v>
      </c>
      <c r="F140" s="171"/>
      <c r="G140" s="171">
        <f>E140+F140</f>
        <v>31197</v>
      </c>
      <c r="H140" s="172">
        <f>IF($G$208=0,0,G140/$G$208)</f>
        <v>6.5982009290398887E-3</v>
      </c>
      <c r="I140" s="336"/>
      <c r="J140" s="168"/>
      <c r="K140" s="168"/>
      <c r="M140" s="364">
        <f t="shared" si="34"/>
        <v>1.6423795735719926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'[77]Sch C'!D142</f>
        <v>0</v>
      </c>
      <c r="D141" s="558">
        <f>'[77]Sch C'!F142</f>
        <v>45876</v>
      </c>
      <c r="E141" s="171">
        <f t="shared" si="37"/>
        <v>45876</v>
      </c>
      <c r="F141" s="171"/>
      <c r="G141" s="171">
        <f>E141+F141</f>
        <v>45876</v>
      </c>
      <c r="H141" s="172">
        <f>IF($G$208=0,0,G141/$G$208)</f>
        <v>9.7028260993247406E-3</v>
      </c>
      <c r="I141" s="336"/>
      <c r="J141" s="168"/>
      <c r="K141" s="168"/>
      <c r="M141" s="364">
        <f t="shared" si="34"/>
        <v>2.4151618847065017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'[77]Sch C'!D143</f>
        <v>0</v>
      </c>
      <c r="D142" s="558">
        <f>'[77]Sch C'!F143</f>
        <v>65811</v>
      </c>
      <c r="E142" s="171">
        <f t="shared" si="37"/>
        <v>65811</v>
      </c>
      <c r="F142" s="171"/>
      <c r="G142" s="171">
        <f>E142+F142</f>
        <v>65811</v>
      </c>
      <c r="H142" s="172">
        <f>IF($G$208=0,0,G142/$G$208)</f>
        <v>1.39191012386141E-2</v>
      </c>
      <c r="I142" s="336"/>
      <c r="J142" s="168"/>
      <c r="K142" s="168"/>
      <c r="M142" s="364">
        <f t="shared" si="34"/>
        <v>3.464648591734667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'[77]Sch C'!D144</f>
        <v>107273</v>
      </c>
      <c r="D143" s="558">
        <f>'[77]Sch C'!F144</f>
        <v>-107273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'[77]Sch C'!D146</f>
        <v>31700</v>
      </c>
      <c r="D145" s="558">
        <f>'[77]Sch C'!F146</f>
        <v>0</v>
      </c>
      <c r="E145" s="171">
        <f t="shared" ref="E145:E153" si="38">C145+D145</f>
        <v>31700</v>
      </c>
      <c r="F145" s="171"/>
      <c r="G145" s="171">
        <f t="shared" ref="G145:G153" si="39">E145+F145</f>
        <v>31700</v>
      </c>
      <c r="H145" s="172">
        <f t="shared" ref="H145:H153" si="40">IF($G$208=0,0,G145/$G$208)</f>
        <v>6.7045860002745289E-3</v>
      </c>
      <c r="I145" s="336"/>
      <c r="J145" s="183">
        <v>204</v>
      </c>
      <c r="K145" s="183">
        <v>204</v>
      </c>
      <c r="M145" s="364">
        <f t="shared" si="34"/>
        <v>1.668860226375362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'[77]Sch C'!D147</f>
        <v>0</v>
      </c>
      <c r="D146" s="558">
        <f>'[77]Sch C'!F147</f>
        <v>0</v>
      </c>
      <c r="E146" s="171">
        <f t="shared" si="38"/>
        <v>0</v>
      </c>
      <c r="F146" s="171">
        <v>5990</v>
      </c>
      <c r="G146" s="171">
        <f t="shared" si="39"/>
        <v>5990</v>
      </c>
      <c r="H146" s="172">
        <f t="shared" si="40"/>
        <v>1.2668918025755338E-3</v>
      </c>
      <c r="I146" t="s">
        <v>420</v>
      </c>
      <c r="J146" s="183">
        <v>0</v>
      </c>
      <c r="K146" s="183">
        <v>0</v>
      </c>
      <c r="M146" s="364">
        <f t="shared" si="34"/>
        <v>0.31534614372203212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'[77]Sch C'!D148</f>
        <v>0</v>
      </c>
      <c r="D147" s="558">
        <f>'[77]Sch C'!F148</f>
        <v>0</v>
      </c>
      <c r="E147" s="171">
        <f t="shared" si="38"/>
        <v>0</v>
      </c>
      <c r="F147" s="171">
        <v>818</v>
      </c>
      <c r="G147" s="171">
        <f t="shared" si="39"/>
        <v>818</v>
      </c>
      <c r="H147" s="172">
        <f t="shared" si="40"/>
        <v>1.7300792896607459E-4</v>
      </c>
      <c r="I147" t="s">
        <v>420</v>
      </c>
      <c r="J147" s="183">
        <v>0</v>
      </c>
      <c r="K147" s="183">
        <v>0</v>
      </c>
      <c r="M147" s="364">
        <f t="shared" si="34"/>
        <v>4.3063964201105552E-2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'[77]Sch C'!D149</f>
        <v>0</v>
      </c>
      <c r="D148" s="558">
        <f>'[77]Sch C'!F149</f>
        <v>0</v>
      </c>
      <c r="E148" s="171">
        <f t="shared" si="38"/>
        <v>0</v>
      </c>
      <c r="F148" s="171">
        <v>25563</v>
      </c>
      <c r="G148" s="171">
        <f t="shared" si="39"/>
        <v>25563</v>
      </c>
      <c r="H148" s="172">
        <f t="shared" si="40"/>
        <v>5.4066035307576586E-3</v>
      </c>
      <c r="I148" t="s">
        <v>420</v>
      </c>
      <c r="J148" s="183">
        <v>0</v>
      </c>
      <c r="K148" s="183">
        <v>0</v>
      </c>
      <c r="M148" s="364">
        <f t="shared" si="34"/>
        <v>1.3457752040010529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'[77]Sch C'!D150</f>
        <v>14270</v>
      </c>
      <c r="D149" s="558">
        <f>'[77]Sch C'!F150</f>
        <v>0</v>
      </c>
      <c r="E149" s="171">
        <f t="shared" si="38"/>
        <v>14270</v>
      </c>
      <c r="F149" s="171"/>
      <c r="G149" s="171">
        <f t="shared" si="39"/>
        <v>14270</v>
      </c>
      <c r="H149" s="172">
        <f t="shared" si="40"/>
        <v>3.0181212058018147E-3</v>
      </c>
      <c r="I149" s="336"/>
      <c r="J149" s="183">
        <v>0</v>
      </c>
      <c r="K149" s="183">
        <v>0</v>
      </c>
      <c r="M149" s="364">
        <f t="shared" si="34"/>
        <v>0.75125032903395628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'[77]Sch C'!D151</f>
        <v>88562</v>
      </c>
      <c r="D150" s="558">
        <f>'[77]Sch C'!F151</f>
        <v>263</v>
      </c>
      <c r="E150" s="171">
        <f t="shared" si="38"/>
        <v>88825</v>
      </c>
      <c r="F150" s="171"/>
      <c r="G150" s="171">
        <f t="shared" si="39"/>
        <v>88825</v>
      </c>
      <c r="H150" s="172">
        <f t="shared" si="40"/>
        <v>1.8786588374586279E-2</v>
      </c>
      <c r="I150" s="336"/>
      <c r="J150" s="168"/>
      <c r="K150" s="168"/>
      <c r="M150" s="364">
        <f t="shared" si="34"/>
        <v>4.6762305869965779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'[77]Sch C'!D152</f>
        <v>985</v>
      </c>
      <c r="D151" s="558">
        <f>'[77]Sch C'!F152</f>
        <v>0</v>
      </c>
      <c r="E151" s="171">
        <f t="shared" si="38"/>
        <v>985</v>
      </c>
      <c r="F151" s="171"/>
      <c r="G151" s="171">
        <f t="shared" si="39"/>
        <v>985</v>
      </c>
      <c r="H151" s="172">
        <f t="shared" si="40"/>
        <v>2.0832861862051769E-4</v>
      </c>
      <c r="I151" s="336"/>
      <c r="J151" s="168"/>
      <c r="K151" s="168"/>
      <c r="M151" s="364">
        <f t="shared" si="34"/>
        <v>5.1855751513556196E-2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'[77]Sch C'!D153</f>
        <v>10218</v>
      </c>
      <c r="D152" s="558">
        <f>'[77]Sch C'!F153</f>
        <v>0</v>
      </c>
      <c r="E152" s="171">
        <f t="shared" si="38"/>
        <v>10218</v>
      </c>
      <c r="F152" s="171"/>
      <c r="G152" s="171">
        <f t="shared" si="39"/>
        <v>10218</v>
      </c>
      <c r="H152" s="172">
        <f t="shared" si="40"/>
        <v>2.1611186041263449E-3</v>
      </c>
      <c r="I152" s="336"/>
      <c r="J152" s="168"/>
      <c r="K152" s="168"/>
      <c r="M152" s="364">
        <f t="shared" si="34"/>
        <v>0.53793103448275859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'[77]Sch C'!D154</f>
        <v>0</v>
      </c>
      <c r="D153" s="558">
        <f>'[77]Sch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'[77]Sch C'!D156</f>
        <v>0</v>
      </c>
      <c r="D155" s="558">
        <f>'[77]Sch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'[77]Sch C'!D157</f>
        <v>0</v>
      </c>
      <c r="D156" s="558">
        <f>'[77]Sch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'[77]Sch C'!D158</f>
        <v>336</v>
      </c>
      <c r="D157" s="558">
        <f>'[77]Sch C'!F158</f>
        <v>0</v>
      </c>
      <c r="E157" s="171">
        <f t="shared" si="41"/>
        <v>336</v>
      </c>
      <c r="F157" s="171"/>
      <c r="G157" s="171">
        <f t="shared" si="42"/>
        <v>336</v>
      </c>
      <c r="H157" s="172">
        <f t="shared" si="43"/>
        <v>7.1064381580196893E-5</v>
      </c>
      <c r="I157" s="336"/>
      <c r="J157" s="168"/>
      <c r="K157" s="168"/>
      <c r="M157" s="364">
        <f t="shared" si="34"/>
        <v>1.7688865490918661E-2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'[77]Sch C'!D159</f>
        <v>0</v>
      </c>
      <c r="D158" s="558">
        <f>'[77]Sch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'[77]Sch C'!D160</f>
        <v>0</v>
      </c>
      <c r="D159" s="558">
        <f>'[77]Sch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'[77]Sch C'!D161</f>
        <v>83559</v>
      </c>
      <c r="D160" s="558">
        <f>'[77]Sch C'!F161</f>
        <v>81415</v>
      </c>
      <c r="E160" s="171">
        <f t="shared" si="41"/>
        <v>164974</v>
      </c>
      <c r="F160" s="171">
        <v>-32371</v>
      </c>
      <c r="G160" s="171">
        <f t="shared" si="42"/>
        <v>132603</v>
      </c>
      <c r="H160" s="172">
        <f t="shared" si="43"/>
        <v>2.8045685091306099E-2</v>
      </c>
      <c r="I160" s="336" t="s">
        <v>690</v>
      </c>
      <c r="J160" s="168"/>
      <c r="K160" s="168"/>
      <c r="M160" s="364">
        <f t="shared" si="34"/>
        <v>6.9809423532508559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1814166</v>
      </c>
      <c r="D161" s="558">
        <f>SUM(D123:D160)</f>
        <v>130806</v>
      </c>
      <c r="E161" s="171">
        <f t="shared" ref="E161:F161" si="44">SUM(E123:E160)</f>
        <v>1944972</v>
      </c>
      <c r="F161" s="171">
        <f t="shared" si="44"/>
        <v>0</v>
      </c>
      <c r="G161" s="171">
        <f>SUM(G123:G160)</f>
        <v>1944972</v>
      </c>
      <c r="H161" s="172">
        <f t="shared" si="43"/>
        <v>0.41136378681785329</v>
      </c>
      <c r="I161" s="336"/>
      <c r="J161" s="168"/>
      <c r="K161" s="168"/>
      <c r="M161" s="364">
        <f>G161/G$228</f>
        <v>102.39389312977099</v>
      </c>
      <c r="N161" s="359">
        <f>SUMMARY!J164</f>
        <v>105.56901037202306</v>
      </c>
      <c r="O161" s="354">
        <f>M161/N161-1</f>
        <v>-3.0076224367956317E-2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'[77]Sch C'!D175</f>
        <v>0</v>
      </c>
      <c r="D164" s="558">
        <f>'[77]Sch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'[77]Sch C'!D176</f>
        <v>0</v>
      </c>
      <c r="D165" s="558">
        <f>'[77]Sch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'[77]Sch C'!D177</f>
        <v>0</v>
      </c>
      <c r="D166" s="558">
        <f>'[77]Sch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'[77]Sch C'!D178</f>
        <v>0</v>
      </c>
      <c r="D167" s="558">
        <f>'[77]Sch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'[77]Sch C'!D179</f>
        <v>0</v>
      </c>
      <c r="D168" s="558">
        <f>'[77]Sch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'[77]Sch C'!D180</f>
        <v>0</v>
      </c>
      <c r="D169" s="558">
        <f>'[77]Sch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'[77]Sch C'!D181</f>
        <v>0</v>
      </c>
      <c r="D170" s="558">
        <f>'[77]Sch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'[77]Sch C'!D182</f>
        <v>0</v>
      </c>
      <c r="D171" s="558">
        <f>'[77]Sch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'[77]Sch C'!D183</f>
        <v>0</v>
      </c>
      <c r="D172" s="558">
        <f>'[77]Sch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'[77]Sch C'!D184</f>
        <v>0</v>
      </c>
      <c r="D173" s="558">
        <f>'[77]Sch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'[77]Sch C'!D185</f>
        <v>0</v>
      </c>
      <c r="D174" s="558">
        <f>'[77]Sch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'[77]Sch C'!D186</f>
        <v>0</v>
      </c>
      <c r="D175" s="558">
        <f>'[77]Sch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'[77]Sch C'!D187</f>
        <v>0</v>
      </c>
      <c r="D176" s="558">
        <f>'[77]Sch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'[77]Sch C'!D188</f>
        <v>10350</v>
      </c>
      <c r="D177" s="558">
        <f>'[77]Sch C'!F188</f>
        <v>4</v>
      </c>
      <c r="E177" s="171">
        <f t="shared" si="45"/>
        <v>10354</v>
      </c>
      <c r="F177" s="216"/>
      <c r="G177" s="171">
        <f t="shared" si="46"/>
        <v>10354</v>
      </c>
      <c r="H177" s="172">
        <f t="shared" si="47"/>
        <v>2.1898827585754722E-3</v>
      </c>
      <c r="I177" s="336"/>
      <c r="J177" s="223"/>
      <c r="K177" s="218"/>
      <c r="L177" s="220"/>
      <c r="M177" s="364">
        <f t="shared" si="48"/>
        <v>0.54509081337193999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'[77]Sch C'!D189</f>
        <v>39</v>
      </c>
      <c r="D178" s="558">
        <f>'[77]Sch C'!F189</f>
        <v>0</v>
      </c>
      <c r="E178" s="171">
        <f t="shared" si="45"/>
        <v>39</v>
      </c>
      <c r="F178" s="216"/>
      <c r="G178" s="171">
        <f t="shared" si="46"/>
        <v>39</v>
      </c>
      <c r="H178" s="172">
        <f t="shared" si="47"/>
        <v>8.2485442905585685E-6</v>
      </c>
      <c r="I178" s="336"/>
      <c r="J178" s="223"/>
      <c r="K178" s="218"/>
      <c r="L178" s="220"/>
      <c r="M178" s="364">
        <f t="shared" si="48"/>
        <v>2.0531718873387735E-3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'[77]Sch C'!D190</f>
        <v>0</v>
      </c>
      <c r="D179" s="558">
        <f>'[77]Sch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'[77]Sch C'!D191</f>
        <v>10377</v>
      </c>
      <c r="D180" s="558">
        <f>'[77]Sch C'!F191</f>
        <v>0</v>
      </c>
      <c r="E180" s="171">
        <f t="shared" si="45"/>
        <v>10377</v>
      </c>
      <c r="F180" s="216"/>
      <c r="G180" s="171">
        <f t="shared" si="46"/>
        <v>10377</v>
      </c>
      <c r="H180" s="172">
        <f t="shared" si="47"/>
        <v>2.1947472846955453E-3</v>
      </c>
      <c r="I180" s="336"/>
      <c r="J180" s="223"/>
      <c r="K180" s="218"/>
      <c r="L180" s="220"/>
      <c r="M180" s="364">
        <f t="shared" si="48"/>
        <v>0.54630165833113975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'[77]Sch C'!D192</f>
        <v>13418</v>
      </c>
      <c r="D181" s="558">
        <f>'[77]Sch C'!F192</f>
        <v>0</v>
      </c>
      <c r="E181" s="171">
        <f t="shared" si="45"/>
        <v>13418</v>
      </c>
      <c r="F181" s="216"/>
      <c r="G181" s="171">
        <f t="shared" si="46"/>
        <v>13418</v>
      </c>
      <c r="H181" s="172">
        <f t="shared" si="47"/>
        <v>2.837922238223458E-3</v>
      </c>
      <c r="I181" s="336"/>
      <c r="J181" s="223"/>
      <c r="K181" s="218"/>
      <c r="L181" s="220"/>
      <c r="M181" s="364">
        <f t="shared" si="48"/>
        <v>0.70639642011055537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'[77]Sch C'!D193</f>
        <v>0</v>
      </c>
      <c r="D182" s="558">
        <f>'[77]Sch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'[77]Sch C'!D194</f>
        <v>159497</v>
      </c>
      <c r="D183" s="558">
        <f>'[77]Sch C'!F194</f>
        <v>-21969</v>
      </c>
      <c r="E183" s="171">
        <f t="shared" si="45"/>
        <v>137528</v>
      </c>
      <c r="F183" s="216"/>
      <c r="G183" s="171">
        <f t="shared" si="46"/>
        <v>137528</v>
      </c>
      <c r="H183" s="172">
        <f t="shared" si="47"/>
        <v>2.9087328184408685E-2</v>
      </c>
      <c r="I183" s="336"/>
      <c r="J183" s="223"/>
      <c r="K183" s="218"/>
      <c r="M183" s="364">
        <f t="shared" si="48"/>
        <v>7.2402211108186361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'[77]Sch C'!D195</f>
        <v>59531</v>
      </c>
      <c r="D184" s="558">
        <f>'[77]Sch C'!F195</f>
        <v>27028</v>
      </c>
      <c r="E184" s="171">
        <f t="shared" si="45"/>
        <v>86559</v>
      </c>
      <c r="F184" s="216"/>
      <c r="G184" s="171">
        <f t="shared" si="46"/>
        <v>86559</v>
      </c>
      <c r="H184" s="172">
        <f t="shared" si="47"/>
        <v>1.8307326801191258E-2</v>
      </c>
      <c r="I184" s="336"/>
      <c r="J184" s="223"/>
      <c r="K184" s="218"/>
      <c r="M184" s="364">
        <f t="shared" si="48"/>
        <v>4.5569360357988948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'[77]Sch C'!D196</f>
        <v>0</v>
      </c>
      <c r="D185" s="558">
        <f>'[77]Sch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'[77]Sch C'!D197</f>
        <v>148658</v>
      </c>
      <c r="D186" s="558">
        <f>'[77]Sch C'!F197</f>
        <v>-58733</v>
      </c>
      <c r="E186" s="171">
        <f t="shared" si="45"/>
        <v>89925</v>
      </c>
      <c r="F186" s="216"/>
      <c r="G186" s="171">
        <f t="shared" si="46"/>
        <v>89925</v>
      </c>
      <c r="H186" s="172">
        <f t="shared" si="47"/>
        <v>1.9019239623807159E-2</v>
      </c>
      <c r="I186" s="336"/>
      <c r="J186" s="223"/>
      <c r="K186" s="218"/>
      <c r="M186" s="364">
        <f t="shared" si="48"/>
        <v>4.7341405633061333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'[77]Sch C'!D198</f>
        <v>0</v>
      </c>
      <c r="D187" s="558">
        <f>'[77]Sch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6"/>
      <c r="J187" s="223"/>
      <c r="K187" s="218"/>
      <c r="M187" s="364">
        <f t="shared" si="48"/>
        <v>0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'[77]Sch C'!D199</f>
        <v>0</v>
      </c>
      <c r="D188" s="558">
        <f>'[77]Sch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'[77]Sch C'!D200</f>
        <v>0</v>
      </c>
      <c r="D189" s="558">
        <f>'[77]Sch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'[77]Sch C'!D201</f>
        <v>0</v>
      </c>
      <c r="D190" s="558">
        <f>'[77]Sch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'[77]Sch C'!D202</f>
        <v>0</v>
      </c>
      <c r="D191" s="558">
        <f>'[77]Sch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'[77]Sch C'!D203</f>
        <v>0</v>
      </c>
      <c r="D192" s="558">
        <f>'[77]Sch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'[77]Sch C'!D204</f>
        <v>0</v>
      </c>
      <c r="D193" s="558">
        <f>'[77]Sch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'[77]Sch C'!D205</f>
        <v>129179</v>
      </c>
      <c r="D194" s="558">
        <f>'[77]Sch C'!F205</f>
        <v>0</v>
      </c>
      <c r="E194" s="171">
        <f t="shared" si="45"/>
        <v>129179</v>
      </c>
      <c r="F194" s="216"/>
      <c r="G194" s="171">
        <f t="shared" si="46"/>
        <v>129179</v>
      </c>
      <c r="H194" s="172">
        <f t="shared" si="47"/>
        <v>2.7321505202822186E-2</v>
      </c>
      <c r="I194" s="336"/>
      <c r="J194" s="223"/>
      <c r="K194" s="218"/>
      <c r="M194" s="364">
        <f t="shared" si="48"/>
        <v>6.8006843906291126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'[77]Sch C'!D206</f>
        <v>0</v>
      </c>
      <c r="D195" s="558">
        <f>'[77]Sch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6"/>
      <c r="J195" s="223"/>
      <c r="K195" s="218"/>
      <c r="M195" s="364">
        <f t="shared" si="48"/>
        <v>0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'[77]Sch C'!D207</f>
        <v>4784</v>
      </c>
      <c r="D196" s="558">
        <f>'[77]Sch C'!F207</f>
        <v>0</v>
      </c>
      <c r="E196" s="171">
        <f t="shared" si="45"/>
        <v>4784</v>
      </c>
      <c r="F196" s="216"/>
      <c r="G196" s="171">
        <f t="shared" si="46"/>
        <v>4784</v>
      </c>
      <c r="H196" s="172">
        <f t="shared" si="47"/>
        <v>1.0118214329751843E-3</v>
      </c>
      <c r="I196" s="336"/>
      <c r="J196" s="223"/>
      <c r="K196" s="218"/>
      <c r="M196" s="364">
        <f t="shared" si="48"/>
        <v>0.25185575151355621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535833</v>
      </c>
      <c r="D197" s="558">
        <f>SUM(D164:D196)</f>
        <v>-53670</v>
      </c>
      <c r="E197" s="171">
        <f t="shared" ref="E197:F197" si="49">SUM(E164:E196)</f>
        <v>482163</v>
      </c>
      <c r="F197" s="171">
        <f t="shared" si="49"/>
        <v>0</v>
      </c>
      <c r="G197" s="171">
        <f>SUM(G164:G196)</f>
        <v>482163</v>
      </c>
      <c r="H197" s="172">
        <f>IF($G$208=0,0,G197/$G$208)</f>
        <v>0.10197802207098951</v>
      </c>
      <c r="I197" s="336"/>
      <c r="J197" s="168"/>
      <c r="K197" s="168"/>
      <c r="M197" s="364">
        <f>G197/G$228</f>
        <v>25.383679915767306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'[77]Sch C'!D211</f>
        <v>89677</v>
      </c>
      <c r="D200" s="558">
        <f>'[77]Sch C'!F211</f>
        <v>0</v>
      </c>
      <c r="E200" s="171">
        <f t="shared" ref="E200:E205" si="50">C200+D200</f>
        <v>89677</v>
      </c>
      <c r="F200" s="171"/>
      <c r="G200" s="171">
        <f t="shared" ref="G200:G205" si="51">E200+F200</f>
        <v>89677</v>
      </c>
      <c r="H200" s="172">
        <f t="shared" ref="H200:H206" si="52">IF($G$208=0,0,G200/$G$208)</f>
        <v>1.8966787342164632E-2</v>
      </c>
      <c r="I200" s="336"/>
      <c r="J200" s="183">
        <v>5259</v>
      </c>
      <c r="K200" s="183">
        <v>5568</v>
      </c>
      <c r="M200" s="364">
        <f t="shared" ref="M200:M205" si="53">G200/G$228</f>
        <v>4.7210844959199791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'[77]Sch C'!D212</f>
        <v>8675</v>
      </c>
      <c r="D201" s="558">
        <f>'[77]Sch C'!F212</f>
        <v>3057</v>
      </c>
      <c r="E201" s="171">
        <f t="shared" si="50"/>
        <v>11732</v>
      </c>
      <c r="F201" s="171"/>
      <c r="G201" s="171">
        <f t="shared" si="51"/>
        <v>11732</v>
      </c>
      <c r="H201" s="172">
        <f t="shared" si="52"/>
        <v>2.4813313235085414E-3</v>
      </c>
      <c r="I201" s="336"/>
      <c r="J201" s="168"/>
      <c r="K201" s="168"/>
      <c r="M201" s="364">
        <f t="shared" si="53"/>
        <v>0.61763622005790997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'[77]Sch C'!D213</f>
        <v>23895</v>
      </c>
      <c r="D202" s="558">
        <f>'[77]Sch C'!F213</f>
        <v>0</v>
      </c>
      <c r="E202" s="171">
        <f t="shared" si="50"/>
        <v>23895</v>
      </c>
      <c r="F202" s="171"/>
      <c r="G202" s="171">
        <f t="shared" si="51"/>
        <v>23895</v>
      </c>
      <c r="H202" s="172">
        <f t="shared" si="52"/>
        <v>5.053819636484538E-3</v>
      </c>
      <c r="I202" s="336"/>
      <c r="J202" s="168"/>
      <c r="K202" s="168"/>
      <c r="M202" s="364">
        <f t="shared" si="53"/>
        <v>1.2579626217425639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'[77]Sch C'!D214</f>
        <v>0</v>
      </c>
      <c r="D203" s="558">
        <f>'[77]Sch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'[77]Sch C'!D215</f>
        <v>0</v>
      </c>
      <c r="D204" s="558">
        <f>'[77]Sch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'[77]Sch C'!D216</f>
        <v>15153</v>
      </c>
      <c r="D205" s="558">
        <f>'[77]Sch C'!F216</f>
        <v>26</v>
      </c>
      <c r="E205" s="171">
        <f t="shared" si="50"/>
        <v>15179</v>
      </c>
      <c r="F205" s="171"/>
      <c r="G205" s="171">
        <f t="shared" si="51"/>
        <v>15179</v>
      </c>
      <c r="H205" s="172">
        <f t="shared" si="52"/>
        <v>3.2103757381125256E-3</v>
      </c>
      <c r="I205" s="336"/>
      <c r="J205" s="168"/>
      <c r="K205" s="168"/>
      <c r="M205" s="364">
        <f t="shared" si="53"/>
        <v>0.79910502763885238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137400</v>
      </c>
      <c r="D206" s="558">
        <f>SUM(D200:D205)</f>
        <v>3083</v>
      </c>
      <c r="E206" s="171">
        <f t="shared" ref="E206:F206" si="54">SUM(E200:E205)</f>
        <v>140483</v>
      </c>
      <c r="F206" s="171">
        <f t="shared" si="54"/>
        <v>0</v>
      </c>
      <c r="G206" s="171">
        <f>SUM(G200:G205)</f>
        <v>140483</v>
      </c>
      <c r="H206" s="172">
        <f t="shared" si="52"/>
        <v>2.9712314040270239E-2</v>
      </c>
      <c r="I206" s="336"/>
      <c r="J206" s="168"/>
      <c r="K206" s="168"/>
      <c r="M206" s="364">
        <f>G206/G$228</f>
        <v>7.3957883653593051</v>
      </c>
      <c r="N206" s="359">
        <f>SUMMARY!J209</f>
        <v>7.1515095990067339</v>
      </c>
      <c r="O206" s="354">
        <f>M206/N206-1</f>
        <v>3.4157650628966252E-2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5711766</v>
      </c>
      <c r="D208" s="558">
        <f>SUM(D25:D206)/2</f>
        <v>-983659</v>
      </c>
      <c r="E208" s="171">
        <f t="shared" ref="E208:F208" si="55">SUM(E25:E206)/2</f>
        <v>4728107</v>
      </c>
      <c r="F208" s="171">
        <f t="shared" si="55"/>
        <v>0</v>
      </c>
      <c r="G208" s="171">
        <f>SUM(G25:G206)/2</f>
        <v>4728107</v>
      </c>
      <c r="H208" s="172">
        <f>IF($G$208=0,0,G208/$G$208)</f>
        <v>1</v>
      </c>
      <c r="I208" s="336"/>
      <c r="J208" s="183">
        <f>SUM(J25:J200)</f>
        <v>85329</v>
      </c>
      <c r="K208" s="183">
        <f>SUM(K25:K200)</f>
        <v>89030</v>
      </c>
      <c r="M208" s="364">
        <f>G208/G$228</f>
        <v>248.91324032640168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1.3961780111127009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'[77]Sch C'!D221</f>
        <v>5711766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-1062711</v>
      </c>
      <c r="D215" s="558">
        <f>D21-D208</f>
        <v>669272</v>
      </c>
      <c r="E215" s="171">
        <f t="shared" ref="E215:F215" si="56">E21-E208</f>
        <v>-393439</v>
      </c>
      <c r="F215" s="171">
        <f t="shared" si="56"/>
        <v>0</v>
      </c>
      <c r="G215" s="171">
        <f>G21-G208</f>
        <v>-393439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'[77]Sch D'!C9</f>
        <v>14872</v>
      </c>
      <c r="D219" s="592"/>
      <c r="E219" s="235">
        <f t="shared" ref="E219:G227" si="57">C219+D219</f>
        <v>14872</v>
      </c>
      <c r="F219" s="234"/>
      <c r="G219" s="235">
        <f t="shared" si="57"/>
        <v>14872</v>
      </c>
      <c r="H219" s="172">
        <f t="shared" ref="H219:H228" si="58">IF($G$228=0,0,G219/$G$228)</f>
        <v>0.78294287970518561</v>
      </c>
      <c r="I219" s="336"/>
      <c r="J219" s="168"/>
      <c r="K219" s="168"/>
    </row>
    <row r="220" spans="1:17">
      <c r="A220" s="163"/>
      <c r="B220" s="170" t="s">
        <v>217</v>
      </c>
      <c r="C220" s="592">
        <f>'[77]Sch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'[77]Sch D'!E9</f>
        <v>879</v>
      </c>
      <c r="D221" s="592"/>
      <c r="E221" s="235">
        <f t="shared" si="59"/>
        <v>879</v>
      </c>
      <c r="F221" s="234"/>
      <c r="G221" s="235">
        <f t="shared" si="57"/>
        <v>879</v>
      </c>
      <c r="H221" s="172">
        <f t="shared" si="58"/>
        <v>4.6275335614635434E-2</v>
      </c>
      <c r="I221" s="336"/>
      <c r="J221" s="168"/>
      <c r="K221" s="168"/>
    </row>
    <row r="222" spans="1:17">
      <c r="A222" s="163"/>
      <c r="B222" s="202" t="s">
        <v>334</v>
      </c>
      <c r="C222" s="592">
        <f>'[77]Sch D'!F9</f>
        <v>320</v>
      </c>
      <c r="D222" s="592"/>
      <c r="E222" s="235">
        <f>C222+D222</f>
        <v>320</v>
      </c>
      <c r="F222" s="234"/>
      <c r="G222" s="235">
        <f>E222+F222</f>
        <v>320</v>
      </c>
      <c r="H222" s="172">
        <f t="shared" si="58"/>
        <v>1.6846538562779678E-2</v>
      </c>
      <c r="I222" s="336"/>
      <c r="J222" s="168"/>
      <c r="K222" s="168"/>
    </row>
    <row r="223" spans="1:17">
      <c r="A223" s="163"/>
      <c r="B223" s="170" t="s">
        <v>73</v>
      </c>
      <c r="C223" s="592">
        <f>'[77]Sch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'[77]Sch D'!H9</f>
        <v>1083</v>
      </c>
      <c r="D224" s="592"/>
      <c r="E224" s="235">
        <f t="shared" si="59"/>
        <v>1083</v>
      </c>
      <c r="F224" s="234"/>
      <c r="G224" s="235">
        <f t="shared" si="57"/>
        <v>1083</v>
      </c>
      <c r="H224" s="172">
        <f t="shared" si="58"/>
        <v>5.7015003948407472E-2</v>
      </c>
      <c r="I224" s="336"/>
      <c r="J224" s="168"/>
      <c r="K224" s="168"/>
    </row>
    <row r="225" spans="1:11">
      <c r="A225" s="163"/>
      <c r="B225" s="170" t="s">
        <v>236</v>
      </c>
      <c r="C225" s="592">
        <f>'[77]Sch D'!I9</f>
        <v>1512</v>
      </c>
      <c r="D225" s="592"/>
      <c r="E225" s="235">
        <f t="shared" si="59"/>
        <v>1512</v>
      </c>
      <c r="F225" s="234"/>
      <c r="G225" s="235">
        <f t="shared" si="57"/>
        <v>1512</v>
      </c>
      <c r="H225" s="172">
        <f t="shared" si="58"/>
        <v>7.9599894709133978E-2</v>
      </c>
      <c r="I225" s="336"/>
      <c r="J225" s="168"/>
      <c r="K225" s="168"/>
    </row>
    <row r="226" spans="1:11">
      <c r="A226" s="163"/>
      <c r="B226" s="170" t="s">
        <v>235</v>
      </c>
      <c r="C226" s="592">
        <f>'[77]Sch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'[77]Sch D'!K9</f>
        <v>329</v>
      </c>
      <c r="D227" s="592"/>
      <c r="E227" s="235">
        <f t="shared" si="59"/>
        <v>329</v>
      </c>
      <c r="F227" s="234"/>
      <c r="G227" s="235">
        <f t="shared" si="57"/>
        <v>329</v>
      </c>
      <c r="H227" s="172">
        <f t="shared" si="58"/>
        <v>1.7320347459857856E-2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18995</v>
      </c>
      <c r="D228" s="592">
        <f>SUM(D219:D227)</f>
        <v>0</v>
      </c>
      <c r="E228" s="237">
        <f>SUM(E219:E227)</f>
        <v>18995</v>
      </c>
      <c r="F228" s="237">
        <f>SUM(F219:F227)</f>
        <v>0</v>
      </c>
      <c r="G228" s="237">
        <f>SUM(G219:G227)</f>
        <v>18995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'[77]Sch D'!N22</f>
        <v>99</v>
      </c>
      <c r="D231" s="559"/>
      <c r="E231" s="235">
        <f>C231+D231</f>
        <v>99</v>
      </c>
      <c r="F231" s="235"/>
      <c r="G231" s="235">
        <f>E231+F231</f>
        <v>99</v>
      </c>
      <c r="H231" s="167"/>
      <c r="J231" s="168"/>
      <c r="K231" s="168"/>
    </row>
    <row r="232" spans="1:11">
      <c r="A232" s="163"/>
      <c r="B232" s="202" t="s">
        <v>290</v>
      </c>
      <c r="C232" s="593">
        <f>'[77]Sch D'!N24</f>
        <v>99</v>
      </c>
      <c r="D232" s="559"/>
      <c r="E232" s="235">
        <f>C232+D232</f>
        <v>99</v>
      </c>
      <c r="F232" s="235"/>
      <c r="G232" s="235">
        <f>E232+F232</f>
        <v>99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'[77]Sch D'!N28</f>
        <v>36234</v>
      </c>
      <c r="D235" s="483"/>
      <c r="E235" s="234">
        <f>E231*E233</f>
        <v>36234</v>
      </c>
      <c r="F235" s="239"/>
      <c r="G235" s="234">
        <f>G231*G233</f>
        <v>36234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'[77]Sch D'!N30</f>
        <v>0.52423138488712262</v>
      </c>
      <c r="D236" s="239"/>
      <c r="E236" s="244">
        <f>E228/E235</f>
        <v>0.52423138488712262</v>
      </c>
      <c r="F236" s="245"/>
      <c r="G236" s="244">
        <f>G228/G235</f>
        <v>0.52423138488712262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'[77]Sch D'!N32</f>
        <v>0.41044323011536127</v>
      </c>
      <c r="D237" s="239"/>
      <c r="E237" s="244">
        <f>(E219+E220)/E235</f>
        <v>0.41044323011536127</v>
      </c>
      <c r="F237" s="245"/>
      <c r="G237" s="244">
        <f>(G219+G220)/G235</f>
        <v>0.41044323011536127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'[77]Sch D'!N34</f>
        <v>0.7829428797051855</v>
      </c>
      <c r="D238" s="239"/>
      <c r="E238" s="244">
        <f>(E237/E236)</f>
        <v>0.7829428797051855</v>
      </c>
      <c r="F238" s="245"/>
      <c r="G238" s="244">
        <f>(G237/G236)</f>
        <v>0.7829428797051855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'[77]Sch B'!C85</f>
        <v>184.33333333333334</v>
      </c>
    </row>
    <row r="242" spans="2:7">
      <c r="F242" s="142" t="s">
        <v>341</v>
      </c>
      <c r="G242" s="558">
        <f>'[77]Sch B'!E85</f>
        <v>184.30902777777777</v>
      </c>
    </row>
    <row r="243" spans="2:7">
      <c r="F243" s="142" t="s">
        <v>342</v>
      </c>
      <c r="G243" s="558">
        <f>'[77]Sch B'!G85</f>
        <v>184.31020408163266</v>
      </c>
    </row>
    <row r="244" spans="2:7">
      <c r="F244" s="142" t="s">
        <v>343</v>
      </c>
      <c r="G244" s="558">
        <f>'[77]Sch B'!I85</f>
        <v>184.37065637065638</v>
      </c>
    </row>
    <row r="245" spans="2:7">
      <c r="F245" s="142"/>
    </row>
  </sheetData>
  <customSheetViews>
    <customSheetView guid="{00D6F160-3E2B-11D5-8BE5-C1A1C12816BD}" showPageBreaks="1" showGridLines="0" showRuler="0" topLeftCell="C1">
      <selection activeCell="J16" sqref="J16"/>
      <pageMargins left="0" right="0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E28CAB"/>
  </sheetPr>
  <dimension ref="A1:T245"/>
  <sheetViews>
    <sheetView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406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'[78]Sch B'!E10</f>
        <v>273296</v>
      </c>
      <c r="D11" s="558">
        <f>'[78]Sch B'!G10</f>
        <v>0</v>
      </c>
      <c r="E11" s="171">
        <f>C11+D11</f>
        <v>273296</v>
      </c>
      <c r="F11" s="171"/>
      <c r="G11" s="171">
        <f t="shared" ref="G11:G20" si="0">E11+F11</f>
        <v>273296</v>
      </c>
      <c r="H11" s="172">
        <f t="shared" ref="H11:H21" si="1">IF($G$21=0,0,G11/$G$21)</f>
        <v>3.8983537523238194E-2</v>
      </c>
      <c r="I11" s="336"/>
      <c r="J11" s="368" t="s">
        <v>344</v>
      </c>
      <c r="K11" s="369">
        <f>G21</f>
        <v>7010549</v>
      </c>
      <c r="M11" s="359">
        <f>IFERROR(G11/G219,0)</f>
        <v>174.18483110261312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'[78]Sch B'!E15</f>
        <v>0</v>
      </c>
      <c r="D12" s="558">
        <f>'[78]Sch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6196267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'[78]Sch B'!E21</f>
        <v>751804</v>
      </c>
      <c r="D13" s="558">
        <f>'[78]Sch B'!G21</f>
        <v>0</v>
      </c>
      <c r="E13" s="171">
        <f t="shared" si="2"/>
        <v>751804</v>
      </c>
      <c r="F13" s="171"/>
      <c r="G13" s="171">
        <f t="shared" si="0"/>
        <v>751804</v>
      </c>
      <c r="H13" s="172">
        <f t="shared" si="1"/>
        <v>0.1072389623123667</v>
      </c>
      <c r="I13" s="336"/>
      <c r="J13" s="370" t="s">
        <v>346</v>
      </c>
      <c r="K13" s="371">
        <f>G228</f>
        <v>28658</v>
      </c>
      <c r="M13" s="359">
        <f t="shared" si="3"/>
        <v>619.78895300906845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'[78]Sch B'!E27</f>
        <v>176886</v>
      </c>
      <c r="D14" s="558">
        <f>'[78]Sch B'!G27</f>
        <v>0</v>
      </c>
      <c r="E14" s="171">
        <f t="shared" si="2"/>
        <v>176886</v>
      </c>
      <c r="F14" s="175"/>
      <c r="G14" s="175">
        <f>E14+F14</f>
        <v>176886</v>
      </c>
      <c r="H14" s="176">
        <f t="shared" si="1"/>
        <v>2.5231404844328169E-2</v>
      </c>
      <c r="I14" s="337"/>
      <c r="J14" s="370" t="s">
        <v>347</v>
      </c>
      <c r="K14" s="371">
        <f>G231</f>
        <v>81</v>
      </c>
      <c r="M14" s="359">
        <f t="shared" si="3"/>
        <v>469.19363395225463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'[78]Sch B'!E32</f>
        <v>4264760</v>
      </c>
      <c r="D15" s="558">
        <f>'[78]Sch B'!G32</f>
        <v>-2290896</v>
      </c>
      <c r="E15" s="171">
        <f t="shared" si="2"/>
        <v>1973864</v>
      </c>
      <c r="F15" s="171"/>
      <c r="G15" s="171">
        <f t="shared" si="0"/>
        <v>1973864</v>
      </c>
      <c r="H15" s="172">
        <f t="shared" si="1"/>
        <v>0.28155626613550522</v>
      </c>
      <c r="I15" s="336"/>
      <c r="J15" s="370" t="s">
        <v>348</v>
      </c>
      <c r="K15" s="371">
        <f>G235</f>
        <v>29646</v>
      </c>
      <c r="M15" s="359">
        <f t="shared" si="3"/>
        <v>396.27865890383458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'[78]Sch B'!E37</f>
        <v>1402177</v>
      </c>
      <c r="D16" s="558">
        <f>'[78]Sch B'!G37</f>
        <v>2290896</v>
      </c>
      <c r="E16" s="171">
        <f t="shared" si="2"/>
        <v>3693073</v>
      </c>
      <c r="F16" s="171"/>
      <c r="G16" s="171">
        <f t="shared" si="0"/>
        <v>3693073</v>
      </c>
      <c r="H16" s="172">
        <f t="shared" si="1"/>
        <v>0.52678798764547541</v>
      </c>
      <c r="I16" s="336"/>
      <c r="J16" s="372"/>
      <c r="K16" s="371"/>
      <c r="M16" s="359">
        <f t="shared" si="3"/>
        <v>187.12368261045805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'[78]Sch B'!E42</f>
        <v>137467</v>
      </c>
      <c r="D17" s="558">
        <f>'[78]Sch B'!G42</f>
        <v>0</v>
      </c>
      <c r="E17" s="171">
        <f t="shared" si="2"/>
        <v>137467</v>
      </c>
      <c r="F17" s="171"/>
      <c r="G17" s="171">
        <f>E17+F17</f>
        <v>137467</v>
      </c>
      <c r="H17" s="172">
        <f t="shared" si="1"/>
        <v>1.9608592707932002E-2</v>
      </c>
      <c r="I17" s="336"/>
      <c r="J17" s="370" t="s">
        <v>156</v>
      </c>
      <c r="K17" s="371">
        <f>J208</f>
        <v>183279</v>
      </c>
      <c r="M17" s="359">
        <f t="shared" si="3"/>
        <v>175.78900255754476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'[78]Sch B'!E47</f>
        <v>0</v>
      </c>
      <c r="D18" s="558">
        <f>'[78]Sch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197734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'[78]Sch B'!E52</f>
        <v>1944</v>
      </c>
      <c r="D19" s="558">
        <f>'[78]Sch B'!G52</f>
        <v>-1944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'[78]Sch B'!E67</f>
        <v>24861</v>
      </c>
      <c r="D20" s="558">
        <f>'[78]Sch B'!G67</f>
        <v>-20702</v>
      </c>
      <c r="E20" s="171">
        <f t="shared" si="2"/>
        <v>4159</v>
      </c>
      <c r="F20" s="171"/>
      <c r="G20" s="171">
        <f t="shared" si="0"/>
        <v>4159</v>
      </c>
      <c r="H20" s="172">
        <f t="shared" si="1"/>
        <v>5.9324883115430759E-4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7033195</v>
      </c>
      <c r="D21" s="558">
        <f>SUM(D11:D20)</f>
        <v>-22646</v>
      </c>
      <c r="E21" s="171">
        <f>SUM(E11:E20)</f>
        <v>7010549</v>
      </c>
      <c r="F21" s="171">
        <f>SUM(F11:F20)</f>
        <v>0</v>
      </c>
      <c r="G21" s="171">
        <f>SUM(G11:G20)</f>
        <v>7010549</v>
      </c>
      <c r="H21" s="172">
        <f t="shared" si="1"/>
        <v>1</v>
      </c>
      <c r="I21" s="336"/>
      <c r="J21" s="168"/>
      <c r="K21" s="168"/>
      <c r="M21" s="359">
        <f>IFERROR(G21/G228,0)</f>
        <v>244.62799218368343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'[78]Sch C'!D10</f>
        <v>0</v>
      </c>
      <c r="D25" s="558">
        <f>'[78]Sch C'!F10</f>
        <v>124562</v>
      </c>
      <c r="E25" s="171">
        <f t="shared" ref="E25:E60" si="4">C25+D25</f>
        <v>124562</v>
      </c>
      <c r="F25" s="171"/>
      <c r="G25" s="182">
        <f>E25+F25</f>
        <v>124562</v>
      </c>
      <c r="H25" s="172">
        <f>IF($G$208=0,0,G25/$G$208)</f>
        <v>2.0102748961592521E-2</v>
      </c>
      <c r="I25" s="336"/>
      <c r="J25" s="183">
        <v>1832</v>
      </c>
      <c r="K25" s="183">
        <v>2080</v>
      </c>
      <c r="M25" s="359">
        <f>G25/G$228</f>
        <v>4.3465001046828107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'[78]Sch C'!D11</f>
        <v>0</v>
      </c>
      <c r="D26" s="558">
        <f>'[78]Sch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 t="s">
        <v>198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'[78]Sch C'!D12</f>
        <v>257981</v>
      </c>
      <c r="D27" s="558">
        <f>'[78]Sch C'!F12</f>
        <v>-124562</v>
      </c>
      <c r="E27" s="171">
        <f t="shared" si="4"/>
        <v>133419</v>
      </c>
      <c r="F27" s="171"/>
      <c r="G27" s="171">
        <f t="shared" si="5"/>
        <v>133419</v>
      </c>
      <c r="H27" s="172">
        <f t="shared" si="6"/>
        <v>2.1532157991255057E-2</v>
      </c>
      <c r="I27" s="336"/>
      <c r="J27" s="185">
        <v>19825</v>
      </c>
      <c r="K27" s="185">
        <v>21187</v>
      </c>
      <c r="M27" s="359">
        <f t="shared" si="7"/>
        <v>4.6555586572684762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'[78]Sch C'!D13</f>
        <v>43683</v>
      </c>
      <c r="D28" s="558">
        <f>'[78]Sch C'!F13</f>
        <v>0</v>
      </c>
      <c r="E28" s="171">
        <f t="shared" si="4"/>
        <v>43683</v>
      </c>
      <c r="F28" s="171"/>
      <c r="G28" s="171">
        <f t="shared" si="5"/>
        <v>43683</v>
      </c>
      <c r="H28" s="172">
        <f t="shared" si="6"/>
        <v>7.0498898772438307E-3</v>
      </c>
      <c r="I28" s="336"/>
      <c r="J28" s="168"/>
      <c r="K28" s="168"/>
      <c r="M28" s="359">
        <f t="shared" si="7"/>
        <v>1.5242864121711215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'[78]Sch C'!D14</f>
        <v>0</v>
      </c>
      <c r="D29" s="558">
        <f>'[78]Sch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'[78]Sch C'!D15</f>
        <v>0</v>
      </c>
      <c r="D30" s="558">
        <f>'[78]Sch C'!F15</f>
        <v>404113</v>
      </c>
      <c r="E30" s="171">
        <f t="shared" si="4"/>
        <v>404113</v>
      </c>
      <c r="F30" s="171"/>
      <c r="G30" s="171">
        <f t="shared" si="5"/>
        <v>404113</v>
      </c>
      <c r="H30" s="172">
        <f t="shared" si="6"/>
        <v>6.5218784148584952E-2</v>
      </c>
      <c r="I30" s="336"/>
      <c r="J30" s="168"/>
      <c r="K30" s="168"/>
      <c r="M30" s="359">
        <f t="shared" si="7"/>
        <v>14.1012282783167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'[78]Sch C'!D16</f>
        <v>404113</v>
      </c>
      <c r="D31" s="558">
        <f>'[78]Sch C'!F16</f>
        <v>-404113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6"/>
      <c r="J31" s="168"/>
      <c r="K31" s="168"/>
      <c r="M31" s="359">
        <f t="shared" si="7"/>
        <v>0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'[78]Sch C'!D17</f>
        <v>5038</v>
      </c>
      <c r="D32" s="558">
        <f>'[78]Sch C'!F17</f>
        <v>-5038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'[78]Sch C'!D18</f>
        <v>45974</v>
      </c>
      <c r="D33" s="558">
        <f>'[78]Sch C'!F18</f>
        <v>0</v>
      </c>
      <c r="E33" s="171">
        <f t="shared" si="4"/>
        <v>45974</v>
      </c>
      <c r="F33" s="171"/>
      <c r="G33" s="171">
        <f t="shared" si="5"/>
        <v>45974</v>
      </c>
      <c r="H33" s="172">
        <f t="shared" si="6"/>
        <v>7.4196286247832765E-3</v>
      </c>
      <c r="I33" s="336"/>
      <c r="J33" s="168"/>
      <c r="K33" s="168"/>
      <c r="M33" s="359">
        <f t="shared" si="7"/>
        <v>1.6042291855677298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'[78]Sch C'!D19</f>
        <v>12652</v>
      </c>
      <c r="D34" s="558">
        <f>'[78]Sch C'!F19</f>
        <v>0</v>
      </c>
      <c r="E34" s="171">
        <f t="shared" si="4"/>
        <v>12652</v>
      </c>
      <c r="F34" s="171"/>
      <c r="G34" s="171">
        <f t="shared" si="5"/>
        <v>12652</v>
      </c>
      <c r="H34" s="172">
        <f t="shared" si="6"/>
        <v>2.0418745673806502E-3</v>
      </c>
      <c r="I34" s="336"/>
      <c r="J34" s="168"/>
      <c r="K34" s="168"/>
      <c r="M34" s="359">
        <f t="shared" si="7"/>
        <v>0.4414823086049271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'[78]Sch C'!D20</f>
        <v>23838</v>
      </c>
      <c r="D35" s="558">
        <f>'[78]Sch C'!F20</f>
        <v>0</v>
      </c>
      <c r="E35" s="171">
        <f t="shared" si="4"/>
        <v>23838</v>
      </c>
      <c r="F35" s="171"/>
      <c r="G35" s="171">
        <f t="shared" si="5"/>
        <v>23838</v>
      </c>
      <c r="H35" s="172">
        <f t="shared" si="6"/>
        <v>3.8471550693344879E-3</v>
      </c>
      <c r="I35" s="336"/>
      <c r="J35" s="168"/>
      <c r="K35" s="168"/>
      <c r="M35" s="359">
        <f t="shared" si="7"/>
        <v>0.83180961686091148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'[78]Sch C'!D21</f>
        <v>3935</v>
      </c>
      <c r="D36" s="558">
        <f>'[78]Sch C'!F21</f>
        <v>0</v>
      </c>
      <c r="E36" s="171">
        <f t="shared" si="4"/>
        <v>3935</v>
      </c>
      <c r="F36" s="171"/>
      <c r="G36" s="171">
        <f t="shared" si="5"/>
        <v>3935</v>
      </c>
      <c r="H36" s="172">
        <f t="shared" si="6"/>
        <v>6.3505978680389341E-4</v>
      </c>
      <c r="I36" s="336"/>
      <c r="J36" s="168"/>
      <c r="K36" s="168"/>
      <c r="M36" s="359">
        <f t="shared" si="7"/>
        <v>0.13730895386977457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'[78]Sch C'!D22</f>
        <v>0</v>
      </c>
      <c r="D37" s="558">
        <f>'[78]Sch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'[78]Sch C'!D23</f>
        <v>5816</v>
      </c>
      <c r="D38" s="558">
        <f>'[78]Sch C'!F23</f>
        <v>0</v>
      </c>
      <c r="E38" s="171">
        <f t="shared" si="4"/>
        <v>5816</v>
      </c>
      <c r="F38" s="171"/>
      <c r="G38" s="171">
        <f t="shared" si="5"/>
        <v>5816</v>
      </c>
      <c r="H38" s="172">
        <f t="shared" si="6"/>
        <v>9.3862966202069734E-4</v>
      </c>
      <c r="I38" s="336"/>
      <c r="J38" s="168"/>
      <c r="K38" s="168"/>
      <c r="M38" s="359">
        <f t="shared" si="7"/>
        <v>0.20294507641845208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'[78]Sch C'!D24</f>
        <v>16492</v>
      </c>
      <c r="D39" s="558">
        <f>'[78]Sch C'!F24</f>
        <v>0</v>
      </c>
      <c r="E39" s="171">
        <f t="shared" si="4"/>
        <v>16492</v>
      </c>
      <c r="F39" s="171"/>
      <c r="G39" s="171">
        <f t="shared" si="5"/>
        <v>16492</v>
      </c>
      <c r="H39" s="172">
        <f t="shared" si="6"/>
        <v>2.661602542304907E-3</v>
      </c>
      <c r="I39" s="336"/>
      <c r="J39" s="168"/>
      <c r="K39" s="168"/>
      <c r="M39" s="359">
        <f t="shared" si="7"/>
        <v>0.57547630679042505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'[78]Sch C'!D25</f>
        <v>0</v>
      </c>
      <c r="D40" s="558">
        <f>'[78]Sch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'[78]Sch C'!D26</f>
        <v>0</v>
      </c>
      <c r="D41" s="558">
        <f>'[78]Sch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6"/>
      <c r="J41" s="168"/>
      <c r="K41" s="168"/>
      <c r="M41" s="359">
        <f t="shared" si="7"/>
        <v>0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'[78]Sch C'!D27</f>
        <v>863</v>
      </c>
      <c r="D42" s="558">
        <f>'[78]Sch C'!F27</f>
        <v>-40</v>
      </c>
      <c r="E42" s="171">
        <f t="shared" si="4"/>
        <v>823</v>
      </c>
      <c r="F42" s="171"/>
      <c r="G42" s="171">
        <f t="shared" si="5"/>
        <v>823</v>
      </c>
      <c r="H42" s="172">
        <f t="shared" si="6"/>
        <v>1.3282190712569358E-4</v>
      </c>
      <c r="I42" s="336"/>
      <c r="J42" s="168"/>
      <c r="K42" s="168"/>
      <c r="M42" s="359">
        <f t="shared" si="7"/>
        <v>2.8717984506943961E-2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'[78]Sch C'!D28</f>
        <v>0</v>
      </c>
      <c r="D43" s="558">
        <f>'[78]Sch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'[78]Sch C'!D29</f>
        <v>54053</v>
      </c>
      <c r="D44" s="558">
        <f>'[78]Sch C'!F29</f>
        <v>-54053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'[78]Sch C'!D30</f>
        <v>0</v>
      </c>
      <c r="D45" s="558">
        <f>'[78]Sch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'[78]Sch C'!D31</f>
        <v>0</v>
      </c>
      <c r="D46" s="558">
        <f>'[78]Sch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'[78]Sch C'!D32</f>
        <v>64560</v>
      </c>
      <c r="D47" s="558">
        <f>'[78]Sch C'!F32</f>
        <v>0</v>
      </c>
      <c r="E47" s="171">
        <f t="shared" si="4"/>
        <v>64560</v>
      </c>
      <c r="F47" s="171"/>
      <c r="G47" s="171">
        <f t="shared" si="5"/>
        <v>64560</v>
      </c>
      <c r="H47" s="172">
        <f t="shared" si="6"/>
        <v>1.0419176578414067E-2</v>
      </c>
      <c r="I47" s="336"/>
      <c r="J47" s="168"/>
      <c r="K47" s="168"/>
      <c r="M47" s="359">
        <f t="shared" si="7"/>
        <v>2.252774094493684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'[78]Sch C'!D33</f>
        <v>0</v>
      </c>
      <c r="D48" s="558">
        <f>'[78]Sch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'[78]Sch C'!D34</f>
        <v>804</v>
      </c>
      <c r="D49" s="558">
        <f>'[78]Sch C'!F34</f>
        <v>0</v>
      </c>
      <c r="E49" s="171">
        <f t="shared" si="4"/>
        <v>804</v>
      </c>
      <c r="F49" s="171"/>
      <c r="G49" s="171">
        <f t="shared" si="5"/>
        <v>804</v>
      </c>
      <c r="H49" s="172">
        <f t="shared" si="6"/>
        <v>1.2975554474976627E-4</v>
      </c>
      <c r="I49" s="336"/>
      <c r="J49" s="168"/>
      <c r="K49" s="168"/>
      <c r="M49" s="359">
        <f t="shared" si="7"/>
        <v>2.805499337008863E-2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'[78]Sch C'!D35</f>
        <v>0</v>
      </c>
      <c r="D50" s="558">
        <f>'[78]Sch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'[78]Sch C'!D36</f>
        <v>0</v>
      </c>
      <c r="D51" s="558">
        <f>'[78]Sch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'[78]Sch C'!D37</f>
        <v>0</v>
      </c>
      <c r="D52" s="558">
        <f>'[78]Sch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'[78]Sch C'!D38</f>
        <v>687</v>
      </c>
      <c r="D53" s="558">
        <f>'[78]Sch C'!F38</f>
        <v>-687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'[78]Sch C'!D39</f>
        <v>8854</v>
      </c>
      <c r="D54" s="558">
        <f>'[78]Sch C'!F39</f>
        <v>0</v>
      </c>
      <c r="E54" s="171">
        <f t="shared" si="4"/>
        <v>8854</v>
      </c>
      <c r="F54" s="171"/>
      <c r="G54" s="171">
        <f t="shared" si="5"/>
        <v>8854</v>
      </c>
      <c r="H54" s="172">
        <f t="shared" si="6"/>
        <v>1.4289248671821276E-3</v>
      </c>
      <c r="I54" s="336"/>
      <c r="J54" s="168"/>
      <c r="K54" s="168"/>
      <c r="M54" s="359">
        <f t="shared" si="7"/>
        <v>0.308953869774583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'[78]Sch C'!D40</f>
        <v>5559</v>
      </c>
      <c r="D55" s="558">
        <f>'[78]Sch C'!F40</f>
        <v>-5559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'[78]Sch C'!D41</f>
        <v>50529</v>
      </c>
      <c r="D56" s="558">
        <f>'[78]Sch C'!F41</f>
        <v>0</v>
      </c>
      <c r="E56" s="171">
        <f t="shared" si="4"/>
        <v>50529</v>
      </c>
      <c r="F56" s="171"/>
      <c r="G56" s="171">
        <f t="shared" si="5"/>
        <v>50529</v>
      </c>
      <c r="H56" s="172">
        <f t="shared" si="6"/>
        <v>8.1547486575384819E-3</v>
      </c>
      <c r="I56" s="336"/>
      <c r="J56" s="168"/>
      <c r="K56" s="168"/>
      <c r="M56" s="359">
        <f t="shared" si="7"/>
        <v>1.7631725870612045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'[78]Sch C'!D42</f>
        <v>252</v>
      </c>
      <c r="D57" s="558">
        <f>'[78]Sch C'!F42</f>
        <v>0</v>
      </c>
      <c r="E57" s="171">
        <f t="shared" si="4"/>
        <v>252</v>
      </c>
      <c r="F57" s="171"/>
      <c r="G57" s="171">
        <f t="shared" si="5"/>
        <v>252</v>
      </c>
      <c r="H57" s="172">
        <f t="shared" si="6"/>
        <v>4.0669648354404351E-5</v>
      </c>
      <c r="I57" s="336"/>
      <c r="J57" s="168"/>
      <c r="K57" s="168"/>
      <c r="M57" s="359">
        <f t="shared" si="7"/>
        <v>8.7933561309233021E-3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'[78]Sch C'!D43</f>
        <v>13196</v>
      </c>
      <c r="D58" s="558">
        <f>'[78]Sch C'!F43</f>
        <v>-13196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'[78]Sch C'!D44</f>
        <v>0</v>
      </c>
      <c r="D59" s="558">
        <f>'[78]Sch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'[78]Sch C'!D45</f>
        <v>312042</v>
      </c>
      <c r="D60" s="558">
        <f>'[78]Sch C'!F45</f>
        <v>-297182</v>
      </c>
      <c r="E60" s="171">
        <f t="shared" si="4"/>
        <v>14860</v>
      </c>
      <c r="F60" s="171"/>
      <c r="G60" s="171">
        <f t="shared" si="5"/>
        <v>14860</v>
      </c>
      <c r="H60" s="172">
        <f t="shared" si="6"/>
        <v>2.398218152962098E-3</v>
      </c>
      <c r="I60" s="336"/>
      <c r="J60" s="168"/>
      <c r="K60" s="168"/>
      <c r="M60" s="359">
        <f t="shared" si="7"/>
        <v>0.5185288575615884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1330921</v>
      </c>
      <c r="D61" s="558">
        <f>SUM(D25:D60)</f>
        <v>-375755</v>
      </c>
      <c r="E61" s="171">
        <f t="shared" ref="E61:F61" si="8">SUM(E25:E60)</f>
        <v>955166</v>
      </c>
      <c r="F61" s="171">
        <f t="shared" si="8"/>
        <v>0</v>
      </c>
      <c r="G61" s="171">
        <f>SUM(G25:G60)</f>
        <v>955166</v>
      </c>
      <c r="H61" s="186">
        <f t="shared" si="6"/>
        <v>0.1541518465876309</v>
      </c>
      <c r="I61" s="338"/>
      <c r="J61" s="168"/>
      <c r="K61" s="168"/>
      <c r="M61" s="364">
        <f>G61/G$228</f>
        <v>33.329820643450347</v>
      </c>
      <c r="N61" s="359">
        <f>SUMMARY!J64</f>
        <v>53.728790309602623</v>
      </c>
      <c r="O61" s="354">
        <f>M61/N61-1</f>
        <v>-0.37966553031636918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'[78]Sch C'!D57</f>
        <v>0</v>
      </c>
      <c r="D64" s="558">
        <f>'[78]Sch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'[78]Sch C'!D58</f>
        <v>1239</v>
      </c>
      <c r="D65" s="558">
        <f>'[78]Sch C'!F58</f>
        <v>0</v>
      </c>
      <c r="E65" s="171">
        <f t="shared" si="9"/>
        <v>1239</v>
      </c>
      <c r="F65" s="171"/>
      <c r="G65" s="171">
        <f t="shared" si="10"/>
        <v>1239</v>
      </c>
      <c r="H65" s="172">
        <f t="shared" si="11"/>
        <v>1.9995910440915473E-4</v>
      </c>
      <c r="I65" s="336"/>
      <c r="J65" s="190"/>
      <c r="K65" s="168"/>
      <c r="M65" s="359">
        <f t="shared" si="12"/>
        <v>4.3234000977039569E-2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'[78]Sch C'!D59</f>
        <v>0</v>
      </c>
      <c r="D66" s="558">
        <f>'[78]Sch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'[78]Sch C'!D60</f>
        <v>0</v>
      </c>
      <c r="D67" s="558">
        <f>'[78]Sch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6"/>
      <c r="J67" s="193"/>
      <c r="K67" s="168"/>
      <c r="M67" s="359">
        <f t="shared" si="12"/>
        <v>0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'[78]Sch C'!D61</f>
        <v>21326</v>
      </c>
      <c r="D68" s="558">
        <f>'[78]Sch C'!F61</f>
        <v>0</v>
      </c>
      <c r="E68" s="171">
        <f t="shared" si="9"/>
        <v>21326</v>
      </c>
      <c r="F68" s="171"/>
      <c r="G68" s="171">
        <f t="shared" si="10"/>
        <v>21326</v>
      </c>
      <c r="H68" s="172">
        <f t="shared" si="11"/>
        <v>3.4417496857382032E-3</v>
      </c>
      <c r="I68" s="336"/>
      <c r="J68" s="193"/>
      <c r="K68" s="168"/>
      <c r="M68" s="359">
        <f t="shared" si="12"/>
        <v>0.74415520971456484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'[78]Sch C'!D62</f>
        <v>0</v>
      </c>
      <c r="D69" s="558">
        <f>'[78]Sch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'[78]Sch C'!D63</f>
        <v>0</v>
      </c>
      <c r="D70" s="558">
        <f>'[78]Sch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'[78]Sch C'!D64</f>
        <v>0</v>
      </c>
      <c r="D71" s="558">
        <f>'[78]Sch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'[78]Sch C'!D65</f>
        <v>5005</v>
      </c>
      <c r="D72" s="558">
        <f>'[78]Sch C'!F65</f>
        <v>0</v>
      </c>
      <c r="E72" s="171">
        <f t="shared" si="9"/>
        <v>5005</v>
      </c>
      <c r="F72" s="171"/>
      <c r="G72" s="171">
        <f t="shared" si="10"/>
        <v>5005</v>
      </c>
      <c r="H72" s="172">
        <f t="shared" si="11"/>
        <v>8.0774440481664201E-4</v>
      </c>
      <c r="I72" s="336"/>
      <c r="J72" s="195"/>
      <c r="K72" s="168"/>
      <c r="M72" s="359">
        <f t="shared" si="12"/>
        <v>0.17464582315583782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'[78]Sch C'!D66</f>
        <v>24952</v>
      </c>
      <c r="D73" s="558">
        <f>'[78]Sch C'!F66</f>
        <v>0</v>
      </c>
      <c r="E73" s="171">
        <f t="shared" si="9"/>
        <v>24952</v>
      </c>
      <c r="F73" s="171"/>
      <c r="G73" s="171">
        <f t="shared" si="10"/>
        <v>24952</v>
      </c>
      <c r="H73" s="172">
        <f t="shared" si="11"/>
        <v>4.0269407370599102E-3</v>
      </c>
      <c r="I73" s="336"/>
      <c r="J73" s="195"/>
      <c r="K73" s="168"/>
      <c r="M73" s="359">
        <f t="shared" si="12"/>
        <v>0.87068183404285016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'[78]Sch C'!D67</f>
        <v>25432</v>
      </c>
      <c r="D74" s="558">
        <f>'[78]Sch C'!F67</f>
        <v>0</v>
      </c>
      <c r="E74" s="171">
        <f t="shared" si="9"/>
        <v>25432</v>
      </c>
      <c r="F74" s="171"/>
      <c r="G74" s="171">
        <f t="shared" si="10"/>
        <v>25432</v>
      </c>
      <c r="H74" s="172">
        <f t="shared" si="11"/>
        <v>4.1044067339254427E-3</v>
      </c>
      <c r="I74" s="336"/>
      <c r="J74" s="195"/>
      <c r="K74" s="168"/>
      <c r="M74" s="359">
        <f t="shared" si="12"/>
        <v>0.88743108381603741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'[78]Sch C'!D68</f>
        <v>0</v>
      </c>
      <c r="D75" s="558">
        <f>'[78]Sch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'[78]Sch C'!D69</f>
        <v>0</v>
      </c>
      <c r="D76" s="558">
        <f>'[78]Sch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6"/>
      <c r="J76" s="195"/>
      <c r="K76" s="168"/>
      <c r="M76" s="359">
        <f t="shared" si="12"/>
        <v>0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'[78]Sch C'!D70</f>
        <v>0</v>
      </c>
      <c r="D77" s="558">
        <f>'[78]Sch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'[78]Sch C'!D71</f>
        <v>0</v>
      </c>
      <c r="D78" s="558">
        <f>'[78]Sch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77954</v>
      </c>
      <c r="D79" s="558">
        <f>SUM(D64:D78)</f>
        <v>0</v>
      </c>
      <c r="E79" s="171">
        <f t="shared" ref="E79:F79" si="13">SUM(E64:E78)</f>
        <v>77954</v>
      </c>
      <c r="F79" s="171">
        <f t="shared" si="13"/>
        <v>0</v>
      </c>
      <c r="G79" s="171">
        <f>SUM(G64:G78)</f>
        <v>77954</v>
      </c>
      <c r="H79" s="172">
        <f t="shared" si="11"/>
        <v>1.2580800665949353E-2</v>
      </c>
      <c r="I79" s="336"/>
      <c r="J79" s="195"/>
      <c r="K79" s="168"/>
      <c r="M79" s="359">
        <f t="shared" si="12"/>
        <v>2.7201479517063296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'[78]Sch C'!D75</f>
        <v>83244</v>
      </c>
      <c r="D82" s="558">
        <f>'[78]Sch C'!F75</f>
        <v>0</v>
      </c>
      <c r="E82" s="171">
        <f t="shared" ref="E82:E92" si="14">C82+D82</f>
        <v>83244</v>
      </c>
      <c r="F82" s="171"/>
      <c r="G82" s="171">
        <f t="shared" ref="G82:G92" si="15">E82+F82</f>
        <v>83244</v>
      </c>
      <c r="H82" s="172">
        <f t="shared" ref="H82:H93" si="16">IF($G$208=0,0,G82/$G$208)</f>
        <v>1.3434540506404904E-2</v>
      </c>
      <c r="I82" s="336"/>
      <c r="J82" s="183">
        <v>3924</v>
      </c>
      <c r="K82" s="183">
        <v>4362</v>
      </c>
      <c r="M82" s="359">
        <f t="shared" ref="M82:M92" si="17">G82/G$228</f>
        <v>2.9047386419149976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'[78]Sch C'!D76</f>
        <v>26986</v>
      </c>
      <c r="D83" s="558">
        <f>'[78]Sch C'!F76</f>
        <v>0</v>
      </c>
      <c r="E83" s="171">
        <f t="shared" si="14"/>
        <v>26986</v>
      </c>
      <c r="F83" s="171"/>
      <c r="G83" s="171">
        <f t="shared" si="15"/>
        <v>26986</v>
      </c>
      <c r="H83" s="172">
        <f t="shared" si="16"/>
        <v>4.3552028987776025E-3</v>
      </c>
      <c r="I83" s="336"/>
      <c r="J83" s="168"/>
      <c r="K83" s="168"/>
      <c r="M83" s="359">
        <f t="shared" si="17"/>
        <v>0.94165677995673114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'[78]Sch C'!D77</f>
        <v>8832</v>
      </c>
      <c r="D84" s="558">
        <f>'[78]Sch C'!F77</f>
        <v>0</v>
      </c>
      <c r="E84" s="171">
        <f t="shared" si="14"/>
        <v>8832</v>
      </c>
      <c r="F84" s="171"/>
      <c r="G84" s="171">
        <f t="shared" si="15"/>
        <v>8832</v>
      </c>
      <c r="H84" s="172">
        <f t="shared" si="16"/>
        <v>1.4253743423257906E-3</v>
      </c>
      <c r="I84" s="336"/>
      <c r="J84" s="168"/>
      <c r="K84" s="168"/>
      <c r="M84" s="359">
        <f t="shared" si="17"/>
        <v>0.30818619582664525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'[78]Sch C'!D78</f>
        <v>0</v>
      </c>
      <c r="D85" s="558">
        <f>'[78]Sch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'[78]Sch C'!D79</f>
        <v>1272</v>
      </c>
      <c r="D86" s="558">
        <f>'[78]Sch C'!F79</f>
        <v>0</v>
      </c>
      <c r="E86" s="171">
        <f t="shared" si="14"/>
        <v>1272</v>
      </c>
      <c r="F86" s="171"/>
      <c r="G86" s="171">
        <f>E86+F86</f>
        <v>1272</v>
      </c>
      <c r="H86" s="172">
        <f t="shared" si="16"/>
        <v>2.0528489169366007E-4</v>
      </c>
      <c r="I86" s="336"/>
      <c r="J86" s="168"/>
      <c r="K86" s="168"/>
      <c r="M86" s="359">
        <f t="shared" si="17"/>
        <v>4.4385511898946191E-2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'[78]Sch C'!D80</f>
        <v>20057</v>
      </c>
      <c r="D87" s="558">
        <f>'[78]Sch C'!F80</f>
        <v>0</v>
      </c>
      <c r="E87" s="171">
        <f t="shared" si="14"/>
        <v>20057</v>
      </c>
      <c r="F87" s="171"/>
      <c r="G87" s="171">
        <f t="shared" si="15"/>
        <v>20057</v>
      </c>
      <c r="H87" s="172">
        <f t="shared" si="16"/>
        <v>3.2369489565249529E-3</v>
      </c>
      <c r="I87" s="336"/>
      <c r="J87" s="168"/>
      <c r="K87" s="168"/>
      <c r="M87" s="359">
        <f t="shared" si="17"/>
        <v>0.69987438062670104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'[78]Sch C'!D81</f>
        <v>28114</v>
      </c>
      <c r="D88" s="558">
        <f>'[78]Sch C'!F81</f>
        <v>0</v>
      </c>
      <c r="E88" s="171">
        <f t="shared" si="14"/>
        <v>28114</v>
      </c>
      <c r="F88" s="171"/>
      <c r="G88" s="171">
        <f t="shared" si="15"/>
        <v>28114</v>
      </c>
      <c r="H88" s="172">
        <f t="shared" si="16"/>
        <v>4.5372479914116033E-3</v>
      </c>
      <c r="I88" s="336"/>
      <c r="J88" s="168"/>
      <c r="K88" s="168"/>
      <c r="M88" s="359">
        <f t="shared" si="17"/>
        <v>0.98101751692372108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'[78]Sch C'!D82</f>
        <v>17820</v>
      </c>
      <c r="D89" s="558">
        <f>'[78]Sch C'!F82</f>
        <v>0</v>
      </c>
      <c r="E89" s="171">
        <f t="shared" si="14"/>
        <v>17820</v>
      </c>
      <c r="F89" s="171"/>
      <c r="G89" s="171">
        <f t="shared" si="15"/>
        <v>17820</v>
      </c>
      <c r="H89" s="172">
        <f t="shared" si="16"/>
        <v>2.8759251336328792E-3</v>
      </c>
      <c r="I89" s="336"/>
      <c r="J89" s="168"/>
      <c r="K89" s="168"/>
      <c r="M89" s="359">
        <f t="shared" si="17"/>
        <v>0.62181589782957636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'[78]Sch C'!D83</f>
        <v>9841</v>
      </c>
      <c r="D90" s="558">
        <f>'[78]Sch C'!F83</f>
        <v>0</v>
      </c>
      <c r="E90" s="171">
        <f t="shared" si="14"/>
        <v>9841</v>
      </c>
      <c r="F90" s="171"/>
      <c r="G90" s="171">
        <f t="shared" si="15"/>
        <v>9841</v>
      </c>
      <c r="H90" s="172">
        <f t="shared" si="16"/>
        <v>1.5882143232368779E-3</v>
      </c>
      <c r="I90" s="336"/>
      <c r="J90" s="168"/>
      <c r="K90" s="168"/>
      <c r="M90" s="359">
        <f t="shared" si="17"/>
        <v>0.34339451462069925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'[78]Sch C'!D84</f>
        <v>173520</v>
      </c>
      <c r="D91" s="558">
        <f>'[78]Sch C'!F84</f>
        <v>0</v>
      </c>
      <c r="E91" s="171">
        <f t="shared" si="14"/>
        <v>173520</v>
      </c>
      <c r="F91" s="171"/>
      <c r="G91" s="171">
        <f t="shared" si="15"/>
        <v>173520</v>
      </c>
      <c r="H91" s="172">
        <f t="shared" si="16"/>
        <v>2.8003957866889854E-2</v>
      </c>
      <c r="I91" s="336"/>
      <c r="J91" s="168"/>
      <c r="K91" s="168"/>
      <c r="M91" s="359">
        <f t="shared" si="17"/>
        <v>6.0548537930071884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'[78]Sch C'!D85</f>
        <v>0</v>
      </c>
      <c r="D92" s="558">
        <f>'[78]Sch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369686</v>
      </c>
      <c r="D93" s="558">
        <f>SUM(D82:D92)</f>
        <v>0</v>
      </c>
      <c r="E93" s="171">
        <f t="shared" ref="E93:F93" si="18">SUM(E82:E92)</f>
        <v>369686</v>
      </c>
      <c r="F93" s="171">
        <f t="shared" si="18"/>
        <v>0</v>
      </c>
      <c r="G93" s="171">
        <f>SUM(G82:G92)</f>
        <v>369686</v>
      </c>
      <c r="H93" s="172">
        <f t="shared" si="16"/>
        <v>5.9662696910898129E-2</v>
      </c>
      <c r="I93" s="336"/>
      <c r="J93" s="168"/>
      <c r="K93" s="168"/>
      <c r="M93" s="364">
        <f>G93/G$228</f>
        <v>12.899923232605206</v>
      </c>
      <c r="N93" s="359">
        <f>SUMMARY!J96</f>
        <v>11.458724454710746</v>
      </c>
      <c r="O93" s="354">
        <f>M93/N93-1</f>
        <v>0.12577305472268119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'[78]Sch C'!D89</f>
        <v>331684</v>
      </c>
      <c r="D96" s="558">
        <f>'[78]Sch C'!F89</f>
        <v>0</v>
      </c>
      <c r="E96" s="171">
        <f t="shared" ref="E96:E101" si="19">C96+D96</f>
        <v>331684</v>
      </c>
      <c r="F96" s="171"/>
      <c r="G96" s="171">
        <f t="shared" ref="G96:G101" si="20">E96+F96</f>
        <v>331684</v>
      </c>
      <c r="H96" s="172">
        <f t="shared" ref="H96:H102" si="21">IF($G$208=0,0,G96/$G$208)</f>
        <v>5.3529649384056563E-2</v>
      </c>
      <c r="I96" s="336"/>
      <c r="J96" s="183">
        <v>25307</v>
      </c>
      <c r="K96" s="183">
        <v>26870</v>
      </c>
      <c r="M96" s="364">
        <f t="shared" ref="M96:M101" si="22">G96/G$228</f>
        <v>11.573871170353828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'[78]Sch C'!D90</f>
        <v>91788</v>
      </c>
      <c r="D97" s="558">
        <f>'[78]Sch C'!F90</f>
        <v>0</v>
      </c>
      <c r="E97" s="171">
        <f t="shared" si="19"/>
        <v>91788</v>
      </c>
      <c r="F97" s="171"/>
      <c r="G97" s="171">
        <f t="shared" si="20"/>
        <v>91788</v>
      </c>
      <c r="H97" s="172">
        <f t="shared" si="21"/>
        <v>1.4813435250611377E-2</v>
      </c>
      <c r="I97" s="336"/>
      <c r="J97" s="168"/>
      <c r="K97" s="168"/>
      <c r="M97" s="364">
        <f t="shared" si="22"/>
        <v>3.2028752878777307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'[78]Sch C'!D91</f>
        <v>11243</v>
      </c>
      <c r="D98" s="558">
        <f>'[78]Sch C'!F91</f>
        <v>0</v>
      </c>
      <c r="E98" s="171">
        <f t="shared" si="19"/>
        <v>11243</v>
      </c>
      <c r="F98" s="171"/>
      <c r="G98" s="171">
        <f t="shared" si="20"/>
        <v>11243</v>
      </c>
      <c r="H98" s="172">
        <f t="shared" si="21"/>
        <v>1.8144795890816196E-3</v>
      </c>
      <c r="I98" s="336"/>
      <c r="J98" s="168"/>
      <c r="K98" s="168"/>
      <c r="M98" s="364">
        <f t="shared" si="22"/>
        <v>0.39231628166655036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'[78]Sch C'!D92</f>
        <v>296305</v>
      </c>
      <c r="D99" s="558">
        <f>'[78]Sch C'!F92</f>
        <v>-9070</v>
      </c>
      <c r="E99" s="171">
        <f t="shared" si="19"/>
        <v>287235</v>
      </c>
      <c r="F99" s="171"/>
      <c r="G99" s="171">
        <f t="shared" si="20"/>
        <v>287235</v>
      </c>
      <c r="H99" s="172">
        <f t="shared" si="21"/>
        <v>4.6356136686814819E-2</v>
      </c>
      <c r="I99" s="336"/>
      <c r="J99" s="168"/>
      <c r="K99" s="168"/>
      <c r="M99" s="364">
        <f t="shared" si="22"/>
        <v>10.022855747086329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'[78]Sch C'!D93</f>
        <v>21247</v>
      </c>
      <c r="D100" s="558">
        <f>'[78]Sch C'!F93</f>
        <v>0</v>
      </c>
      <c r="E100" s="171">
        <f t="shared" si="19"/>
        <v>21247</v>
      </c>
      <c r="F100" s="171"/>
      <c r="G100" s="171">
        <f t="shared" si="20"/>
        <v>21247</v>
      </c>
      <c r="H100" s="172">
        <f t="shared" si="21"/>
        <v>3.4290000737540846E-3</v>
      </c>
      <c r="I100" s="336"/>
      <c r="J100" s="168"/>
      <c r="K100" s="168"/>
      <c r="M100" s="364">
        <f t="shared" si="22"/>
        <v>0.74139856235606116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'[78]Sch C'!D94</f>
        <v>0</v>
      </c>
      <c r="D101" s="558">
        <f>'[78]Sch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752267</v>
      </c>
      <c r="D102" s="558">
        <f>SUM(D96:D101)</f>
        <v>-9070</v>
      </c>
      <c r="E102" s="171">
        <f t="shared" ref="E102:F102" si="23">SUM(E96:E101)</f>
        <v>743197</v>
      </c>
      <c r="F102" s="171">
        <f t="shared" si="23"/>
        <v>0</v>
      </c>
      <c r="G102" s="171">
        <f>SUM(G96:G101)</f>
        <v>743197</v>
      </c>
      <c r="H102" s="172">
        <f t="shared" si="21"/>
        <v>0.11994270098431846</v>
      </c>
      <c r="I102" s="336"/>
      <c r="J102" s="168"/>
      <c r="K102" s="168"/>
      <c r="M102" s="364">
        <f>G102/G$228</f>
        <v>25.933317049340499</v>
      </c>
      <c r="N102" s="359">
        <f>SUMMARY!J105</f>
        <v>19.901077037785338</v>
      </c>
      <c r="O102" s="354">
        <f>M102/N102-1</f>
        <v>0.30311123363333548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'[78]Sch C'!D98</f>
        <v>62359</v>
      </c>
      <c r="D105" s="558">
        <f>'[78]Sch C'!F98</f>
        <v>0</v>
      </c>
      <c r="E105" s="171">
        <f t="shared" ref="E105:E110" si="24">C105+D105</f>
        <v>62359</v>
      </c>
      <c r="F105" s="171"/>
      <c r="G105" s="171">
        <f t="shared" ref="G105:G110" si="25">E105+F105</f>
        <v>62359</v>
      </c>
      <c r="H105" s="172">
        <f t="shared" ref="H105:H111" si="26">IF($G$208=0,0,G105/$G$208)</f>
        <v>1.006396270528691E-2</v>
      </c>
      <c r="I105" s="336"/>
      <c r="J105" s="183">
        <v>5915</v>
      </c>
      <c r="K105" s="183">
        <v>6132</v>
      </c>
      <c r="M105" s="364">
        <f t="shared" ref="M105:M110" si="27">G105/G$228</f>
        <v>2.1759718054295485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'[78]Sch C'!D99</f>
        <v>17212</v>
      </c>
      <c r="D106" s="558">
        <f>'[78]Sch C'!F99</f>
        <v>0</v>
      </c>
      <c r="E106" s="171">
        <f t="shared" si="24"/>
        <v>17212</v>
      </c>
      <c r="F106" s="171"/>
      <c r="G106" s="171">
        <f t="shared" si="25"/>
        <v>17212</v>
      </c>
      <c r="H106" s="172">
        <f t="shared" si="26"/>
        <v>2.7778015376032053E-3</v>
      </c>
      <c r="I106" s="336"/>
      <c r="J106" s="168"/>
      <c r="K106" s="168"/>
      <c r="M106" s="364">
        <f t="shared" si="27"/>
        <v>0.60060018145020588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'[78]Sch C'!D100</f>
        <v>934</v>
      </c>
      <c r="D107" s="558">
        <f>'[78]Sch C'!F100</f>
        <v>0</v>
      </c>
      <c r="E107" s="171">
        <f t="shared" si="24"/>
        <v>934</v>
      </c>
      <c r="F107" s="171"/>
      <c r="G107" s="171">
        <f t="shared" si="25"/>
        <v>934</v>
      </c>
      <c r="H107" s="172">
        <f t="shared" si="26"/>
        <v>1.5073591890084787E-4</v>
      </c>
      <c r="I107" s="336"/>
      <c r="J107" s="168"/>
      <c r="K107" s="168"/>
      <c r="M107" s="364">
        <f t="shared" si="27"/>
        <v>3.2591248516993507E-2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'[78]Sch C'!D101</f>
        <v>0</v>
      </c>
      <c r="D108" s="558">
        <f>'[78]Sch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6"/>
      <c r="J108" s="168"/>
      <c r="K108" s="168"/>
      <c r="M108" s="364">
        <f t="shared" si="27"/>
        <v>0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'[78]Sch C'!D102</f>
        <v>5683</v>
      </c>
      <c r="D109" s="558">
        <f>'[78]Sch C'!F102</f>
        <v>0</v>
      </c>
      <c r="E109" s="171">
        <f t="shared" si="24"/>
        <v>5683</v>
      </c>
      <c r="F109" s="171"/>
      <c r="G109" s="171">
        <f t="shared" si="25"/>
        <v>5683</v>
      </c>
      <c r="H109" s="172">
        <f t="shared" si="26"/>
        <v>9.1716512538920613E-4</v>
      </c>
      <c r="I109" s="336"/>
      <c r="J109" s="168"/>
      <c r="K109" s="168"/>
      <c r="M109" s="364">
        <f t="shared" si="27"/>
        <v>0.1983041384604648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'[78]Sch C'!D103</f>
        <v>0</v>
      </c>
      <c r="D110" s="558">
        <f>'[78]Sch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86188</v>
      </c>
      <c r="D111" s="558">
        <f>SUM(D105:D110)</f>
        <v>0</v>
      </c>
      <c r="E111" s="171">
        <f t="shared" ref="E111:F111" si="28">SUM(E105:E110)</f>
        <v>86188</v>
      </c>
      <c r="F111" s="171">
        <f t="shared" si="28"/>
        <v>0</v>
      </c>
      <c r="G111" s="171">
        <f>SUM(G105:G110)</f>
        <v>86188</v>
      </c>
      <c r="H111" s="172">
        <f t="shared" si="26"/>
        <v>1.3909665287180168E-2</v>
      </c>
      <c r="I111" s="336"/>
      <c r="J111" s="168"/>
      <c r="K111" s="168"/>
      <c r="M111" s="364">
        <f>G111/G$228</f>
        <v>3.0074673738572129</v>
      </c>
      <c r="N111" s="359">
        <f>SUMMARY!J114</f>
        <v>2.4242384372309496</v>
      </c>
      <c r="O111" s="354">
        <f>M111/N111-1</f>
        <v>0.24058233203019741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'[78]Sch C'!D115</f>
        <v>144049</v>
      </c>
      <c r="D114" s="558">
        <f>'[78]Sch C'!F115</f>
        <v>0</v>
      </c>
      <c r="E114" s="171">
        <f t="shared" ref="E114:E118" si="29">C114+D114</f>
        <v>144049</v>
      </c>
      <c r="F114" s="171"/>
      <c r="G114" s="171">
        <f>E114+F114</f>
        <v>144049</v>
      </c>
      <c r="H114" s="172">
        <f t="shared" ref="H114:H119" si="30">IF($G$208=0,0,G114/$G$208)</f>
        <v>2.3247707046839653E-2</v>
      </c>
      <c r="I114" s="336"/>
      <c r="J114" s="183">
        <v>12101</v>
      </c>
      <c r="K114" s="183">
        <v>12832</v>
      </c>
      <c r="M114" s="364">
        <f t="shared" ref="M114:M119" si="31">G114/G$228</f>
        <v>5.026484751203852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'[78]Sch C'!D116</f>
        <v>27273</v>
      </c>
      <c r="D115" s="558">
        <f>'[78]Sch C'!F116</f>
        <v>0</v>
      </c>
      <c r="E115" s="171">
        <f t="shared" si="29"/>
        <v>27273</v>
      </c>
      <c r="F115" s="171"/>
      <c r="G115" s="171">
        <f>E115+F115</f>
        <v>27273</v>
      </c>
      <c r="H115" s="172">
        <f t="shared" si="30"/>
        <v>4.4015211094034518E-3</v>
      </c>
      <c r="I115" s="336"/>
      <c r="J115" s="168"/>
      <c r="K115" s="168"/>
      <c r="M115" s="364">
        <f t="shared" si="31"/>
        <v>0.95167143555028266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'[78]Sch C'!D117</f>
        <v>39700</v>
      </c>
      <c r="D116" s="558">
        <f>'[78]Sch C'!F117</f>
        <v>0</v>
      </c>
      <c r="E116" s="171">
        <f t="shared" si="29"/>
        <v>39700</v>
      </c>
      <c r="F116" s="171"/>
      <c r="G116" s="171">
        <f>E116+F116</f>
        <v>39700</v>
      </c>
      <c r="H116" s="172">
        <f t="shared" si="30"/>
        <v>6.4070834907533842E-3</v>
      </c>
      <c r="I116" s="336"/>
      <c r="J116" s="168"/>
      <c r="K116" s="168"/>
      <c r="M116" s="364">
        <f t="shared" si="31"/>
        <v>1.3853025333240281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'[78]Sch C'!D118</f>
        <v>0</v>
      </c>
      <c r="D117" s="558">
        <f>'[78]Sch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6"/>
      <c r="J117" s="168"/>
      <c r="K117" s="168"/>
      <c r="M117" s="364">
        <f t="shared" si="31"/>
        <v>0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'[78]Sch C'!D119</f>
        <v>0</v>
      </c>
      <c r="D118" s="558">
        <f>'[78]Sch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211022</v>
      </c>
      <c r="D119" s="558">
        <f>SUM(D114:D118)</f>
        <v>0</v>
      </c>
      <c r="E119" s="171">
        <f t="shared" ref="E119:F119" si="32">SUM(E114:E118)</f>
        <v>211022</v>
      </c>
      <c r="F119" s="171">
        <f t="shared" si="32"/>
        <v>0</v>
      </c>
      <c r="G119" s="171">
        <f>SUM(G114:G118)</f>
        <v>211022</v>
      </c>
      <c r="H119" s="172">
        <f t="shared" si="30"/>
        <v>3.405631164699649E-2</v>
      </c>
      <c r="I119" s="336"/>
      <c r="J119" s="168"/>
      <c r="K119" s="168"/>
      <c r="M119" s="364">
        <f t="shared" si="31"/>
        <v>7.3634587200781629</v>
      </c>
      <c r="N119" s="359">
        <f>SUMMARY!J122</f>
        <v>6.0247597205909562</v>
      </c>
      <c r="O119" s="354">
        <f>M119/N119-1</f>
        <v>0.2221995667166452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'[78]Sch C'!D124</f>
        <v>0</v>
      </c>
      <c r="D123" s="558">
        <f>'[78]Sch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'[78]Sch C'!D125</f>
        <v>388386</v>
      </c>
      <c r="D124" s="558">
        <f>'[78]Sch C'!F125</f>
        <v>0</v>
      </c>
      <c r="E124" s="171">
        <f t="shared" si="33"/>
        <v>388386</v>
      </c>
      <c r="F124" s="171"/>
      <c r="G124" s="171">
        <f>E124+F124</f>
        <v>388386</v>
      </c>
      <c r="H124" s="172">
        <f>IF($G$208=0,0,G124/$G$208)</f>
        <v>6.2680643038784484E-2</v>
      </c>
      <c r="I124" s="336"/>
      <c r="J124" s="183">
        <v>8902</v>
      </c>
      <c r="K124" s="183">
        <v>9791</v>
      </c>
      <c r="M124" s="364">
        <f t="shared" si="34"/>
        <v>13.552446088352292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'[78]Sch C'!D126</f>
        <v>0</v>
      </c>
      <c r="D125" s="558">
        <f>'[78]Sch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'[78]Sch C'!D127</f>
        <v>0</v>
      </c>
      <c r="D126" s="558">
        <f>'[78]Sch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'[78]Sch C'!D128</f>
        <v>52104</v>
      </c>
      <c r="D127" s="558">
        <f>'[78]Sch C'!F128</f>
        <v>0</v>
      </c>
      <c r="E127" s="171">
        <f t="shared" si="33"/>
        <v>52104</v>
      </c>
      <c r="F127" s="171"/>
      <c r="G127" s="171">
        <f>E127+F127</f>
        <v>52104</v>
      </c>
      <c r="H127" s="172">
        <f>IF($G$208=0,0,G127/$G$208)</f>
        <v>8.4089339597535097E-3</v>
      </c>
      <c r="I127" s="336"/>
      <c r="J127" s="183">
        <v>3153</v>
      </c>
      <c r="K127" s="183">
        <v>3425</v>
      </c>
      <c r="M127" s="364">
        <f t="shared" si="34"/>
        <v>1.8181310628794751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'[78]Sch C'!D130</f>
        <v>0</v>
      </c>
      <c r="D129" s="558">
        <f>'[78]Sch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'[78]Sch C'!D131</f>
        <v>106640</v>
      </c>
      <c r="D130" s="558">
        <f>'[78]Sch C'!F131</f>
        <v>0</v>
      </c>
      <c r="E130" s="171">
        <f t="shared" si="35"/>
        <v>106640</v>
      </c>
      <c r="F130" s="171"/>
      <c r="G130" s="171">
        <f>E130+F130</f>
        <v>106640</v>
      </c>
      <c r="H130" s="172">
        <f>IF($G$208=0,0,G130/$G$208)</f>
        <v>1.7210362303625715E-2</v>
      </c>
      <c r="I130" s="336"/>
      <c r="J130" s="204"/>
      <c r="K130" s="204"/>
      <c r="M130" s="364">
        <f t="shared" si="34"/>
        <v>3.7211249912764326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'[78]Sch C'!D132</f>
        <v>0</v>
      </c>
      <c r="D131" s="558">
        <f>'[78]Sch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'[78]Sch C'!D133</f>
        <v>0</v>
      </c>
      <c r="D132" s="558">
        <f>'[78]Sch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'[78]Sch C'!D134</f>
        <v>7109</v>
      </c>
      <c r="D133" s="558">
        <f>'[78]Sch C'!F134</f>
        <v>0</v>
      </c>
      <c r="E133" s="171">
        <f t="shared" si="35"/>
        <v>7109</v>
      </c>
      <c r="F133" s="171"/>
      <c r="G133" s="171">
        <f>E133+F133</f>
        <v>7109</v>
      </c>
      <c r="H133" s="172">
        <f>IF($G$208=0,0,G133/$G$208)</f>
        <v>1.1473036910772244E-3</v>
      </c>
      <c r="I133" s="336"/>
      <c r="J133" s="168"/>
      <c r="K133" s="168"/>
      <c r="M133" s="364">
        <f t="shared" si="34"/>
        <v>0.24806336799497522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'[78]Sch C'!D136</f>
        <v>409223</v>
      </c>
      <c r="D135" s="558">
        <f>'[78]Sch C'!F136</f>
        <v>0</v>
      </c>
      <c r="E135" s="171">
        <f t="shared" ref="E135:E138" si="36">C135+D135</f>
        <v>409223</v>
      </c>
      <c r="F135" s="171"/>
      <c r="G135" s="171">
        <f>E135+F135</f>
        <v>409223</v>
      </c>
      <c r="H135" s="172">
        <f>IF($G$208=0,0,G135/$G$208)</f>
        <v>6.6043474240215921E-2</v>
      </c>
      <c r="I135" s="336"/>
      <c r="J135" s="183">
        <v>12954</v>
      </c>
      <c r="K135" s="183">
        <v>14034</v>
      </c>
      <c r="M135" s="364">
        <f t="shared" si="34"/>
        <v>14.279537999860423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'[78]Sch C'!D137</f>
        <v>404684</v>
      </c>
      <c r="D136" s="558">
        <f>'[78]Sch C'!F137</f>
        <v>0</v>
      </c>
      <c r="E136" s="171">
        <f t="shared" si="36"/>
        <v>404684</v>
      </c>
      <c r="F136" s="171"/>
      <c r="G136" s="171">
        <f>E136+F136</f>
        <v>404684</v>
      </c>
      <c r="H136" s="172">
        <f>IF($G$208=0,0,G136/$G$208)</f>
        <v>6.5310936407356232E-2</v>
      </c>
      <c r="I136" s="336"/>
      <c r="J136" s="183">
        <v>15354</v>
      </c>
      <c r="K136" s="183">
        <v>16476</v>
      </c>
      <c r="M136" s="364">
        <f t="shared" si="34"/>
        <v>14.121152906692721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'[78]Sch C'!D138</f>
        <v>896984</v>
      </c>
      <c r="D137" s="558">
        <f>'[78]Sch C'!F138</f>
        <v>30154</v>
      </c>
      <c r="E137" s="171">
        <f t="shared" si="36"/>
        <v>927138</v>
      </c>
      <c r="F137" s="171"/>
      <c r="G137" s="171">
        <f>E137+F137</f>
        <v>927138</v>
      </c>
      <c r="H137" s="172">
        <f>IF($G$208=0,0,G137/$G$208)</f>
        <v>0.1496284779206577</v>
      </c>
      <c r="I137" s="336"/>
      <c r="J137" s="183">
        <v>68454</v>
      </c>
      <c r="K137" s="183">
        <v>74567</v>
      </c>
      <c r="M137" s="364">
        <f t="shared" si="34"/>
        <v>32.351804033777654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'[78]Sch C'!D139</f>
        <v>30154</v>
      </c>
      <c r="D138" s="558">
        <f>'[78]Sch C'!F139</f>
        <v>-30154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'[78]Sch C'!D141</f>
        <v>398345</v>
      </c>
      <c r="D140" s="558">
        <f>'[78]Sch C'!F141</f>
        <v>-304716</v>
      </c>
      <c r="E140" s="171">
        <f t="shared" ref="E140:E143" si="37">C140+D140</f>
        <v>93629</v>
      </c>
      <c r="F140" s="171"/>
      <c r="G140" s="171">
        <f>E140+F140</f>
        <v>93629</v>
      </c>
      <c r="H140" s="172">
        <f>IF($G$208=0,0,G140/$G$208)</f>
        <v>1.5110549626089386E-2</v>
      </c>
      <c r="I140" s="336"/>
      <c r="J140" s="168"/>
      <c r="K140" s="168"/>
      <c r="M140" s="364">
        <f t="shared" si="34"/>
        <v>3.2671156396119758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'[78]Sch C'!D142</f>
        <v>0</v>
      </c>
      <c r="D141" s="558">
        <f>'[78]Sch C'!F142</f>
        <v>92590</v>
      </c>
      <c r="E141" s="171">
        <f t="shared" si="37"/>
        <v>92590</v>
      </c>
      <c r="F141" s="171"/>
      <c r="G141" s="171">
        <f>E141+F141</f>
        <v>92590</v>
      </c>
      <c r="H141" s="172">
        <f>IF($G$208=0,0,G141/$G$208)</f>
        <v>1.4942868020374202E-2</v>
      </c>
      <c r="I141" s="336"/>
      <c r="J141" s="168"/>
      <c r="K141" s="168"/>
      <c r="M141" s="364">
        <f t="shared" si="34"/>
        <v>3.2308604927070976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'[78]Sch C'!D143</f>
        <v>0</v>
      </c>
      <c r="D142" s="558">
        <f>'[78]Sch C'!F143</f>
        <v>212126</v>
      </c>
      <c r="E142" s="171">
        <f t="shared" si="37"/>
        <v>212126</v>
      </c>
      <c r="F142" s="171"/>
      <c r="G142" s="171">
        <f>E142+F142</f>
        <v>212126</v>
      </c>
      <c r="H142" s="172">
        <f>IF($G$208=0,0,G142/$G$208)</f>
        <v>3.4234483439787217E-2</v>
      </c>
      <c r="I142" s="336"/>
      <c r="J142" s="168"/>
      <c r="K142" s="168"/>
      <c r="M142" s="364">
        <f t="shared" si="34"/>
        <v>7.4019819945564942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'[78]Sch C'!D144</f>
        <v>0</v>
      </c>
      <c r="D143" s="558">
        <f>'[78]Sch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'[78]Sch C'!D146</f>
        <v>59150</v>
      </c>
      <c r="D145" s="558">
        <f>'[78]Sch C'!F146</f>
        <v>0</v>
      </c>
      <c r="E145" s="171">
        <f t="shared" ref="E145:E153" si="38">C145+D145</f>
        <v>59150</v>
      </c>
      <c r="F145" s="171"/>
      <c r="G145" s="171">
        <f t="shared" ref="G145:G153" si="39">E145+F145</f>
        <v>59150</v>
      </c>
      <c r="H145" s="172">
        <f t="shared" ref="H145:H153" si="40">IF($G$208=0,0,G145/$G$208)</f>
        <v>9.5460702387421322E-3</v>
      </c>
      <c r="I145" s="336"/>
      <c r="J145" s="183">
        <v>408</v>
      </c>
      <c r="K145" s="183">
        <v>408</v>
      </c>
      <c r="M145" s="364">
        <f t="shared" si="34"/>
        <v>2.0639960918417195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'[78]Sch C'!D147</f>
        <v>0</v>
      </c>
      <c r="D146" s="558">
        <f>'[78]Sch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'[78]Sch C'!D148</f>
        <v>0</v>
      </c>
      <c r="D147" s="558">
        <f>'[78]Sch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'[78]Sch C'!D149</f>
        <v>0</v>
      </c>
      <c r="D148" s="558">
        <f>'[78]Sch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'[78]Sch C'!D150</f>
        <v>450</v>
      </c>
      <c r="D149" s="558">
        <f>'[78]Sch C'!F150</f>
        <v>0</v>
      </c>
      <c r="E149" s="171">
        <f t="shared" si="38"/>
        <v>450</v>
      </c>
      <c r="F149" s="171"/>
      <c r="G149" s="171">
        <f t="shared" si="39"/>
        <v>450</v>
      </c>
      <c r="H149" s="172">
        <f t="shared" si="40"/>
        <v>7.2624372061436349E-5</v>
      </c>
      <c r="I149" s="336"/>
      <c r="J149" s="183">
        <v>0</v>
      </c>
      <c r="K149" s="183">
        <v>0</v>
      </c>
      <c r="M149" s="364">
        <f t="shared" si="34"/>
        <v>1.5702421662363041E-2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'[78]Sch C'!D151</f>
        <v>86210</v>
      </c>
      <c r="D150" s="558">
        <f>'[78]Sch C'!F151</f>
        <v>0</v>
      </c>
      <c r="E150" s="171">
        <f t="shared" si="38"/>
        <v>86210</v>
      </c>
      <c r="F150" s="171"/>
      <c r="G150" s="171">
        <f t="shared" si="39"/>
        <v>86210</v>
      </c>
      <c r="H150" s="172">
        <f t="shared" si="40"/>
        <v>1.3913215812036505E-2</v>
      </c>
      <c r="I150" s="336"/>
      <c r="J150" s="168"/>
      <c r="K150" s="168"/>
      <c r="M150" s="364">
        <f t="shared" si="34"/>
        <v>3.0082350478051505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'[78]Sch C'!D152</f>
        <v>12920</v>
      </c>
      <c r="D151" s="558">
        <f>'[78]Sch C'!F152</f>
        <v>0</v>
      </c>
      <c r="E151" s="171">
        <f t="shared" si="38"/>
        <v>12920</v>
      </c>
      <c r="F151" s="171"/>
      <c r="G151" s="171">
        <f t="shared" si="39"/>
        <v>12920</v>
      </c>
      <c r="H151" s="172">
        <f t="shared" si="40"/>
        <v>2.0851264156305726E-3</v>
      </c>
      <c r="I151" s="336"/>
      <c r="J151" s="168"/>
      <c r="K151" s="168"/>
      <c r="M151" s="364">
        <f t="shared" si="34"/>
        <v>0.45083397306162326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'[78]Sch C'!D153</f>
        <v>0</v>
      </c>
      <c r="D152" s="558">
        <f>'[78]Sch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'[78]Sch C'!D154</f>
        <v>0</v>
      </c>
      <c r="D153" s="558">
        <f>'[78]Sch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'[78]Sch C'!D156</f>
        <v>0</v>
      </c>
      <c r="D155" s="558">
        <f>'[78]Sch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'[78]Sch C'!D157</f>
        <v>0</v>
      </c>
      <c r="D156" s="558">
        <f>'[78]Sch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'[78]Sch C'!D158</f>
        <v>0</v>
      </c>
      <c r="D157" s="558">
        <f>'[78]Sch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'[78]Sch C'!D159</f>
        <v>0</v>
      </c>
      <c r="D158" s="558">
        <f>'[78]Sch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'[78]Sch C'!D160</f>
        <v>0</v>
      </c>
      <c r="D159" s="558">
        <f>'[78]Sch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'[78]Sch C'!D161</f>
        <v>20558</v>
      </c>
      <c r="D160" s="558">
        <f>'[78]Sch C'!F161</f>
        <v>0</v>
      </c>
      <c r="E160" s="171">
        <f t="shared" si="41"/>
        <v>20558</v>
      </c>
      <c r="F160" s="171"/>
      <c r="G160" s="171">
        <f t="shared" si="42"/>
        <v>20558</v>
      </c>
      <c r="H160" s="172">
        <f t="shared" si="43"/>
        <v>3.317804090753352E-3</v>
      </c>
      <c r="I160" s="336"/>
      <c r="J160" s="168"/>
      <c r="K160" s="168"/>
      <c r="M160" s="364">
        <f t="shared" si="34"/>
        <v>0.71735641007746531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2872917</v>
      </c>
      <c r="D161" s="558">
        <f>SUM(D123:D160)</f>
        <v>0</v>
      </c>
      <c r="E161" s="171">
        <f t="shared" ref="E161:F161" si="44">SUM(E123:E160)</f>
        <v>2872917</v>
      </c>
      <c r="F161" s="171">
        <f t="shared" si="44"/>
        <v>0</v>
      </c>
      <c r="G161" s="171">
        <f>SUM(G123:G160)</f>
        <v>2872917</v>
      </c>
      <c r="H161" s="172">
        <f t="shared" si="43"/>
        <v>0.46365287357694562</v>
      </c>
      <c r="I161" s="336"/>
      <c r="J161" s="168"/>
      <c r="K161" s="168"/>
      <c r="M161" s="364">
        <f>G161/G$228</f>
        <v>100.24834252215786</v>
      </c>
      <c r="N161" s="359">
        <f>SUMMARY!J164</f>
        <v>105.56901037202306</v>
      </c>
      <c r="O161" s="354">
        <f>M161/N161-1</f>
        <v>-5.0399902690337561E-2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'[78]Sch C'!D175</f>
        <v>0</v>
      </c>
      <c r="D164" s="558">
        <f>'[78]Sch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'[78]Sch C'!D176</f>
        <v>0</v>
      </c>
      <c r="D165" s="558">
        <f>'[78]Sch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'[78]Sch C'!D177</f>
        <v>0</v>
      </c>
      <c r="D166" s="558">
        <f>'[78]Sch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'[78]Sch C'!D178</f>
        <v>0</v>
      </c>
      <c r="D167" s="558">
        <f>'[78]Sch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'[78]Sch C'!D179</f>
        <v>0</v>
      </c>
      <c r="D168" s="558">
        <f>'[78]Sch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'[78]Sch C'!D180</f>
        <v>0</v>
      </c>
      <c r="D169" s="558">
        <f>'[78]Sch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'[78]Sch C'!D181</f>
        <v>0</v>
      </c>
      <c r="D170" s="558">
        <f>'[78]Sch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'[78]Sch C'!D182</f>
        <v>0</v>
      </c>
      <c r="D171" s="558">
        <f>'[78]Sch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'[78]Sch C'!D183</f>
        <v>0</v>
      </c>
      <c r="D172" s="558">
        <f>'[78]Sch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'[78]Sch C'!D184</f>
        <v>0</v>
      </c>
      <c r="D173" s="558">
        <f>'[78]Sch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'[78]Sch C'!D185</f>
        <v>0</v>
      </c>
      <c r="D174" s="558">
        <f>'[78]Sch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'[78]Sch C'!D186</f>
        <v>0</v>
      </c>
      <c r="D175" s="558">
        <f>'[78]Sch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'[78]Sch C'!D187</f>
        <v>0</v>
      </c>
      <c r="D176" s="558">
        <f>'[78]Sch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'[78]Sch C'!D188</f>
        <v>583</v>
      </c>
      <c r="D177" s="558">
        <f>'[78]Sch C'!F188</f>
        <v>0</v>
      </c>
      <c r="E177" s="171">
        <f t="shared" si="45"/>
        <v>583</v>
      </c>
      <c r="F177" s="216"/>
      <c r="G177" s="171">
        <f t="shared" si="46"/>
        <v>583</v>
      </c>
      <c r="H177" s="172">
        <f t="shared" si="47"/>
        <v>9.4088908692927528E-5</v>
      </c>
      <c r="I177" s="336"/>
      <c r="J177" s="223"/>
      <c r="K177" s="218"/>
      <c r="L177" s="220"/>
      <c r="M177" s="364">
        <f t="shared" si="48"/>
        <v>2.0343359620350339E-2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'[78]Sch C'!D189</f>
        <v>0</v>
      </c>
      <c r="D178" s="558">
        <f>'[78]Sch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'[78]Sch C'!D190</f>
        <v>0</v>
      </c>
      <c r="D179" s="558">
        <f>'[78]Sch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'[78]Sch C'!D191</f>
        <v>0</v>
      </c>
      <c r="D180" s="558">
        <f>'[78]Sch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'[78]Sch C'!D192</f>
        <v>0</v>
      </c>
      <c r="D181" s="558">
        <f>'[78]Sch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'[78]Sch C'!D193</f>
        <v>6499</v>
      </c>
      <c r="D182" s="558">
        <f>'[78]Sch C'!F193</f>
        <v>0</v>
      </c>
      <c r="E182" s="171">
        <f t="shared" si="45"/>
        <v>6499</v>
      </c>
      <c r="F182" s="216"/>
      <c r="G182" s="171">
        <f t="shared" si="46"/>
        <v>6499</v>
      </c>
      <c r="H182" s="172">
        <f t="shared" si="47"/>
        <v>1.0488573200606107E-3</v>
      </c>
      <c r="I182" s="336"/>
      <c r="J182" s="223"/>
      <c r="K182" s="218"/>
      <c r="L182" s="220"/>
      <c r="M182" s="364">
        <f t="shared" si="48"/>
        <v>0.2267778630748831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'[78]Sch C'!D194</f>
        <v>190395</v>
      </c>
      <c r="D183" s="558">
        <f>'[78]Sch C'!F194</f>
        <v>0</v>
      </c>
      <c r="E183" s="171">
        <f t="shared" si="45"/>
        <v>190395</v>
      </c>
      <c r="F183" s="216"/>
      <c r="G183" s="171">
        <f t="shared" si="46"/>
        <v>190395</v>
      </c>
      <c r="H183" s="172">
        <f t="shared" si="47"/>
        <v>3.0727371819193716E-2</v>
      </c>
      <c r="I183" s="336"/>
      <c r="J183" s="223"/>
      <c r="K183" s="218"/>
      <c r="M183" s="364">
        <f t="shared" si="48"/>
        <v>6.6436946053458019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'[78]Sch C'!D195</f>
        <v>89752</v>
      </c>
      <c r="D184" s="558">
        <f>'[78]Sch C'!F195</f>
        <v>0</v>
      </c>
      <c r="E184" s="171">
        <f t="shared" si="45"/>
        <v>89752</v>
      </c>
      <c r="F184" s="216"/>
      <c r="G184" s="171">
        <f t="shared" si="46"/>
        <v>89752</v>
      </c>
      <c r="H184" s="172">
        <f t="shared" si="47"/>
        <v>1.4484850313906745E-2</v>
      </c>
      <c r="I184" s="336"/>
      <c r="J184" s="223"/>
      <c r="K184" s="218"/>
      <c r="M184" s="364">
        <f t="shared" si="48"/>
        <v>3.1318305534231281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'[78]Sch C'!D196</f>
        <v>0</v>
      </c>
      <c r="D185" s="558">
        <f>'[78]Sch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'[78]Sch C'!D197</f>
        <v>110474</v>
      </c>
      <c r="D186" s="558">
        <f>'[78]Sch C'!F197</f>
        <v>0</v>
      </c>
      <c r="E186" s="171">
        <f t="shared" si="45"/>
        <v>110474</v>
      </c>
      <c r="F186" s="216"/>
      <c r="G186" s="171">
        <f t="shared" si="46"/>
        <v>110474</v>
      </c>
      <c r="H186" s="172">
        <f t="shared" si="47"/>
        <v>1.7829121953589152E-2</v>
      </c>
      <c r="I186" s="336"/>
      <c r="J186" s="223"/>
      <c r="K186" s="218"/>
      <c r="M186" s="364">
        <f t="shared" si="48"/>
        <v>3.8549096238397653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'[78]Sch C'!D198</f>
        <v>13527</v>
      </c>
      <c r="D187" s="558">
        <f>'[78]Sch C'!F198</f>
        <v>0</v>
      </c>
      <c r="E187" s="171">
        <f t="shared" si="45"/>
        <v>13527</v>
      </c>
      <c r="F187" s="216"/>
      <c r="G187" s="171">
        <f t="shared" si="46"/>
        <v>13527</v>
      </c>
      <c r="H187" s="172">
        <f t="shared" si="47"/>
        <v>2.1830886241667766E-3</v>
      </c>
      <c r="I187" s="336"/>
      <c r="J187" s="223"/>
      <c r="K187" s="218"/>
      <c r="M187" s="364">
        <f t="shared" si="48"/>
        <v>0.47201479517063299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'[78]Sch C'!D199</f>
        <v>0</v>
      </c>
      <c r="D188" s="558">
        <f>'[78]Sch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'[78]Sch C'!D200</f>
        <v>0</v>
      </c>
      <c r="D189" s="558">
        <f>'[78]Sch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'[78]Sch C'!D201</f>
        <v>0</v>
      </c>
      <c r="D190" s="558">
        <f>'[78]Sch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'[78]Sch C'!D202</f>
        <v>0</v>
      </c>
      <c r="D191" s="558">
        <f>'[78]Sch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'[78]Sch C'!D203</f>
        <v>0</v>
      </c>
      <c r="D192" s="558">
        <f>'[78]Sch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'[78]Sch C'!D204</f>
        <v>0</v>
      </c>
      <c r="D193" s="558">
        <f>'[78]Sch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'[78]Sch C'!D205</f>
        <v>113319</v>
      </c>
      <c r="D194" s="558">
        <f>'[78]Sch C'!F205</f>
        <v>0</v>
      </c>
      <c r="E194" s="171">
        <f t="shared" si="45"/>
        <v>113319</v>
      </c>
      <c r="F194" s="216"/>
      <c r="G194" s="171">
        <f t="shared" si="46"/>
        <v>113319</v>
      </c>
      <c r="H194" s="172">
        <f t="shared" si="47"/>
        <v>1.82882693725109E-2</v>
      </c>
      <c r="I194" s="336"/>
      <c r="J194" s="223"/>
      <c r="K194" s="218"/>
      <c r="M194" s="364">
        <f t="shared" si="48"/>
        <v>3.9541838230162609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'[78]Sch C'!D206</f>
        <v>19260</v>
      </c>
      <c r="D195" s="558">
        <f>'[78]Sch C'!F206</f>
        <v>0</v>
      </c>
      <c r="E195" s="171">
        <f t="shared" si="45"/>
        <v>19260</v>
      </c>
      <c r="F195" s="216"/>
      <c r="G195" s="171">
        <f t="shared" si="46"/>
        <v>19260</v>
      </c>
      <c r="H195" s="172">
        <f t="shared" si="47"/>
        <v>3.1083231242294757E-3</v>
      </c>
      <c r="I195" s="336"/>
      <c r="J195" s="223"/>
      <c r="K195" s="218"/>
      <c r="M195" s="364">
        <f t="shared" si="48"/>
        <v>0.67206364714913813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'[78]Sch C'!D207</f>
        <v>950</v>
      </c>
      <c r="D196" s="558">
        <f>'[78]Sch C'!F207</f>
        <v>0</v>
      </c>
      <c r="E196" s="171">
        <f t="shared" si="45"/>
        <v>950</v>
      </c>
      <c r="F196" s="216"/>
      <c r="G196" s="171">
        <f t="shared" si="46"/>
        <v>950</v>
      </c>
      <c r="H196" s="172">
        <f t="shared" si="47"/>
        <v>1.5331811879636562E-4</v>
      </c>
      <c r="I196" s="336"/>
      <c r="J196" s="223"/>
      <c r="K196" s="218"/>
      <c r="M196" s="364">
        <f t="shared" si="48"/>
        <v>3.3149556842766416E-2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544759</v>
      </c>
      <c r="D197" s="558">
        <f>SUM(D164:D196)</f>
        <v>0</v>
      </c>
      <c r="E197" s="171">
        <f t="shared" ref="E197:F197" si="49">SUM(E164:E196)</f>
        <v>544759</v>
      </c>
      <c r="F197" s="171">
        <f t="shared" si="49"/>
        <v>0</v>
      </c>
      <c r="G197" s="171">
        <f>SUM(G164:G196)</f>
        <v>544759</v>
      </c>
      <c r="H197" s="172">
        <f>IF($G$208=0,0,G197/$G$208)</f>
        <v>8.7917289555146674E-2</v>
      </c>
      <c r="I197" s="336"/>
      <c r="J197" s="168"/>
      <c r="K197" s="168"/>
      <c r="M197" s="364">
        <f>G197/G$228</f>
        <v>19.008967827482728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'[78]Sch C'!D211</f>
        <v>257559</v>
      </c>
      <c r="D200" s="558">
        <f>'[78]Sch C'!F211</f>
        <v>0</v>
      </c>
      <c r="E200" s="171">
        <f t="shared" ref="E200:E205" si="50">C200+D200</f>
        <v>257559</v>
      </c>
      <c r="F200" s="171"/>
      <c r="G200" s="171">
        <f t="shared" ref="G200:G205" si="51">E200+F200</f>
        <v>257559</v>
      </c>
      <c r="H200" s="172">
        <f t="shared" ref="H200:H206" si="52">IF($G$208=0,0,G200/$G$208)</f>
        <v>4.1566801430603297E-2</v>
      </c>
      <c r="I200" s="336"/>
      <c r="J200" s="183">
        <v>5150</v>
      </c>
      <c r="K200" s="183">
        <v>5570</v>
      </c>
      <c r="M200" s="364">
        <f t="shared" ref="M200:M205" si="53">G200/G$228</f>
        <v>8.9873333798590274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'[78]Sch C'!D212</f>
        <v>54177</v>
      </c>
      <c r="D201" s="558">
        <f>'[78]Sch C'!F212</f>
        <v>0</v>
      </c>
      <c r="E201" s="171">
        <f t="shared" si="50"/>
        <v>54177</v>
      </c>
      <c r="F201" s="171"/>
      <c r="G201" s="171">
        <f t="shared" si="51"/>
        <v>54177</v>
      </c>
      <c r="H201" s="172">
        <f t="shared" si="52"/>
        <v>8.7434902337165266E-3</v>
      </c>
      <c r="I201" s="336"/>
      <c r="J201" s="168"/>
      <c r="K201" s="168"/>
      <c r="M201" s="364">
        <f t="shared" si="53"/>
        <v>1.8904668853374276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'[78]Sch C'!D213</f>
        <v>18331</v>
      </c>
      <c r="D202" s="558">
        <f>'[78]Sch C'!F213</f>
        <v>0</v>
      </c>
      <c r="E202" s="171">
        <f t="shared" si="50"/>
        <v>18331</v>
      </c>
      <c r="F202" s="171"/>
      <c r="G202" s="171">
        <f t="shared" si="51"/>
        <v>18331</v>
      </c>
      <c r="H202" s="172">
        <f t="shared" si="52"/>
        <v>2.9583941427959769E-3</v>
      </c>
      <c r="I202" s="336"/>
      <c r="J202" s="168"/>
      <c r="K202" s="168"/>
      <c r="M202" s="364">
        <f t="shared" si="53"/>
        <v>0.6396468699839486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'[78]Sch C'!D214</f>
        <v>0</v>
      </c>
      <c r="D203" s="558">
        <f>'[78]Sch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'[78]Sch C'!D215</f>
        <v>0</v>
      </c>
      <c r="D204" s="558">
        <f>'[78]Sch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'[78]Sch C'!D216</f>
        <v>5311</v>
      </c>
      <c r="D205" s="558">
        <f>'[78]Sch C'!F216</f>
        <v>0</v>
      </c>
      <c r="E205" s="171">
        <f t="shared" si="50"/>
        <v>5311</v>
      </c>
      <c r="F205" s="171"/>
      <c r="G205" s="171">
        <f t="shared" si="51"/>
        <v>5311</v>
      </c>
      <c r="H205" s="172">
        <f t="shared" si="52"/>
        <v>8.5712897781841876E-4</v>
      </c>
      <c r="I205" s="336"/>
      <c r="J205" s="168"/>
      <c r="K205" s="168"/>
      <c r="M205" s="364">
        <f t="shared" si="53"/>
        <v>0.18532346988624468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335378</v>
      </c>
      <c r="D206" s="558">
        <f>SUM(D200:D205)</f>
        <v>0</v>
      </c>
      <c r="E206" s="171">
        <f t="shared" ref="E206:F206" si="54">SUM(E200:E205)</f>
        <v>335378</v>
      </c>
      <c r="F206" s="171">
        <f t="shared" si="54"/>
        <v>0</v>
      </c>
      <c r="G206" s="171">
        <f>SUM(G200:G205)</f>
        <v>335378</v>
      </c>
      <c r="H206" s="172">
        <f t="shared" si="52"/>
        <v>5.4125814784934216E-2</v>
      </c>
      <c r="I206" s="336"/>
      <c r="J206" s="168"/>
      <c r="K206" s="168"/>
      <c r="M206" s="364">
        <f>G206/G$228</f>
        <v>11.702770605066648</v>
      </c>
      <c r="N206" s="359">
        <f>SUMMARY!J209</f>
        <v>7.1515095990067339</v>
      </c>
      <c r="O206" s="354">
        <f>M206/N206-1</f>
        <v>0.63640563478961631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6581092</v>
      </c>
      <c r="D208" s="558">
        <f>SUM(D25:D206)/2</f>
        <v>-384825</v>
      </c>
      <c r="E208" s="171">
        <f t="shared" ref="E208:F208" si="55">SUM(E25:E206)/2</f>
        <v>6196267</v>
      </c>
      <c r="F208" s="171">
        <f t="shared" si="55"/>
        <v>0</v>
      </c>
      <c r="G208" s="171">
        <f>SUM(G25:G206)/2</f>
        <v>6196267</v>
      </c>
      <c r="H208" s="172">
        <f>IF($G$208=0,0,G208/$G$208)</f>
        <v>1</v>
      </c>
      <c r="I208" s="336"/>
      <c r="J208" s="183">
        <f>SUM(J25:J200)</f>
        <v>183279</v>
      </c>
      <c r="K208" s="183">
        <f>SUM(K25:K200)</f>
        <v>197734</v>
      </c>
      <c r="M208" s="364">
        <f>G208/G$228</f>
        <v>216.21421592574498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1.0980063888857687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'[78]Sch C'!D221</f>
        <v>6581092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452103</v>
      </c>
      <c r="D215" s="558">
        <f>D21-D208</f>
        <v>362179</v>
      </c>
      <c r="E215" s="171">
        <f t="shared" ref="E215:F215" si="56">E21-E208</f>
        <v>814282</v>
      </c>
      <c r="F215" s="171">
        <f t="shared" si="56"/>
        <v>0</v>
      </c>
      <c r="G215" s="171">
        <f>G21-G208</f>
        <v>814282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'[78]Sch D'!C9</f>
        <v>1569</v>
      </c>
      <c r="D219" s="592"/>
      <c r="E219" s="235">
        <f t="shared" ref="E219:G227" si="57">C219+D219</f>
        <v>1569</v>
      </c>
      <c r="F219" s="234"/>
      <c r="G219" s="235">
        <f t="shared" si="57"/>
        <v>1569</v>
      </c>
      <c r="H219" s="172">
        <f t="shared" ref="H219:H228" si="58">IF($G$228=0,0,G219/$G$228)</f>
        <v>5.4749110196105802E-2</v>
      </c>
      <c r="I219" s="336"/>
      <c r="J219" s="168"/>
      <c r="K219" s="168"/>
    </row>
    <row r="220" spans="1:17">
      <c r="A220" s="163"/>
      <c r="B220" s="170" t="s">
        <v>217</v>
      </c>
      <c r="C220" s="592">
        <f>'[78]Sch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'[78]Sch D'!E9</f>
        <v>1213</v>
      </c>
      <c r="D221" s="592"/>
      <c r="E221" s="235">
        <f t="shared" si="59"/>
        <v>1213</v>
      </c>
      <c r="F221" s="234"/>
      <c r="G221" s="235">
        <f t="shared" si="57"/>
        <v>1213</v>
      </c>
      <c r="H221" s="172">
        <f t="shared" si="58"/>
        <v>4.2326749947658594E-2</v>
      </c>
      <c r="I221" s="336"/>
      <c r="J221" s="168"/>
      <c r="K221" s="168"/>
    </row>
    <row r="222" spans="1:17">
      <c r="A222" s="163"/>
      <c r="B222" s="202" t="s">
        <v>334</v>
      </c>
      <c r="C222" s="592">
        <f>'[78]Sch D'!F9</f>
        <v>377</v>
      </c>
      <c r="D222" s="592"/>
      <c r="E222" s="235">
        <f>C222+D222</f>
        <v>377</v>
      </c>
      <c r="F222" s="234"/>
      <c r="G222" s="235">
        <f>E222+F222</f>
        <v>377</v>
      </c>
      <c r="H222" s="172">
        <f t="shared" si="58"/>
        <v>1.3155139926024146E-2</v>
      </c>
      <c r="I222" s="336"/>
      <c r="J222" s="168"/>
      <c r="K222" s="168"/>
    </row>
    <row r="223" spans="1:17">
      <c r="A223" s="163"/>
      <c r="B223" s="170" t="s">
        <v>73</v>
      </c>
      <c r="C223" s="592">
        <f>'[78]Sch D'!G9</f>
        <v>4981</v>
      </c>
      <c r="D223" s="592"/>
      <c r="E223" s="235">
        <f t="shared" si="59"/>
        <v>4981</v>
      </c>
      <c r="F223" s="234"/>
      <c r="G223" s="235">
        <f t="shared" si="57"/>
        <v>4981</v>
      </c>
      <c r="H223" s="172">
        <f t="shared" si="58"/>
        <v>0.17380836066717845</v>
      </c>
      <c r="I223" s="336"/>
      <c r="J223" s="168"/>
      <c r="K223" s="168"/>
    </row>
    <row r="224" spans="1:17">
      <c r="A224" s="163"/>
      <c r="B224" s="170" t="s">
        <v>74</v>
      </c>
      <c r="C224" s="592">
        <f>'[78]Sch D'!H9</f>
        <v>19736</v>
      </c>
      <c r="D224" s="592"/>
      <c r="E224" s="235">
        <f t="shared" si="59"/>
        <v>19736</v>
      </c>
      <c r="F224" s="234"/>
      <c r="G224" s="235">
        <f t="shared" si="57"/>
        <v>19736</v>
      </c>
      <c r="H224" s="172">
        <f t="shared" si="58"/>
        <v>0.68867331984088209</v>
      </c>
      <c r="I224" s="336"/>
      <c r="J224" s="168" t="s">
        <v>198</v>
      </c>
      <c r="K224" s="168"/>
    </row>
    <row r="225" spans="1:11">
      <c r="A225" s="163"/>
      <c r="B225" s="170" t="s">
        <v>236</v>
      </c>
      <c r="C225" s="592">
        <f>'[78]Sch D'!I9</f>
        <v>782</v>
      </c>
      <c r="D225" s="592"/>
      <c r="E225" s="235">
        <f t="shared" si="59"/>
        <v>782</v>
      </c>
      <c r="F225" s="234"/>
      <c r="G225" s="235">
        <f t="shared" si="57"/>
        <v>782</v>
      </c>
      <c r="H225" s="172">
        <f t="shared" si="58"/>
        <v>2.7287319422150885E-2</v>
      </c>
      <c r="I225" s="336"/>
      <c r="J225" s="168"/>
      <c r="K225" s="168"/>
    </row>
    <row r="226" spans="1:11">
      <c r="A226" s="163"/>
      <c r="B226" s="170" t="s">
        <v>235</v>
      </c>
      <c r="C226" s="592">
        <f>'[78]Sch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'[78]Sch D'!K9</f>
        <v>0</v>
      </c>
      <c r="D227" s="592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28658</v>
      </c>
      <c r="D228" s="592">
        <f>SUM(D219:D227)</f>
        <v>0</v>
      </c>
      <c r="E228" s="237">
        <f>SUM(E219:E227)</f>
        <v>28658</v>
      </c>
      <c r="F228" s="237">
        <f>SUM(F219:F227)</f>
        <v>0</v>
      </c>
      <c r="G228" s="237">
        <f>SUM(G219:G227)</f>
        <v>28658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'[78]Sch D'!N22</f>
        <v>81</v>
      </c>
      <c r="D231" s="559"/>
      <c r="E231" s="235">
        <f>C231+D231</f>
        <v>81</v>
      </c>
      <c r="F231" s="235"/>
      <c r="G231" s="235">
        <f>E231+F231</f>
        <v>81</v>
      </c>
      <c r="H231" s="167"/>
      <c r="J231" s="168"/>
      <c r="K231" s="168"/>
    </row>
    <row r="232" spans="1:11">
      <c r="A232" s="163"/>
      <c r="B232" s="202" t="s">
        <v>290</v>
      </c>
      <c r="C232" s="593">
        <f>'[78]Sch D'!N24</f>
        <v>81</v>
      </c>
      <c r="D232" s="559"/>
      <c r="E232" s="235">
        <f>C232+D232</f>
        <v>81</v>
      </c>
      <c r="F232" s="670">
        <v>-76</v>
      </c>
      <c r="G232" s="235">
        <f>E232+F232</f>
        <v>5</v>
      </c>
      <c r="H232" s="508" t="s">
        <v>678</v>
      </c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'[78]Sch D'!N28</f>
        <v>29646</v>
      </c>
      <c r="D235" s="483"/>
      <c r="E235" s="234">
        <f>E231*E233</f>
        <v>29646</v>
      </c>
      <c r="F235" s="239"/>
      <c r="G235" s="234">
        <f>G231*G233</f>
        <v>29646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'[78]Sch D'!N30</f>
        <v>0.96667341293935105</v>
      </c>
      <c r="D236" s="239"/>
      <c r="E236" s="244">
        <f>E228/E235</f>
        <v>0.96667341293935105</v>
      </c>
      <c r="F236" s="245"/>
      <c r="G236" s="244">
        <f>G228/G235</f>
        <v>0.96667341293935105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'[78]Sch D'!N32</f>
        <v>5.2924509208662214E-2</v>
      </c>
      <c r="D237" s="239"/>
      <c r="E237" s="244">
        <f>(E219+E220)/E235</f>
        <v>5.2924509208662214E-2</v>
      </c>
      <c r="F237" s="245"/>
      <c r="G237" s="244">
        <f>(G219+G220)/G235</f>
        <v>5.2924509208662214E-2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'[78]Sch D'!N34</f>
        <v>5.4749110196105795E-2</v>
      </c>
      <c r="D238" s="239"/>
      <c r="E238" s="244">
        <f>(E237/E236)</f>
        <v>5.4749110196105795E-2</v>
      </c>
      <c r="F238" s="245"/>
      <c r="G238" s="244">
        <f>(G237/G236)</f>
        <v>5.4749110196105795E-2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'[78]Sch B'!C85</f>
        <v>187.13026121172186</v>
      </c>
    </row>
    <row r="242" spans="2:7">
      <c r="F242" s="142" t="s">
        <v>341</v>
      </c>
      <c r="G242" s="558">
        <f>'[78]Sch B'!E85</f>
        <v>187.12319434541376</v>
      </c>
    </row>
    <row r="243" spans="2:7">
      <c r="F243" s="142" t="s">
        <v>342</v>
      </c>
      <c r="G243" s="558">
        <f>'[78]Sch B'!G85</f>
        <v>187.12686020644563</v>
      </c>
    </row>
    <row r="244" spans="2:7">
      <c r="F244" s="142" t="s">
        <v>343</v>
      </c>
      <c r="G244" s="558">
        <f>'[78]Sch B'!I85</f>
        <v>187.11264932837528</v>
      </c>
    </row>
    <row r="245" spans="2:7">
      <c r="F245" s="142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3">
    <tabColor rgb="FFE28CAB"/>
  </sheetPr>
  <dimension ref="A1:T245"/>
  <sheetViews>
    <sheetView showGridLines="0" zoomScale="125" zoomScaleNormal="125" workbookViewId="0">
      <pane xSplit="2" topLeftCell="K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382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51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'[79]Sch B'!E10</f>
        <v>3120648</v>
      </c>
      <c r="D11" s="558">
        <f>'[79]Sch B'!G10</f>
        <v>0</v>
      </c>
      <c r="E11" s="171">
        <f>C11+D11</f>
        <v>3120648</v>
      </c>
      <c r="F11" s="171"/>
      <c r="G11" s="171">
        <f t="shared" ref="G11:G20" si="0">E11+F11</f>
        <v>3120648</v>
      </c>
      <c r="H11" s="172">
        <f t="shared" ref="H11:H21" si="1">IF($G$21=0,0,G11/$G$21)</f>
        <v>0.63659578794509797</v>
      </c>
      <c r="I11" s="336"/>
      <c r="J11" s="368" t="s">
        <v>344</v>
      </c>
      <c r="K11" s="369">
        <f>G21</f>
        <v>4902087.0999999996</v>
      </c>
      <c r="M11" s="359">
        <f t="shared" ref="M11:M19" si="2">IFERROR(G11/G219,0)</f>
        <v>193.70875232774674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'[79]Sch B'!E15</f>
        <v>0</v>
      </c>
      <c r="D12" s="558">
        <f>'[79]Sch B'!G15</f>
        <v>0</v>
      </c>
      <c r="E12" s="171">
        <f t="shared" ref="E12:E20" si="3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6804996.3079619808</v>
      </c>
      <c r="M12" s="359">
        <f t="shared" si="2"/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'[79]Sch B'!E21</f>
        <v>1150145</v>
      </c>
      <c r="D13" s="558">
        <f>'[79]Sch B'!G21</f>
        <v>0</v>
      </c>
      <c r="E13" s="171">
        <f t="shared" si="3"/>
        <v>1150145</v>
      </c>
      <c r="F13" s="171"/>
      <c r="G13" s="171">
        <f t="shared" si="0"/>
        <v>1150145</v>
      </c>
      <c r="H13" s="172">
        <f t="shared" si="1"/>
        <v>0.23462353412692322</v>
      </c>
      <c r="I13" s="336"/>
      <c r="J13" s="370" t="s">
        <v>346</v>
      </c>
      <c r="K13" s="371">
        <f>G228</f>
        <v>21718</v>
      </c>
      <c r="M13" s="359">
        <f t="shared" si="2"/>
        <v>504.89244951712027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'[79]Sch B'!E27</f>
        <v>309329</v>
      </c>
      <c r="D14" s="558">
        <f>'[79]Sch B'!G27</f>
        <v>0</v>
      </c>
      <c r="E14" s="171">
        <f t="shared" si="3"/>
        <v>309329</v>
      </c>
      <c r="F14" s="175"/>
      <c r="G14" s="175">
        <f>E14+F14</f>
        <v>309329</v>
      </c>
      <c r="H14" s="176">
        <f t="shared" si="1"/>
        <v>6.3101489975565722E-2</v>
      </c>
      <c r="I14" s="337"/>
      <c r="J14" s="370" t="s">
        <v>347</v>
      </c>
      <c r="K14" s="371">
        <f>G231</f>
        <v>120</v>
      </c>
      <c r="M14" s="359">
        <f t="shared" si="2"/>
        <v>403.29726205997395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'[79]Sch B'!E32</f>
        <v>0</v>
      </c>
      <c r="D15" s="558">
        <f>'[79]Sch B'!G32</f>
        <v>0</v>
      </c>
      <c r="E15" s="171">
        <f t="shared" si="3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43920</v>
      </c>
      <c r="M15" s="359">
        <f t="shared" si="2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'[79]Sch B'!E37</f>
        <v>158303</v>
      </c>
      <c r="D16" s="558">
        <f>'[79]Sch B'!G37</f>
        <v>-5339</v>
      </c>
      <c r="E16" s="171">
        <f t="shared" si="3"/>
        <v>152964</v>
      </c>
      <c r="F16" s="171"/>
      <c r="G16" s="171">
        <f t="shared" si="0"/>
        <v>152964</v>
      </c>
      <c r="H16" s="172">
        <f t="shared" si="1"/>
        <v>3.1203851926662016E-2</v>
      </c>
      <c r="I16" s="336"/>
      <c r="J16" s="372"/>
      <c r="K16" s="371"/>
      <c r="M16" s="359">
        <f t="shared" si="2"/>
        <v>219.77586206896552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'[79]Sch B'!E42</f>
        <v>0</v>
      </c>
      <c r="D17" s="558">
        <f>'[79]Sch B'!G42</f>
        <v>0</v>
      </c>
      <c r="E17" s="171">
        <f t="shared" si="3"/>
        <v>0</v>
      </c>
      <c r="F17" s="171"/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124020.8172700546</v>
      </c>
      <c r="M17" s="359">
        <f t="shared" si="2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'[79]Sch B'!E47</f>
        <v>0</v>
      </c>
      <c r="D18" s="558">
        <f>'[79]Sch B'!G47</f>
        <v>14737.76</v>
      </c>
      <c r="E18" s="171">
        <f t="shared" si="3"/>
        <v>14737.76</v>
      </c>
      <c r="F18" s="171"/>
      <c r="G18" s="171">
        <f>E18+F18</f>
        <v>14737.76</v>
      </c>
      <c r="H18" s="172">
        <f t="shared" si="1"/>
        <v>3.0064255692233621E-3</v>
      </c>
      <c r="I18" s="336"/>
      <c r="J18" s="373" t="s">
        <v>252</v>
      </c>
      <c r="K18" s="374">
        <f>K208</f>
        <v>137144.39000000001</v>
      </c>
      <c r="M18" s="359">
        <f t="shared" si="2"/>
        <v>186.5539240506329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'[79]Sch B'!E52</f>
        <v>93624</v>
      </c>
      <c r="D19" s="558">
        <f>'[79]Sch B'!G52</f>
        <v>-9398.66</v>
      </c>
      <c r="E19" s="171">
        <f t="shared" si="3"/>
        <v>84225.34</v>
      </c>
      <c r="F19" s="171"/>
      <c r="G19" s="171">
        <f t="shared" si="0"/>
        <v>84225.34</v>
      </c>
      <c r="H19" s="172">
        <f t="shared" si="1"/>
        <v>1.7181526619549456E-2</v>
      </c>
      <c r="I19" s="336"/>
      <c r="J19" s="168"/>
      <c r="K19" s="168"/>
      <c r="M19" s="359">
        <f t="shared" si="2"/>
        <v>557.78370860927146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'[79]Sch B'!E67</f>
        <v>71062</v>
      </c>
      <c r="D20" s="558">
        <f>'[79]Sch B'!G67</f>
        <v>-1024</v>
      </c>
      <c r="E20" s="171">
        <f t="shared" si="3"/>
        <v>70038</v>
      </c>
      <c r="F20" s="171"/>
      <c r="G20" s="171">
        <f t="shared" si="0"/>
        <v>70038</v>
      </c>
      <c r="H20" s="172">
        <f t="shared" si="1"/>
        <v>1.4287383836978336E-2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4903111</v>
      </c>
      <c r="D21" s="558">
        <f>SUM(D11:D20)</f>
        <v>-1023.8999999999996</v>
      </c>
      <c r="E21" s="171">
        <f>SUM(E11:E20)</f>
        <v>4902087.0999999996</v>
      </c>
      <c r="F21" s="171">
        <f>SUM(F11:F20)</f>
        <v>0</v>
      </c>
      <c r="G21" s="171">
        <f>SUM(G11:G20)</f>
        <v>4902087.0999999996</v>
      </c>
      <c r="H21" s="172">
        <f t="shared" si="1"/>
        <v>1</v>
      </c>
      <c r="I21" s="336"/>
      <c r="J21" s="168"/>
      <c r="K21" s="168"/>
      <c r="M21" s="359">
        <f>IFERROR(G21/G228,0)</f>
        <v>225.7154019707155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'[79]Sch C'!D10</f>
        <v>0</v>
      </c>
      <c r="D25" s="558">
        <f>'[79]Sch C'!F10</f>
        <v>89408</v>
      </c>
      <c r="E25" s="171">
        <f t="shared" ref="E25:E60" si="4">C25+D25</f>
        <v>89408</v>
      </c>
      <c r="F25" s="171"/>
      <c r="G25" s="182">
        <f>E25+F25</f>
        <v>89408</v>
      </c>
      <c r="H25" s="172">
        <f>IF($G$208=0,0,G25/$G$208)</f>
        <v>1.3138581705825596E-2</v>
      </c>
      <c r="I25" s="336"/>
      <c r="J25" s="183">
        <v>1939</v>
      </c>
      <c r="K25" s="183">
        <v>2091</v>
      </c>
      <c r="M25" s="359">
        <f>G25/G$228</f>
        <v>4.1167694999539552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'[79]Sch C'!D11</f>
        <v>0</v>
      </c>
      <c r="D26" s="558">
        <f>'[79]Sch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'[79]Sch C'!D12</f>
        <v>179932</v>
      </c>
      <c r="D27" s="558">
        <f>'[79]Sch C'!F12</f>
        <v>-89408</v>
      </c>
      <c r="E27" s="171">
        <f t="shared" si="4"/>
        <v>90524</v>
      </c>
      <c r="F27" s="171"/>
      <c r="G27" s="171">
        <f t="shared" si="5"/>
        <v>90524</v>
      </c>
      <c r="H27" s="172">
        <f t="shared" si="6"/>
        <v>1.3302578855786465E-2</v>
      </c>
      <c r="I27" s="336"/>
      <c r="J27" s="185">
        <v>4601</v>
      </c>
      <c r="K27" s="185">
        <v>5416</v>
      </c>
      <c r="M27" s="359">
        <f t="shared" si="7"/>
        <v>4.1681554470945761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'[79]Sch C'!D13</f>
        <v>50899</v>
      </c>
      <c r="D28" s="558">
        <f>'[79]Sch C'!F13</f>
        <v>0</v>
      </c>
      <c r="E28" s="171">
        <f t="shared" si="4"/>
        <v>50899</v>
      </c>
      <c r="F28" s="171"/>
      <c r="G28" s="171">
        <f t="shared" si="5"/>
        <v>50899</v>
      </c>
      <c r="H28" s="172">
        <f t="shared" si="6"/>
        <v>7.479651376217083E-3</v>
      </c>
      <c r="I28" s="336"/>
      <c r="J28" s="168"/>
      <c r="K28" s="168"/>
      <c r="M28" s="359">
        <f t="shared" si="7"/>
        <v>2.3436320103140251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'[79]Sch C'!D14</f>
        <v>0</v>
      </c>
      <c r="D29" s="558">
        <f>'[79]Sch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'[79]Sch C'!D15</f>
        <v>253517</v>
      </c>
      <c r="D30" s="558">
        <f>'[79]Sch C'!F15</f>
        <v>-253517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'[79]Sch C'!D16</f>
        <v>0</v>
      </c>
      <c r="D31" s="558">
        <f>'[79]Sch C'!F16</f>
        <v>297990</v>
      </c>
      <c r="E31" s="171">
        <f t="shared" si="4"/>
        <v>297990</v>
      </c>
      <c r="F31" s="171"/>
      <c r="G31" s="171">
        <f t="shared" si="5"/>
        <v>297990</v>
      </c>
      <c r="H31" s="172">
        <f t="shared" si="6"/>
        <v>4.3789884154873941E-2</v>
      </c>
      <c r="I31" s="336"/>
      <c r="J31" s="168"/>
      <c r="K31" s="168"/>
      <c r="M31" s="359">
        <f t="shared" si="7"/>
        <v>13.720876692144765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'[79]Sch C'!D17</f>
        <v>878</v>
      </c>
      <c r="D32" s="558">
        <f>'[79]Sch C'!F17</f>
        <v>-878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'[79]Sch C'!D18</f>
        <v>26674</v>
      </c>
      <c r="D33" s="558">
        <f>'[79]Sch C'!F18</f>
        <v>0</v>
      </c>
      <c r="E33" s="171">
        <f t="shared" si="4"/>
        <v>26674</v>
      </c>
      <c r="F33" s="171"/>
      <c r="G33" s="171">
        <f t="shared" si="5"/>
        <v>26674</v>
      </c>
      <c r="H33" s="172">
        <f t="shared" si="6"/>
        <v>3.9197670054267175E-3</v>
      </c>
      <c r="I33" s="336"/>
      <c r="J33" s="168"/>
      <c r="K33" s="168"/>
      <c r="M33" s="359">
        <f t="shared" si="7"/>
        <v>1.2281978082696381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'[79]Sch C'!D19</f>
        <v>16141</v>
      </c>
      <c r="D34" s="558">
        <f>'[79]Sch C'!F19</f>
        <v>0</v>
      </c>
      <c r="E34" s="171">
        <f t="shared" si="4"/>
        <v>16141</v>
      </c>
      <c r="F34" s="171"/>
      <c r="G34" s="171">
        <f t="shared" si="5"/>
        <v>16141</v>
      </c>
      <c r="H34" s="172">
        <f t="shared" si="6"/>
        <v>2.3719336895326026E-3</v>
      </c>
      <c r="I34" s="336"/>
      <c r="J34" s="168"/>
      <c r="K34" s="168"/>
      <c r="M34" s="359">
        <f t="shared" si="7"/>
        <v>0.74320839856340359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'[79]Sch C'!D20</f>
        <v>11845</v>
      </c>
      <c r="D35" s="558">
        <f>'[79]Sch C'!F20</f>
        <v>0</v>
      </c>
      <c r="E35" s="171">
        <f t="shared" si="4"/>
        <v>11845</v>
      </c>
      <c r="F35" s="171"/>
      <c r="G35" s="171">
        <f t="shared" si="5"/>
        <v>11845</v>
      </c>
      <c r="H35" s="172">
        <f t="shared" si="6"/>
        <v>1.7406328326939891E-3</v>
      </c>
      <c r="I35" s="336"/>
      <c r="J35" s="168"/>
      <c r="K35" s="168"/>
      <c r="M35" s="359">
        <f t="shared" si="7"/>
        <v>0.54540012892531542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'[79]Sch C'!D21</f>
        <v>0</v>
      </c>
      <c r="D36" s="558">
        <f>'[79]Sch C'!F21</f>
        <v>0</v>
      </c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336"/>
      <c r="J36" s="168"/>
      <c r="K36" s="168"/>
      <c r="M36" s="359">
        <f t="shared" si="7"/>
        <v>0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'[79]Sch C'!D22</f>
        <v>0</v>
      </c>
      <c r="D37" s="558">
        <f>'[79]Sch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'[79]Sch C'!D23</f>
        <v>23174</v>
      </c>
      <c r="D38" s="558">
        <f>'[79]Sch C'!F23</f>
        <v>0</v>
      </c>
      <c r="E38" s="171">
        <f t="shared" si="4"/>
        <v>23174</v>
      </c>
      <c r="F38" s="171"/>
      <c r="G38" s="171">
        <f t="shared" si="5"/>
        <v>23174</v>
      </c>
      <c r="H38" s="172">
        <f t="shared" si="6"/>
        <v>3.4054390261587593E-3</v>
      </c>
      <c r="I38" s="336"/>
      <c r="J38" s="168"/>
      <c r="K38" s="168"/>
      <c r="M38" s="359">
        <f t="shared" si="7"/>
        <v>1.067041164011419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'[79]Sch C'!D24</f>
        <v>0</v>
      </c>
      <c r="D39" s="558">
        <f>'[79]Sch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'[79]Sch C'!D25</f>
        <v>0</v>
      </c>
      <c r="D40" s="558">
        <f>'[79]Sch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'[79]Sch C'!D26</f>
        <v>320948</v>
      </c>
      <c r="D41" s="558">
        <f>'[79]Sch C'!F26</f>
        <v>0</v>
      </c>
      <c r="E41" s="171">
        <f t="shared" si="4"/>
        <v>320948</v>
      </c>
      <c r="F41" s="171"/>
      <c r="G41" s="171">
        <f t="shared" si="5"/>
        <v>320948</v>
      </c>
      <c r="H41" s="172">
        <f t="shared" si="6"/>
        <v>4.7163581797169306E-2</v>
      </c>
      <c r="I41" s="336"/>
      <c r="J41" s="168"/>
      <c r="K41" s="168"/>
      <c r="M41" s="359">
        <f t="shared" si="7"/>
        <v>14.777972188967677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'[79]Sch C'!D27</f>
        <v>0</v>
      </c>
      <c r="D42" s="558">
        <f>'[79]Sch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'[79]Sch C'!D28</f>
        <v>0</v>
      </c>
      <c r="D43" s="558">
        <f>'[79]Sch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'[79]Sch C'!D29</f>
        <v>120586</v>
      </c>
      <c r="D44" s="558">
        <f>'[79]Sch C'!F29</f>
        <v>-120586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'[79]Sch C'!D30</f>
        <v>1826</v>
      </c>
      <c r="D45" s="558">
        <f>'[79]Sch C'!F30</f>
        <v>-1826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'[79]Sch C'!D31</f>
        <v>82245</v>
      </c>
      <c r="D46" s="558">
        <f>'[79]Sch C'!F31</f>
        <v>0</v>
      </c>
      <c r="E46" s="171">
        <f t="shared" si="4"/>
        <v>82245</v>
      </c>
      <c r="F46" s="171"/>
      <c r="G46" s="171">
        <f t="shared" si="5"/>
        <v>82245</v>
      </c>
      <c r="H46" s="172">
        <f t="shared" si="6"/>
        <v>1.2085972758540914E-2</v>
      </c>
      <c r="I46" s="336"/>
      <c r="J46" s="168"/>
      <c r="K46" s="168"/>
      <c r="M46" s="359">
        <f t="shared" si="7"/>
        <v>3.7869509162906345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'[79]Sch C'!D32</f>
        <v>93605</v>
      </c>
      <c r="D47" s="558">
        <f>'[79]Sch C'!F32</f>
        <v>-16266</v>
      </c>
      <c r="E47" s="171">
        <f t="shared" si="4"/>
        <v>77339</v>
      </c>
      <c r="F47" s="171"/>
      <c r="G47" s="171">
        <f t="shared" si="5"/>
        <v>77339</v>
      </c>
      <c r="H47" s="172">
        <f t="shared" si="6"/>
        <v>1.1365031882458456E-2</v>
      </c>
      <c r="I47" s="336"/>
      <c r="J47" s="168"/>
      <c r="K47" s="168"/>
      <c r="M47" s="359">
        <f t="shared" si="7"/>
        <v>3.5610553457961136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'[79]Sch C'!D33</f>
        <v>0</v>
      </c>
      <c r="D48" s="558">
        <f>'[79]Sch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'[79]Sch C'!D34</f>
        <v>319</v>
      </c>
      <c r="D49" s="558">
        <f>'[79]Sch C'!F34</f>
        <v>0</v>
      </c>
      <c r="E49" s="171">
        <f t="shared" si="4"/>
        <v>319</v>
      </c>
      <c r="F49" s="171"/>
      <c r="G49" s="171">
        <f t="shared" si="5"/>
        <v>319</v>
      </c>
      <c r="H49" s="172">
        <f t="shared" si="6"/>
        <v>4.6877321538993881E-5</v>
      </c>
      <c r="I49" s="336"/>
      <c r="J49" s="168"/>
      <c r="K49" s="168"/>
      <c r="M49" s="359">
        <f t="shared" si="7"/>
        <v>1.4688277005249103E-2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'[79]Sch C'!D35</f>
        <v>4680</v>
      </c>
      <c r="D50" s="558">
        <f>'[79]Sch C'!F35</f>
        <v>-4680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'[79]Sch C'!D36</f>
        <v>0</v>
      </c>
      <c r="D51" s="558">
        <f>'[79]Sch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'[79]Sch C'!D37</f>
        <v>0</v>
      </c>
      <c r="D52" s="558">
        <f>'[79]Sch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'[79]Sch C'!D38</f>
        <v>0</v>
      </c>
      <c r="D53" s="558">
        <f>'[79]Sch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'[79]Sch C'!D39</f>
        <v>3464</v>
      </c>
      <c r="D54" s="558">
        <f>'[79]Sch C'!F39</f>
        <v>0</v>
      </c>
      <c r="E54" s="171">
        <f t="shared" si="4"/>
        <v>3464</v>
      </c>
      <c r="F54" s="171"/>
      <c r="G54" s="171">
        <f t="shared" si="5"/>
        <v>3464</v>
      </c>
      <c r="H54" s="172">
        <f t="shared" si="6"/>
        <v>5.0903774862405896E-4</v>
      </c>
      <c r="I54" s="336"/>
      <c r="J54" s="168"/>
      <c r="K54" s="168"/>
      <c r="M54" s="359">
        <f t="shared" si="7"/>
        <v>0.15949903306013444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'[79]Sch C'!D40</f>
        <v>12640</v>
      </c>
      <c r="D55" s="558">
        <f>'[79]Sch C'!F40</f>
        <v>-12640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'[79]Sch C'!D41</f>
        <v>7116</v>
      </c>
      <c r="D56" s="558">
        <f>'[79]Sch C'!F41</f>
        <v>0</v>
      </c>
      <c r="E56" s="171">
        <f t="shared" si="4"/>
        <v>7116</v>
      </c>
      <c r="F56" s="171"/>
      <c r="G56" s="171">
        <f t="shared" si="5"/>
        <v>7116</v>
      </c>
      <c r="H56" s="172">
        <f t="shared" si="6"/>
        <v>1.0457022572773682E-3</v>
      </c>
      <c r="I56" s="336"/>
      <c r="J56" s="168"/>
      <c r="K56" s="168"/>
      <c r="M56" s="359">
        <f t="shared" si="7"/>
        <v>0.32765448015471038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'[79]Sch C'!D42</f>
        <v>1463</v>
      </c>
      <c r="D57" s="558">
        <f>'[79]Sch C'!F42</f>
        <v>0</v>
      </c>
      <c r="E57" s="171">
        <f t="shared" si="4"/>
        <v>1463</v>
      </c>
      <c r="F57" s="171"/>
      <c r="G57" s="171">
        <f t="shared" si="5"/>
        <v>1463</v>
      </c>
      <c r="H57" s="172">
        <f t="shared" si="6"/>
        <v>2.1498909533400641E-4</v>
      </c>
      <c r="I57" s="336"/>
      <c r="J57" s="168"/>
      <c r="K57" s="168"/>
      <c r="M57" s="359">
        <f t="shared" si="7"/>
        <v>6.736347729993554E-2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'[79]Sch C'!D43</f>
        <v>14243</v>
      </c>
      <c r="D58" s="558">
        <f>'[79]Sch C'!F43</f>
        <v>-14243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'[79]Sch C'!D44</f>
        <v>0</v>
      </c>
      <c r="D59" s="558">
        <f>'[79]Sch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'[79]Sch C'!D45</f>
        <v>1094075</v>
      </c>
      <c r="D60" s="558">
        <f>'[79]Sch C'!F45</f>
        <v>-244116</v>
      </c>
      <c r="E60" s="171">
        <f t="shared" si="4"/>
        <v>849959</v>
      </c>
      <c r="F60" s="171"/>
      <c r="G60" s="171">
        <f t="shared" si="5"/>
        <v>849959</v>
      </c>
      <c r="H60" s="172">
        <f t="shared" si="6"/>
        <v>0.12490219855160407</v>
      </c>
      <c r="I60" s="336"/>
      <c r="J60" s="168"/>
      <c r="K60" s="168"/>
      <c r="M60" s="359">
        <f t="shared" si="7"/>
        <v>39.136154342020447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2320270</v>
      </c>
      <c r="D61" s="558">
        <f>SUM(D25:D60)</f>
        <v>-370762</v>
      </c>
      <c r="E61" s="171">
        <f t="shared" ref="E61:F61" si="8">SUM(E25:E60)</f>
        <v>1949508</v>
      </c>
      <c r="F61" s="171">
        <f t="shared" si="8"/>
        <v>0</v>
      </c>
      <c r="G61" s="171">
        <f>SUM(G25:G60)</f>
        <v>1949508</v>
      </c>
      <c r="H61" s="186">
        <f t="shared" si="6"/>
        <v>0.28648186005906234</v>
      </c>
      <c r="I61" s="338"/>
      <c r="J61" s="168"/>
      <c r="K61" s="168"/>
      <c r="M61" s="364">
        <f>G61/G$228</f>
        <v>89.764619209871995</v>
      </c>
      <c r="N61" s="359">
        <f>SUMMARY!J64</f>
        <v>53.728790309602623</v>
      </c>
      <c r="O61" s="354">
        <f>M61/N61-1</f>
        <v>0.67069868300810986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'[79]Sch C'!D57</f>
        <v>768014</v>
      </c>
      <c r="D64" s="558">
        <f>'[79]Sch C'!F57</f>
        <v>-44020</v>
      </c>
      <c r="E64" s="171">
        <f t="shared" ref="E64:E78" si="9">C64+D64</f>
        <v>723994</v>
      </c>
      <c r="F64" s="171"/>
      <c r="G64" s="171">
        <f t="shared" ref="G64:G78" si="10">E64+F64</f>
        <v>723994</v>
      </c>
      <c r="H64" s="172">
        <f t="shared" ref="H64:H79" si="11">IF($G$208=0,0,G64/$G$208)</f>
        <v>0.10639153457775027</v>
      </c>
      <c r="I64" s="336"/>
      <c r="J64" s="190"/>
      <c r="K64" s="168"/>
      <c r="M64" s="359">
        <f t="shared" ref="M64:M79" si="12">G64/G$228</f>
        <v>33.33612671516714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'[79]Sch C'!D58</f>
        <v>37614</v>
      </c>
      <c r="D65" s="558">
        <f>'[79]Sch C'!F58</f>
        <v>41770</v>
      </c>
      <c r="E65" s="171">
        <f t="shared" si="9"/>
        <v>79384</v>
      </c>
      <c r="F65" s="171"/>
      <c r="G65" s="171">
        <f t="shared" si="10"/>
        <v>79384</v>
      </c>
      <c r="H65" s="172">
        <f t="shared" si="11"/>
        <v>1.1665546373202164E-2</v>
      </c>
      <c r="I65" s="336"/>
      <c r="J65" s="190"/>
      <c r="K65" s="168"/>
      <c r="M65" s="359">
        <f t="shared" si="12"/>
        <v>3.6552168707984158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'[79]Sch C'!D59</f>
        <v>0</v>
      </c>
      <c r="D66" s="558">
        <f>'[79]Sch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'[79]Sch C'!D60</f>
        <v>10449</v>
      </c>
      <c r="D67" s="558">
        <f>'[79]Sch C'!F60</f>
        <v>0</v>
      </c>
      <c r="E67" s="171">
        <f t="shared" si="9"/>
        <v>10449</v>
      </c>
      <c r="F67" s="171"/>
      <c r="G67" s="171">
        <f t="shared" si="10"/>
        <v>10449</v>
      </c>
      <c r="H67" s="172">
        <f t="shared" si="11"/>
        <v>1.5354894443916835E-3</v>
      </c>
      <c r="I67" s="336"/>
      <c r="J67" s="193"/>
      <c r="K67" s="168"/>
      <c r="M67" s="359">
        <f t="shared" si="12"/>
        <v>0.48112165024403719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'[79]Sch C'!D61</f>
        <v>0</v>
      </c>
      <c r="D68" s="558">
        <f>'[79]Sch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6"/>
      <c r="J68" s="193"/>
      <c r="K68" s="168"/>
      <c r="M68" s="359">
        <f t="shared" si="12"/>
        <v>0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'[79]Sch C'!D62</f>
        <v>15607</v>
      </c>
      <c r="D69" s="558">
        <f>'[79]Sch C'!F62</f>
        <v>-13230</v>
      </c>
      <c r="E69" s="171">
        <f t="shared" si="9"/>
        <v>2377</v>
      </c>
      <c r="F69" s="171"/>
      <c r="G69" s="171">
        <f t="shared" si="10"/>
        <v>2377</v>
      </c>
      <c r="H69" s="172">
        <f t="shared" si="11"/>
        <v>3.4930217334855313E-4</v>
      </c>
      <c r="I69" s="336"/>
      <c r="J69" s="195"/>
      <c r="K69" s="168"/>
      <c r="M69" s="359">
        <f t="shared" si="12"/>
        <v>0.10944838382908187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'[79]Sch C'!D63</f>
        <v>0</v>
      </c>
      <c r="D70" s="558">
        <f>'[79]Sch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'[79]Sch C'!D64</f>
        <v>0</v>
      </c>
      <c r="D71" s="558">
        <f>'[79]Sch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'[79]Sch C'!D65</f>
        <v>0</v>
      </c>
      <c r="D72" s="558">
        <f>'[79]Sch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'[79]Sch C'!D66</f>
        <v>0</v>
      </c>
      <c r="D73" s="558">
        <f>'[79]Sch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6"/>
      <c r="J73" s="195"/>
      <c r="K73" s="168"/>
      <c r="M73" s="359">
        <f t="shared" si="12"/>
        <v>0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'[79]Sch C'!D67</f>
        <v>46874</v>
      </c>
      <c r="D74" s="558">
        <f>'[79]Sch C'!F67</f>
        <v>15296</v>
      </c>
      <c r="E74" s="171">
        <f t="shared" si="9"/>
        <v>62170</v>
      </c>
      <c r="F74" s="171"/>
      <c r="G74" s="171">
        <f t="shared" si="10"/>
        <v>62170</v>
      </c>
      <c r="H74" s="172">
        <f t="shared" si="11"/>
        <v>9.135934420311128E-3</v>
      </c>
      <c r="I74" s="336"/>
      <c r="J74" s="195"/>
      <c r="K74" s="168"/>
      <c r="M74" s="359">
        <f t="shared" si="12"/>
        <v>2.8626024495809927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'[79]Sch C'!D68</f>
        <v>0</v>
      </c>
      <c r="D75" s="558">
        <f>'[79]Sch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'[79]Sch C'!D69</f>
        <v>4929</v>
      </c>
      <c r="D76" s="558">
        <f>'[79]Sch C'!F69</f>
        <v>0</v>
      </c>
      <c r="E76" s="171">
        <f t="shared" si="9"/>
        <v>4929</v>
      </c>
      <c r="F76" s="171"/>
      <c r="G76" s="171">
        <f t="shared" si="10"/>
        <v>4929</v>
      </c>
      <c r="H76" s="172">
        <f t="shared" si="11"/>
        <v>7.2432074566050424E-4</v>
      </c>
      <c r="I76" s="336"/>
      <c r="J76" s="195"/>
      <c r="K76" s="168"/>
      <c r="M76" s="359">
        <f t="shared" si="12"/>
        <v>0.22695459987107469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'[79]Sch C'!D70</f>
        <v>0</v>
      </c>
      <c r="D77" s="558">
        <f>'[79]Sch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'[79]Sch C'!D71</f>
        <v>0</v>
      </c>
      <c r="D78" s="558">
        <f>'[79]Sch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883487</v>
      </c>
      <c r="D79" s="558">
        <f>SUM(D64:D78)</f>
        <v>-184</v>
      </c>
      <c r="E79" s="171">
        <f t="shared" ref="E79:F79" si="13">SUM(E64:E78)</f>
        <v>883303</v>
      </c>
      <c r="F79" s="171">
        <f t="shared" si="13"/>
        <v>0</v>
      </c>
      <c r="G79" s="171">
        <f>SUM(G64:G78)</f>
        <v>883303</v>
      </c>
      <c r="H79" s="172">
        <f t="shared" si="11"/>
        <v>0.12980212773466429</v>
      </c>
      <c r="I79" s="336"/>
      <c r="J79" s="195"/>
      <c r="K79" s="168"/>
      <c r="M79" s="359">
        <f t="shared" si="12"/>
        <v>40.671470669490745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'[79]Sch C'!D75</f>
        <v>52015</v>
      </c>
      <c r="D82" s="558">
        <f>'[79]Sch C'!F75</f>
        <v>0</v>
      </c>
      <c r="E82" s="171">
        <f t="shared" ref="E82:E92" si="14">C82+D82</f>
        <v>52015</v>
      </c>
      <c r="F82" s="171"/>
      <c r="G82" s="171">
        <f t="shared" ref="G82:G92" si="15">E82+F82</f>
        <v>52015</v>
      </c>
      <c r="H82" s="172">
        <f t="shared" ref="H82:H93" si="16">IF($G$208=0,0,G82/$G$208)</f>
        <v>7.6436485261779522E-3</v>
      </c>
      <c r="I82" s="336"/>
      <c r="J82" s="183">
        <v>2400</v>
      </c>
      <c r="K82" s="183">
        <v>2537</v>
      </c>
      <c r="M82" s="359">
        <f t="shared" ref="M82:M92" si="17">G82/G$228</f>
        <v>2.395017957454646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'[79]Sch C'!D76</f>
        <v>7800</v>
      </c>
      <c r="D83" s="558">
        <f>'[79]Sch C'!F76</f>
        <v>0</v>
      </c>
      <c r="E83" s="171">
        <f t="shared" si="14"/>
        <v>7800</v>
      </c>
      <c r="F83" s="171"/>
      <c r="G83" s="171">
        <f t="shared" si="15"/>
        <v>7800</v>
      </c>
      <c r="H83" s="172">
        <f t="shared" si="16"/>
        <v>1.146216639511449E-3</v>
      </c>
      <c r="I83" s="336"/>
      <c r="J83" s="168"/>
      <c r="K83" s="168"/>
      <c r="M83" s="359">
        <f t="shared" si="17"/>
        <v>0.35914909291831659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'[79]Sch C'!D77</f>
        <v>11671</v>
      </c>
      <c r="D84" s="558">
        <f>'[79]Sch C'!F77</f>
        <v>0</v>
      </c>
      <c r="E84" s="171">
        <f t="shared" si="14"/>
        <v>11671</v>
      </c>
      <c r="F84" s="171"/>
      <c r="G84" s="171">
        <f t="shared" si="15"/>
        <v>11671</v>
      </c>
      <c r="H84" s="172">
        <f t="shared" si="16"/>
        <v>1.7150633845818106E-3</v>
      </c>
      <c r="I84" s="336"/>
      <c r="J84" s="168"/>
      <c r="K84" s="168"/>
      <c r="M84" s="359">
        <f t="shared" si="17"/>
        <v>0.53738834146790682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'[79]Sch C'!D78</f>
        <v>4781</v>
      </c>
      <c r="D85" s="558">
        <f>'[79]Sch C'!F78</f>
        <v>0</v>
      </c>
      <c r="E85" s="171">
        <f t="shared" si="14"/>
        <v>4781</v>
      </c>
      <c r="F85" s="171"/>
      <c r="G85" s="171">
        <f t="shared" si="15"/>
        <v>4781</v>
      </c>
      <c r="H85" s="172">
        <f t="shared" si="16"/>
        <v>7.0257201968003055E-4</v>
      </c>
      <c r="I85" s="336"/>
      <c r="J85" s="168"/>
      <c r="K85" s="168"/>
      <c r="M85" s="359">
        <f t="shared" si="17"/>
        <v>0.22013997605672714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'[79]Sch C'!D79</f>
        <v>0</v>
      </c>
      <c r="D86" s="558">
        <f>'[79]Sch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6"/>
      <c r="J86" s="168"/>
      <c r="K86" s="168"/>
      <c r="M86" s="359">
        <f t="shared" si="17"/>
        <v>0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'[79]Sch C'!D80</f>
        <v>33140</v>
      </c>
      <c r="D87" s="558">
        <f>'[79]Sch C'!F80</f>
        <v>0</v>
      </c>
      <c r="E87" s="171">
        <f t="shared" si="14"/>
        <v>33140</v>
      </c>
      <c r="F87" s="171"/>
      <c r="G87" s="171">
        <f t="shared" si="15"/>
        <v>33140</v>
      </c>
      <c r="H87" s="172">
        <f t="shared" si="16"/>
        <v>4.8699512094114647E-3</v>
      </c>
      <c r="I87" s="336"/>
      <c r="J87" s="168"/>
      <c r="K87" s="168"/>
      <c r="M87" s="359">
        <f t="shared" si="17"/>
        <v>1.525923197347822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'[79]Sch C'!D81</f>
        <v>9619</v>
      </c>
      <c r="D88" s="558">
        <f>'[79]Sch C'!F81</f>
        <v>0</v>
      </c>
      <c r="E88" s="171">
        <f t="shared" si="14"/>
        <v>9619</v>
      </c>
      <c r="F88" s="171"/>
      <c r="G88" s="171">
        <f t="shared" si="15"/>
        <v>9619</v>
      </c>
      <c r="H88" s="172">
        <f t="shared" si="16"/>
        <v>1.4135202378795677E-3</v>
      </c>
      <c r="I88" s="336"/>
      <c r="J88" s="168"/>
      <c r="K88" s="168"/>
      <c r="M88" s="359">
        <f t="shared" si="17"/>
        <v>0.44290450317708813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'[79]Sch C'!D82</f>
        <v>0</v>
      </c>
      <c r="D89" s="558">
        <f>'[79]Sch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6"/>
      <c r="J89" s="168"/>
      <c r="K89" s="168"/>
      <c r="M89" s="359">
        <f t="shared" si="17"/>
        <v>0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'[79]Sch C'!D83</f>
        <v>4266</v>
      </c>
      <c r="D90" s="558">
        <f>'[79]Sch C'!F83</f>
        <v>0</v>
      </c>
      <c r="E90" s="171">
        <f t="shared" si="14"/>
        <v>4266</v>
      </c>
      <c r="F90" s="171"/>
      <c r="G90" s="171">
        <f t="shared" si="15"/>
        <v>4266</v>
      </c>
      <c r="H90" s="172">
        <f t="shared" si="16"/>
        <v>6.2689233130203104E-4</v>
      </c>
      <c r="I90" s="336"/>
      <c r="J90" s="168"/>
      <c r="K90" s="168"/>
      <c r="M90" s="359">
        <f t="shared" si="17"/>
        <v>0.19642692697301778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'[79]Sch C'!D84</f>
        <v>104648</v>
      </c>
      <c r="D91" s="558">
        <f>'[79]Sch C'!F84</f>
        <v>0</v>
      </c>
      <c r="E91" s="171">
        <f t="shared" si="14"/>
        <v>104648</v>
      </c>
      <c r="F91" s="171"/>
      <c r="G91" s="171">
        <f t="shared" si="15"/>
        <v>104648</v>
      </c>
      <c r="H91" s="172">
        <f t="shared" si="16"/>
        <v>1.5378112678409503E-2</v>
      </c>
      <c r="I91" s="336"/>
      <c r="J91" s="168"/>
      <c r="K91" s="168"/>
      <c r="M91" s="359">
        <f t="shared" si="17"/>
        <v>4.8184915738097427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'[79]Sch C'!D85</f>
        <v>23257</v>
      </c>
      <c r="D92" s="558">
        <f>'[79]Sch C'!F85</f>
        <v>0</v>
      </c>
      <c r="E92" s="171">
        <f t="shared" si="14"/>
        <v>23257</v>
      </c>
      <c r="F92" s="171"/>
      <c r="G92" s="171">
        <f t="shared" si="15"/>
        <v>23257</v>
      </c>
      <c r="H92" s="172">
        <f t="shared" si="16"/>
        <v>3.4176359468099707E-3</v>
      </c>
      <c r="I92" s="336"/>
      <c r="J92" s="168"/>
      <c r="K92" s="168"/>
      <c r="M92" s="359">
        <f t="shared" si="17"/>
        <v>1.070862878718114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251197</v>
      </c>
      <c r="D93" s="558">
        <f>SUM(D82:D92)</f>
        <v>0</v>
      </c>
      <c r="E93" s="171">
        <f t="shared" ref="E93:F93" si="18">SUM(E82:E92)</f>
        <v>251197</v>
      </c>
      <c r="F93" s="171">
        <f t="shared" si="18"/>
        <v>0</v>
      </c>
      <c r="G93" s="171">
        <f>SUM(G82:G92)</f>
        <v>251197</v>
      </c>
      <c r="H93" s="172">
        <f t="shared" si="16"/>
        <v>3.6913612973763783E-2</v>
      </c>
      <c r="I93" s="336"/>
      <c r="J93" s="168"/>
      <c r="K93" s="168"/>
      <c r="M93" s="364">
        <f>G93/G$228</f>
        <v>11.566304447923381</v>
      </c>
      <c r="N93" s="359">
        <f>SUMMARY!J96</f>
        <v>11.458724454710746</v>
      </c>
      <c r="O93" s="354">
        <f>M93/N93-1</f>
        <v>9.388478939155176E-3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'[79]Sch C'!D89</f>
        <v>287906</v>
      </c>
      <c r="D96" s="558">
        <f>'[79]Sch C'!F89</f>
        <v>0</v>
      </c>
      <c r="E96" s="171">
        <f t="shared" ref="E96:E101" si="19">C96+D96</f>
        <v>287906</v>
      </c>
      <c r="F96" s="171"/>
      <c r="G96" s="171">
        <f t="shared" ref="G96:G101" si="20">E96+F96</f>
        <v>287906</v>
      </c>
      <c r="H96" s="172">
        <f t="shared" ref="H96:H102" si="21">IF($G$208=0,0,G96/$G$208)</f>
        <v>4.230803177117734E-2</v>
      </c>
      <c r="I96" s="336"/>
      <c r="J96" s="183">
        <v>20215</v>
      </c>
      <c r="K96" s="183">
        <v>21075</v>
      </c>
      <c r="M96" s="364">
        <f t="shared" ref="M96:M101" si="22">G96/G$228</f>
        <v>13.256561377659084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'[79]Sch C'!D90</f>
        <v>28060</v>
      </c>
      <c r="D97" s="558">
        <f>'[79]Sch C'!F90</f>
        <v>0</v>
      </c>
      <c r="E97" s="171">
        <f t="shared" si="19"/>
        <v>28060</v>
      </c>
      <c r="F97" s="171"/>
      <c r="G97" s="171">
        <f t="shared" si="20"/>
        <v>28060</v>
      </c>
      <c r="H97" s="172">
        <f t="shared" si="21"/>
        <v>4.1234408852168286E-3</v>
      </c>
      <c r="I97" s="336"/>
      <c r="J97" s="168"/>
      <c r="K97" s="168"/>
      <c r="M97" s="364">
        <f t="shared" si="22"/>
        <v>1.2920158393958927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'[79]Sch C'!D91</f>
        <v>670</v>
      </c>
      <c r="D98" s="558">
        <f>'[79]Sch C'!F91</f>
        <v>0</v>
      </c>
      <c r="E98" s="171">
        <f t="shared" si="19"/>
        <v>670</v>
      </c>
      <c r="F98" s="171"/>
      <c r="G98" s="171">
        <f t="shared" si="20"/>
        <v>670</v>
      </c>
      <c r="H98" s="172">
        <f t="shared" si="21"/>
        <v>9.8457070317009088E-5</v>
      </c>
      <c r="I98" s="336"/>
      <c r="J98" s="168"/>
      <c r="K98" s="168"/>
      <c r="M98" s="364">
        <f t="shared" si="22"/>
        <v>3.084998618657335E-2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'[79]Sch C'!D92</f>
        <v>133035</v>
      </c>
      <c r="D99" s="558">
        <f>'[79]Sch C'!F92</f>
        <v>-374</v>
      </c>
      <c r="E99" s="171">
        <f t="shared" si="19"/>
        <v>132661</v>
      </c>
      <c r="F99" s="171"/>
      <c r="G99" s="171">
        <f t="shared" si="20"/>
        <v>132661</v>
      </c>
      <c r="H99" s="172">
        <f t="shared" si="21"/>
        <v>1.9494646873619018E-2</v>
      </c>
      <c r="I99" s="336"/>
      <c r="J99" s="168"/>
      <c r="K99" s="168"/>
      <c r="M99" s="364">
        <f t="shared" si="22"/>
        <v>6.1083433096970259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'[79]Sch C'!D93</f>
        <v>17309</v>
      </c>
      <c r="D100" s="558">
        <f>'[79]Sch C'!F93</f>
        <v>0</v>
      </c>
      <c r="E100" s="171">
        <f t="shared" si="19"/>
        <v>17309</v>
      </c>
      <c r="F100" s="171"/>
      <c r="G100" s="171">
        <f t="shared" si="20"/>
        <v>17309</v>
      </c>
      <c r="H100" s="172">
        <f t="shared" si="21"/>
        <v>2.5435722837568813E-3</v>
      </c>
      <c r="I100" s="336"/>
      <c r="J100" s="168"/>
      <c r="K100" s="168"/>
      <c r="M100" s="364">
        <f t="shared" si="22"/>
        <v>0.79698867299014642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'[79]Sch C'!D94</f>
        <v>0</v>
      </c>
      <c r="D101" s="558">
        <f>'[79]Sch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466980</v>
      </c>
      <c r="D102" s="558">
        <f>SUM(D96:D101)</f>
        <v>-374</v>
      </c>
      <c r="E102" s="171">
        <f t="shared" ref="E102:F102" si="23">SUM(E96:E101)</f>
        <v>466606</v>
      </c>
      <c r="F102" s="171">
        <f t="shared" si="23"/>
        <v>0</v>
      </c>
      <c r="G102" s="171">
        <f>SUM(G96:G101)</f>
        <v>466606</v>
      </c>
      <c r="H102" s="172">
        <f t="shared" si="21"/>
        <v>6.8568148884087077E-2</v>
      </c>
      <c r="I102" s="336"/>
      <c r="J102" s="168"/>
      <c r="K102" s="168"/>
      <c r="M102" s="364">
        <f>G102/G$228</f>
        <v>21.484759185928723</v>
      </c>
      <c r="N102" s="359">
        <f>SUMMARY!J105</f>
        <v>19.901077037785338</v>
      </c>
      <c r="O102" s="354">
        <f>M102/N102-1</f>
        <v>7.9577710549861846E-2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'[79]Sch C'!D98</f>
        <v>0</v>
      </c>
      <c r="D105" s="558">
        <f>'[79]Sch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'[79]Sch C'!D99</f>
        <v>0</v>
      </c>
      <c r="D106" s="558">
        <f>'[79]Sch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'[79]Sch C'!D100</f>
        <v>4528</v>
      </c>
      <c r="D107" s="558">
        <f>'[79]Sch C'!F100</f>
        <v>0</v>
      </c>
      <c r="E107" s="171">
        <f t="shared" si="24"/>
        <v>4528</v>
      </c>
      <c r="F107" s="171"/>
      <c r="G107" s="171">
        <f t="shared" si="25"/>
        <v>4528</v>
      </c>
      <c r="H107" s="172">
        <f t="shared" si="26"/>
        <v>6.6539345432151814E-4</v>
      </c>
      <c r="I107" s="336"/>
      <c r="J107" s="168"/>
      <c r="K107" s="168"/>
      <c r="M107" s="364">
        <f t="shared" si="27"/>
        <v>0.20849065291463303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'[79]Sch C'!D101</f>
        <v>53640</v>
      </c>
      <c r="D108" s="558">
        <f>'[79]Sch C'!F101</f>
        <v>0</v>
      </c>
      <c r="E108" s="171">
        <f t="shared" si="24"/>
        <v>53640</v>
      </c>
      <c r="F108" s="171"/>
      <c r="G108" s="171">
        <f t="shared" si="25"/>
        <v>53640</v>
      </c>
      <c r="H108" s="172">
        <f t="shared" si="26"/>
        <v>7.8824436594095038E-3</v>
      </c>
      <c r="I108" s="336"/>
      <c r="J108" s="168"/>
      <c r="K108" s="168"/>
      <c r="M108" s="364">
        <f t="shared" si="27"/>
        <v>2.4698406851459618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'[79]Sch C'!D102</f>
        <v>9907</v>
      </c>
      <c r="D109" s="558">
        <f>'[79]Sch C'!F102</f>
        <v>0</v>
      </c>
      <c r="E109" s="171">
        <f t="shared" si="24"/>
        <v>9907</v>
      </c>
      <c r="F109" s="171"/>
      <c r="G109" s="171">
        <f t="shared" si="25"/>
        <v>9907</v>
      </c>
      <c r="H109" s="172">
        <f t="shared" si="26"/>
        <v>1.4558420830307597E-3</v>
      </c>
      <c r="I109" s="336"/>
      <c r="J109" s="168"/>
      <c r="K109" s="168"/>
      <c r="M109" s="364">
        <f t="shared" si="27"/>
        <v>0.45616539276176443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'[79]Sch C'!D103</f>
        <v>0</v>
      </c>
      <c r="D110" s="558">
        <f>'[79]Sch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68075</v>
      </c>
      <c r="D111" s="558">
        <f>SUM(D105:D110)</f>
        <v>0</v>
      </c>
      <c r="E111" s="171">
        <f t="shared" ref="E111:F111" si="28">SUM(E105:E110)</f>
        <v>68075</v>
      </c>
      <c r="F111" s="171">
        <f t="shared" si="28"/>
        <v>0</v>
      </c>
      <c r="G111" s="171">
        <f>SUM(G105:G110)</f>
        <v>68075</v>
      </c>
      <c r="H111" s="172">
        <f t="shared" si="26"/>
        <v>1.0003679196761782E-2</v>
      </c>
      <c r="I111" s="336"/>
      <c r="J111" s="168"/>
      <c r="K111" s="168"/>
      <c r="M111" s="364">
        <f>G111/G$228</f>
        <v>3.1344967308223595</v>
      </c>
      <c r="N111" s="359">
        <f>SUMMARY!J114</f>
        <v>2.4242384372309496</v>
      </c>
      <c r="O111" s="354">
        <f>M111/N111-1</f>
        <v>0.2929820279570734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'[79]Sch C'!D115</f>
        <v>0</v>
      </c>
      <c r="D114" s="558">
        <f>'[79]Sch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'[79]Sch C'!D116</f>
        <v>0</v>
      </c>
      <c r="D115" s="558">
        <f>'[79]Sch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'[79]Sch C'!D117</f>
        <v>7794</v>
      </c>
      <c r="D116" s="558">
        <f>'[79]Sch C'!F117</f>
        <v>0</v>
      </c>
      <c r="E116" s="171">
        <f t="shared" si="29"/>
        <v>7794</v>
      </c>
      <c r="F116" s="171"/>
      <c r="G116" s="171">
        <f>E116+F116</f>
        <v>7794</v>
      </c>
      <c r="H116" s="172">
        <f t="shared" si="30"/>
        <v>1.1453349344041326E-3</v>
      </c>
      <c r="I116" s="336"/>
      <c r="J116" s="168"/>
      <c r="K116" s="168"/>
      <c r="M116" s="364">
        <f t="shared" si="31"/>
        <v>0.35887282438530249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'[79]Sch C'!D118</f>
        <v>81716</v>
      </c>
      <c r="D117" s="558">
        <f>'[79]Sch C'!F118</f>
        <v>0</v>
      </c>
      <c r="E117" s="171">
        <f t="shared" si="29"/>
        <v>81716</v>
      </c>
      <c r="F117" s="171"/>
      <c r="G117" s="171">
        <f>E117+F117</f>
        <v>81716</v>
      </c>
      <c r="H117" s="172">
        <f t="shared" si="30"/>
        <v>1.2008235758245844E-2</v>
      </c>
      <c r="I117" s="336"/>
      <c r="J117" s="168"/>
      <c r="K117" s="168"/>
      <c r="M117" s="364">
        <f t="shared" si="31"/>
        <v>3.7625932406298923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'[79]Sch C'!D119</f>
        <v>0</v>
      </c>
      <c r="D118" s="558">
        <f>'[79]Sch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89510</v>
      </c>
      <c r="D119" s="558">
        <f>SUM(D114:D118)</f>
        <v>0</v>
      </c>
      <c r="E119" s="171">
        <f t="shared" ref="E119:F119" si="32">SUM(E114:E118)</f>
        <v>89510</v>
      </c>
      <c r="F119" s="171">
        <f t="shared" si="32"/>
        <v>0</v>
      </c>
      <c r="G119" s="171">
        <f>SUM(G114:G118)</f>
        <v>89510</v>
      </c>
      <c r="H119" s="172">
        <f t="shared" si="30"/>
        <v>1.3153570692649975E-2</v>
      </c>
      <c r="I119" s="336"/>
      <c r="J119" s="168"/>
      <c r="K119" s="168"/>
      <c r="M119" s="364">
        <f t="shared" si="31"/>
        <v>4.1214660650151949</v>
      </c>
      <c r="N119" s="359">
        <f>SUMMARY!J122</f>
        <v>6.0247597205909562</v>
      </c>
      <c r="O119" s="354">
        <f>M119/N119-1</f>
        <v>-0.31591196061659221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'[79]Sch C'!D124</f>
        <v>0</v>
      </c>
      <c r="D123" s="558">
        <f>'[79]Sch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'[79]Sch C'!D125</f>
        <v>0</v>
      </c>
      <c r="D124" s="558">
        <f>'[79]Sch C'!F125</f>
        <v>179704</v>
      </c>
      <c r="E124" s="171">
        <f t="shared" si="33"/>
        <v>179704</v>
      </c>
      <c r="F124" s="171"/>
      <c r="G124" s="171">
        <f>E124+F124</f>
        <v>179704</v>
      </c>
      <c r="H124" s="172">
        <f>IF($G$208=0,0,G124/$G$208)</f>
        <v>2.6407655767534031E-2</v>
      </c>
      <c r="I124" s="336"/>
      <c r="J124" s="183">
        <v>4812.7299999999996</v>
      </c>
      <c r="K124" s="183">
        <v>5462.3</v>
      </c>
      <c r="M124" s="364">
        <f t="shared" si="34"/>
        <v>8.2744267427939953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'[79]Sch C'!D126</f>
        <v>0</v>
      </c>
      <c r="D125" s="558">
        <f>'[79]Sch C'!F126</f>
        <v>19858.560000000001</v>
      </c>
      <c r="E125" s="171">
        <f t="shared" si="33"/>
        <v>19858.560000000001</v>
      </c>
      <c r="F125" s="171"/>
      <c r="G125" s="171">
        <f>E125+F125</f>
        <v>19858.560000000001</v>
      </c>
      <c r="H125" s="172">
        <f>IF($G$208=0,0,G125/$G$208)</f>
        <v>2.9182322959918571E-3</v>
      </c>
      <c r="I125" s="336"/>
      <c r="J125" s="183">
        <v>744</v>
      </c>
      <c r="K125" s="183">
        <v>800</v>
      </c>
      <c r="M125" s="364">
        <f t="shared" si="34"/>
        <v>0.91438253982871354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'[79]Sch C'!D127</f>
        <v>0</v>
      </c>
      <c r="D126" s="558">
        <f>'[79]Sch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'[79]Sch C'!D128</f>
        <v>252739</v>
      </c>
      <c r="D127" s="558">
        <f>'[79]Sch C'!F128</f>
        <v>-199562.34</v>
      </c>
      <c r="E127" s="171">
        <f t="shared" si="33"/>
        <v>53176.66</v>
      </c>
      <c r="F127" s="171"/>
      <c r="G127" s="171">
        <f>E127+F127</f>
        <v>53176.66</v>
      </c>
      <c r="H127" s="172">
        <f>IF($G$208=0,0,G127/$G$208)</f>
        <v>7.8143554520054993E-3</v>
      </c>
      <c r="I127" s="336"/>
      <c r="J127" s="183">
        <v>3042.59</v>
      </c>
      <c r="K127" s="183">
        <v>3388.09</v>
      </c>
      <c r="M127" s="364">
        <f t="shared" si="34"/>
        <v>2.4485063081315039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'[79]Sch C'!D130</f>
        <v>0</v>
      </c>
      <c r="D129" s="558">
        <f>'[79]Sch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'[79]Sch C'!D131</f>
        <v>0</v>
      </c>
      <c r="D130" s="558">
        <f>'[79]Sch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6"/>
      <c r="J130" s="204"/>
      <c r="K130" s="204"/>
      <c r="M130" s="364">
        <f t="shared" si="34"/>
        <v>0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'[79]Sch C'!D132</f>
        <v>0</v>
      </c>
      <c r="D131" s="558">
        <f>'[79]Sch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'[79]Sch C'!D133</f>
        <v>0</v>
      </c>
      <c r="D132" s="558">
        <f>'[79]Sch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'[79]Sch C'!D134</f>
        <v>42659</v>
      </c>
      <c r="D133" s="558">
        <f>'[79]Sch C'!F134</f>
        <v>0</v>
      </c>
      <c r="E133" s="171">
        <f t="shared" si="35"/>
        <v>42659</v>
      </c>
      <c r="F133" s="171"/>
      <c r="G133" s="171">
        <f>E133+F133</f>
        <v>42659</v>
      </c>
      <c r="H133" s="172">
        <f>IF($G$208=0,0,G133/$G$208)</f>
        <v>6.2687763621690909E-3</v>
      </c>
      <c r="I133" s="336"/>
      <c r="J133" s="168"/>
      <c r="K133" s="168"/>
      <c r="M133" s="364">
        <f t="shared" si="34"/>
        <v>1.9642232249746754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'[79]Sch C'!D136</f>
        <v>323745</v>
      </c>
      <c r="D135" s="558">
        <f>'[79]Sch C'!F136</f>
        <v>0</v>
      </c>
      <c r="E135" s="171">
        <f t="shared" ref="E135:E138" si="36">C135+D135</f>
        <v>323745</v>
      </c>
      <c r="F135" s="171"/>
      <c r="G135" s="171">
        <f>E135+F135</f>
        <v>323745</v>
      </c>
      <c r="H135" s="172">
        <f>IF($G$208=0,0,G135/$G$208)</f>
        <v>4.7574603328030013E-2</v>
      </c>
      <c r="I135" s="336"/>
      <c r="J135" s="183">
        <v>11209</v>
      </c>
      <c r="K135" s="183">
        <v>12554</v>
      </c>
      <c r="M135" s="364">
        <f t="shared" si="34"/>
        <v>14.906759370107745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'[79]Sch C'!D137</f>
        <v>393961</v>
      </c>
      <c r="D136" s="558">
        <f>'[79]Sch C'!F137</f>
        <v>0</v>
      </c>
      <c r="E136" s="171">
        <f t="shared" si="36"/>
        <v>393961</v>
      </c>
      <c r="F136" s="171"/>
      <c r="G136" s="171">
        <f>E136+F136</f>
        <v>393961</v>
      </c>
      <c r="H136" s="172">
        <f>IF($G$208=0,0,G136/$G$208)</f>
        <v>5.7892904297252565E-2</v>
      </c>
      <c r="I136" s="336"/>
      <c r="J136" s="183">
        <v>15955</v>
      </c>
      <c r="K136" s="183">
        <v>18982</v>
      </c>
      <c r="M136" s="364">
        <f t="shared" si="34"/>
        <v>18.139837922460632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'[79]Sch C'!D138</f>
        <v>565621</v>
      </c>
      <c r="D137" s="558">
        <f>'[79]Sch C'!F138</f>
        <v>0</v>
      </c>
      <c r="E137" s="171">
        <f t="shared" si="36"/>
        <v>565621</v>
      </c>
      <c r="F137" s="171"/>
      <c r="G137" s="171">
        <f>E137+F137</f>
        <v>565621</v>
      </c>
      <c r="H137" s="172">
        <f>IF($G$208=0,0,G137/$G$208)</f>
        <v>8.3118487417577616E-2</v>
      </c>
      <c r="I137" s="336"/>
      <c r="J137" s="183">
        <v>41463</v>
      </c>
      <c r="K137" s="183">
        <v>45987</v>
      </c>
      <c r="M137" s="364">
        <f t="shared" si="34"/>
        <v>26.043880651993739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'[79]Sch C'!D139</f>
        <v>0</v>
      </c>
      <c r="D138" s="558">
        <f>'[79]Sch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'[79]Sch C'!D141</f>
        <v>40302</v>
      </c>
      <c r="D140" s="558">
        <f>'[79]Sch C'!F141</f>
        <v>0</v>
      </c>
      <c r="E140" s="171">
        <f t="shared" ref="E140:E143" si="37">C140+D140</f>
        <v>40302</v>
      </c>
      <c r="F140" s="171"/>
      <c r="G140" s="171">
        <f>E140+F140</f>
        <v>40302</v>
      </c>
      <c r="H140" s="172">
        <f>IF($G$208=0,0,G140/$G$208)</f>
        <v>5.9224132058449258E-3</v>
      </c>
      <c r="I140" s="336"/>
      <c r="J140" s="168"/>
      <c r="K140" s="168"/>
      <c r="M140" s="364">
        <f t="shared" si="34"/>
        <v>1.8556957362556405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'[79]Sch C'!D142</f>
        <v>53340</v>
      </c>
      <c r="D141" s="558">
        <f>'[79]Sch C'!F142</f>
        <v>0</v>
      </c>
      <c r="E141" s="171">
        <f t="shared" si="37"/>
        <v>53340</v>
      </c>
      <c r="F141" s="171"/>
      <c r="G141" s="171">
        <f>E141+F141</f>
        <v>53340</v>
      </c>
      <c r="H141" s="172">
        <f>IF($G$208=0,0,G141/$G$208)</f>
        <v>7.8383584040436789E-3</v>
      </c>
      <c r="I141" s="336"/>
      <c r="J141" s="168"/>
      <c r="K141" s="168"/>
      <c r="M141" s="364">
        <f t="shared" si="34"/>
        <v>2.4560272584952574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'[79]Sch C'!D143</f>
        <v>72678</v>
      </c>
      <c r="D142" s="558">
        <f>'[79]Sch C'!F143</f>
        <v>0</v>
      </c>
      <c r="E142" s="171">
        <f t="shared" si="37"/>
        <v>72678</v>
      </c>
      <c r="F142" s="171"/>
      <c r="G142" s="171">
        <f>E142+F142</f>
        <v>72678</v>
      </c>
      <c r="H142" s="172">
        <f>IF($G$208=0,0,G142/$G$208)</f>
        <v>1.0680093964924756E-2</v>
      </c>
      <c r="I142" s="336"/>
      <c r="J142" s="168"/>
      <c r="K142" s="168"/>
      <c r="M142" s="364">
        <f t="shared" si="34"/>
        <v>3.3464407403996685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'[79]Sch C'!D144</f>
        <v>0</v>
      </c>
      <c r="D143" s="558">
        <f>'[79]Sch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'[79]Sch C'!D146</f>
        <v>56084</v>
      </c>
      <c r="D145" s="558">
        <f>'[79]Sch C'!F146</f>
        <v>0</v>
      </c>
      <c r="E145" s="171">
        <f t="shared" ref="E145:E153" si="38">C145+D145</f>
        <v>56084</v>
      </c>
      <c r="F145" s="171"/>
      <c r="G145" s="171">
        <f t="shared" ref="G145:G153" si="39">E145+F145</f>
        <v>56084</v>
      </c>
      <c r="H145" s="172">
        <f t="shared" ref="H145:H153" si="40">IF($G$208=0,0,G145/$G$208)</f>
        <v>8.2415915397897575E-3</v>
      </c>
      <c r="I145" s="336"/>
      <c r="J145" s="183">
        <v>336.49727005459891</v>
      </c>
      <c r="K145" s="183">
        <v>336</v>
      </c>
      <c r="M145" s="364">
        <f t="shared" si="34"/>
        <v>2.582374067593701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'[79]Sch C'!D147</f>
        <v>0</v>
      </c>
      <c r="D146" s="558">
        <f>'[79]Sch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'[79]Sch C'!D148</f>
        <v>285236</v>
      </c>
      <c r="D147" s="558">
        <f>'[79]Sch C'!F148</f>
        <v>-2575.6520380188458</v>
      </c>
      <c r="E147" s="171">
        <f t="shared" si="38"/>
        <v>282660.34796198114</v>
      </c>
      <c r="F147" s="171"/>
      <c r="G147" s="171">
        <f t="shared" si="39"/>
        <v>282660.34796198114</v>
      </c>
      <c r="H147" s="172">
        <f t="shared" si="40"/>
        <v>4.1537178738989607E-2</v>
      </c>
      <c r="I147" s="336"/>
      <c r="J147" s="183">
        <v>6107</v>
      </c>
      <c r="K147" s="183">
        <v>6107</v>
      </c>
      <c r="M147" s="364">
        <f t="shared" si="34"/>
        <v>13.015026612118112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'[79]Sch C'!D149</f>
        <v>0</v>
      </c>
      <c r="D148" s="558">
        <f>'[79]Sch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'[79]Sch C'!D150</f>
        <v>2965</v>
      </c>
      <c r="D149" s="558">
        <f>'[79]Sch C'!F150</f>
        <v>0</v>
      </c>
      <c r="E149" s="171">
        <f t="shared" si="38"/>
        <v>2965</v>
      </c>
      <c r="F149" s="171"/>
      <c r="G149" s="171">
        <f t="shared" si="39"/>
        <v>2965</v>
      </c>
      <c r="H149" s="172">
        <f t="shared" si="40"/>
        <v>4.3570927386557009E-4</v>
      </c>
      <c r="I149" s="336"/>
      <c r="J149" s="183">
        <v>0</v>
      </c>
      <c r="K149" s="183">
        <v>0</v>
      </c>
      <c r="M149" s="364">
        <f t="shared" si="34"/>
        <v>0.13652270006446265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'[79]Sch C'!D151</f>
        <v>51014</v>
      </c>
      <c r="D150" s="558">
        <f>'[79]Sch C'!F151</f>
        <v>0</v>
      </c>
      <c r="E150" s="171">
        <f t="shared" si="38"/>
        <v>51014</v>
      </c>
      <c r="F150" s="171"/>
      <c r="G150" s="171">
        <f t="shared" si="39"/>
        <v>51014</v>
      </c>
      <c r="H150" s="172">
        <f t="shared" si="40"/>
        <v>7.496550724107316E-3</v>
      </c>
      <c r="I150" s="336"/>
      <c r="J150" s="168"/>
      <c r="K150" s="168"/>
      <c r="M150" s="364">
        <f t="shared" si="34"/>
        <v>2.3489271571967953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'[79]Sch C'!D152</f>
        <v>33279</v>
      </c>
      <c r="D151" s="558">
        <f>'[79]Sch C'!F152</f>
        <v>0</v>
      </c>
      <c r="E151" s="171">
        <f t="shared" si="38"/>
        <v>33279</v>
      </c>
      <c r="F151" s="171"/>
      <c r="G151" s="171">
        <f t="shared" si="39"/>
        <v>33279</v>
      </c>
      <c r="H151" s="172">
        <f t="shared" si="40"/>
        <v>4.8903773777309633E-3</v>
      </c>
      <c r="I151" s="336"/>
      <c r="J151" s="168"/>
      <c r="K151" s="168"/>
      <c r="M151" s="364">
        <f t="shared" si="34"/>
        <v>1.5323234183626484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'[79]Sch C'!D153</f>
        <v>0</v>
      </c>
      <c r="D152" s="558">
        <f>'[79]Sch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'[79]Sch C'!D154</f>
        <v>0</v>
      </c>
      <c r="D153" s="558">
        <f>'[79]Sch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'[79]Sch C'!D156</f>
        <v>0</v>
      </c>
      <c r="D155" s="558">
        <f>'[79]Sch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'[79]Sch C'!D157</f>
        <v>0</v>
      </c>
      <c r="D156" s="558">
        <f>'[79]Sch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'[79]Sch C'!D158</f>
        <v>0</v>
      </c>
      <c r="D157" s="558">
        <f>'[79]Sch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'[79]Sch C'!D159</f>
        <v>0</v>
      </c>
      <c r="D158" s="558">
        <f>'[79]Sch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'[79]Sch C'!D160</f>
        <v>0</v>
      </c>
      <c r="D159" s="558">
        <f>'[79]Sch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'[79]Sch C'!D161</f>
        <v>20460</v>
      </c>
      <c r="D160" s="558">
        <f>'[79]Sch C'!F161</f>
        <v>0</v>
      </c>
      <c r="E160" s="171">
        <f t="shared" si="41"/>
        <v>20460</v>
      </c>
      <c r="F160" s="171"/>
      <c r="G160" s="171">
        <f t="shared" si="42"/>
        <v>20460</v>
      </c>
      <c r="H160" s="172">
        <f t="shared" si="43"/>
        <v>3.0066144159492628E-3</v>
      </c>
      <c r="I160" s="336"/>
      <c r="J160" s="168"/>
      <c r="K160" s="168"/>
      <c r="M160" s="364">
        <f t="shared" si="34"/>
        <v>0.94207569757804588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2194083</v>
      </c>
      <c r="D161" s="558">
        <f>SUM(D123:D160)</f>
        <v>-2575.4320380188447</v>
      </c>
      <c r="E161" s="171">
        <f t="shared" ref="E161:F161" si="44">SUM(E123:E160)</f>
        <v>2191507.5679619811</v>
      </c>
      <c r="F161" s="171">
        <f t="shared" si="44"/>
        <v>0</v>
      </c>
      <c r="G161" s="171">
        <f>SUM(G123:G160)</f>
        <v>2191507.5679619811</v>
      </c>
      <c r="H161" s="172">
        <f t="shared" si="43"/>
        <v>0.32204390256580651</v>
      </c>
      <c r="I161" s="336"/>
      <c r="J161" s="168"/>
      <c r="K161" s="168"/>
      <c r="M161" s="364">
        <f>G161/G$228</f>
        <v>100.90743014835533</v>
      </c>
      <c r="N161" s="359">
        <f>SUMMARY!J164</f>
        <v>105.56901037202306</v>
      </c>
      <c r="O161" s="354">
        <f>M161/N161-1</f>
        <v>-4.4156710451679126E-2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'[79]Sch C'!D175</f>
        <v>0</v>
      </c>
      <c r="D164" s="558">
        <f>'[79]Sch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'[79]Sch C'!D176</f>
        <v>0</v>
      </c>
      <c r="D165" s="558">
        <f>'[79]Sch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'[79]Sch C'!D177</f>
        <v>0</v>
      </c>
      <c r="D166" s="558">
        <f>'[79]Sch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'[79]Sch C'!D178</f>
        <v>0</v>
      </c>
      <c r="D167" s="558">
        <f>'[79]Sch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'[79]Sch C'!D179</f>
        <v>0</v>
      </c>
      <c r="D168" s="558">
        <f>'[79]Sch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'[79]Sch C'!D180</f>
        <v>0</v>
      </c>
      <c r="D169" s="558">
        <f>'[79]Sch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'[79]Sch C'!D181</f>
        <v>0</v>
      </c>
      <c r="D170" s="558">
        <f>'[79]Sch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'[79]Sch C'!D182</f>
        <v>0</v>
      </c>
      <c r="D171" s="558">
        <f>'[79]Sch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'[79]Sch C'!D183</f>
        <v>0</v>
      </c>
      <c r="D172" s="558">
        <f>'[79]Sch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'[79]Sch C'!D184</f>
        <v>0</v>
      </c>
      <c r="D173" s="558">
        <f>'[79]Sch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'[79]Sch C'!D185</f>
        <v>0</v>
      </c>
      <c r="D174" s="558">
        <f>'[79]Sch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'[79]Sch C'!D186</f>
        <v>0</v>
      </c>
      <c r="D175" s="558">
        <f>'[79]Sch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'[79]Sch C'!D187</f>
        <v>0</v>
      </c>
      <c r="D176" s="558">
        <f>'[79]Sch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'[79]Sch C'!D188</f>
        <v>1637</v>
      </c>
      <c r="D177" s="558">
        <f>'[79]Sch C'!F188</f>
        <v>0</v>
      </c>
      <c r="E177" s="171">
        <f t="shared" si="45"/>
        <v>1637</v>
      </c>
      <c r="F177" s="216"/>
      <c r="G177" s="171">
        <f t="shared" si="46"/>
        <v>1637</v>
      </c>
      <c r="H177" s="172">
        <f t="shared" si="47"/>
        <v>2.405585434461849E-4</v>
      </c>
      <c r="I177" s="336"/>
      <c r="J177" s="223"/>
      <c r="K177" s="218"/>
      <c r="L177" s="220"/>
      <c r="M177" s="364">
        <f t="shared" si="48"/>
        <v>7.5375264757344143E-2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'[79]Sch C'!D189</f>
        <v>0</v>
      </c>
      <c r="D178" s="558">
        <f>'[79]Sch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'[79]Sch C'!D190</f>
        <v>0</v>
      </c>
      <c r="D179" s="558">
        <f>'[79]Sch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'[79]Sch C'!D191</f>
        <v>202</v>
      </c>
      <c r="D180" s="558">
        <f>'[79]Sch C'!F191</f>
        <v>0</v>
      </c>
      <c r="E180" s="171">
        <f t="shared" si="45"/>
        <v>202</v>
      </c>
      <c r="F180" s="216"/>
      <c r="G180" s="171">
        <f t="shared" si="46"/>
        <v>202</v>
      </c>
      <c r="H180" s="172">
        <f t="shared" si="47"/>
        <v>2.9684071946322142E-5</v>
      </c>
      <c r="I180" s="336"/>
      <c r="J180" s="223"/>
      <c r="K180" s="218"/>
      <c r="L180" s="220"/>
      <c r="M180" s="364">
        <f t="shared" si="48"/>
        <v>9.3010406114743538E-3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'[79]Sch C'!D192</f>
        <v>0</v>
      </c>
      <c r="D181" s="558">
        <f>'[79]Sch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'[79]Sch C'!D193</f>
        <v>3891</v>
      </c>
      <c r="D182" s="558">
        <f>'[79]Sch C'!F193</f>
        <v>-3891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'[79]Sch C'!D194</f>
        <v>378253</v>
      </c>
      <c r="D183" s="558">
        <f>'[79]Sch C'!F194</f>
        <v>-23981.25</v>
      </c>
      <c r="E183" s="171">
        <f t="shared" si="45"/>
        <v>354271.75</v>
      </c>
      <c r="F183" s="216"/>
      <c r="G183" s="171">
        <f t="shared" si="46"/>
        <v>354271.75</v>
      </c>
      <c r="H183" s="172">
        <f t="shared" si="47"/>
        <v>5.2060535225492338E-2</v>
      </c>
      <c r="I183" s="336"/>
      <c r="J183" s="223"/>
      <c r="K183" s="218"/>
      <c r="M183" s="364">
        <f t="shared" si="48"/>
        <v>16.312356110139056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'[79]Sch C'!D195</f>
        <v>44452</v>
      </c>
      <c r="D184" s="558">
        <f>'[79]Sch C'!F195</f>
        <v>-2818.28</v>
      </c>
      <c r="E184" s="171">
        <f t="shared" si="45"/>
        <v>41633.72</v>
      </c>
      <c r="F184" s="216"/>
      <c r="G184" s="171">
        <f t="shared" si="46"/>
        <v>41633.72</v>
      </c>
      <c r="H184" s="172">
        <f t="shared" si="47"/>
        <v>6.1181105934308474E-3</v>
      </c>
      <c r="I184" s="336"/>
      <c r="J184" s="223"/>
      <c r="K184" s="218"/>
      <c r="M184" s="364">
        <f t="shared" si="48"/>
        <v>1.9170144580532278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'[79]Sch C'!D196</f>
        <v>0</v>
      </c>
      <c r="D185" s="558">
        <f>'[79]Sch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'[79]Sch C'!D197</f>
        <v>58087</v>
      </c>
      <c r="D186" s="558">
        <f>'[79]Sch C'!F197</f>
        <v>-3682.73</v>
      </c>
      <c r="E186" s="171">
        <f t="shared" si="45"/>
        <v>54404.27</v>
      </c>
      <c r="F186" s="216"/>
      <c r="G186" s="171">
        <f t="shared" si="46"/>
        <v>54404.27</v>
      </c>
      <c r="H186" s="172">
        <f t="shared" si="47"/>
        <v>7.9947537864709668E-3</v>
      </c>
      <c r="I186" s="336"/>
      <c r="J186" s="223"/>
      <c r="K186" s="218"/>
      <c r="M186" s="364">
        <f t="shared" si="48"/>
        <v>2.5050313104337416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'[79]Sch C'!D198</f>
        <v>16281</v>
      </c>
      <c r="D187" s="558">
        <f>'[79]Sch C'!F198</f>
        <v>0</v>
      </c>
      <c r="E187" s="171">
        <f t="shared" si="45"/>
        <v>16281</v>
      </c>
      <c r="F187" s="216"/>
      <c r="G187" s="171">
        <f t="shared" si="46"/>
        <v>16281</v>
      </c>
      <c r="H187" s="172">
        <f t="shared" si="47"/>
        <v>2.3925068087033209E-3</v>
      </c>
      <c r="I187" s="336"/>
      <c r="J187" s="223"/>
      <c r="K187" s="218"/>
      <c r="M187" s="364">
        <f t="shared" si="48"/>
        <v>0.7496546643337324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'[79]Sch C'!D199</f>
        <v>3820</v>
      </c>
      <c r="D188" s="558">
        <f>'[79]Sch C'!F199</f>
        <v>0</v>
      </c>
      <c r="E188" s="171">
        <f t="shared" si="45"/>
        <v>3820</v>
      </c>
      <c r="F188" s="216"/>
      <c r="G188" s="171">
        <f t="shared" si="46"/>
        <v>3820</v>
      </c>
      <c r="H188" s="172">
        <f t="shared" si="47"/>
        <v>5.6135225165817129E-4</v>
      </c>
      <c r="I188" s="336"/>
      <c r="J188" s="223"/>
      <c r="K188" s="218"/>
      <c r="M188" s="364">
        <f t="shared" si="48"/>
        <v>0.17589096601897045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'[79]Sch C'!D200</f>
        <v>0</v>
      </c>
      <c r="D189" s="558">
        <f>'[79]Sch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'[79]Sch C'!D201</f>
        <v>0</v>
      </c>
      <c r="D190" s="558">
        <f>'[79]Sch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'[79]Sch C'!D202</f>
        <v>0</v>
      </c>
      <c r="D191" s="558">
        <f>'[79]Sch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'[79]Sch C'!D203</f>
        <v>3856</v>
      </c>
      <c r="D192" s="558">
        <f>'[79]Sch C'!F203</f>
        <v>0</v>
      </c>
      <c r="E192" s="171">
        <f t="shared" si="45"/>
        <v>3856</v>
      </c>
      <c r="F192" s="216"/>
      <c r="G192" s="171">
        <f t="shared" si="46"/>
        <v>3856</v>
      </c>
      <c r="H192" s="172">
        <f t="shared" si="47"/>
        <v>5.6664248230207026E-4</v>
      </c>
      <c r="I192" s="336"/>
      <c r="J192" s="223"/>
      <c r="K192" s="218"/>
      <c r="M192" s="364">
        <f t="shared" si="48"/>
        <v>0.17754857721705497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'[79]Sch C'!D204</f>
        <v>0</v>
      </c>
      <c r="D193" s="558">
        <f>'[79]Sch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'[79]Sch C'!D205</f>
        <v>123361</v>
      </c>
      <c r="D194" s="558">
        <f>'[79]Sch C'!F205</f>
        <v>0</v>
      </c>
      <c r="E194" s="171">
        <f t="shared" si="45"/>
        <v>123361</v>
      </c>
      <c r="F194" s="216"/>
      <c r="G194" s="171">
        <f t="shared" si="46"/>
        <v>123361</v>
      </c>
      <c r="H194" s="172">
        <f t="shared" si="47"/>
        <v>1.8128003957278444E-2</v>
      </c>
      <c r="I194" s="336"/>
      <c r="J194" s="223"/>
      <c r="K194" s="218"/>
      <c r="M194" s="364">
        <f t="shared" si="48"/>
        <v>5.6801270835251865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'[79]Sch C'!D206</f>
        <v>7427</v>
      </c>
      <c r="D195" s="558">
        <f>'[79]Sch C'!F206</f>
        <v>0</v>
      </c>
      <c r="E195" s="171">
        <f t="shared" si="45"/>
        <v>7427</v>
      </c>
      <c r="F195" s="216"/>
      <c r="G195" s="171">
        <f t="shared" si="46"/>
        <v>7427</v>
      </c>
      <c r="H195" s="172">
        <f t="shared" si="47"/>
        <v>1.0914039720066068E-3</v>
      </c>
      <c r="I195" s="336"/>
      <c r="J195" s="223"/>
      <c r="K195" s="218"/>
      <c r="M195" s="364">
        <f t="shared" si="48"/>
        <v>0.34197439911594069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'[79]Sch C'!D207</f>
        <v>2671</v>
      </c>
      <c r="D196" s="558">
        <f>'[79]Sch C'!F207</f>
        <v>0</v>
      </c>
      <c r="E196" s="171">
        <f t="shared" si="45"/>
        <v>2671</v>
      </c>
      <c r="F196" s="216">
        <v>6047</v>
      </c>
      <c r="G196" s="171">
        <f t="shared" si="46"/>
        <v>8718</v>
      </c>
      <c r="H196" s="172">
        <f t="shared" si="47"/>
        <v>1.2811175209308735E-3</v>
      </c>
      <c r="I196" s="555" t="s">
        <v>686</v>
      </c>
      <c r="J196" s="223"/>
      <c r="K196" s="218"/>
      <c r="M196" s="364">
        <f t="shared" si="48"/>
        <v>0.40141817846947231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643938</v>
      </c>
      <c r="D197" s="558">
        <f>SUM(D164:D196)</f>
        <v>-34373.26</v>
      </c>
      <c r="E197" s="171">
        <f t="shared" ref="E197:F197" si="49">SUM(E164:E196)</f>
        <v>609564.74</v>
      </c>
      <c r="F197" s="171">
        <f t="shared" si="49"/>
        <v>6047</v>
      </c>
      <c r="G197" s="171">
        <f>SUM(G164:G196)</f>
        <v>615611.74</v>
      </c>
      <c r="H197" s="172">
        <f>IF($G$208=0,0,G197/$G$208)</f>
        <v>9.0464669213666152E-2</v>
      </c>
      <c r="I197" s="336"/>
      <c r="J197" s="168"/>
      <c r="K197" s="168"/>
      <c r="M197" s="364">
        <f>G197/G$228</f>
        <v>28.345692052675201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'[79]Sch C'!D211</f>
        <v>225071</v>
      </c>
      <c r="D200" s="558">
        <f>'[79]Sch C'!F211</f>
        <v>0</v>
      </c>
      <c r="E200" s="171">
        <f t="shared" ref="E200:E205" si="50">C200+D200</f>
        <v>225071</v>
      </c>
      <c r="F200" s="171"/>
      <c r="G200" s="171">
        <f t="shared" ref="G200:G205" si="51">E200+F200</f>
        <v>225071</v>
      </c>
      <c r="H200" s="172">
        <f t="shared" ref="H200:H206" si="52">IF($G$208=0,0,G200/$G$208)</f>
        <v>3.3074375034805301E-2</v>
      </c>
      <c r="I200" s="336"/>
      <c r="J200" s="183">
        <v>11196</v>
      </c>
      <c r="K200" s="183">
        <v>12409</v>
      </c>
      <c r="M200" s="364">
        <f t="shared" ref="M200:M205" si="53">G200/G$228</f>
        <v>10.36333916566903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'[79]Sch C'!D212</f>
        <v>41598</v>
      </c>
      <c r="D201" s="558">
        <f>'[79]Sch C'!F212</f>
        <v>0</v>
      </c>
      <c r="E201" s="171">
        <f t="shared" si="50"/>
        <v>41598</v>
      </c>
      <c r="F201" s="171"/>
      <c r="G201" s="171">
        <f t="shared" si="51"/>
        <v>41598</v>
      </c>
      <c r="H201" s="172">
        <f t="shared" si="52"/>
        <v>6.1128615090252896E-3</v>
      </c>
      <c r="I201" s="336"/>
      <c r="J201" s="168"/>
      <c r="K201" s="168"/>
      <c r="M201" s="364">
        <f t="shared" si="53"/>
        <v>1.9153697393866838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'[79]Sch C'!D213</f>
        <v>16441</v>
      </c>
      <c r="D202" s="558">
        <f>'[79]Sch C'!F213</f>
        <v>0</v>
      </c>
      <c r="E202" s="171">
        <f t="shared" si="50"/>
        <v>16441</v>
      </c>
      <c r="F202" s="171"/>
      <c r="G202" s="171">
        <f t="shared" si="51"/>
        <v>16441</v>
      </c>
      <c r="H202" s="172">
        <f t="shared" si="52"/>
        <v>2.4160189448984275E-3</v>
      </c>
      <c r="I202" s="336"/>
      <c r="J202" s="168"/>
      <c r="K202" s="168"/>
      <c r="M202" s="364">
        <f t="shared" si="53"/>
        <v>0.7570218252141081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'[79]Sch C'!D214</f>
        <v>0</v>
      </c>
      <c r="D203" s="558">
        <f>'[79]Sch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'[79]Sch C'!D215</f>
        <v>0</v>
      </c>
      <c r="D204" s="558">
        <f>'[79]Sch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'[79]Sch C'!D216</f>
        <v>12615</v>
      </c>
      <c r="D205" s="558">
        <f>'[79]Sch C'!F216</f>
        <v>0</v>
      </c>
      <c r="E205" s="171">
        <f t="shared" si="50"/>
        <v>12615</v>
      </c>
      <c r="F205" s="171">
        <v>-6047</v>
      </c>
      <c r="G205" s="171">
        <f t="shared" si="51"/>
        <v>6568</v>
      </c>
      <c r="H205" s="172">
        <f t="shared" si="52"/>
        <v>9.6517319080912788E-4</v>
      </c>
      <c r="I205" s="555" t="s">
        <v>685</v>
      </c>
      <c r="J205" s="168"/>
      <c r="K205" s="168"/>
      <c r="M205" s="364">
        <f t="shared" si="53"/>
        <v>0.30242195413942352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295725</v>
      </c>
      <c r="D206" s="558">
        <f>SUM(D200:D205)</f>
        <v>0</v>
      </c>
      <c r="E206" s="171">
        <f t="shared" ref="E206:F206" si="54">SUM(E200:E205)</f>
        <v>295725</v>
      </c>
      <c r="F206" s="171">
        <f t="shared" si="54"/>
        <v>-6047</v>
      </c>
      <c r="G206" s="171">
        <f>SUM(G200:G205)</f>
        <v>289678</v>
      </c>
      <c r="H206" s="172">
        <f t="shared" si="52"/>
        <v>4.2568428679538146E-2</v>
      </c>
      <c r="I206" s="336"/>
      <c r="J206" s="168"/>
      <c r="K206" s="168"/>
      <c r="M206" s="364">
        <f>G206/G$228</f>
        <v>13.338152684409247</v>
      </c>
      <c r="N206" s="359">
        <f>SUMMARY!J209</f>
        <v>7.1515095990067339</v>
      </c>
      <c r="O206" s="354">
        <f>M206/N206-1</f>
        <v>0.8650821200410288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7213265</v>
      </c>
      <c r="D208" s="558">
        <f>SUM(D25:D206)/2</f>
        <v>-408268.69203801878</v>
      </c>
      <c r="E208" s="171">
        <f t="shared" ref="E208:F208" si="55">SUM(E25:E206)/2</f>
        <v>6804996.3079619808</v>
      </c>
      <c r="F208" s="171">
        <f t="shared" si="55"/>
        <v>0</v>
      </c>
      <c r="G208" s="171">
        <f>SUM(G25:G206)/2</f>
        <v>6804996.3079619808</v>
      </c>
      <c r="H208" s="172">
        <f>IF($G$208=0,0,G208/$G$208)</f>
        <v>1</v>
      </c>
      <c r="I208" s="336"/>
      <c r="J208" s="183">
        <f>SUM(J25:J200)</f>
        <v>124020.8172700546</v>
      </c>
      <c r="K208" s="183">
        <f>SUM(K25:K200)</f>
        <v>137144.39000000001</v>
      </c>
      <c r="M208" s="364">
        <f>G208/G$228</f>
        <v>313.33439119449218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1.5576603494269579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'[79]Sch C'!D221</f>
        <v>7213265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-2310154</v>
      </c>
      <c r="D215" s="558">
        <f>D21-D208</f>
        <v>407244.79203801876</v>
      </c>
      <c r="E215" s="171">
        <f t="shared" ref="E215:F215" si="56">E21-E208</f>
        <v>-1902909.2079619812</v>
      </c>
      <c r="F215" s="171">
        <f t="shared" si="56"/>
        <v>0</v>
      </c>
      <c r="G215" s="171">
        <f>G21-G208</f>
        <v>-1902909.2079619812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'[79]Sch D'!C9</f>
        <v>16110</v>
      </c>
      <c r="D219" s="592"/>
      <c r="E219" s="235">
        <f t="shared" ref="E219:G227" si="57">C219+D219</f>
        <v>16110</v>
      </c>
      <c r="F219" s="234"/>
      <c r="G219" s="235">
        <f t="shared" si="57"/>
        <v>16110</v>
      </c>
      <c r="H219" s="172">
        <f t="shared" ref="H219:H228" si="58">IF($G$228=0,0,G219/$G$228)</f>
        <v>0.74178101114283079</v>
      </c>
      <c r="I219" s="336"/>
      <c r="J219" s="168"/>
      <c r="K219" s="168"/>
    </row>
    <row r="220" spans="1:17">
      <c r="A220" s="163"/>
      <c r="B220" s="170" t="s">
        <v>217</v>
      </c>
      <c r="C220" s="592">
        <f>'[79]Sch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'[79]Sch D'!E9</f>
        <v>2278</v>
      </c>
      <c r="D221" s="592"/>
      <c r="E221" s="235">
        <f t="shared" si="59"/>
        <v>2278</v>
      </c>
      <c r="F221" s="234"/>
      <c r="G221" s="235">
        <f t="shared" si="57"/>
        <v>2278</v>
      </c>
      <c r="H221" s="172">
        <f t="shared" si="58"/>
        <v>0.10488995303434939</v>
      </c>
      <c r="I221" s="336"/>
      <c r="J221" s="168"/>
      <c r="K221" s="168"/>
    </row>
    <row r="222" spans="1:17">
      <c r="A222" s="163"/>
      <c r="B222" s="202" t="s">
        <v>334</v>
      </c>
      <c r="C222" s="592">
        <f>'[79]Sch D'!F9</f>
        <v>767</v>
      </c>
      <c r="D222" s="592"/>
      <c r="E222" s="235">
        <f>C222+D222</f>
        <v>767</v>
      </c>
      <c r="F222" s="234"/>
      <c r="G222" s="235">
        <f>E222+F222</f>
        <v>767</v>
      </c>
      <c r="H222" s="172">
        <f t="shared" si="58"/>
        <v>3.5316327470301133E-2</v>
      </c>
      <c r="I222" s="336"/>
      <c r="J222" s="168"/>
      <c r="K222" s="168"/>
    </row>
    <row r="223" spans="1:17">
      <c r="A223" s="163"/>
      <c r="B223" s="170" t="s">
        <v>73</v>
      </c>
      <c r="C223" s="592">
        <f>'[79]Sch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'[79]Sch D'!H9</f>
        <v>696</v>
      </c>
      <c r="D224" s="592"/>
      <c r="E224" s="235">
        <f t="shared" si="59"/>
        <v>696</v>
      </c>
      <c r="F224" s="234"/>
      <c r="G224" s="235">
        <f t="shared" si="57"/>
        <v>696</v>
      </c>
      <c r="H224" s="172">
        <f t="shared" si="58"/>
        <v>3.2047149829634407E-2</v>
      </c>
      <c r="I224" s="336"/>
      <c r="J224" s="168"/>
      <c r="K224" s="168"/>
    </row>
    <row r="225" spans="1:11">
      <c r="A225" s="163"/>
      <c r="B225" s="170" t="s">
        <v>236</v>
      </c>
      <c r="C225" s="592">
        <f>'[79]Sch D'!I9</f>
        <v>1637</v>
      </c>
      <c r="D225" s="592"/>
      <c r="E225" s="235">
        <f t="shared" si="59"/>
        <v>1637</v>
      </c>
      <c r="F225" s="234"/>
      <c r="G225" s="235">
        <f t="shared" si="57"/>
        <v>1637</v>
      </c>
      <c r="H225" s="172">
        <f t="shared" si="58"/>
        <v>7.5375264757344143E-2</v>
      </c>
      <c r="I225" s="336"/>
      <c r="J225" s="168"/>
      <c r="K225" s="168"/>
    </row>
    <row r="226" spans="1:11">
      <c r="A226" s="163"/>
      <c r="B226" s="170" t="s">
        <v>235</v>
      </c>
      <c r="C226" s="592">
        <f>'[79]Sch D'!J9</f>
        <v>79</v>
      </c>
      <c r="D226" s="592"/>
      <c r="E226" s="235">
        <f>C226+D226</f>
        <v>79</v>
      </c>
      <c r="F226" s="234"/>
      <c r="G226" s="235">
        <f>E226+F226</f>
        <v>79</v>
      </c>
      <c r="H226" s="172">
        <f t="shared" si="58"/>
        <v>3.6375356846855143E-3</v>
      </c>
      <c r="I226" s="336"/>
      <c r="J226" s="168"/>
      <c r="K226" s="168"/>
    </row>
    <row r="227" spans="1:11">
      <c r="A227" s="163"/>
      <c r="B227" s="170" t="s">
        <v>179</v>
      </c>
      <c r="C227" s="592">
        <f>'[79]Sch D'!K9</f>
        <v>151</v>
      </c>
      <c r="D227" s="592"/>
      <c r="E227" s="235">
        <f t="shared" si="59"/>
        <v>151</v>
      </c>
      <c r="F227" s="234"/>
      <c r="G227" s="235">
        <f t="shared" si="57"/>
        <v>151</v>
      </c>
      <c r="H227" s="172">
        <f t="shared" si="58"/>
        <v>6.9527580808545902E-3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21718</v>
      </c>
      <c r="D228" s="592">
        <f>SUM(D219:D227)</f>
        <v>0</v>
      </c>
      <c r="E228" s="237">
        <f>SUM(E219:E227)</f>
        <v>21718</v>
      </c>
      <c r="F228" s="237">
        <f>SUM(F219:F227)</f>
        <v>0</v>
      </c>
      <c r="G228" s="237">
        <f>SUM(G219:G227)</f>
        <v>21718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'[79]Sch D'!N22</f>
        <v>120</v>
      </c>
      <c r="D231" s="559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593">
        <f>'[79]Sch D'!N24</f>
        <v>120</v>
      </c>
      <c r="D232" s="559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'[79]Sch D'!N28</f>
        <v>43920</v>
      </c>
      <c r="D235" s="483"/>
      <c r="E235" s="234">
        <f>E231*E233</f>
        <v>43920</v>
      </c>
      <c r="F235" s="239"/>
      <c r="G235" s="234">
        <f>G231*G233</f>
        <v>43920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'[79]Sch D'!N30</f>
        <v>0.49448998178506376</v>
      </c>
      <c r="D236" s="239"/>
      <c r="E236" s="244">
        <f>E228/E235</f>
        <v>0.49448998178506376</v>
      </c>
      <c r="F236" s="245"/>
      <c r="G236" s="244">
        <f>G228/G235</f>
        <v>0.49448998178506376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'[79]Sch D'!N32</f>
        <v>0.36680327868852458</v>
      </c>
      <c r="D237" s="239"/>
      <c r="E237" s="244">
        <f>(E219+E220)/E235</f>
        <v>0.36680327868852458</v>
      </c>
      <c r="F237" s="245"/>
      <c r="G237" s="244">
        <f>(G219+G220)/G235</f>
        <v>0.36680327868852458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'[79]Sch D'!N34</f>
        <v>0.74178101114283079</v>
      </c>
      <c r="D238" s="239"/>
      <c r="E238" s="244">
        <f>(E237/E236)</f>
        <v>0.74178101114283079</v>
      </c>
      <c r="F238" s="245"/>
      <c r="G238" s="244">
        <f>(G237/G236)</f>
        <v>0.74178101114283079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'[79]Sch B'!C85</f>
        <v>202.81512605042016</v>
      </c>
    </row>
    <row r="242" spans="2:7">
      <c r="F242" s="142" t="s">
        <v>341</v>
      </c>
      <c r="G242" s="558">
        <f>'[79]Sch B'!E85</f>
        <v>219.26923076923077</v>
      </c>
    </row>
    <row r="243" spans="2:7">
      <c r="F243" s="142" t="s">
        <v>342</v>
      </c>
      <c r="G243" s="558">
        <f>'[79]Sch B'!G85</f>
        <v>222.80172413793105</v>
      </c>
    </row>
    <row r="244" spans="2:7">
      <c r="F244" s="142" t="s">
        <v>343</v>
      </c>
      <c r="G244" s="558">
        <f>'[79]Sch B'!I85</f>
        <v>236.81176470588235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12" sqref="F12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1">
    <tabColor rgb="FFE28CAB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13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383</v>
      </c>
      <c r="D2" s="144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'[80]Sch B'!E10</f>
        <v>1626417</v>
      </c>
      <c r="D11" s="558">
        <f>'[80]Sch B'!G10</f>
        <v>0</v>
      </c>
      <c r="E11" s="171">
        <f>C11+D11</f>
        <v>1626417</v>
      </c>
      <c r="F11" s="171"/>
      <c r="G11" s="171">
        <f t="shared" ref="G11:G20" si="0">E11+F11</f>
        <v>1626417</v>
      </c>
      <c r="H11" s="172">
        <f t="shared" ref="H11:H21" si="1">IF($G$21=0,0,G11/$G$21)</f>
        <v>0.37189696567809205</v>
      </c>
      <c r="I11" s="336"/>
      <c r="J11" s="368" t="s">
        <v>344</v>
      </c>
      <c r="K11" s="369">
        <f>G21</f>
        <v>4373300</v>
      </c>
      <c r="M11" s="359">
        <f>IFERROR(G11/G219,0)</f>
        <v>194.850485204265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'[80]Sch B'!E15</f>
        <v>0</v>
      </c>
      <c r="D12" s="558">
        <f>'[80]Sch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4008277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'[80]Sch B'!E21</f>
        <v>1533534</v>
      </c>
      <c r="D13" s="558">
        <f>'[80]Sch B'!G21</f>
        <v>0</v>
      </c>
      <c r="E13" s="171">
        <f t="shared" si="2"/>
        <v>1533534</v>
      </c>
      <c r="F13" s="171"/>
      <c r="G13" s="171">
        <f t="shared" si="0"/>
        <v>1533534</v>
      </c>
      <c r="H13" s="172">
        <f t="shared" si="1"/>
        <v>0.35065831294445843</v>
      </c>
      <c r="I13" s="336"/>
      <c r="J13" s="370" t="s">
        <v>346</v>
      </c>
      <c r="K13" s="371">
        <f>G228</f>
        <v>16546</v>
      </c>
      <c r="M13" s="359">
        <f t="shared" si="3"/>
        <v>521.61020408163267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'[80]Sch B'!E27</f>
        <v>179015</v>
      </c>
      <c r="D14" s="558">
        <f>'[80]Sch B'!G27</f>
        <v>0</v>
      </c>
      <c r="E14" s="171">
        <f t="shared" si="2"/>
        <v>179015</v>
      </c>
      <c r="F14" s="175"/>
      <c r="G14" s="175">
        <f>E14+F14</f>
        <v>179015</v>
      </c>
      <c r="H14" s="176">
        <f t="shared" si="1"/>
        <v>4.0933619920883541E-2</v>
      </c>
      <c r="I14" s="337"/>
      <c r="J14" s="370" t="s">
        <v>347</v>
      </c>
      <c r="K14" s="371">
        <f>G231</f>
        <v>84</v>
      </c>
      <c r="M14" s="359">
        <f t="shared" si="3"/>
        <v>476.10372340425533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'[80]Sch B'!E32</f>
        <v>0</v>
      </c>
      <c r="D15" s="558">
        <f>'[80]Sch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30744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'[80]Sch B'!E37</f>
        <v>461285</v>
      </c>
      <c r="D16" s="558">
        <f>'[80]Sch B'!G37</f>
        <v>0</v>
      </c>
      <c r="E16" s="171">
        <f t="shared" si="2"/>
        <v>461285</v>
      </c>
      <c r="F16" s="171"/>
      <c r="G16" s="171">
        <f t="shared" si="0"/>
        <v>461285</v>
      </c>
      <c r="H16" s="172">
        <f t="shared" si="1"/>
        <v>0.10547755699357464</v>
      </c>
      <c r="I16" s="336"/>
      <c r="J16" s="372"/>
      <c r="K16" s="371"/>
      <c r="M16" s="359">
        <f t="shared" si="3"/>
        <v>164.09996442547137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'[80]Sch B'!E42</f>
        <v>229365</v>
      </c>
      <c r="D17" s="558">
        <f>'[80]Sch B'!G42</f>
        <v>0</v>
      </c>
      <c r="E17" s="171">
        <f t="shared" si="2"/>
        <v>229365</v>
      </c>
      <c r="F17" s="171"/>
      <c r="G17" s="171">
        <f>E17+F17</f>
        <v>229365</v>
      </c>
      <c r="H17" s="172">
        <f t="shared" si="1"/>
        <v>5.2446664989824615E-2</v>
      </c>
      <c r="I17" s="336"/>
      <c r="J17" s="370" t="s">
        <v>156</v>
      </c>
      <c r="K17" s="371">
        <f>J208</f>
        <v>84735</v>
      </c>
      <c r="M17" s="359">
        <f t="shared" si="3"/>
        <v>187.85012285012286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'[80]Sch B'!E47</f>
        <v>0</v>
      </c>
      <c r="D18" s="558">
        <f>'[80]Sch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91111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'[80]Sch B'!E52</f>
        <v>272166</v>
      </c>
      <c r="D19" s="558">
        <f>'[80]Sch B'!G52</f>
        <v>0</v>
      </c>
      <c r="E19" s="171">
        <f t="shared" si="2"/>
        <v>272166</v>
      </c>
      <c r="F19" s="171"/>
      <c r="G19" s="171">
        <f t="shared" si="0"/>
        <v>272166</v>
      </c>
      <c r="H19" s="172">
        <f t="shared" si="1"/>
        <v>6.2233553609402512E-2</v>
      </c>
      <c r="I19" s="336"/>
      <c r="J19" s="168"/>
      <c r="K19" s="168"/>
      <c r="M19" s="359">
        <f t="shared" si="3"/>
        <v>319.8190364277321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'[80]Sch B'!E67</f>
        <v>88045</v>
      </c>
      <c r="D20" s="558">
        <f>'[80]Sch B'!G67</f>
        <v>-16527</v>
      </c>
      <c r="E20" s="171">
        <f t="shared" si="2"/>
        <v>71518</v>
      </c>
      <c r="F20" s="171"/>
      <c r="G20" s="171">
        <f t="shared" si="0"/>
        <v>71518</v>
      </c>
      <c r="H20" s="172">
        <f t="shared" si="1"/>
        <v>1.6353325863764204E-2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4389827</v>
      </c>
      <c r="D21" s="558">
        <f>SUM(D11:D20)</f>
        <v>-16527</v>
      </c>
      <c r="E21" s="171">
        <f>SUM(E11:E20)</f>
        <v>4373300</v>
      </c>
      <c r="F21" s="171">
        <f>SUM(F11:F20)</f>
        <v>0</v>
      </c>
      <c r="G21" s="171">
        <f>SUM(G11:G20)</f>
        <v>4373300</v>
      </c>
      <c r="H21" s="172">
        <f t="shared" si="1"/>
        <v>1</v>
      </c>
      <c r="I21" s="336"/>
      <c r="J21" s="168"/>
      <c r="K21" s="168"/>
      <c r="M21" s="359">
        <f>IFERROR(G21/G228,0)</f>
        <v>264.31161610056813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'[80]Sch C'!D10</f>
        <v>0</v>
      </c>
      <c r="D25" s="558">
        <f>'[80]Sch C'!F10</f>
        <v>119036</v>
      </c>
      <c r="E25" s="171">
        <f t="shared" ref="E25:E60" si="4">C25+D25</f>
        <v>119036</v>
      </c>
      <c r="F25" s="171"/>
      <c r="G25" s="182">
        <f>E25+F25</f>
        <v>119036</v>
      </c>
      <c r="H25" s="172">
        <f>IF($G$208=0,0,G25/$G$208)</f>
        <v>2.9697548348080735E-2</v>
      </c>
      <c r="I25" s="336"/>
      <c r="J25" s="183">
        <v>1747</v>
      </c>
      <c r="K25" s="183">
        <v>1975</v>
      </c>
      <c r="M25" s="359">
        <f>G25/G$228</f>
        <v>7.1942463435271362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'[80]Sch C'!D11</f>
        <v>0</v>
      </c>
      <c r="D26" s="558">
        <f>'[80]Sch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'[80]Sch C'!D12</f>
        <v>193871</v>
      </c>
      <c r="D27" s="558">
        <f>'[80]Sch C'!F12</f>
        <v>-119036</v>
      </c>
      <c r="E27" s="171">
        <f t="shared" si="4"/>
        <v>74835</v>
      </c>
      <c r="F27" s="171"/>
      <c r="G27" s="171">
        <f t="shared" si="5"/>
        <v>74835</v>
      </c>
      <c r="H27" s="172">
        <f t="shared" si="6"/>
        <v>1.8670116860686026E-2</v>
      </c>
      <c r="I27" s="336"/>
      <c r="J27" s="185">
        <v>6531</v>
      </c>
      <c r="K27" s="185">
        <v>6769</v>
      </c>
      <c r="M27" s="359">
        <f t="shared" si="7"/>
        <v>4.5228454007010761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'[80]Sch C'!D13</f>
        <v>49589</v>
      </c>
      <c r="D28" s="558">
        <f>'[80]Sch C'!F13</f>
        <v>0</v>
      </c>
      <c r="E28" s="171">
        <f t="shared" si="4"/>
        <v>49589</v>
      </c>
      <c r="F28" s="171"/>
      <c r="G28" s="171">
        <f t="shared" si="5"/>
        <v>49589</v>
      </c>
      <c r="H28" s="172">
        <f t="shared" si="6"/>
        <v>1.2371649963313414E-2</v>
      </c>
      <c r="I28" s="336"/>
      <c r="J28" s="168"/>
      <c r="K28" s="168"/>
      <c r="M28" s="359">
        <f t="shared" si="7"/>
        <v>2.997038559168379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'[80]Sch C'!D14</f>
        <v>0</v>
      </c>
      <c r="D29" s="558">
        <f>'[80]Sch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'[80]Sch C'!D15</f>
        <v>0</v>
      </c>
      <c r="D30" s="558">
        <f>'[80]Sch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'[80]Sch C'!D16</f>
        <v>216876</v>
      </c>
      <c r="D31" s="558">
        <f>'[80]Sch C'!F16</f>
        <v>-34804</v>
      </c>
      <c r="E31" s="171">
        <f t="shared" si="4"/>
        <v>182072</v>
      </c>
      <c r="F31" s="171"/>
      <c r="G31" s="171">
        <f t="shared" si="5"/>
        <v>182072</v>
      </c>
      <c r="H31" s="172">
        <f t="shared" si="6"/>
        <v>4.542400637480893E-2</v>
      </c>
      <c r="I31" s="336"/>
      <c r="J31" s="168"/>
      <c r="K31" s="168"/>
      <c r="M31" s="359">
        <f t="shared" si="7"/>
        <v>11.003988879487489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'[80]Sch C'!D17</f>
        <v>541</v>
      </c>
      <c r="D32" s="558">
        <f>'[80]Sch C'!F17</f>
        <v>-541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'[80]Sch C'!D18</f>
        <v>23418</v>
      </c>
      <c r="D33" s="558">
        <f>'[80]Sch C'!F18</f>
        <v>0</v>
      </c>
      <c r="E33" s="171">
        <f t="shared" si="4"/>
        <v>23418</v>
      </c>
      <c r="F33" s="171"/>
      <c r="G33" s="171">
        <f t="shared" si="5"/>
        <v>23418</v>
      </c>
      <c r="H33" s="172">
        <f t="shared" si="6"/>
        <v>5.8424105918827469E-3</v>
      </c>
      <c r="I33" s="336"/>
      <c r="J33" s="168"/>
      <c r="K33" s="168"/>
      <c r="M33" s="359">
        <f t="shared" si="7"/>
        <v>1.4153269672428381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'[80]Sch C'!D19</f>
        <v>9950</v>
      </c>
      <c r="D34" s="558">
        <f>'[80]Sch C'!F19</f>
        <v>0</v>
      </c>
      <c r="E34" s="171">
        <f t="shared" si="4"/>
        <v>9950</v>
      </c>
      <c r="F34" s="171"/>
      <c r="G34" s="171">
        <f t="shared" si="5"/>
        <v>9950</v>
      </c>
      <c r="H34" s="172">
        <f t="shared" si="6"/>
        <v>2.4823633695974603E-3</v>
      </c>
      <c r="I34" s="336"/>
      <c r="J34" s="168"/>
      <c r="K34" s="168"/>
      <c r="M34" s="359">
        <f t="shared" si="7"/>
        <v>0.60135380152302675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'[80]Sch C'!D20</f>
        <v>10638</v>
      </c>
      <c r="D35" s="558">
        <f>'[80]Sch C'!F20</f>
        <v>-42</v>
      </c>
      <c r="E35" s="171">
        <f t="shared" si="4"/>
        <v>10596</v>
      </c>
      <c r="F35" s="171"/>
      <c r="G35" s="171">
        <f t="shared" si="5"/>
        <v>10596</v>
      </c>
      <c r="H35" s="172">
        <f t="shared" si="6"/>
        <v>2.6435298758044914E-3</v>
      </c>
      <c r="I35" s="336"/>
      <c r="J35" s="168"/>
      <c r="K35" s="168"/>
      <c r="M35" s="359">
        <f t="shared" si="7"/>
        <v>0.64039647044602921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'[80]Sch C'!D21</f>
        <v>8631</v>
      </c>
      <c r="D36" s="558">
        <f>'[80]Sch C'!F21</f>
        <v>0</v>
      </c>
      <c r="E36" s="171">
        <f t="shared" si="4"/>
        <v>8631</v>
      </c>
      <c r="F36" s="171"/>
      <c r="G36" s="171">
        <f t="shared" si="5"/>
        <v>8631</v>
      </c>
      <c r="H36" s="172">
        <f t="shared" si="6"/>
        <v>2.1532942957784604E-3</v>
      </c>
      <c r="I36" s="336"/>
      <c r="J36" s="168"/>
      <c r="K36" s="168"/>
      <c r="M36" s="359">
        <f t="shared" si="7"/>
        <v>0.52163664934123055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'[80]Sch C'!D22</f>
        <v>0</v>
      </c>
      <c r="D37" s="558">
        <f>'[80]Sch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'[80]Sch C'!D23</f>
        <v>8232</v>
      </c>
      <c r="D38" s="558">
        <f>'[80]Sch C'!F23</f>
        <v>0</v>
      </c>
      <c r="E38" s="171">
        <f t="shared" si="4"/>
        <v>8232</v>
      </c>
      <c r="F38" s="171"/>
      <c r="G38" s="171">
        <f t="shared" si="5"/>
        <v>8232</v>
      </c>
      <c r="H38" s="172">
        <f t="shared" si="6"/>
        <v>2.0537502772388235E-3</v>
      </c>
      <c r="I38" s="336"/>
      <c r="J38" s="168"/>
      <c r="K38" s="168"/>
      <c r="M38" s="359">
        <f t="shared" si="7"/>
        <v>0.49752205971231717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'[80]Sch C'!D24</f>
        <v>10435</v>
      </c>
      <c r="D39" s="558">
        <f>'[80]Sch C'!F24</f>
        <v>0</v>
      </c>
      <c r="E39" s="171">
        <f t="shared" si="4"/>
        <v>10435</v>
      </c>
      <c r="F39" s="171"/>
      <c r="G39" s="171">
        <f t="shared" si="5"/>
        <v>10435</v>
      </c>
      <c r="H39" s="172">
        <f t="shared" si="6"/>
        <v>2.6033629911306031E-3</v>
      </c>
      <c r="I39" s="336"/>
      <c r="J39" s="168"/>
      <c r="K39" s="168"/>
      <c r="M39" s="359">
        <f t="shared" si="7"/>
        <v>0.6306660219992748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'[80]Sch C'!D25</f>
        <v>2767</v>
      </c>
      <c r="D40" s="558">
        <f>'[80]Sch C'!F25</f>
        <v>0</v>
      </c>
      <c r="E40" s="171">
        <f t="shared" si="4"/>
        <v>2767</v>
      </c>
      <c r="F40" s="171"/>
      <c r="G40" s="171">
        <f t="shared" si="5"/>
        <v>2767</v>
      </c>
      <c r="H40" s="172">
        <f t="shared" si="6"/>
        <v>6.9032155212825862E-4</v>
      </c>
      <c r="I40" s="336"/>
      <c r="J40" s="168"/>
      <c r="K40" s="168"/>
      <c r="M40" s="359">
        <f t="shared" si="7"/>
        <v>0.16723075063459447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'[80]Sch C'!D26</f>
        <v>242974</v>
      </c>
      <c r="D41" s="558">
        <f>'[80]Sch C'!F26</f>
        <v>0</v>
      </c>
      <c r="E41" s="171">
        <f t="shared" si="4"/>
        <v>242974</v>
      </c>
      <c r="F41" s="171"/>
      <c r="G41" s="171">
        <f t="shared" si="5"/>
        <v>242974</v>
      </c>
      <c r="H41" s="172">
        <f t="shared" si="6"/>
        <v>6.0618066066791293E-2</v>
      </c>
      <c r="I41" s="336"/>
      <c r="J41" s="168"/>
      <c r="K41" s="168"/>
      <c r="M41" s="359">
        <f t="shared" si="7"/>
        <v>14.684757645352351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'[80]Sch C'!D27</f>
        <v>176378</v>
      </c>
      <c r="D42" s="558">
        <f>'[80]Sch C'!F27</f>
        <v>-171534</v>
      </c>
      <c r="E42" s="171">
        <f t="shared" si="4"/>
        <v>4844</v>
      </c>
      <c r="F42" s="171"/>
      <c r="G42" s="171">
        <f t="shared" si="5"/>
        <v>4844</v>
      </c>
      <c r="H42" s="172">
        <f t="shared" si="6"/>
        <v>1.2084993127969947E-3</v>
      </c>
      <c r="I42" s="336"/>
      <c r="J42" s="168"/>
      <c r="K42" s="168"/>
      <c r="M42" s="359">
        <f t="shared" si="7"/>
        <v>0.29275957935452679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'[80]Sch C'!D28</f>
        <v>0</v>
      </c>
      <c r="D43" s="558">
        <f>'[80]Sch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'[80]Sch C'!D29</f>
        <v>74603</v>
      </c>
      <c r="D44" s="558">
        <f>'[80]Sch C'!F29</f>
        <v>-74603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'[80]Sch C'!D30</f>
        <v>0</v>
      </c>
      <c r="D45" s="558">
        <f>'[80]Sch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'[80]Sch C'!D31</f>
        <v>0</v>
      </c>
      <c r="D46" s="558">
        <f>'[80]Sch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'[80]Sch C'!D32</f>
        <v>55333</v>
      </c>
      <c r="D47" s="558">
        <f>'[80]Sch C'!F32</f>
        <v>0</v>
      </c>
      <c r="E47" s="171">
        <f t="shared" si="4"/>
        <v>55333</v>
      </c>
      <c r="F47" s="171"/>
      <c r="G47" s="171">
        <f t="shared" si="5"/>
        <v>55333</v>
      </c>
      <c r="H47" s="172">
        <f t="shared" si="6"/>
        <v>1.3804684656275002E-2</v>
      </c>
      <c r="I47" s="336"/>
      <c r="J47" s="168"/>
      <c r="K47" s="168"/>
      <c r="M47" s="359">
        <f t="shared" si="7"/>
        <v>3.3441919497159436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'[80]Sch C'!D33</f>
        <v>0</v>
      </c>
      <c r="D48" s="558">
        <f>'[80]Sch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'[80]Sch C'!D34</f>
        <v>163</v>
      </c>
      <c r="D49" s="558">
        <f>'[80]Sch C'!F34</f>
        <v>0</v>
      </c>
      <c r="E49" s="171">
        <f t="shared" si="4"/>
        <v>163</v>
      </c>
      <c r="F49" s="171"/>
      <c r="G49" s="171">
        <f t="shared" si="5"/>
        <v>163</v>
      </c>
      <c r="H49" s="172">
        <f t="shared" si="6"/>
        <v>4.0665852185365431E-5</v>
      </c>
      <c r="I49" s="336"/>
      <c r="J49" s="168"/>
      <c r="K49" s="168"/>
      <c r="M49" s="359">
        <f t="shared" si="7"/>
        <v>9.851323582739031E-3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'[80]Sch C'!D35</f>
        <v>0</v>
      </c>
      <c r="D50" s="558">
        <f>'[80]Sch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'[80]Sch C'!D36</f>
        <v>37282</v>
      </c>
      <c r="D51" s="558">
        <f>'[80]Sch C'!F36</f>
        <v>0</v>
      </c>
      <c r="E51" s="171">
        <f t="shared" si="4"/>
        <v>37282</v>
      </c>
      <c r="F51" s="171"/>
      <c r="G51" s="171">
        <f t="shared" si="5"/>
        <v>37282</v>
      </c>
      <c r="H51" s="172">
        <f t="shared" si="6"/>
        <v>9.3012533814404545E-3</v>
      </c>
      <c r="I51" s="336"/>
      <c r="J51" s="183">
        <v>3452</v>
      </c>
      <c r="K51" s="183">
        <v>3612</v>
      </c>
      <c r="M51" s="359">
        <f t="shared" si="7"/>
        <v>2.2532334098875859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'[80]Sch C'!D37</f>
        <v>4413</v>
      </c>
      <c r="D52" s="558">
        <f>'[80]Sch C'!F37</f>
        <v>0</v>
      </c>
      <c r="E52" s="171">
        <f t="shared" si="4"/>
        <v>4413</v>
      </c>
      <c r="F52" s="171"/>
      <c r="G52" s="171">
        <f t="shared" si="5"/>
        <v>4413</v>
      </c>
      <c r="H52" s="172">
        <f t="shared" si="6"/>
        <v>1.100971814073728E-3</v>
      </c>
      <c r="I52" s="336"/>
      <c r="J52" s="168"/>
      <c r="K52" s="168"/>
      <c r="M52" s="359">
        <f t="shared" si="7"/>
        <v>0.266710987549861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'[80]Sch C'!D38</f>
        <v>0</v>
      </c>
      <c r="D53" s="558">
        <f>'[80]Sch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'[80]Sch C'!D39</f>
        <v>4618</v>
      </c>
      <c r="D54" s="558">
        <f>'[80]Sch C'!F39</f>
        <v>0</v>
      </c>
      <c r="E54" s="171">
        <f t="shared" si="4"/>
        <v>4618</v>
      </c>
      <c r="F54" s="171"/>
      <c r="G54" s="171">
        <f t="shared" si="5"/>
        <v>4618</v>
      </c>
      <c r="H54" s="172">
        <f t="shared" si="6"/>
        <v>1.1521159840001077E-3</v>
      </c>
      <c r="I54" s="336"/>
      <c r="J54" s="168"/>
      <c r="K54" s="168"/>
      <c r="M54" s="359">
        <f t="shared" si="7"/>
        <v>0.27910068898827511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'[80]Sch C'!D40</f>
        <v>2049</v>
      </c>
      <c r="D55" s="558">
        <f>'[80]Sch C'!F40</f>
        <v>-2063</v>
      </c>
      <c r="E55" s="171">
        <f t="shared" si="4"/>
        <v>-14</v>
      </c>
      <c r="F55" s="171"/>
      <c r="G55" s="171">
        <f t="shared" si="5"/>
        <v>-14</v>
      </c>
      <c r="H55" s="172">
        <f t="shared" si="6"/>
        <v>-3.4927725803381354E-6</v>
      </c>
      <c r="I55" s="336"/>
      <c r="J55" s="168"/>
      <c r="K55" s="168"/>
      <c r="M55" s="359">
        <f t="shared" si="7"/>
        <v>-8.4612595189169587E-4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'[80]Sch C'!D41</f>
        <v>38728</v>
      </c>
      <c r="D56" s="558">
        <f>'[80]Sch C'!F41</f>
        <v>0</v>
      </c>
      <c r="E56" s="171">
        <f t="shared" si="4"/>
        <v>38728</v>
      </c>
      <c r="F56" s="171"/>
      <c r="G56" s="171">
        <f t="shared" si="5"/>
        <v>38728</v>
      </c>
      <c r="H56" s="172">
        <f t="shared" si="6"/>
        <v>9.6620068922382354E-3</v>
      </c>
      <c r="I56" s="336"/>
      <c r="J56" s="168"/>
      <c r="K56" s="168"/>
      <c r="M56" s="359">
        <f t="shared" si="7"/>
        <v>2.3406261332043998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'[80]Sch C'!D42</f>
        <v>1519</v>
      </c>
      <c r="D57" s="558">
        <f>'[80]Sch C'!F42</f>
        <v>0</v>
      </c>
      <c r="E57" s="171">
        <f t="shared" si="4"/>
        <v>1519</v>
      </c>
      <c r="F57" s="171"/>
      <c r="G57" s="171">
        <f t="shared" si="5"/>
        <v>1519</v>
      </c>
      <c r="H57" s="172">
        <f t="shared" si="6"/>
        <v>3.7896582496668767E-4</v>
      </c>
      <c r="I57" s="336"/>
      <c r="J57" s="168"/>
      <c r="K57" s="168"/>
      <c r="M57" s="359">
        <f t="shared" si="7"/>
        <v>9.1804665780248998E-2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'[80]Sch C'!D43</f>
        <v>8053</v>
      </c>
      <c r="D58" s="558">
        <f>'[80]Sch C'!F43</f>
        <v>-8053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'[80]Sch C'!D44</f>
        <v>0</v>
      </c>
      <c r="D59" s="558">
        <f>'[80]Sch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'[80]Sch C'!D45</f>
        <v>8022</v>
      </c>
      <c r="D60" s="558">
        <f>'[80]Sch C'!F45</f>
        <v>-15377</v>
      </c>
      <c r="E60" s="171">
        <f t="shared" si="4"/>
        <v>-7355</v>
      </c>
      <c r="F60" s="171"/>
      <c r="G60" s="171">
        <f t="shared" si="5"/>
        <v>-7355</v>
      </c>
      <c r="H60" s="172">
        <f t="shared" si="6"/>
        <v>-1.8349530234562132E-3</v>
      </c>
      <c r="I60" s="336"/>
      <c r="J60" s="168"/>
      <c r="K60" s="168"/>
      <c r="M60" s="359">
        <f t="shared" si="7"/>
        <v>-0.44451831258310165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1189083</v>
      </c>
      <c r="D61" s="558">
        <f>SUM(D25:D60)</f>
        <v>-307017</v>
      </c>
      <c r="E61" s="171">
        <f t="shared" ref="E61:F61" si="8">SUM(E25:E60)</f>
        <v>882066</v>
      </c>
      <c r="F61" s="171">
        <f t="shared" si="8"/>
        <v>0</v>
      </c>
      <c r="G61" s="171">
        <f>SUM(G25:G60)</f>
        <v>882066</v>
      </c>
      <c r="H61" s="186">
        <f t="shared" si="6"/>
        <v>0.22006113848918127</v>
      </c>
      <c r="I61" s="338"/>
      <c r="J61" s="168"/>
      <c r="K61" s="168"/>
      <c r="M61" s="364">
        <f>G61/G$228</f>
        <v>53.309923848664333</v>
      </c>
      <c r="N61" s="359">
        <f>SUMMARY!J64</f>
        <v>53.728790309602623</v>
      </c>
      <c r="O61" s="354">
        <f>M61/N61-1</f>
        <v>-7.7959406590888403E-3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'[80]Sch C'!D57</f>
        <v>0</v>
      </c>
      <c r="D64" s="558">
        <f>'[80]Sch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'[80]Sch C'!D58</f>
        <v>14650</v>
      </c>
      <c r="D65" s="558">
        <f>'[80]Sch C'!F58</f>
        <v>0</v>
      </c>
      <c r="E65" s="171">
        <f t="shared" si="9"/>
        <v>14650</v>
      </c>
      <c r="F65" s="171"/>
      <c r="G65" s="171">
        <f t="shared" si="10"/>
        <v>14650</v>
      </c>
      <c r="H65" s="172">
        <f t="shared" si="11"/>
        <v>3.6549370215681201E-3</v>
      </c>
      <c r="I65" s="336"/>
      <c r="J65" s="190"/>
      <c r="K65" s="168"/>
      <c r="M65" s="359">
        <f t="shared" si="12"/>
        <v>0.88541037108666742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'[80]Sch C'!D59</f>
        <v>0</v>
      </c>
      <c r="D66" s="558">
        <f>'[80]Sch C'!F59</f>
        <v>171453</v>
      </c>
      <c r="E66" s="171">
        <f t="shared" si="9"/>
        <v>171453</v>
      </c>
      <c r="F66" s="171"/>
      <c r="G66" s="171">
        <f t="shared" si="10"/>
        <v>171453</v>
      </c>
      <c r="H66" s="172">
        <f t="shared" si="11"/>
        <v>4.2774738372622453E-2</v>
      </c>
      <c r="I66" s="336"/>
      <c r="J66" s="190"/>
      <c r="K66" s="168"/>
      <c r="M66" s="359">
        <f t="shared" si="12"/>
        <v>10.362202344977637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'[80]Sch C'!D60</f>
        <v>11595</v>
      </c>
      <c r="D67" s="558">
        <f>'[80]Sch C'!F60</f>
        <v>0</v>
      </c>
      <c r="E67" s="171">
        <f t="shared" si="9"/>
        <v>11595</v>
      </c>
      <c r="F67" s="171"/>
      <c r="G67" s="171">
        <f t="shared" si="10"/>
        <v>11595</v>
      </c>
      <c r="H67" s="172">
        <f t="shared" si="11"/>
        <v>2.8927641477871913E-3</v>
      </c>
      <c r="I67" s="336"/>
      <c r="J67" s="193"/>
      <c r="K67" s="168"/>
      <c r="M67" s="359">
        <f t="shared" si="12"/>
        <v>0.70077360087030094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'[80]Sch C'!D61</f>
        <v>9733</v>
      </c>
      <c r="D68" s="558">
        <f>'[80]Sch C'!F61</f>
        <v>0</v>
      </c>
      <c r="E68" s="171">
        <f t="shared" si="9"/>
        <v>9733</v>
      </c>
      <c r="F68" s="171"/>
      <c r="G68" s="171">
        <f t="shared" si="10"/>
        <v>9733</v>
      </c>
      <c r="H68" s="172">
        <f t="shared" si="11"/>
        <v>2.4282253946022194E-3</v>
      </c>
      <c r="I68" s="336"/>
      <c r="J68" s="193"/>
      <c r="K68" s="168"/>
      <c r="M68" s="359">
        <f t="shared" si="12"/>
        <v>0.5882388492687054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'[80]Sch C'!D62</f>
        <v>925</v>
      </c>
      <c r="D69" s="558">
        <f>'[80]Sch C'!F62</f>
        <v>0</v>
      </c>
      <c r="E69" s="171">
        <f t="shared" si="9"/>
        <v>925</v>
      </c>
      <c r="F69" s="171"/>
      <c r="G69" s="171">
        <f t="shared" si="10"/>
        <v>925</v>
      </c>
      <c r="H69" s="172">
        <f t="shared" si="11"/>
        <v>2.3077247405805536E-4</v>
      </c>
      <c r="I69" s="336"/>
      <c r="J69" s="195"/>
      <c r="K69" s="168"/>
      <c r="M69" s="359">
        <f t="shared" si="12"/>
        <v>5.5904750392844191E-2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'[80]Sch C'!D63</f>
        <v>0</v>
      </c>
      <c r="D70" s="558">
        <f>'[80]Sch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'[80]Sch C'!D64</f>
        <v>0</v>
      </c>
      <c r="D71" s="558">
        <f>'[80]Sch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'[80]Sch C'!D65</f>
        <v>4136</v>
      </c>
      <c r="D72" s="558">
        <f>'[80]Sch C'!F65</f>
        <v>0</v>
      </c>
      <c r="E72" s="171">
        <f t="shared" si="9"/>
        <v>4136</v>
      </c>
      <c r="F72" s="171"/>
      <c r="G72" s="171">
        <f t="shared" si="10"/>
        <v>4136</v>
      </c>
      <c r="H72" s="172">
        <f t="shared" si="11"/>
        <v>1.0318648137341805E-3</v>
      </c>
      <c r="I72" s="336"/>
      <c r="J72" s="195"/>
      <c r="K72" s="168"/>
      <c r="M72" s="359">
        <f t="shared" si="12"/>
        <v>0.24996978121600386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'[80]Sch C'!D66</f>
        <v>30244</v>
      </c>
      <c r="D73" s="558">
        <f>'[80]Sch C'!F66</f>
        <v>70</v>
      </c>
      <c r="E73" s="171">
        <f t="shared" si="9"/>
        <v>30314</v>
      </c>
      <c r="F73" s="171"/>
      <c r="G73" s="171">
        <f t="shared" si="10"/>
        <v>30314</v>
      </c>
      <c r="H73" s="172">
        <f t="shared" si="11"/>
        <v>7.5628505714550164E-3</v>
      </c>
      <c r="I73" s="336"/>
      <c r="J73" s="195"/>
      <c r="K73" s="168"/>
      <c r="M73" s="359">
        <f t="shared" si="12"/>
        <v>1.8321044361174907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'[80]Sch C'!D67</f>
        <v>279055</v>
      </c>
      <c r="D74" s="558">
        <f>'[80]Sch C'!F67</f>
        <v>0</v>
      </c>
      <c r="E74" s="171">
        <f t="shared" si="9"/>
        <v>279055</v>
      </c>
      <c r="F74" s="171"/>
      <c r="G74" s="171">
        <f t="shared" si="10"/>
        <v>279055</v>
      </c>
      <c r="H74" s="172">
        <f t="shared" si="11"/>
        <v>6.9619689457589881E-2</v>
      </c>
      <c r="I74" s="336"/>
      <c r="J74" s="195"/>
      <c r="K74" s="168"/>
      <c r="M74" s="359">
        <f t="shared" si="12"/>
        <v>16.865405536081227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'[80]Sch C'!D68</f>
        <v>0</v>
      </c>
      <c r="D75" s="558">
        <f>'[80]Sch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'[80]Sch C'!D69</f>
        <v>3217</v>
      </c>
      <c r="D76" s="558">
        <f>'[80]Sch C'!F69</f>
        <v>0</v>
      </c>
      <c r="E76" s="171">
        <f t="shared" si="9"/>
        <v>3217</v>
      </c>
      <c r="F76" s="171"/>
      <c r="G76" s="171">
        <f t="shared" si="10"/>
        <v>3217</v>
      </c>
      <c r="H76" s="172">
        <f t="shared" si="11"/>
        <v>8.0258924221055579E-4</v>
      </c>
      <c r="I76" s="336"/>
      <c r="J76" s="195"/>
      <c r="K76" s="168"/>
      <c r="M76" s="359">
        <f t="shared" si="12"/>
        <v>0.19442765623111327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'[80]Sch C'!D70</f>
        <v>0</v>
      </c>
      <c r="D77" s="558">
        <f>'[80]Sch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'[80]Sch C'!D71</f>
        <v>0</v>
      </c>
      <c r="D78" s="558">
        <f>'[80]Sch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353555</v>
      </c>
      <c r="D79" s="558">
        <f>SUM(D64:D78)</f>
        <v>171523</v>
      </c>
      <c r="E79" s="171">
        <f t="shared" ref="E79:F79" si="13">SUM(E64:E78)</f>
        <v>525078</v>
      </c>
      <c r="F79" s="171">
        <f t="shared" si="13"/>
        <v>0</v>
      </c>
      <c r="G79" s="171">
        <f>SUM(G64:G78)</f>
        <v>525078</v>
      </c>
      <c r="H79" s="172">
        <f t="shared" si="11"/>
        <v>0.13099843149562768</v>
      </c>
      <c r="I79" s="336"/>
      <c r="J79" s="195"/>
      <c r="K79" s="168"/>
      <c r="M79" s="359">
        <f t="shared" si="12"/>
        <v>31.734437326241991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'[80]Sch C'!D75</f>
        <v>32671</v>
      </c>
      <c r="D82" s="558">
        <f>'[80]Sch C'!F75</f>
        <v>0</v>
      </c>
      <c r="E82" s="171">
        <f t="shared" ref="E82:E92" si="14">C82+D82</f>
        <v>32671</v>
      </c>
      <c r="F82" s="171"/>
      <c r="G82" s="171">
        <f t="shared" ref="G82:G92" si="15">E82+F82</f>
        <v>32671</v>
      </c>
      <c r="H82" s="172">
        <f t="shared" ref="H82:H93" si="16">IF($G$208=0,0,G82/$G$208)</f>
        <v>8.1508837837305156E-3</v>
      </c>
      <c r="I82" s="336"/>
      <c r="J82" s="183">
        <v>2014</v>
      </c>
      <c r="K82" s="183">
        <v>2091</v>
      </c>
      <c r="M82" s="359">
        <f t="shared" ref="M82:M92" si="17">G82/G$228</f>
        <v>1.9745557838752568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'[80]Sch C'!D76</f>
        <v>9060</v>
      </c>
      <c r="D83" s="558">
        <f>'[80]Sch C'!F76</f>
        <v>0</v>
      </c>
      <c r="E83" s="171">
        <f t="shared" si="14"/>
        <v>9060</v>
      </c>
      <c r="F83" s="171"/>
      <c r="G83" s="171">
        <f t="shared" si="15"/>
        <v>9060</v>
      </c>
      <c r="H83" s="172">
        <f t="shared" si="16"/>
        <v>2.2603228269902505E-3</v>
      </c>
      <c r="I83" s="336"/>
      <c r="J83" s="168"/>
      <c r="K83" s="168"/>
      <c r="M83" s="359">
        <f t="shared" si="17"/>
        <v>0.54756436600991176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'[80]Sch C'!D77</f>
        <v>6569</v>
      </c>
      <c r="D84" s="558">
        <f>'[80]Sch C'!F77</f>
        <v>0</v>
      </c>
      <c r="E84" s="171">
        <f t="shared" si="14"/>
        <v>6569</v>
      </c>
      <c r="F84" s="171"/>
      <c r="G84" s="171">
        <f t="shared" si="15"/>
        <v>6569</v>
      </c>
      <c r="H84" s="172">
        <f t="shared" si="16"/>
        <v>1.6388587914458008E-3</v>
      </c>
      <c r="I84" s="336"/>
      <c r="J84" s="168"/>
      <c r="K84" s="168"/>
      <c r="M84" s="359">
        <f t="shared" si="17"/>
        <v>0.39701438414118218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'[80]Sch C'!D78</f>
        <v>0</v>
      </c>
      <c r="D85" s="558">
        <f>'[80]Sch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'[80]Sch C'!D79</f>
        <v>519</v>
      </c>
      <c r="D86" s="558">
        <f>'[80]Sch C'!F79</f>
        <v>0</v>
      </c>
      <c r="E86" s="171">
        <f t="shared" si="14"/>
        <v>519</v>
      </c>
      <c r="F86" s="171"/>
      <c r="G86" s="171">
        <f>E86+F86</f>
        <v>519</v>
      </c>
      <c r="H86" s="172">
        <f t="shared" si="16"/>
        <v>1.2948206922824945E-4</v>
      </c>
      <c r="I86" s="336"/>
      <c r="J86" s="168"/>
      <c r="K86" s="168"/>
      <c r="M86" s="359">
        <f t="shared" si="17"/>
        <v>3.1367097787985014E-2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'[80]Sch C'!D80</f>
        <v>6123</v>
      </c>
      <c r="D87" s="558">
        <f>'[80]Sch C'!F80</f>
        <v>0</v>
      </c>
      <c r="E87" s="171">
        <f t="shared" si="14"/>
        <v>6123</v>
      </c>
      <c r="F87" s="171"/>
      <c r="G87" s="171">
        <f t="shared" si="15"/>
        <v>6123</v>
      </c>
      <c r="H87" s="172">
        <f t="shared" si="16"/>
        <v>1.5275890363864574E-3</v>
      </c>
      <c r="I87" s="336"/>
      <c r="J87" s="168"/>
      <c r="K87" s="168"/>
      <c r="M87" s="359">
        <f t="shared" si="17"/>
        <v>0.37005922881663245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'[80]Sch C'!D81</f>
        <v>11192</v>
      </c>
      <c r="D88" s="558">
        <f>'[80]Sch C'!F81</f>
        <v>0</v>
      </c>
      <c r="E88" s="171">
        <f t="shared" si="14"/>
        <v>11192</v>
      </c>
      <c r="F88" s="171"/>
      <c r="G88" s="171">
        <f t="shared" si="15"/>
        <v>11192</v>
      </c>
      <c r="H88" s="172">
        <f t="shared" si="16"/>
        <v>2.7922221942246008E-3</v>
      </c>
      <c r="I88" s="336"/>
      <c r="J88" s="168"/>
      <c r="K88" s="168"/>
      <c r="M88" s="359">
        <f t="shared" si="17"/>
        <v>0.67641726096941857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'[80]Sch C'!D82</f>
        <v>7534</v>
      </c>
      <c r="D89" s="558">
        <f>'[80]Sch C'!F82</f>
        <v>0</v>
      </c>
      <c r="E89" s="171">
        <f t="shared" si="14"/>
        <v>7534</v>
      </c>
      <c r="F89" s="171"/>
      <c r="G89" s="171">
        <f t="shared" si="15"/>
        <v>7534</v>
      </c>
      <c r="H89" s="172">
        <f t="shared" si="16"/>
        <v>1.8796106157333936E-3</v>
      </c>
      <c r="I89" s="336"/>
      <c r="J89" s="168"/>
      <c r="K89" s="168"/>
      <c r="M89" s="359">
        <f t="shared" si="17"/>
        <v>0.45533663725371692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'[80]Sch C'!D83</f>
        <v>8283</v>
      </c>
      <c r="D90" s="558">
        <f>'[80]Sch C'!F83</f>
        <v>0</v>
      </c>
      <c r="E90" s="171">
        <f t="shared" si="14"/>
        <v>8283</v>
      </c>
      <c r="F90" s="171"/>
      <c r="G90" s="171">
        <f t="shared" si="15"/>
        <v>8283</v>
      </c>
      <c r="H90" s="172">
        <f t="shared" si="16"/>
        <v>2.066473948781484E-3</v>
      </c>
      <c r="I90" s="336"/>
      <c r="J90" s="168"/>
      <c r="K90" s="168"/>
      <c r="M90" s="359">
        <f t="shared" si="17"/>
        <v>0.50060437567992266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'[80]Sch C'!D84</f>
        <v>72758</v>
      </c>
      <c r="D91" s="558">
        <f>'[80]Sch C'!F84</f>
        <v>0</v>
      </c>
      <c r="E91" s="171">
        <f t="shared" si="14"/>
        <v>72758</v>
      </c>
      <c r="F91" s="171"/>
      <c r="G91" s="171">
        <f t="shared" si="15"/>
        <v>72758</v>
      </c>
      <c r="H91" s="172">
        <f t="shared" si="16"/>
        <v>1.8151939100017288E-2</v>
      </c>
      <c r="I91" s="336"/>
      <c r="J91" s="168"/>
      <c r="K91" s="168"/>
      <c r="M91" s="359">
        <f t="shared" si="17"/>
        <v>4.3973165719811433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'[80]Sch C'!D85</f>
        <v>0</v>
      </c>
      <c r="D92" s="558">
        <f>'[80]Sch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154709</v>
      </c>
      <c r="D93" s="558">
        <f>SUM(D82:D92)</f>
        <v>0</v>
      </c>
      <c r="E93" s="171">
        <f t="shared" ref="E93:F93" si="18">SUM(E82:E92)</f>
        <v>154709</v>
      </c>
      <c r="F93" s="171">
        <f t="shared" si="18"/>
        <v>0</v>
      </c>
      <c r="G93" s="171">
        <f>SUM(G82:G92)</f>
        <v>154709</v>
      </c>
      <c r="H93" s="172">
        <f t="shared" si="16"/>
        <v>3.8597382366538042E-2</v>
      </c>
      <c r="I93" s="336"/>
      <c r="J93" s="168"/>
      <c r="K93" s="168"/>
      <c r="M93" s="364">
        <f>G93/G$228</f>
        <v>9.3502357065151696</v>
      </c>
      <c r="N93" s="359">
        <f>SUMMARY!J96</f>
        <v>11.458724454710746</v>
      </c>
      <c r="O93" s="354">
        <f>M93/N93-1</f>
        <v>-0.18400728253211152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'[80]Sch C'!D89</f>
        <v>97073</v>
      </c>
      <c r="D96" s="558">
        <f>'[80]Sch C'!F89</f>
        <v>0</v>
      </c>
      <c r="E96" s="171">
        <f t="shared" ref="E96:E101" si="19">C96+D96</f>
        <v>97073</v>
      </c>
      <c r="F96" s="171"/>
      <c r="G96" s="171">
        <f t="shared" ref="G96:G101" si="20">E96+F96</f>
        <v>97073</v>
      </c>
      <c r="H96" s="172">
        <f t="shared" ref="H96:H102" si="21">IF($G$208=0,0,G96/$G$208)</f>
        <v>2.4218136620797415E-2</v>
      </c>
      <c r="I96" s="336"/>
      <c r="J96" s="183">
        <v>7247</v>
      </c>
      <c r="K96" s="183">
        <v>8001</v>
      </c>
      <c r="M96" s="364">
        <f t="shared" ref="M96:M101" si="22">G96/G$228</f>
        <v>5.8668560377130428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'[80]Sch C'!D90</f>
        <v>30133</v>
      </c>
      <c r="D97" s="558">
        <f>'[80]Sch C'!F90</f>
        <v>0</v>
      </c>
      <c r="E97" s="171">
        <f t="shared" si="19"/>
        <v>30133</v>
      </c>
      <c r="F97" s="171"/>
      <c r="G97" s="171">
        <f t="shared" si="20"/>
        <v>30133</v>
      </c>
      <c r="H97" s="172">
        <f t="shared" si="21"/>
        <v>7.517694011666359E-3</v>
      </c>
      <c r="I97" s="336"/>
      <c r="J97" s="168"/>
      <c r="K97" s="168"/>
      <c r="M97" s="364">
        <f t="shared" si="22"/>
        <v>1.8211652363108908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'[80]Sch C'!D91</f>
        <v>119474</v>
      </c>
      <c r="D98" s="558">
        <f>'[80]Sch C'!F91</f>
        <v>0</v>
      </c>
      <c r="E98" s="171">
        <f t="shared" si="19"/>
        <v>119474</v>
      </c>
      <c r="F98" s="171"/>
      <c r="G98" s="171">
        <f t="shared" si="20"/>
        <v>119474</v>
      </c>
      <c r="H98" s="172">
        <f t="shared" si="21"/>
        <v>2.9806822233094169E-2</v>
      </c>
      <c r="I98" s="336"/>
      <c r="J98" s="168"/>
      <c r="K98" s="168"/>
      <c r="M98" s="364">
        <f t="shared" si="22"/>
        <v>7.2207179983077481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'[80]Sch C'!D92</f>
        <v>55721</v>
      </c>
      <c r="D99" s="558">
        <f>'[80]Sch C'!F92</f>
        <v>-869</v>
      </c>
      <c r="E99" s="171">
        <f t="shared" si="19"/>
        <v>54852</v>
      </c>
      <c r="F99" s="171"/>
      <c r="G99" s="171">
        <f t="shared" si="20"/>
        <v>54852</v>
      </c>
      <c r="H99" s="172">
        <f t="shared" si="21"/>
        <v>1.3684682969764814E-2</v>
      </c>
      <c r="I99" s="336"/>
      <c r="J99" s="168"/>
      <c r="K99" s="168"/>
      <c r="M99" s="364">
        <f t="shared" si="22"/>
        <v>3.3151214795116646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'[80]Sch C'!D93</f>
        <v>10692</v>
      </c>
      <c r="D100" s="558">
        <f>'[80]Sch C'!F93</f>
        <v>0</v>
      </c>
      <c r="E100" s="171">
        <f t="shared" si="19"/>
        <v>10692</v>
      </c>
      <c r="F100" s="171"/>
      <c r="G100" s="171">
        <f t="shared" si="20"/>
        <v>10692</v>
      </c>
      <c r="H100" s="172">
        <f t="shared" si="21"/>
        <v>2.6674803163553814E-3</v>
      </c>
      <c r="I100" s="336"/>
      <c r="J100" s="168"/>
      <c r="K100" s="168"/>
      <c r="M100" s="364">
        <f t="shared" si="22"/>
        <v>0.64619847697328658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'[80]Sch C'!D94</f>
        <v>0</v>
      </c>
      <c r="D101" s="558">
        <f>'[80]Sch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313093</v>
      </c>
      <c r="D102" s="558">
        <f>SUM(D96:D101)</f>
        <v>-869</v>
      </c>
      <c r="E102" s="171">
        <f t="shared" ref="E102:F102" si="23">SUM(E96:E101)</f>
        <v>312224</v>
      </c>
      <c r="F102" s="171">
        <f t="shared" si="23"/>
        <v>0</v>
      </c>
      <c r="G102" s="171">
        <f>SUM(G96:G101)</f>
        <v>312224</v>
      </c>
      <c r="H102" s="172">
        <f t="shared" si="21"/>
        <v>7.7894816151678134E-2</v>
      </c>
      <c r="I102" s="336"/>
      <c r="J102" s="168"/>
      <c r="K102" s="168"/>
      <c r="M102" s="364">
        <f>G102/G$228</f>
        <v>18.870059228816633</v>
      </c>
      <c r="N102" s="359">
        <f>SUMMARY!J105</f>
        <v>19.901077037785338</v>
      </c>
      <c r="O102" s="354">
        <f>M102/N102-1</f>
        <v>-5.1807136217359218E-2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'[80]Sch C'!D98</f>
        <v>0</v>
      </c>
      <c r="D105" s="558">
        <f>'[80]Sch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'[80]Sch C'!D99</f>
        <v>0</v>
      </c>
      <c r="D106" s="558">
        <f>'[80]Sch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'[80]Sch C'!D100</f>
        <v>126</v>
      </c>
      <c r="D107" s="558">
        <f>'[80]Sch C'!F100</f>
        <v>0</v>
      </c>
      <c r="E107" s="171">
        <f t="shared" si="24"/>
        <v>126</v>
      </c>
      <c r="F107" s="171"/>
      <c r="G107" s="171">
        <f t="shared" si="25"/>
        <v>126</v>
      </c>
      <c r="H107" s="172">
        <f t="shared" si="26"/>
        <v>3.1434953223043221E-5</v>
      </c>
      <c r="I107" s="336"/>
      <c r="J107" s="168"/>
      <c r="K107" s="168"/>
      <c r="M107" s="364">
        <f t="shared" si="27"/>
        <v>7.6151335670252632E-3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'[80]Sch C'!D101</f>
        <v>42460</v>
      </c>
      <c r="D108" s="558">
        <f>'[80]Sch C'!F101</f>
        <v>0</v>
      </c>
      <c r="E108" s="171">
        <f t="shared" si="24"/>
        <v>42460</v>
      </c>
      <c r="F108" s="171"/>
      <c r="G108" s="171">
        <f t="shared" si="25"/>
        <v>42460</v>
      </c>
      <c r="H108" s="172">
        <f t="shared" si="26"/>
        <v>1.0593080268654088E-2</v>
      </c>
      <c r="I108" s="336"/>
      <c r="J108" s="168"/>
      <c r="K108" s="168"/>
      <c r="M108" s="364">
        <f t="shared" si="27"/>
        <v>2.5661791369515292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'[80]Sch C'!D102</f>
        <v>4938</v>
      </c>
      <c r="D109" s="558">
        <f>'[80]Sch C'!F102</f>
        <v>0</v>
      </c>
      <c r="E109" s="171">
        <f t="shared" si="24"/>
        <v>4938</v>
      </c>
      <c r="F109" s="171"/>
      <c r="G109" s="171">
        <f t="shared" si="25"/>
        <v>4938</v>
      </c>
      <c r="H109" s="172">
        <f t="shared" si="26"/>
        <v>1.231950785836408E-3</v>
      </c>
      <c r="I109" s="336"/>
      <c r="J109" s="168"/>
      <c r="K109" s="168"/>
      <c r="M109" s="364">
        <f t="shared" si="27"/>
        <v>0.29844071074579959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'[80]Sch C'!D103</f>
        <v>0</v>
      </c>
      <c r="D110" s="558">
        <f>'[80]Sch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47524</v>
      </c>
      <c r="D111" s="558">
        <f>SUM(D105:D110)</f>
        <v>0</v>
      </c>
      <c r="E111" s="171">
        <f t="shared" ref="E111:F111" si="28">SUM(E105:E110)</f>
        <v>47524</v>
      </c>
      <c r="F111" s="171">
        <f t="shared" si="28"/>
        <v>0</v>
      </c>
      <c r="G111" s="171">
        <f>SUM(G105:G110)</f>
        <v>47524</v>
      </c>
      <c r="H111" s="172">
        <f t="shared" si="26"/>
        <v>1.1856466007713539E-2</v>
      </c>
      <c r="I111" s="336"/>
      <c r="J111" s="168"/>
      <c r="K111" s="168"/>
      <c r="M111" s="364">
        <f>G111/G$228</f>
        <v>2.8722349812643539</v>
      </c>
      <c r="N111" s="359">
        <f>SUMMARY!J114</f>
        <v>2.4242384372309496</v>
      </c>
      <c r="O111" s="354">
        <f>M111/N111-1</f>
        <v>0.18479887834181929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'[80]Sch C'!D115</f>
        <v>0</v>
      </c>
      <c r="D114" s="558">
        <f>'[80]Sch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'[80]Sch C'!D116</f>
        <v>0</v>
      </c>
      <c r="D115" s="558">
        <f>'[80]Sch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'[80]Sch C'!D117</f>
        <v>7154</v>
      </c>
      <c r="D116" s="558">
        <f>'[80]Sch C'!F117</f>
        <v>0</v>
      </c>
      <c r="E116" s="171">
        <f t="shared" si="29"/>
        <v>7154</v>
      </c>
      <c r="F116" s="171"/>
      <c r="G116" s="171">
        <f>E116+F116</f>
        <v>7154</v>
      </c>
      <c r="H116" s="172">
        <f t="shared" si="30"/>
        <v>1.7848067885527872E-3</v>
      </c>
      <c r="I116" s="336"/>
      <c r="J116" s="168"/>
      <c r="K116" s="168"/>
      <c r="M116" s="364">
        <f t="shared" si="31"/>
        <v>0.43237036141665658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'[80]Sch C'!D118</f>
        <v>63691</v>
      </c>
      <c r="D117" s="558">
        <f>'[80]Sch C'!F118</f>
        <v>0</v>
      </c>
      <c r="E117" s="171">
        <f t="shared" si="29"/>
        <v>63691</v>
      </c>
      <c r="F117" s="171"/>
      <c r="G117" s="171">
        <f>E117+F117</f>
        <v>63691</v>
      </c>
      <c r="H117" s="172">
        <f t="shared" si="30"/>
        <v>1.5889869886736869E-2</v>
      </c>
      <c r="I117" s="336"/>
      <c r="J117" s="168"/>
      <c r="K117" s="168"/>
      <c r="M117" s="364">
        <f t="shared" si="31"/>
        <v>3.8493291429952858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'[80]Sch C'!D119</f>
        <v>0</v>
      </c>
      <c r="D118" s="558">
        <f>'[80]Sch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70845</v>
      </c>
      <c r="D119" s="558">
        <f>SUM(D114:D118)</f>
        <v>0</v>
      </c>
      <c r="E119" s="171">
        <f t="shared" ref="E119:F119" si="32">SUM(E114:E118)</f>
        <v>70845</v>
      </c>
      <c r="F119" s="171">
        <f t="shared" si="32"/>
        <v>0</v>
      </c>
      <c r="G119" s="171">
        <f>SUM(G114:G118)</f>
        <v>70845</v>
      </c>
      <c r="H119" s="172">
        <f t="shared" si="30"/>
        <v>1.7674676675289658E-2</v>
      </c>
      <c r="I119" s="336"/>
      <c r="J119" s="168"/>
      <c r="K119" s="168"/>
      <c r="M119" s="364">
        <f t="shared" si="31"/>
        <v>4.2816995044119421</v>
      </c>
      <c r="N119" s="359">
        <f>SUMMARY!J122</f>
        <v>6.0247597205909562</v>
      </c>
      <c r="O119" s="354">
        <f>M119/N119-1</f>
        <v>-0.28931613823896052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'[80]Sch C'!D124</f>
        <v>0</v>
      </c>
      <c r="D123" s="558">
        <f>'[80]Sch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'[80]Sch C'!D125</f>
        <v>147750</v>
      </c>
      <c r="D124" s="558">
        <f>'[80]Sch C'!F125</f>
        <v>0</v>
      </c>
      <c r="E124" s="171">
        <f t="shared" si="33"/>
        <v>147750</v>
      </c>
      <c r="F124" s="171"/>
      <c r="G124" s="171">
        <f>E124+F124</f>
        <v>147750</v>
      </c>
      <c r="H124" s="172">
        <f>IF($G$208=0,0,G124/$G$208)</f>
        <v>3.6861224910354248E-2</v>
      </c>
      <c r="I124" s="336"/>
      <c r="J124" s="183">
        <v>3461</v>
      </c>
      <c r="K124" s="183">
        <v>3893</v>
      </c>
      <c r="M124" s="364">
        <f t="shared" si="34"/>
        <v>8.9296506708570043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'[80]Sch C'!D126</f>
        <v>0</v>
      </c>
      <c r="D125" s="558">
        <f>'[80]Sch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'[80]Sch C'!D127</f>
        <v>0</v>
      </c>
      <c r="D126" s="558">
        <f>'[80]Sch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'[80]Sch C'!D128</f>
        <v>41374</v>
      </c>
      <c r="D127" s="558">
        <f>'[80]Sch C'!F128</f>
        <v>0</v>
      </c>
      <c r="E127" s="171">
        <f t="shared" si="33"/>
        <v>41374</v>
      </c>
      <c r="F127" s="171"/>
      <c r="G127" s="171">
        <f>E127+F127</f>
        <v>41374</v>
      </c>
      <c r="H127" s="172">
        <f>IF($G$208=0,0,G127/$G$208)</f>
        <v>1.0322140909922143E-2</v>
      </c>
      <c r="I127" s="336"/>
      <c r="J127" s="183">
        <v>2121</v>
      </c>
      <c r="K127" s="183">
        <v>2371</v>
      </c>
      <c r="M127" s="364">
        <f t="shared" si="34"/>
        <v>2.5005439381119303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'[80]Sch C'!D130</f>
        <v>0</v>
      </c>
      <c r="D129" s="558">
        <f>'[80]Sch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'[80]Sch C'!D131</f>
        <v>21324</v>
      </c>
      <c r="D130" s="558">
        <f>'[80]Sch C'!F131</f>
        <v>0</v>
      </c>
      <c r="E130" s="171">
        <f t="shared" si="35"/>
        <v>21324</v>
      </c>
      <c r="F130" s="171"/>
      <c r="G130" s="171">
        <f>E130+F130</f>
        <v>21324</v>
      </c>
      <c r="H130" s="172">
        <f>IF($G$208=0,0,G130/$G$208)</f>
        <v>5.3199916073664571E-3</v>
      </c>
      <c r="I130" s="336"/>
      <c r="J130" s="204"/>
      <c r="K130" s="204"/>
      <c r="M130" s="364">
        <f t="shared" si="34"/>
        <v>1.2887706998670374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'[80]Sch C'!D132</f>
        <v>0</v>
      </c>
      <c r="D131" s="558">
        <f>'[80]Sch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'[80]Sch C'!D133</f>
        <v>0</v>
      </c>
      <c r="D132" s="558">
        <f>'[80]Sch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'[80]Sch C'!D134</f>
        <v>14370</v>
      </c>
      <c r="D133" s="558">
        <f>'[80]Sch C'!F134</f>
        <v>0</v>
      </c>
      <c r="E133" s="171">
        <f t="shared" si="35"/>
        <v>14370</v>
      </c>
      <c r="F133" s="171"/>
      <c r="G133" s="171">
        <f>E133+F133</f>
        <v>14370</v>
      </c>
      <c r="H133" s="172">
        <f>IF($G$208=0,0,G133/$G$208)</f>
        <v>3.5850815699613576E-3</v>
      </c>
      <c r="I133" s="336"/>
      <c r="J133" s="168"/>
      <c r="K133" s="168"/>
      <c r="M133" s="364">
        <f t="shared" si="34"/>
        <v>0.86848785204883361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'[80]Sch C'!D136</f>
        <v>172868</v>
      </c>
      <c r="D135" s="558">
        <f>'[80]Sch C'!F136</f>
        <v>0</v>
      </c>
      <c r="E135" s="171">
        <f t="shared" ref="E135:E138" si="36">C135+D135</f>
        <v>172868</v>
      </c>
      <c r="F135" s="171"/>
      <c r="G135" s="171">
        <f>E135+F135</f>
        <v>172868</v>
      </c>
      <c r="H135" s="172">
        <f>IF($G$208=0,0,G135/$G$208)</f>
        <v>4.3127757886992343E-2</v>
      </c>
      <c r="I135" s="336"/>
      <c r="J135" s="183">
        <v>5525</v>
      </c>
      <c r="K135" s="183">
        <v>5936</v>
      </c>
      <c r="M135" s="364">
        <f t="shared" si="34"/>
        <v>10.447721503686692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'[80]Sch C'!D137</f>
        <v>235232</v>
      </c>
      <c r="D136" s="558">
        <f>'[80]Sch C'!F137</f>
        <v>0</v>
      </c>
      <c r="E136" s="171">
        <f t="shared" si="36"/>
        <v>235232</v>
      </c>
      <c r="F136" s="171"/>
      <c r="G136" s="171">
        <f>E136+F136</f>
        <v>235232</v>
      </c>
      <c r="H136" s="172">
        <f>IF($G$208=0,0,G136/$G$208)</f>
        <v>5.86865628298643E-2</v>
      </c>
      <c r="I136" s="336"/>
      <c r="J136" s="183">
        <v>12044</v>
      </c>
      <c r="K136" s="183">
        <v>12735</v>
      </c>
      <c r="M136" s="364">
        <f t="shared" si="34"/>
        <v>14.216849993956243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'[80]Sch C'!D138</f>
        <v>384738</v>
      </c>
      <c r="D137" s="558">
        <f>'[80]Sch C'!F138</f>
        <v>19947</v>
      </c>
      <c r="E137" s="171">
        <f t="shared" si="36"/>
        <v>404685</v>
      </c>
      <c r="F137" s="171"/>
      <c r="G137" s="171">
        <f>E137+F137</f>
        <v>404685</v>
      </c>
      <c r="H137" s="172">
        <f>IF($G$208=0,0,G137/$G$208)</f>
        <v>0.10096233369100988</v>
      </c>
      <c r="I137" s="336"/>
      <c r="J137" s="183">
        <v>36157</v>
      </c>
      <c r="K137" s="183">
        <v>39167</v>
      </c>
      <c r="M137" s="364">
        <f t="shared" si="34"/>
        <v>24.458177202949354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'[80]Sch C'!D139</f>
        <v>19947</v>
      </c>
      <c r="D138" s="558">
        <f>'[80]Sch C'!F139</f>
        <v>-19947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'[80]Sch C'!D141</f>
        <v>159603</v>
      </c>
      <c r="D140" s="558">
        <f>'[80]Sch C'!F141</f>
        <v>-125656</v>
      </c>
      <c r="E140" s="171">
        <f t="shared" ref="E140:E143" si="37">C140+D140</f>
        <v>33947</v>
      </c>
      <c r="F140" s="171"/>
      <c r="G140" s="171">
        <f>E140+F140</f>
        <v>33947</v>
      </c>
      <c r="H140" s="172">
        <f>IF($G$208=0,0,G140/$G$208)</f>
        <v>8.4692250560527635E-3</v>
      </c>
      <c r="I140" s="336"/>
      <c r="J140" s="168"/>
      <c r="K140" s="168"/>
      <c r="M140" s="364">
        <f t="shared" si="34"/>
        <v>2.0516741206333857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'[80]Sch C'!D142</f>
        <v>0</v>
      </c>
      <c r="D141" s="558">
        <f>'[80]Sch C'!F142</f>
        <v>46194</v>
      </c>
      <c r="E141" s="171">
        <f t="shared" si="37"/>
        <v>46194</v>
      </c>
      <c r="F141" s="171"/>
      <c r="G141" s="171">
        <f>E141+F141</f>
        <v>46194</v>
      </c>
      <c r="H141" s="172">
        <f>IF($G$208=0,0,G141/$G$208)</f>
        <v>1.1524652612581416E-2</v>
      </c>
      <c r="I141" s="336"/>
      <c r="J141" s="168"/>
      <c r="K141" s="168"/>
      <c r="M141" s="364">
        <f t="shared" si="34"/>
        <v>2.7918530158346426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'[80]Sch C'!D143</f>
        <v>0</v>
      </c>
      <c r="D142" s="558">
        <f>'[80]Sch C'!F143</f>
        <v>79461</v>
      </c>
      <c r="E142" s="171">
        <f t="shared" si="37"/>
        <v>79461</v>
      </c>
      <c r="F142" s="171"/>
      <c r="G142" s="171">
        <f>E142+F142</f>
        <v>79461</v>
      </c>
      <c r="H142" s="172">
        <f>IF($G$208=0,0,G142/$G$208)</f>
        <v>1.982422871473204E-2</v>
      </c>
      <c r="I142" s="336"/>
      <c r="J142" s="168"/>
      <c r="K142" s="168"/>
      <c r="M142" s="364">
        <f t="shared" si="34"/>
        <v>4.802429590233289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'[80]Sch C'!D144</f>
        <v>0</v>
      </c>
      <c r="D143" s="558">
        <f>'[80]Sch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'[80]Sch C'!D146</f>
        <v>24275</v>
      </c>
      <c r="D145" s="558">
        <f>'[80]Sch C'!F146</f>
        <v>0</v>
      </c>
      <c r="E145" s="171">
        <f t="shared" ref="E145:E153" si="38">C145+D145</f>
        <v>24275</v>
      </c>
      <c r="F145" s="171"/>
      <c r="G145" s="171">
        <f t="shared" ref="G145:G153" si="39">E145+F145</f>
        <v>24275</v>
      </c>
      <c r="H145" s="172">
        <f t="shared" ref="H145:H153" si="40">IF($G$208=0,0,G145/$G$208)</f>
        <v>6.0562181705505879E-3</v>
      </c>
      <c r="I145" s="336"/>
      <c r="J145" s="183">
        <v>176</v>
      </c>
      <c r="K145" s="183">
        <v>176</v>
      </c>
      <c r="M145" s="364">
        <f t="shared" si="34"/>
        <v>1.4671219630122083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'[80]Sch C'!D147</f>
        <v>0</v>
      </c>
      <c r="D146" s="558">
        <f>'[80]Sch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'[80]Sch C'!D148</f>
        <v>0</v>
      </c>
      <c r="D147" s="558">
        <f>'[80]Sch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'[80]Sch C'!D149</f>
        <v>0</v>
      </c>
      <c r="D148" s="558">
        <f>'[80]Sch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6"/>
      <c r="J148" s="183">
        <v>0</v>
      </c>
      <c r="K148" s="183">
        <v>0</v>
      </c>
      <c r="M148" s="364">
        <f t="shared" si="34"/>
        <v>0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'[80]Sch C'!D150</f>
        <v>198</v>
      </c>
      <c r="D149" s="558">
        <f>'[80]Sch C'!F150</f>
        <v>0</v>
      </c>
      <c r="E149" s="171">
        <f t="shared" si="38"/>
        <v>198</v>
      </c>
      <c r="F149" s="171"/>
      <c r="G149" s="171">
        <f t="shared" si="39"/>
        <v>198</v>
      </c>
      <c r="H149" s="172">
        <f t="shared" si="40"/>
        <v>4.9397783636210773E-5</v>
      </c>
      <c r="I149" s="336"/>
      <c r="J149" s="183">
        <v>0</v>
      </c>
      <c r="K149" s="183">
        <v>0</v>
      </c>
      <c r="M149" s="364">
        <f t="shared" si="34"/>
        <v>1.196663846246827E-2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'[80]Sch C'!D151</f>
        <v>84523</v>
      </c>
      <c r="D150" s="558">
        <f>'[80]Sch C'!F151</f>
        <v>-517</v>
      </c>
      <c r="E150" s="171">
        <f t="shared" si="38"/>
        <v>84006</v>
      </c>
      <c r="F150" s="171"/>
      <c r="G150" s="171">
        <f t="shared" si="39"/>
        <v>84006</v>
      </c>
      <c r="H150" s="172">
        <f t="shared" si="40"/>
        <v>2.0958132384563243E-2</v>
      </c>
      <c r="I150" s="336"/>
      <c r="J150" s="168"/>
      <c r="K150" s="168"/>
      <c r="M150" s="364">
        <f t="shared" si="34"/>
        <v>5.0771183367581285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'[80]Sch C'!D152</f>
        <v>2102</v>
      </c>
      <c r="D151" s="558">
        <f>'[80]Sch C'!F152</f>
        <v>0</v>
      </c>
      <c r="E151" s="171">
        <f t="shared" si="38"/>
        <v>2102</v>
      </c>
      <c r="F151" s="171"/>
      <c r="G151" s="171">
        <f t="shared" si="39"/>
        <v>2102</v>
      </c>
      <c r="H151" s="172">
        <f t="shared" si="40"/>
        <v>5.2441485456219722E-4</v>
      </c>
      <c r="I151" s="336"/>
      <c r="J151" s="168"/>
      <c r="K151" s="168"/>
      <c r="M151" s="364">
        <f t="shared" si="34"/>
        <v>0.12703976791973892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'[80]Sch C'!D153</f>
        <v>0</v>
      </c>
      <c r="D152" s="558">
        <f>'[80]Sch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'[80]Sch C'!D154</f>
        <v>0</v>
      </c>
      <c r="D153" s="558">
        <f>'[80]Sch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'[80]Sch C'!D156</f>
        <v>0</v>
      </c>
      <c r="D155" s="558">
        <f>'[80]Sch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'[80]Sch C'!D157</f>
        <v>0</v>
      </c>
      <c r="D156" s="558">
        <f>'[80]Sch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'[80]Sch C'!D158</f>
        <v>0</v>
      </c>
      <c r="D157" s="558">
        <f>'[80]Sch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'[80]Sch C'!D159</f>
        <v>0</v>
      </c>
      <c r="D158" s="558">
        <f>'[80]Sch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'[80]Sch C'!D160</f>
        <v>0</v>
      </c>
      <c r="D159" s="558">
        <f>'[80]Sch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'[80]Sch C'!D161</f>
        <v>8605</v>
      </c>
      <c r="D160" s="558">
        <f>'[80]Sch C'!F161</f>
        <v>-88</v>
      </c>
      <c r="E160" s="171">
        <f t="shared" si="41"/>
        <v>8517</v>
      </c>
      <c r="F160" s="171"/>
      <c r="G160" s="171">
        <f t="shared" si="42"/>
        <v>8517</v>
      </c>
      <c r="H160" s="172">
        <f t="shared" si="43"/>
        <v>2.1248531476242786E-3</v>
      </c>
      <c r="I160" s="336"/>
      <c r="J160" s="168"/>
      <c r="K160" s="168"/>
      <c r="M160" s="364">
        <f t="shared" si="34"/>
        <v>0.51474676659011243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1316909</v>
      </c>
      <c r="D161" s="558">
        <f>SUM(D123:D160)</f>
        <v>-606</v>
      </c>
      <c r="E161" s="171">
        <f t="shared" ref="E161:F161" si="44">SUM(E123:E160)</f>
        <v>1316303</v>
      </c>
      <c r="F161" s="171">
        <f t="shared" si="44"/>
        <v>0</v>
      </c>
      <c r="G161" s="171">
        <f>SUM(G123:G160)</f>
        <v>1316303</v>
      </c>
      <c r="H161" s="172">
        <f t="shared" si="43"/>
        <v>0.32839621612977349</v>
      </c>
      <c r="I161" s="336"/>
      <c r="J161" s="168"/>
      <c r="K161" s="168"/>
      <c r="M161" s="364">
        <f>G161/G$228</f>
        <v>79.554152060921069</v>
      </c>
      <c r="N161" s="359">
        <f>SUMMARY!J164</f>
        <v>105.56901037202306</v>
      </c>
      <c r="O161" s="354">
        <f>M161/N161-1</f>
        <v>-0.24642514142574756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'[80]Sch C'!D175</f>
        <v>0</v>
      </c>
      <c r="D164" s="558">
        <f>'[80]Sch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'[80]Sch C'!D176</f>
        <v>0</v>
      </c>
      <c r="D165" s="558">
        <f>'[80]Sch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'[80]Sch C'!D177</f>
        <v>0</v>
      </c>
      <c r="D166" s="558">
        <f>'[80]Sch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'[80]Sch C'!D178</f>
        <v>0</v>
      </c>
      <c r="D167" s="558">
        <f>'[80]Sch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'[80]Sch C'!D179</f>
        <v>0</v>
      </c>
      <c r="D168" s="558">
        <f>'[80]Sch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'[80]Sch C'!D180</f>
        <v>0</v>
      </c>
      <c r="D169" s="558">
        <f>'[80]Sch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'[80]Sch C'!D181</f>
        <v>0</v>
      </c>
      <c r="D170" s="558">
        <f>'[80]Sch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'[80]Sch C'!D182</f>
        <v>0</v>
      </c>
      <c r="D171" s="558">
        <f>'[80]Sch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'[80]Sch C'!D183</f>
        <v>0</v>
      </c>
      <c r="D172" s="558">
        <f>'[80]Sch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'[80]Sch C'!D184</f>
        <v>0</v>
      </c>
      <c r="D173" s="558">
        <f>'[80]Sch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'[80]Sch C'!D185</f>
        <v>0</v>
      </c>
      <c r="D174" s="558">
        <f>'[80]Sch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'[80]Sch C'!D186</f>
        <v>0</v>
      </c>
      <c r="D175" s="558">
        <f>'[80]Sch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'[80]Sch C'!D187</f>
        <v>0</v>
      </c>
      <c r="D176" s="558">
        <f>'[80]Sch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'[80]Sch C'!D188</f>
        <v>0</v>
      </c>
      <c r="D177" s="558">
        <f>'[80]Sch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'[80]Sch C'!D189</f>
        <v>0</v>
      </c>
      <c r="D178" s="558">
        <f>'[80]Sch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'[80]Sch C'!D190</f>
        <v>0</v>
      </c>
      <c r="D179" s="558">
        <f>'[80]Sch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'[80]Sch C'!D191</f>
        <v>0</v>
      </c>
      <c r="D180" s="558">
        <f>'[80]Sch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'[80]Sch C'!D192</f>
        <v>0</v>
      </c>
      <c r="D181" s="558">
        <f>'[80]Sch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'[80]Sch C'!D193</f>
        <v>4219</v>
      </c>
      <c r="D182" s="558">
        <f>'[80]Sch C'!F193</f>
        <v>0</v>
      </c>
      <c r="E182" s="171">
        <f t="shared" si="45"/>
        <v>4219</v>
      </c>
      <c r="F182" s="216"/>
      <c r="G182" s="171">
        <f t="shared" si="46"/>
        <v>4219</v>
      </c>
      <c r="H182" s="172">
        <f t="shared" si="47"/>
        <v>1.0525719654604709E-3</v>
      </c>
      <c r="I182" s="336"/>
      <c r="J182" s="223"/>
      <c r="K182" s="218"/>
      <c r="L182" s="220"/>
      <c r="M182" s="364">
        <f t="shared" si="48"/>
        <v>0.25498609935936178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'[80]Sch C'!D194</f>
        <v>225608</v>
      </c>
      <c r="D183" s="558">
        <f>'[80]Sch C'!F194</f>
        <v>-3046</v>
      </c>
      <c r="E183" s="171">
        <f t="shared" si="45"/>
        <v>222562</v>
      </c>
      <c r="F183" s="216"/>
      <c r="G183" s="171">
        <f t="shared" si="46"/>
        <v>222562</v>
      </c>
      <c r="H183" s="172">
        <f t="shared" si="47"/>
        <v>5.5525603644658292E-2</v>
      </c>
      <c r="I183" s="336"/>
      <c r="J183" s="223"/>
      <c r="K183" s="218"/>
      <c r="M183" s="364">
        <f t="shared" si="48"/>
        <v>13.451106007494259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'[80]Sch C'!D195</f>
        <v>30970</v>
      </c>
      <c r="D184" s="558">
        <f>'[80]Sch C'!F195</f>
        <v>-418</v>
      </c>
      <c r="E184" s="171">
        <f t="shared" si="45"/>
        <v>30552</v>
      </c>
      <c r="F184" s="216"/>
      <c r="G184" s="171">
        <f t="shared" si="46"/>
        <v>30552</v>
      </c>
      <c r="H184" s="172">
        <f t="shared" si="47"/>
        <v>7.622227705320765E-3</v>
      </c>
      <c r="I184" s="336"/>
      <c r="J184" s="223"/>
      <c r="K184" s="218"/>
      <c r="M184" s="364">
        <f t="shared" si="48"/>
        <v>1.8464885772996495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'[80]Sch C'!D196</f>
        <v>0</v>
      </c>
      <c r="D185" s="558">
        <f>'[80]Sch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'[80]Sch C'!D197</f>
        <v>206194</v>
      </c>
      <c r="D186" s="558">
        <f>'[80]Sch C'!F197</f>
        <v>-2784</v>
      </c>
      <c r="E186" s="171">
        <f t="shared" si="45"/>
        <v>203410</v>
      </c>
      <c r="F186" s="216"/>
      <c r="G186" s="171">
        <f t="shared" si="46"/>
        <v>203410</v>
      </c>
      <c r="H186" s="172">
        <f t="shared" si="47"/>
        <v>5.0747490754755722E-2</v>
      </c>
      <c r="I186" s="336"/>
      <c r="J186" s="223"/>
      <c r="K186" s="218"/>
      <c r="M186" s="364">
        <f t="shared" si="48"/>
        <v>12.293605705306419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'[80]Sch C'!D198</f>
        <v>16903</v>
      </c>
      <c r="D187" s="558">
        <f>'[80]Sch C'!F198</f>
        <v>-140</v>
      </c>
      <c r="E187" s="171">
        <f t="shared" si="45"/>
        <v>16763</v>
      </c>
      <c r="F187" s="216"/>
      <c r="G187" s="171">
        <f t="shared" si="46"/>
        <v>16763</v>
      </c>
      <c r="H187" s="172">
        <f t="shared" si="47"/>
        <v>4.1820961974434398E-3</v>
      </c>
      <c r="I187" s="336"/>
      <c r="J187" s="223"/>
      <c r="K187" s="218"/>
      <c r="M187" s="364">
        <f t="shared" si="48"/>
        <v>1.0131149522543212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'[80]Sch C'!D199</f>
        <v>0</v>
      </c>
      <c r="D188" s="558">
        <f>'[80]Sch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'[80]Sch C'!D200</f>
        <v>0</v>
      </c>
      <c r="D189" s="558">
        <f>'[80]Sch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'[80]Sch C'!D201</f>
        <v>0</v>
      </c>
      <c r="D190" s="558">
        <f>'[80]Sch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'[80]Sch C'!D202</f>
        <v>0</v>
      </c>
      <c r="D191" s="558">
        <f>'[80]Sch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'[80]Sch C'!D203</f>
        <v>0</v>
      </c>
      <c r="D192" s="558">
        <f>'[80]Sch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'[80]Sch C'!D204</f>
        <v>0</v>
      </c>
      <c r="D193" s="558">
        <f>'[80]Sch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'[80]Sch C'!D205</f>
        <v>124174</v>
      </c>
      <c r="D194" s="558">
        <f>'[80]Sch C'!F205</f>
        <v>-1892</v>
      </c>
      <c r="E194" s="171">
        <f t="shared" si="45"/>
        <v>122282</v>
      </c>
      <c r="F194" s="216"/>
      <c r="G194" s="171">
        <f t="shared" si="46"/>
        <v>122282</v>
      </c>
      <c r="H194" s="172">
        <f t="shared" si="47"/>
        <v>3.0507372619207704E-2</v>
      </c>
      <c r="I194" s="336"/>
      <c r="J194" s="223"/>
      <c r="K194" s="218"/>
      <c r="M194" s="364">
        <f t="shared" si="48"/>
        <v>7.3904266892300257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'[80]Sch C'!D206</f>
        <v>706</v>
      </c>
      <c r="D195" s="558">
        <f>'[80]Sch C'!F206</f>
        <v>0</v>
      </c>
      <c r="E195" s="171">
        <f t="shared" si="45"/>
        <v>706</v>
      </c>
      <c r="F195" s="216"/>
      <c r="G195" s="171">
        <f t="shared" si="46"/>
        <v>706</v>
      </c>
      <c r="H195" s="172">
        <f t="shared" si="47"/>
        <v>1.761355315513374E-4</v>
      </c>
      <c r="I195" s="336"/>
      <c r="J195" s="223"/>
      <c r="K195" s="218"/>
      <c r="M195" s="364">
        <f t="shared" si="48"/>
        <v>4.2668923002538377E-2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'[80]Sch C'!D207</f>
        <v>4651</v>
      </c>
      <c r="D196" s="558">
        <f>'[80]Sch C'!F207</f>
        <v>-58</v>
      </c>
      <c r="E196" s="171">
        <f t="shared" si="45"/>
        <v>4593</v>
      </c>
      <c r="F196" s="216"/>
      <c r="G196" s="171">
        <f t="shared" si="46"/>
        <v>4593</v>
      </c>
      <c r="H196" s="172">
        <f t="shared" si="47"/>
        <v>1.1458788901066467E-3</v>
      </c>
      <c r="I196" s="336"/>
      <c r="J196" s="223"/>
      <c r="K196" s="218"/>
      <c r="M196" s="364">
        <f t="shared" si="48"/>
        <v>0.27758974978846851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613425</v>
      </c>
      <c r="D197" s="558">
        <f>SUM(D164:D196)</f>
        <v>-8338</v>
      </c>
      <c r="E197" s="171">
        <f t="shared" ref="E197:F197" si="49">SUM(E164:E196)</f>
        <v>605087</v>
      </c>
      <c r="F197" s="171">
        <f t="shared" si="49"/>
        <v>0</v>
      </c>
      <c r="G197" s="171">
        <f>SUM(G164:G196)</f>
        <v>605087</v>
      </c>
      <c r="H197" s="172">
        <f>IF($G$208=0,0,G197/$G$208)</f>
        <v>0.15095937730850437</v>
      </c>
      <c r="I197" s="336"/>
      <c r="J197" s="168"/>
      <c r="K197" s="168"/>
      <c r="M197" s="364">
        <f>G197/G$228</f>
        <v>36.56998670373504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'[80]Sch C'!D211</f>
        <v>60297</v>
      </c>
      <c r="D200" s="558">
        <f>'[80]Sch C'!F211</f>
        <v>0</v>
      </c>
      <c r="E200" s="171">
        <f t="shared" ref="E200:E205" si="50">C200+D200</f>
        <v>60297</v>
      </c>
      <c r="F200" s="171"/>
      <c r="G200" s="171">
        <f t="shared" ref="G200:G205" si="51">E200+F200</f>
        <v>60297</v>
      </c>
      <c r="H200" s="172">
        <f t="shared" ref="H200:H206" si="52">IF($G$208=0,0,G200/$G$208)</f>
        <v>1.5043122019760611E-2</v>
      </c>
      <c r="I200" s="336"/>
      <c r="J200" s="183">
        <v>4260</v>
      </c>
      <c r="K200" s="183">
        <v>4385</v>
      </c>
      <c r="M200" s="364">
        <f t="shared" ref="M200:M205" si="53">G200/G$228</f>
        <v>3.6442040372295419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'[80]Sch C'!D212</f>
        <v>28998</v>
      </c>
      <c r="D201" s="558">
        <f>'[80]Sch C'!F212</f>
        <v>0</v>
      </c>
      <c r="E201" s="171">
        <f t="shared" si="50"/>
        <v>28998</v>
      </c>
      <c r="F201" s="171"/>
      <c r="G201" s="171">
        <f t="shared" si="51"/>
        <v>28998</v>
      </c>
      <c r="H201" s="172">
        <f t="shared" si="52"/>
        <v>7.234529948903232E-3</v>
      </c>
      <c r="I201" s="336"/>
      <c r="J201" s="168"/>
      <c r="K201" s="168"/>
      <c r="M201" s="364">
        <f t="shared" si="53"/>
        <v>1.7525685966396711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'[80]Sch C'!D213</f>
        <v>2438</v>
      </c>
      <c r="D202" s="558">
        <f>'[80]Sch C'!F213</f>
        <v>0</v>
      </c>
      <c r="E202" s="171">
        <f t="shared" si="50"/>
        <v>2438</v>
      </c>
      <c r="F202" s="171"/>
      <c r="G202" s="171">
        <f t="shared" si="51"/>
        <v>2438</v>
      </c>
      <c r="H202" s="172">
        <f t="shared" si="52"/>
        <v>6.082413964903124E-4</v>
      </c>
      <c r="I202" s="336"/>
      <c r="J202" s="168"/>
      <c r="K202" s="168"/>
      <c r="M202" s="364">
        <f t="shared" si="53"/>
        <v>0.14734679076513962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'[80]Sch C'!D214</f>
        <v>0</v>
      </c>
      <c r="D203" s="558">
        <f>'[80]Sch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'[80]Sch C'!D215</f>
        <v>0</v>
      </c>
      <c r="D204" s="558">
        <f>'[80]Sch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'[80]Sch C'!D216</f>
        <v>2708</v>
      </c>
      <c r="D205" s="558">
        <f>'[80]Sch C'!F216</f>
        <v>0</v>
      </c>
      <c r="E205" s="171">
        <f t="shared" si="50"/>
        <v>2708</v>
      </c>
      <c r="F205" s="171"/>
      <c r="G205" s="171">
        <f t="shared" si="51"/>
        <v>2708</v>
      </c>
      <c r="H205" s="172">
        <f t="shared" si="52"/>
        <v>6.7560201053969073E-4</v>
      </c>
      <c r="I205" s="336"/>
      <c r="J205" s="168"/>
      <c r="K205" s="168"/>
      <c r="M205" s="364">
        <f t="shared" si="53"/>
        <v>0.16366493412305089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94441</v>
      </c>
      <c r="D206" s="558">
        <f>SUM(D200:D205)</f>
        <v>0</v>
      </c>
      <c r="E206" s="171">
        <f t="shared" ref="E206:F206" si="54">SUM(E200:E205)</f>
        <v>94441</v>
      </c>
      <c r="F206" s="171">
        <f t="shared" si="54"/>
        <v>0</v>
      </c>
      <c r="G206" s="171">
        <f>SUM(G200:G205)</f>
        <v>94441</v>
      </c>
      <c r="H206" s="172">
        <f t="shared" si="52"/>
        <v>2.3561495375693846E-2</v>
      </c>
      <c r="I206" s="336"/>
      <c r="J206" s="168"/>
      <c r="K206" s="168"/>
      <c r="M206" s="364">
        <f>G206/G$228</f>
        <v>5.7077843587574035</v>
      </c>
      <c r="N206" s="359">
        <f>SUMMARY!J209</f>
        <v>7.1515095990067339</v>
      </c>
      <c r="O206" s="354">
        <f>M206/N206-1</f>
        <v>-0.20187699118097358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4153584</v>
      </c>
      <c r="D208" s="558">
        <f>SUM(D25:D206)/2</f>
        <v>-145307</v>
      </c>
      <c r="E208" s="171">
        <f t="shared" ref="E208:F208" si="55">SUM(E25:E206)/2</f>
        <v>4008277</v>
      </c>
      <c r="F208" s="171">
        <f t="shared" si="55"/>
        <v>0</v>
      </c>
      <c r="G208" s="171">
        <f>SUM(G25:G206)/2</f>
        <v>4008277</v>
      </c>
      <c r="H208" s="172">
        <f>IF($G$208=0,0,G208/$G$208)</f>
        <v>1</v>
      </c>
      <c r="I208" s="336"/>
      <c r="J208" s="183">
        <f>SUM(J25:J200)</f>
        <v>84735</v>
      </c>
      <c r="K208" s="183">
        <f>SUM(K25:K200)</f>
        <v>91111</v>
      </c>
      <c r="M208" s="364">
        <f>G208/G$228</f>
        <v>242.25051371932793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-0.79642975191242193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'[80]Sch C'!D221</f>
        <v>4153584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236243</v>
      </c>
      <c r="D215" s="558">
        <f>D21-D208</f>
        <v>128780</v>
      </c>
      <c r="E215" s="171">
        <f t="shared" ref="E215:F215" si="56">E21-E208</f>
        <v>365023</v>
      </c>
      <c r="F215" s="171">
        <f t="shared" si="56"/>
        <v>0</v>
      </c>
      <c r="G215" s="171">
        <f>G21-G208</f>
        <v>365023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'[80]Sch D'!C9</f>
        <v>8347</v>
      </c>
      <c r="D219" s="592"/>
      <c r="E219" s="235">
        <f t="shared" ref="E219:G227" si="57">C219+D219</f>
        <v>8347</v>
      </c>
      <c r="F219" s="234"/>
      <c r="G219" s="235">
        <f t="shared" si="57"/>
        <v>8347</v>
      </c>
      <c r="H219" s="172">
        <f t="shared" ref="H219:H228" si="58">IF($G$228=0,0,G219/$G$228)</f>
        <v>0.50447238003142758</v>
      </c>
      <c r="I219" s="336"/>
      <c r="J219" s="168"/>
      <c r="K219" s="168"/>
    </row>
    <row r="220" spans="1:17">
      <c r="A220" s="163"/>
      <c r="B220" s="170" t="s">
        <v>217</v>
      </c>
      <c r="C220" s="592">
        <f>'[80]Sch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'[80]Sch D'!E9</f>
        <v>2940</v>
      </c>
      <c r="D221" s="592"/>
      <c r="E221" s="235">
        <f t="shared" si="59"/>
        <v>2940</v>
      </c>
      <c r="F221" s="234"/>
      <c r="G221" s="235">
        <f t="shared" si="57"/>
        <v>2940</v>
      </c>
      <c r="H221" s="172">
        <f t="shared" si="58"/>
        <v>0.17768644989725613</v>
      </c>
      <c r="I221" s="336"/>
      <c r="J221" s="168"/>
      <c r="K221" s="168"/>
    </row>
    <row r="222" spans="1:17">
      <c r="A222" s="163"/>
      <c r="B222" s="202" t="s">
        <v>334</v>
      </c>
      <c r="C222" s="592">
        <f>'[80]Sch D'!F9</f>
        <v>376</v>
      </c>
      <c r="D222" s="592"/>
      <c r="E222" s="235">
        <f>C222+D222</f>
        <v>376</v>
      </c>
      <c r="F222" s="234"/>
      <c r="G222" s="235">
        <f>E222+F222</f>
        <v>376</v>
      </c>
      <c r="H222" s="172">
        <f t="shared" si="58"/>
        <v>2.2724525565091261E-2</v>
      </c>
      <c r="I222" s="336"/>
      <c r="J222" s="168"/>
      <c r="K222" s="168"/>
    </row>
    <row r="223" spans="1:17">
      <c r="A223" s="163"/>
      <c r="B223" s="170" t="s">
        <v>73</v>
      </c>
      <c r="C223" s="592">
        <f>'[80]Sch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'[80]Sch D'!H9</f>
        <v>2811</v>
      </c>
      <c r="D224" s="592"/>
      <c r="E224" s="235">
        <f t="shared" si="59"/>
        <v>2811</v>
      </c>
      <c r="F224" s="234"/>
      <c r="G224" s="235">
        <f t="shared" si="57"/>
        <v>2811</v>
      </c>
      <c r="H224" s="172">
        <f t="shared" si="58"/>
        <v>0.16989000362625409</v>
      </c>
      <c r="I224" s="336"/>
      <c r="J224" s="168"/>
      <c r="K224" s="168"/>
    </row>
    <row r="225" spans="1:11">
      <c r="A225" s="163"/>
      <c r="B225" s="170" t="s">
        <v>236</v>
      </c>
      <c r="C225" s="592">
        <f>'[80]Sch D'!I9</f>
        <v>1221</v>
      </c>
      <c r="D225" s="592"/>
      <c r="E225" s="235">
        <f t="shared" si="59"/>
        <v>1221</v>
      </c>
      <c r="F225" s="234"/>
      <c r="G225" s="235">
        <f t="shared" si="57"/>
        <v>1221</v>
      </c>
      <c r="H225" s="172">
        <f t="shared" si="58"/>
        <v>7.3794270518554334E-2</v>
      </c>
      <c r="I225" s="336"/>
      <c r="J225" s="168"/>
      <c r="K225" s="168"/>
    </row>
    <row r="226" spans="1:11">
      <c r="A226" s="163"/>
      <c r="B226" s="170" t="s">
        <v>235</v>
      </c>
      <c r="C226" s="592">
        <f>'[80]Sch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'[80]Sch D'!K9</f>
        <v>851</v>
      </c>
      <c r="D227" s="592"/>
      <c r="E227" s="235">
        <f t="shared" si="59"/>
        <v>851</v>
      </c>
      <c r="F227" s="234"/>
      <c r="G227" s="235">
        <f t="shared" si="57"/>
        <v>851</v>
      </c>
      <c r="H227" s="172">
        <f t="shared" si="58"/>
        <v>5.1432370361416659E-2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16546</v>
      </c>
      <c r="D228" s="592">
        <f>SUM(D219:D227)</f>
        <v>0</v>
      </c>
      <c r="E228" s="237">
        <f>SUM(E219:E227)</f>
        <v>16546</v>
      </c>
      <c r="F228" s="237">
        <f>SUM(F219:F227)</f>
        <v>0</v>
      </c>
      <c r="G228" s="237">
        <f>SUM(G219:G227)</f>
        <v>16546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'[80]Sch D'!N22</f>
        <v>84</v>
      </c>
      <c r="D231" s="559"/>
      <c r="E231" s="235">
        <f>C231+D231</f>
        <v>84</v>
      </c>
      <c r="F231" s="235"/>
      <c r="G231" s="235">
        <f>E231+F231</f>
        <v>84</v>
      </c>
      <c r="H231" s="167"/>
      <c r="J231" s="168"/>
      <c r="K231" s="168"/>
    </row>
    <row r="232" spans="1:11">
      <c r="A232" s="163"/>
      <c r="B232" s="202" t="s">
        <v>290</v>
      </c>
      <c r="C232" s="593">
        <f>'[80]Sch D'!N24</f>
        <v>84</v>
      </c>
      <c r="D232" s="559"/>
      <c r="E232" s="235">
        <f>C232+D232</f>
        <v>84</v>
      </c>
      <c r="F232" s="235"/>
      <c r="G232" s="235">
        <f>E232+F232</f>
        <v>84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'[80]Sch D'!N28</f>
        <v>30744</v>
      </c>
      <c r="D235" s="483"/>
      <c r="E235" s="234">
        <f>E231*E233</f>
        <v>30744</v>
      </c>
      <c r="F235" s="239"/>
      <c r="G235" s="234">
        <f>G231*G233</f>
        <v>30744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'[80]Sch D'!N30</f>
        <v>0.53818631277647666</v>
      </c>
      <c r="D236" s="239"/>
      <c r="E236" s="244">
        <f>E228/E235</f>
        <v>0.53818631277647666</v>
      </c>
      <c r="F236" s="245"/>
      <c r="G236" s="244">
        <f>G228/G235</f>
        <v>0.53818631277647666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'[80]Sch D'!N32</f>
        <v>0.2715001301066875</v>
      </c>
      <c r="D237" s="239"/>
      <c r="E237" s="244">
        <f>(E219+E220)/E235</f>
        <v>0.2715001301066875</v>
      </c>
      <c r="F237" s="245"/>
      <c r="G237" s="244">
        <f>(G219+G220)/G235</f>
        <v>0.2715001301066875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'[80]Sch D'!N34</f>
        <v>0.50447238003142758</v>
      </c>
      <c r="D238" s="239"/>
      <c r="E238" s="244">
        <f>(E237/E236)</f>
        <v>0.50447238003142758</v>
      </c>
      <c r="F238" s="245"/>
      <c r="G238" s="244">
        <f>(G237/G236)</f>
        <v>0.50447238003142758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'[80]Sch B'!C85</f>
        <v>164.10010649627264</v>
      </c>
    </row>
    <row r="242" spans="2:7">
      <c r="F242" s="142" t="s">
        <v>341</v>
      </c>
      <c r="G242" s="558">
        <f>'[80]Sch B'!E85</f>
        <v>164.09956076134699</v>
      </c>
    </row>
    <row r="243" spans="2:7">
      <c r="F243" s="142" t="s">
        <v>342</v>
      </c>
      <c r="G243" s="558">
        <f>'[80]Sch B'!G85</f>
        <v>164.09941520467837</v>
      </c>
    </row>
    <row r="244" spans="2:7">
      <c r="F244" s="142" t="s">
        <v>343</v>
      </c>
      <c r="G244" s="558">
        <f>'[80]Sch B'!I85</f>
        <v>164.10059171597632</v>
      </c>
    </row>
    <row r="245" spans="2:7">
      <c r="F245" s="142"/>
    </row>
  </sheetData>
  <customSheetViews>
    <customSheetView guid="{00D6F160-3E2B-11D5-8BE5-C1A1C12816BD}" showPageBreaks="1" showGridLines="0" showRuler="0" topLeftCell="B1">
      <selection activeCell="G12" sqref="G12"/>
      <pageMargins left="0" right="0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" right="0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Button 1">
              <controlPr defaultSize="0" print="0" autoFill="0" autoLine="0" autoPict="0">
                <anchor moveWithCells="1" sizeWithCells="1">
                  <from>
                    <xdr:col>5</xdr:col>
                    <xdr:colOff>958850</xdr:colOff>
                    <xdr:row>0</xdr:row>
                    <xdr:rowOff>0</xdr:rowOff>
                  </from>
                  <to>
                    <xdr:col>6</xdr:col>
                    <xdr:colOff>1028700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5">
    <tabColor rgb="FFE28CAB"/>
  </sheetPr>
  <dimension ref="A1:T245"/>
  <sheetViews>
    <sheetView showGridLines="0" zoomScale="125" zoomScaleNormal="125" workbookViewId="0">
      <selection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1"/>
      <c r="F1" s="472"/>
      <c r="G1" s="472"/>
      <c r="H1" s="472"/>
      <c r="I1" s="473"/>
    </row>
    <row r="2" spans="1:17" ht="23">
      <c r="B2" s="143" t="s">
        <v>189</v>
      </c>
      <c r="C2" s="246" t="s">
        <v>361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'[81]Sch B'!E10</f>
        <v>2576700</v>
      </c>
      <c r="D11" s="558">
        <f>'[81]Sch B'!G10</f>
        <v>0</v>
      </c>
      <c r="E11" s="171">
        <f>C11+D11</f>
        <v>2576700</v>
      </c>
      <c r="F11" s="171"/>
      <c r="G11" s="171">
        <f t="shared" ref="G11:G20" si="0">E11+F11</f>
        <v>2576700</v>
      </c>
      <c r="H11" s="172">
        <f t="shared" ref="H11:H21" si="1">IF($G$21=0,0,G11/$G$21)</f>
        <v>0.54019128394120142</v>
      </c>
      <c r="I11" s="336"/>
      <c r="J11" s="368" t="s">
        <v>344</v>
      </c>
      <c r="K11" s="369">
        <f>G21</f>
        <v>4769977</v>
      </c>
      <c r="M11" s="359">
        <f>IFERROR(G11/G219,0)</f>
        <v>185.22751779167567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'[81]Sch B'!E15</f>
        <v>0</v>
      </c>
      <c r="D12" s="558">
        <f>'[81]Sch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4614198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'[81]Sch B'!E21</f>
        <v>899005</v>
      </c>
      <c r="D13" s="558">
        <f>'[81]Sch B'!G21</f>
        <v>0</v>
      </c>
      <c r="E13" s="171">
        <f t="shared" si="2"/>
        <v>899005</v>
      </c>
      <c r="F13" s="171"/>
      <c r="G13" s="171">
        <f t="shared" si="0"/>
        <v>899005</v>
      </c>
      <c r="H13" s="172">
        <f t="shared" si="1"/>
        <v>0.18847155866789295</v>
      </c>
      <c r="I13" s="336"/>
      <c r="J13" s="370" t="s">
        <v>346</v>
      </c>
      <c r="K13" s="371">
        <f>G228</f>
        <v>20922</v>
      </c>
      <c r="M13" s="359">
        <f t="shared" si="3"/>
        <v>609.90841248303934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'[81]Sch B'!E27</f>
        <v>469179</v>
      </c>
      <c r="D14" s="558">
        <f>'[81]Sch B'!G27</f>
        <v>0</v>
      </c>
      <c r="E14" s="171">
        <f t="shared" si="2"/>
        <v>469179</v>
      </c>
      <c r="F14" s="175"/>
      <c r="G14" s="175">
        <f>E14+F14</f>
        <v>469179</v>
      </c>
      <c r="H14" s="176">
        <f t="shared" si="1"/>
        <v>9.8360851635133667E-2</v>
      </c>
      <c r="I14" s="337"/>
      <c r="J14" s="370" t="s">
        <v>347</v>
      </c>
      <c r="K14" s="371">
        <f>G231</f>
        <v>77</v>
      </c>
      <c r="M14" s="359">
        <f t="shared" si="3"/>
        <v>424.98097826086956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'[81]Sch B'!E32</f>
        <v>0</v>
      </c>
      <c r="D15" s="558">
        <f>'[81]Sch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28182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'[81]Sch B'!E37</f>
        <v>244131</v>
      </c>
      <c r="D16" s="558">
        <f>'[81]Sch B'!G37</f>
        <v>0</v>
      </c>
      <c r="E16" s="171">
        <f t="shared" si="2"/>
        <v>244131</v>
      </c>
      <c r="F16" s="171"/>
      <c r="G16" s="171">
        <f t="shared" si="0"/>
        <v>244131</v>
      </c>
      <c r="H16" s="172">
        <f t="shared" si="1"/>
        <v>5.1180749928144309E-2</v>
      </c>
      <c r="I16" s="336"/>
      <c r="J16" s="372"/>
      <c r="K16" s="371"/>
      <c r="M16" s="359">
        <f t="shared" si="3"/>
        <v>179.37619397501837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'[81]Sch B'!E42</f>
        <v>565723</v>
      </c>
      <c r="D17" s="558">
        <f>'[81]Sch B'!G42</f>
        <v>0</v>
      </c>
      <c r="E17" s="171">
        <f t="shared" si="2"/>
        <v>565723</v>
      </c>
      <c r="F17" s="171"/>
      <c r="G17" s="171">
        <f>E17+F17</f>
        <v>565723</v>
      </c>
      <c r="H17" s="172">
        <f t="shared" si="1"/>
        <v>0.11860078151320226</v>
      </c>
      <c r="I17" s="336"/>
      <c r="J17" s="370" t="s">
        <v>156</v>
      </c>
      <c r="K17" s="371">
        <f>J208</f>
        <v>98903</v>
      </c>
      <c r="M17" s="359">
        <f t="shared" si="3"/>
        <v>187.32549668874171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'[81]Sch B'!E47</f>
        <v>0</v>
      </c>
      <c r="D18" s="558">
        <f>'[81]Sch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105989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'[81]Sch B'!E52</f>
        <v>9516</v>
      </c>
      <c r="D19" s="558">
        <f>'[81]Sch B'!G52</f>
        <v>0</v>
      </c>
      <c r="E19" s="171">
        <f t="shared" si="2"/>
        <v>9516</v>
      </c>
      <c r="F19" s="171"/>
      <c r="G19" s="171">
        <f t="shared" si="0"/>
        <v>9516</v>
      </c>
      <c r="H19" s="172">
        <f t="shared" si="1"/>
        <v>1.9949781728507286E-3</v>
      </c>
      <c r="I19" s="336"/>
      <c r="J19" s="168"/>
      <c r="K19" s="168"/>
      <c r="M19" s="359">
        <f t="shared" si="3"/>
        <v>183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'[81]Sch B'!E67</f>
        <v>12335</v>
      </c>
      <c r="D20" s="558">
        <f>'[81]Sch B'!G67</f>
        <v>-6612</v>
      </c>
      <c r="E20" s="171">
        <f t="shared" si="2"/>
        <v>5723</v>
      </c>
      <c r="F20" s="171"/>
      <c r="G20" s="171">
        <f t="shared" si="0"/>
        <v>5723</v>
      </c>
      <c r="H20" s="172">
        <f t="shared" si="1"/>
        <v>1.1997961415746868E-3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4776589</v>
      </c>
      <c r="D21" s="558">
        <f>SUM(D11:D20)</f>
        <v>-6612</v>
      </c>
      <c r="E21" s="171">
        <f>SUM(E11:E20)</f>
        <v>4769977</v>
      </c>
      <c r="F21" s="171">
        <f>SUM(F11:F20)</f>
        <v>0</v>
      </c>
      <c r="G21" s="171">
        <f>SUM(G11:G20)</f>
        <v>4769977</v>
      </c>
      <c r="H21" s="172">
        <f t="shared" si="1"/>
        <v>1</v>
      </c>
      <c r="I21" s="336"/>
      <c r="J21" s="168"/>
      <c r="K21" s="168"/>
      <c r="M21" s="359">
        <f>IFERROR(G21/G228,0)</f>
        <v>227.98857661791416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'[81]Sch C'!D10</f>
        <v>0</v>
      </c>
      <c r="D25" s="558">
        <f>'[81]Sch C'!F10</f>
        <v>120270</v>
      </c>
      <c r="E25" s="171">
        <f t="shared" ref="E25:E60" si="4">C25+D25</f>
        <v>120270</v>
      </c>
      <c r="F25" s="171"/>
      <c r="G25" s="182">
        <f>E25+F25</f>
        <v>120270</v>
      </c>
      <c r="H25" s="172">
        <f>IF($G$208=0,0,G25/$G$208)</f>
        <v>2.6065201363270497E-2</v>
      </c>
      <c r="I25" s="336"/>
      <c r="J25" s="183">
        <v>1896</v>
      </c>
      <c r="K25" s="183">
        <v>2056</v>
      </c>
      <c r="M25" s="359">
        <f>G25/G$228</f>
        <v>5.7484944078004014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'[81]Sch C'!D11</f>
        <v>0</v>
      </c>
      <c r="D26" s="558">
        <f>'[81]Sch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'[81]Sch C'!D12</f>
        <v>258862</v>
      </c>
      <c r="D27" s="558">
        <f>'[81]Sch C'!F12</f>
        <v>-120270</v>
      </c>
      <c r="E27" s="171">
        <f t="shared" si="4"/>
        <v>138592</v>
      </c>
      <c r="F27" s="171"/>
      <c r="G27" s="171">
        <f t="shared" si="5"/>
        <v>138592</v>
      </c>
      <c r="H27" s="172">
        <f t="shared" si="6"/>
        <v>3.003598891941785E-2</v>
      </c>
      <c r="I27" s="336"/>
      <c r="J27" s="185">
        <v>6987</v>
      </c>
      <c r="K27" s="185">
        <v>7739</v>
      </c>
      <c r="M27" s="359">
        <f t="shared" si="7"/>
        <v>6.6242233056113182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'[81]Sch C'!D13</f>
        <v>21747</v>
      </c>
      <c r="D28" s="558">
        <f>'[81]Sch C'!F13</f>
        <v>0</v>
      </c>
      <c r="E28" s="171">
        <f t="shared" si="4"/>
        <v>21747</v>
      </c>
      <c r="F28" s="171"/>
      <c r="G28" s="171">
        <f t="shared" si="5"/>
        <v>21747</v>
      </c>
      <c r="H28" s="172">
        <f t="shared" si="6"/>
        <v>4.7130617281703124E-3</v>
      </c>
      <c r="I28" s="336"/>
      <c r="J28" s="168"/>
      <c r="K28" s="168"/>
      <c r="M28" s="359">
        <f t="shared" si="7"/>
        <v>1.0394321766561514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'[81]Sch C'!D14</f>
        <v>0</v>
      </c>
      <c r="D29" s="558">
        <f>'[81]Sch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'[81]Sch C'!D15</f>
        <v>0</v>
      </c>
      <c r="D30" s="558">
        <f>'[81]Sch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'[81]Sch C'!D16</f>
        <v>237156</v>
      </c>
      <c r="D31" s="558">
        <f>'[81]Sch C'!F16</f>
        <v>-38558</v>
      </c>
      <c r="E31" s="171">
        <f t="shared" si="4"/>
        <v>198598</v>
      </c>
      <c r="F31" s="171"/>
      <c r="G31" s="171">
        <f t="shared" si="5"/>
        <v>198598</v>
      </c>
      <c r="H31" s="172">
        <f t="shared" si="6"/>
        <v>4.3040632413260116E-2</v>
      </c>
      <c r="I31" s="336"/>
      <c r="J31" s="168"/>
      <c r="K31" s="168"/>
      <c r="M31" s="359">
        <f t="shared" si="7"/>
        <v>9.4923047509798302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'[81]Sch C'!D17</f>
        <v>916</v>
      </c>
      <c r="D32" s="558">
        <f>'[81]Sch C'!F17</f>
        <v>-916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'[81]Sch C'!D18</f>
        <v>10721</v>
      </c>
      <c r="D33" s="558">
        <f>'[81]Sch C'!F18</f>
        <v>0</v>
      </c>
      <c r="E33" s="171">
        <f t="shared" si="4"/>
        <v>10721</v>
      </c>
      <c r="F33" s="171"/>
      <c r="G33" s="171">
        <f t="shared" si="5"/>
        <v>10721</v>
      </c>
      <c r="H33" s="172">
        <f t="shared" si="6"/>
        <v>2.3234807002213602E-3</v>
      </c>
      <c r="I33" s="336"/>
      <c r="J33" s="168"/>
      <c r="K33" s="168"/>
      <c r="M33" s="359">
        <f t="shared" si="7"/>
        <v>0.5124271102189083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'[81]Sch C'!D19</f>
        <v>10746</v>
      </c>
      <c r="D34" s="558">
        <f>'[81]Sch C'!F19</f>
        <v>0</v>
      </c>
      <c r="E34" s="171">
        <f t="shared" si="4"/>
        <v>10746</v>
      </c>
      <c r="F34" s="171"/>
      <c r="G34" s="171">
        <f t="shared" si="5"/>
        <v>10746</v>
      </c>
      <c r="H34" s="172">
        <f t="shared" si="6"/>
        <v>2.3288987598711628E-3</v>
      </c>
      <c r="I34" s="336"/>
      <c r="J34" s="168"/>
      <c r="K34" s="168"/>
      <c r="M34" s="359">
        <f t="shared" si="7"/>
        <v>0.51362202466303408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'[81]Sch C'!D20</f>
        <v>12234</v>
      </c>
      <c r="D35" s="558">
        <f>'[81]Sch C'!F20</f>
        <v>0</v>
      </c>
      <c r="E35" s="171">
        <f t="shared" si="4"/>
        <v>12234</v>
      </c>
      <c r="F35" s="171"/>
      <c r="G35" s="171">
        <f t="shared" si="5"/>
        <v>12234</v>
      </c>
      <c r="H35" s="172">
        <f t="shared" si="6"/>
        <v>2.6513816702274156E-3</v>
      </c>
      <c r="I35" s="336"/>
      <c r="J35" s="168"/>
      <c r="K35" s="168"/>
      <c r="M35" s="359">
        <f t="shared" si="7"/>
        <v>0.58474333237740173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'[81]Sch C'!D21</f>
        <v>22536</v>
      </c>
      <c r="D36" s="558">
        <f>'[81]Sch C'!F21</f>
        <v>0</v>
      </c>
      <c r="E36" s="171">
        <f t="shared" si="4"/>
        <v>22536</v>
      </c>
      <c r="F36" s="171"/>
      <c r="G36" s="171">
        <f t="shared" si="5"/>
        <v>22536</v>
      </c>
      <c r="H36" s="172">
        <f t="shared" si="6"/>
        <v>4.8840556907180834E-3</v>
      </c>
      <c r="I36" s="336"/>
      <c r="J36" s="168"/>
      <c r="K36" s="168"/>
      <c r="M36" s="359">
        <f t="shared" si="7"/>
        <v>1.0771436765127618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'[81]Sch C'!D22</f>
        <v>0</v>
      </c>
      <c r="D37" s="558">
        <f>'[81]Sch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'[81]Sch C'!D23</f>
        <v>5910</v>
      </c>
      <c r="D38" s="558">
        <f>'[81]Sch C'!F23</f>
        <v>0</v>
      </c>
      <c r="E38" s="171">
        <f t="shared" si="4"/>
        <v>5910</v>
      </c>
      <c r="F38" s="171"/>
      <c r="G38" s="171">
        <f t="shared" si="5"/>
        <v>5910</v>
      </c>
      <c r="H38" s="172">
        <f t="shared" si="6"/>
        <v>1.2808293012133419E-3</v>
      </c>
      <c r="I38" s="336"/>
      <c r="J38" s="168"/>
      <c r="K38" s="168"/>
      <c r="M38" s="359">
        <f t="shared" si="7"/>
        <v>0.28247777459133927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'[81]Sch C'!D24</f>
        <v>10021</v>
      </c>
      <c r="D39" s="558">
        <f>'[81]Sch C'!F24</f>
        <v>0</v>
      </c>
      <c r="E39" s="171">
        <f t="shared" si="4"/>
        <v>10021</v>
      </c>
      <c r="F39" s="171"/>
      <c r="G39" s="171">
        <f t="shared" si="5"/>
        <v>10021</v>
      </c>
      <c r="H39" s="172">
        <f t="shared" si="6"/>
        <v>2.1717750300268867E-3</v>
      </c>
      <c r="I39" s="336"/>
      <c r="J39" s="168"/>
      <c r="K39" s="168"/>
      <c r="M39" s="359">
        <f t="shared" si="7"/>
        <v>0.47896950578338593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'[81]Sch C'!D25</f>
        <v>2892</v>
      </c>
      <c r="D40" s="558">
        <f>'[81]Sch C'!F25</f>
        <v>0</v>
      </c>
      <c r="E40" s="171">
        <f t="shared" si="4"/>
        <v>2892</v>
      </c>
      <c r="F40" s="171"/>
      <c r="G40" s="171">
        <f t="shared" si="5"/>
        <v>2892</v>
      </c>
      <c r="H40" s="172">
        <f t="shared" si="6"/>
        <v>6.267611402891684E-4</v>
      </c>
      <c r="I40" s="336"/>
      <c r="J40" s="168"/>
      <c r="K40" s="168"/>
      <c r="M40" s="359">
        <f t="shared" si="7"/>
        <v>0.13822770289647263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'[81]Sch C'!D26</f>
        <v>336007</v>
      </c>
      <c r="D41" s="558">
        <f>'[81]Sch C'!F26</f>
        <v>0</v>
      </c>
      <c r="E41" s="171">
        <f t="shared" si="4"/>
        <v>336007</v>
      </c>
      <c r="F41" s="171"/>
      <c r="G41" s="171">
        <f t="shared" si="5"/>
        <v>336007</v>
      </c>
      <c r="H41" s="172">
        <f t="shared" si="6"/>
        <v>7.282023875004931E-2</v>
      </c>
      <c r="I41" s="336"/>
      <c r="J41" s="168"/>
      <c r="K41" s="168"/>
      <c r="M41" s="359">
        <f t="shared" si="7"/>
        <v>16.059984705095115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'[81]Sch C'!D27</f>
        <v>15319</v>
      </c>
      <c r="D42" s="558">
        <f>'[81]Sch C'!F27</f>
        <v>-140</v>
      </c>
      <c r="E42" s="171">
        <f t="shared" si="4"/>
        <v>15179</v>
      </c>
      <c r="F42" s="171"/>
      <c r="G42" s="171">
        <f t="shared" si="5"/>
        <v>15179</v>
      </c>
      <c r="H42" s="172">
        <f t="shared" si="6"/>
        <v>3.2896290969741653E-3</v>
      </c>
      <c r="I42" s="336"/>
      <c r="J42" s="168"/>
      <c r="K42" s="168"/>
      <c r="M42" s="359">
        <f t="shared" si="7"/>
        <v>0.72550425389542106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'[81]Sch C'!D28</f>
        <v>0</v>
      </c>
      <c r="D43" s="558">
        <f>'[81]Sch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'[81]Sch C'!D29</f>
        <v>132899</v>
      </c>
      <c r="D44" s="558">
        <f>'[81]Sch C'!F29</f>
        <v>-132899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'[81]Sch C'!D30</f>
        <v>0</v>
      </c>
      <c r="D45" s="558">
        <f>'[81]Sch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'[81]Sch C'!D31</f>
        <v>0</v>
      </c>
      <c r="D46" s="558">
        <f>'[81]Sch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'[81]Sch C'!D32</f>
        <v>54207</v>
      </c>
      <c r="D47" s="558">
        <f>'[81]Sch C'!F32</f>
        <v>0</v>
      </c>
      <c r="E47" s="171">
        <f t="shared" si="4"/>
        <v>54207</v>
      </c>
      <c r="F47" s="171"/>
      <c r="G47" s="171">
        <f t="shared" si="5"/>
        <v>54207</v>
      </c>
      <c r="H47" s="172">
        <f t="shared" si="6"/>
        <v>1.1747870377474049E-2</v>
      </c>
      <c r="I47" s="336"/>
      <c r="J47" s="168"/>
      <c r="K47" s="168"/>
      <c r="M47" s="359">
        <f t="shared" si="7"/>
        <v>2.5909090909090908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'[81]Sch C'!D33</f>
        <v>0</v>
      </c>
      <c r="D48" s="558">
        <f>'[81]Sch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'[81]Sch C'!D34</f>
        <v>151</v>
      </c>
      <c r="D49" s="558">
        <f>'[81]Sch C'!F34</f>
        <v>0</v>
      </c>
      <c r="E49" s="171">
        <f t="shared" si="4"/>
        <v>151</v>
      </c>
      <c r="F49" s="171"/>
      <c r="G49" s="171">
        <f t="shared" si="5"/>
        <v>151</v>
      </c>
      <c r="H49" s="172">
        <f t="shared" si="6"/>
        <v>3.2725080284807891E-5</v>
      </c>
      <c r="I49" s="336"/>
      <c r="J49" s="168"/>
      <c r="K49" s="168"/>
      <c r="M49" s="359">
        <f t="shared" si="7"/>
        <v>7.2172832425198355E-3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'[81]Sch C'!D35</f>
        <v>125000</v>
      </c>
      <c r="D50" s="558">
        <f>'[81]Sch C'!F35</f>
        <v>-125000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'[81]Sch C'!D36</f>
        <v>0</v>
      </c>
      <c r="D51" s="558">
        <f>'[81]Sch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'[81]Sch C'!D37</f>
        <v>0</v>
      </c>
      <c r="D52" s="558">
        <f>'[81]Sch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'[81]Sch C'!D38</f>
        <v>74</v>
      </c>
      <c r="D53" s="558">
        <f>'[81]Sch C'!F38</f>
        <v>-74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'[81]Sch C'!D39</f>
        <v>3581</v>
      </c>
      <c r="D54" s="558">
        <f>'[81]Sch C'!F39</f>
        <v>0</v>
      </c>
      <c r="E54" s="171">
        <f t="shared" si="4"/>
        <v>3581</v>
      </c>
      <c r="F54" s="171"/>
      <c r="G54" s="171">
        <f t="shared" si="5"/>
        <v>3581</v>
      </c>
      <c r="H54" s="172">
        <f t="shared" si="6"/>
        <v>7.7608286423772889E-4</v>
      </c>
      <c r="I54" s="336"/>
      <c r="J54" s="168"/>
      <c r="K54" s="168"/>
      <c r="M54" s="359">
        <f t="shared" si="7"/>
        <v>0.17115954497657968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'[81]Sch C'!D40</f>
        <v>5289</v>
      </c>
      <c r="D55" s="558">
        <f>'[81]Sch C'!F40</f>
        <v>-5289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'[81]Sch C'!D41</f>
        <v>56107</v>
      </c>
      <c r="D56" s="558">
        <f>'[81]Sch C'!F41</f>
        <v>-487</v>
      </c>
      <c r="E56" s="171">
        <f t="shared" si="4"/>
        <v>55620</v>
      </c>
      <c r="F56" s="171"/>
      <c r="G56" s="171">
        <f t="shared" si="5"/>
        <v>55620</v>
      </c>
      <c r="H56" s="172">
        <f t="shared" si="6"/>
        <v>1.2054099108880893E-2</v>
      </c>
      <c r="I56" s="336"/>
      <c r="J56" s="168"/>
      <c r="K56" s="168"/>
      <c r="M56" s="359">
        <f t="shared" si="7"/>
        <v>2.6584456552910813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'[81]Sch C'!D42</f>
        <v>2928</v>
      </c>
      <c r="D57" s="558">
        <f>'[81]Sch C'!F42</f>
        <v>0</v>
      </c>
      <c r="E57" s="171">
        <f t="shared" si="4"/>
        <v>2928</v>
      </c>
      <c r="F57" s="171"/>
      <c r="G57" s="171">
        <f t="shared" si="5"/>
        <v>2928</v>
      </c>
      <c r="H57" s="172">
        <f t="shared" si="6"/>
        <v>6.3456314618488417E-4</v>
      </c>
      <c r="I57" s="336"/>
      <c r="J57" s="168"/>
      <c r="K57" s="168"/>
      <c r="M57" s="359">
        <f t="shared" si="7"/>
        <v>0.13994837969601376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'[81]Sch C'!D43</f>
        <v>4717</v>
      </c>
      <c r="D58" s="558">
        <f>'[81]Sch C'!F43</f>
        <v>-4717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'[81]Sch C'!D44</f>
        <v>0</v>
      </c>
      <c r="D59" s="558">
        <f>'[81]Sch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'[81]Sch C'!D45</f>
        <v>6448</v>
      </c>
      <c r="D60" s="558">
        <f>'[81]Sch C'!F45</f>
        <v>-5874</v>
      </c>
      <c r="E60" s="171">
        <f t="shared" si="4"/>
        <v>574</v>
      </c>
      <c r="F60" s="171"/>
      <c r="G60" s="171">
        <f t="shared" si="5"/>
        <v>574</v>
      </c>
      <c r="H60" s="172">
        <f t="shared" si="6"/>
        <v>1.243986495594684E-4</v>
      </c>
      <c r="I60" s="336"/>
      <c r="J60" s="168"/>
      <c r="K60" s="168"/>
      <c r="M60" s="359">
        <f t="shared" si="7"/>
        <v>2.743523563712838E-2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1336468</v>
      </c>
      <c r="D61" s="558">
        <f>SUM(D25:D60)</f>
        <v>-313954</v>
      </c>
      <c r="E61" s="171">
        <f t="shared" ref="E61:F61" si="8">SUM(E25:E60)</f>
        <v>1022514</v>
      </c>
      <c r="F61" s="171">
        <f t="shared" si="8"/>
        <v>0</v>
      </c>
      <c r="G61" s="171">
        <f>SUM(G25:G60)</f>
        <v>1022514</v>
      </c>
      <c r="H61" s="186">
        <f t="shared" si="6"/>
        <v>0.22160167379033149</v>
      </c>
      <c r="I61" s="338"/>
      <c r="J61" s="168"/>
      <c r="K61" s="168"/>
      <c r="M61" s="364">
        <f>G61/G$228</f>
        <v>48.872669916833956</v>
      </c>
      <c r="N61" s="359">
        <f>SUMMARY!J64</f>
        <v>53.728790309602623</v>
      </c>
      <c r="O61" s="354">
        <f>M61/N61-1</f>
        <v>-9.0382090584696484E-2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'[81]Sch C'!D57</f>
        <v>0</v>
      </c>
      <c r="D64" s="558">
        <f>'[81]Sch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6"/>
      <c r="J64" s="190"/>
      <c r="K64" s="168"/>
      <c r="M64" s="359">
        <f t="shared" ref="M64:M79" si="12">G64/G$228</f>
        <v>0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'[81]Sch C'!D58</f>
        <v>88569</v>
      </c>
      <c r="D65" s="558">
        <f>'[81]Sch C'!F58</f>
        <v>0</v>
      </c>
      <c r="E65" s="171">
        <f t="shared" si="9"/>
        <v>88569</v>
      </c>
      <c r="F65" s="171"/>
      <c r="G65" s="171">
        <f t="shared" si="10"/>
        <v>88569</v>
      </c>
      <c r="H65" s="172">
        <f t="shared" si="11"/>
        <v>1.919488500493477E-2</v>
      </c>
      <c r="I65" s="336"/>
      <c r="J65" s="190"/>
      <c r="K65" s="168"/>
      <c r="M65" s="359">
        <f t="shared" si="12"/>
        <v>4.2332950960711209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'[81]Sch C'!D59</f>
        <v>65434</v>
      </c>
      <c r="D66" s="558">
        <f>'[81]Sch C'!F59</f>
        <v>0</v>
      </c>
      <c r="E66" s="171">
        <f t="shared" si="9"/>
        <v>65434</v>
      </c>
      <c r="F66" s="171"/>
      <c r="G66" s="171">
        <f t="shared" si="10"/>
        <v>65434</v>
      </c>
      <c r="H66" s="172">
        <f t="shared" si="11"/>
        <v>1.4181012605007414E-2</v>
      </c>
      <c r="I66" s="336"/>
      <c r="J66" s="190"/>
      <c r="K66" s="168"/>
      <c r="M66" s="359">
        <f t="shared" si="12"/>
        <v>3.1275212694771053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'[81]Sch C'!D60</f>
        <v>28615</v>
      </c>
      <c r="D67" s="558">
        <f>'[81]Sch C'!F60</f>
        <v>0</v>
      </c>
      <c r="E67" s="171">
        <f t="shared" si="9"/>
        <v>28615</v>
      </c>
      <c r="F67" s="171"/>
      <c r="G67" s="171">
        <f t="shared" si="10"/>
        <v>28615</v>
      </c>
      <c r="H67" s="172">
        <f t="shared" si="11"/>
        <v>6.2015110751640909E-3</v>
      </c>
      <c r="I67" s="336"/>
      <c r="J67" s="193"/>
      <c r="K67" s="168"/>
      <c r="M67" s="359">
        <f t="shared" si="12"/>
        <v>1.3676990727463914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'[81]Sch C'!D61</f>
        <v>19340</v>
      </c>
      <c r="D68" s="558">
        <f>'[81]Sch C'!F61</f>
        <v>0</v>
      </c>
      <c r="E68" s="171">
        <f t="shared" si="9"/>
        <v>19340</v>
      </c>
      <c r="F68" s="171"/>
      <c r="G68" s="171">
        <f t="shared" si="10"/>
        <v>19340</v>
      </c>
      <c r="H68" s="172">
        <f t="shared" si="11"/>
        <v>4.1914109450873153E-3</v>
      </c>
      <c r="I68" s="336"/>
      <c r="J68" s="193"/>
      <c r="K68" s="168"/>
      <c r="M68" s="359">
        <f t="shared" si="12"/>
        <v>0.92438581397571928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'[81]Sch C'!D62</f>
        <v>0</v>
      </c>
      <c r="D69" s="558">
        <f>'[81]Sch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6"/>
      <c r="J69" s="195"/>
      <c r="K69" s="168"/>
      <c r="M69" s="359">
        <f t="shared" si="12"/>
        <v>0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'[81]Sch C'!D63</f>
        <v>0</v>
      </c>
      <c r="D70" s="558">
        <f>'[81]Sch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'[81]Sch C'!D64</f>
        <v>0</v>
      </c>
      <c r="D71" s="558">
        <f>'[81]Sch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'[81]Sch C'!D65</f>
        <v>0</v>
      </c>
      <c r="D72" s="558">
        <f>'[81]Sch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'[81]Sch C'!D66</f>
        <v>36695</v>
      </c>
      <c r="D73" s="558">
        <f>'[81]Sch C'!F66</f>
        <v>48</v>
      </c>
      <c r="E73" s="171">
        <f t="shared" si="9"/>
        <v>36743</v>
      </c>
      <c r="F73" s="171"/>
      <c r="G73" s="171">
        <f t="shared" si="10"/>
        <v>36743</v>
      </c>
      <c r="H73" s="172">
        <f t="shared" si="11"/>
        <v>7.9630306285079222E-3</v>
      </c>
      <c r="I73" s="336"/>
      <c r="J73" s="195"/>
      <c r="K73" s="168"/>
      <c r="M73" s="359">
        <f t="shared" si="12"/>
        <v>1.7561896568205717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'[81]Sch C'!D67</f>
        <v>36863</v>
      </c>
      <c r="D74" s="558">
        <f>'[81]Sch C'!F67</f>
        <v>0</v>
      </c>
      <c r="E74" s="171">
        <f t="shared" si="9"/>
        <v>36863</v>
      </c>
      <c r="F74" s="171"/>
      <c r="G74" s="171">
        <f t="shared" si="10"/>
        <v>36863</v>
      </c>
      <c r="H74" s="172">
        <f t="shared" si="11"/>
        <v>7.9890373148269762E-3</v>
      </c>
      <c r="I74" s="336"/>
      <c r="J74" s="195"/>
      <c r="K74" s="168"/>
      <c r="M74" s="359">
        <f t="shared" si="12"/>
        <v>1.7619252461523756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'[81]Sch C'!D68</f>
        <v>0</v>
      </c>
      <c r="D75" s="558">
        <f>'[81]Sch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'[81]Sch C'!D69</f>
        <v>4017</v>
      </c>
      <c r="D76" s="558">
        <f>'[81]Sch C'!F69</f>
        <v>0</v>
      </c>
      <c r="E76" s="171">
        <f t="shared" si="9"/>
        <v>4017</v>
      </c>
      <c r="F76" s="171"/>
      <c r="G76" s="171">
        <f t="shared" si="10"/>
        <v>4017</v>
      </c>
      <c r="H76" s="172">
        <f t="shared" si="11"/>
        <v>8.7057382453028674E-4</v>
      </c>
      <c r="I76" s="336"/>
      <c r="J76" s="195"/>
      <c r="K76" s="168"/>
      <c r="M76" s="359">
        <f t="shared" si="12"/>
        <v>0.19199885288213364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'[81]Sch C'!D70</f>
        <v>0</v>
      </c>
      <c r="D77" s="558">
        <f>'[81]Sch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'[81]Sch C'!D71</f>
        <v>0</v>
      </c>
      <c r="D78" s="558">
        <f>'[81]Sch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279533</v>
      </c>
      <c r="D79" s="558">
        <f>SUM(D64:D78)</f>
        <v>48</v>
      </c>
      <c r="E79" s="171">
        <f t="shared" ref="E79:F79" si="13">SUM(E64:E78)</f>
        <v>279581</v>
      </c>
      <c r="F79" s="171">
        <f t="shared" si="13"/>
        <v>0</v>
      </c>
      <c r="G79" s="171">
        <f>SUM(G64:G78)</f>
        <v>279581</v>
      </c>
      <c r="H79" s="172">
        <f t="shared" si="11"/>
        <v>6.0591461398058773E-2</v>
      </c>
      <c r="I79" s="336"/>
      <c r="J79" s="195"/>
      <c r="K79" s="168"/>
      <c r="M79" s="359">
        <f t="shared" si="12"/>
        <v>13.363015008125418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'[81]Sch C'!D75</f>
        <v>44552</v>
      </c>
      <c r="D82" s="558">
        <f>'[81]Sch C'!F75</f>
        <v>0</v>
      </c>
      <c r="E82" s="171">
        <f t="shared" ref="E82:E92" si="14">C82+D82</f>
        <v>44552</v>
      </c>
      <c r="F82" s="171"/>
      <c r="G82" s="171">
        <f t="shared" ref="G82:G92" si="15">E82+F82</f>
        <v>44552</v>
      </c>
      <c r="H82" s="172">
        <f t="shared" ref="H82:H93" si="16">IF($G$208=0,0,G82/$G$208)</f>
        <v>9.6554157407202721E-3</v>
      </c>
      <c r="I82" s="336"/>
      <c r="J82" s="183">
        <v>2342</v>
      </c>
      <c r="K82" s="183">
        <v>2400</v>
      </c>
      <c r="M82" s="359">
        <f t="shared" ref="M82:M92" si="17">G82/G$228</f>
        <v>2.1294331325877067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'[81]Sch C'!D76</f>
        <v>11502</v>
      </c>
      <c r="D83" s="558">
        <f>'[81]Sch C'!F76</f>
        <v>0</v>
      </c>
      <c r="E83" s="171">
        <f t="shared" si="14"/>
        <v>11502</v>
      </c>
      <c r="F83" s="171"/>
      <c r="G83" s="171">
        <f t="shared" si="15"/>
        <v>11502</v>
      </c>
      <c r="H83" s="172">
        <f t="shared" si="16"/>
        <v>2.4927408836811944E-3</v>
      </c>
      <c r="I83" s="336"/>
      <c r="J83" s="168"/>
      <c r="K83" s="168"/>
      <c r="M83" s="359">
        <f t="shared" si="17"/>
        <v>0.5497562374533983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'[81]Sch C'!D77</f>
        <v>8223</v>
      </c>
      <c r="D84" s="558">
        <f>'[81]Sch C'!F77</f>
        <v>0</v>
      </c>
      <c r="E84" s="171">
        <f t="shared" si="14"/>
        <v>8223</v>
      </c>
      <c r="F84" s="171"/>
      <c r="G84" s="171">
        <f t="shared" si="15"/>
        <v>8223</v>
      </c>
      <c r="H84" s="172">
        <f t="shared" si="16"/>
        <v>1.7821081800130814E-3</v>
      </c>
      <c r="I84" s="336"/>
      <c r="J84" s="168"/>
      <c r="K84" s="168"/>
      <c r="M84" s="359">
        <f t="shared" si="17"/>
        <v>0.39303125896185831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'[81]Sch C'!D78</f>
        <v>0</v>
      </c>
      <c r="D85" s="558">
        <f>'[81]Sch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'[81]Sch C'!D79</f>
        <v>5532</v>
      </c>
      <c r="D86" s="558">
        <f>'[81]Sch C'!F79</f>
        <v>0</v>
      </c>
      <c r="E86" s="171">
        <f t="shared" si="14"/>
        <v>5532</v>
      </c>
      <c r="F86" s="171"/>
      <c r="G86" s="171">
        <f>E86+F86</f>
        <v>5532</v>
      </c>
      <c r="H86" s="172">
        <f t="shared" si="16"/>
        <v>1.1989082393083262E-3</v>
      </c>
      <c r="I86" s="336"/>
      <c r="J86" s="168"/>
      <c r="K86" s="168"/>
      <c r="M86" s="359">
        <f t="shared" si="17"/>
        <v>0.26441066819615716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'[81]Sch C'!D80</f>
        <v>26676</v>
      </c>
      <c r="D87" s="558">
        <f>'[81]Sch C'!F80</f>
        <v>0</v>
      </c>
      <c r="E87" s="171">
        <f t="shared" si="14"/>
        <v>26676</v>
      </c>
      <c r="F87" s="171"/>
      <c r="G87" s="171">
        <f t="shared" si="15"/>
        <v>26676</v>
      </c>
      <c r="H87" s="172">
        <f t="shared" si="16"/>
        <v>5.7812863687253992E-3</v>
      </c>
      <c r="I87" s="336"/>
      <c r="J87" s="168"/>
      <c r="K87" s="168"/>
      <c r="M87" s="359">
        <f t="shared" si="17"/>
        <v>1.2750215084599943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'[81]Sch C'!D81</f>
        <v>26306</v>
      </c>
      <c r="D88" s="558">
        <f>'[81]Sch C'!F81</f>
        <v>0</v>
      </c>
      <c r="E88" s="171">
        <f t="shared" si="14"/>
        <v>26306</v>
      </c>
      <c r="F88" s="171"/>
      <c r="G88" s="171">
        <f t="shared" si="15"/>
        <v>26306</v>
      </c>
      <c r="H88" s="172">
        <f t="shared" si="16"/>
        <v>5.7010990859083207E-3</v>
      </c>
      <c r="I88" s="336"/>
      <c r="J88" s="168"/>
      <c r="K88" s="168"/>
      <c r="M88" s="359">
        <f t="shared" si="17"/>
        <v>1.2573367746869324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'[81]Sch C'!D82</f>
        <v>5893</v>
      </c>
      <c r="D89" s="558">
        <f>'[81]Sch C'!F82</f>
        <v>0</v>
      </c>
      <c r="E89" s="171">
        <f t="shared" si="14"/>
        <v>5893</v>
      </c>
      <c r="F89" s="171"/>
      <c r="G89" s="171">
        <f t="shared" si="15"/>
        <v>5893</v>
      </c>
      <c r="H89" s="172">
        <f t="shared" si="16"/>
        <v>1.2771450206514761E-3</v>
      </c>
      <c r="I89" s="336"/>
      <c r="J89" s="168"/>
      <c r="K89" s="168"/>
      <c r="M89" s="359">
        <f t="shared" si="17"/>
        <v>0.2816652327693337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'[81]Sch C'!D83</f>
        <v>0</v>
      </c>
      <c r="D90" s="558">
        <f>'[81]Sch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'[81]Sch C'!D84</f>
        <v>69267</v>
      </c>
      <c r="D91" s="558">
        <f>'[81]Sch C'!F84</f>
        <v>0</v>
      </c>
      <c r="E91" s="171">
        <f t="shared" si="14"/>
        <v>69267</v>
      </c>
      <c r="F91" s="171"/>
      <c r="G91" s="171">
        <f t="shared" si="15"/>
        <v>69267</v>
      </c>
      <c r="H91" s="172">
        <f t="shared" si="16"/>
        <v>1.5011709510515154E-2</v>
      </c>
      <c r="I91" s="336"/>
      <c r="J91" s="168"/>
      <c r="K91" s="168"/>
      <c r="M91" s="359">
        <f t="shared" si="17"/>
        <v>3.310725552050473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'[81]Sch C'!D85</f>
        <v>0</v>
      </c>
      <c r="D92" s="558">
        <f>'[81]Sch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197951</v>
      </c>
      <c r="D93" s="558">
        <f>SUM(D82:D92)</f>
        <v>0</v>
      </c>
      <c r="E93" s="171">
        <f t="shared" ref="E93:F93" si="18">SUM(E82:E92)</f>
        <v>197951</v>
      </c>
      <c r="F93" s="171">
        <f t="shared" si="18"/>
        <v>0</v>
      </c>
      <c r="G93" s="171">
        <f>SUM(G82:G92)</f>
        <v>197951</v>
      </c>
      <c r="H93" s="172">
        <f t="shared" si="16"/>
        <v>4.2900413029523222E-2</v>
      </c>
      <c r="I93" s="336"/>
      <c r="J93" s="168"/>
      <c r="K93" s="168"/>
      <c r="M93" s="364">
        <f>G93/G$228</f>
        <v>9.461380365165855</v>
      </c>
      <c r="N93" s="359">
        <f>SUMMARY!J96</f>
        <v>11.458724454710746</v>
      </c>
      <c r="O93" s="354">
        <f>M93/N93-1</f>
        <v>-0.17430771613709339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'[81]Sch C'!D89</f>
        <v>75031</v>
      </c>
      <c r="D96" s="558">
        <f>'[81]Sch C'!F89</f>
        <v>0</v>
      </c>
      <c r="E96" s="171">
        <f t="shared" ref="E96:E101" si="19">C96+D96</f>
        <v>75031</v>
      </c>
      <c r="F96" s="171"/>
      <c r="G96" s="171">
        <f t="shared" ref="G96:G101" si="20">E96+F96</f>
        <v>75031</v>
      </c>
      <c r="H96" s="172">
        <f t="shared" ref="H96:H102" si="21">IF($G$208=0,0,G96/$G$208)</f>
        <v>1.6260897343373649E-2</v>
      </c>
      <c r="I96" s="336"/>
      <c r="J96" s="183">
        <v>4947</v>
      </c>
      <c r="K96" s="183">
        <v>5835</v>
      </c>
      <c r="M96" s="364">
        <f t="shared" ref="M96:M101" si="22">G96/G$228</f>
        <v>3.5862250262881177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'[81]Sch C'!D90</f>
        <v>15126</v>
      </c>
      <c r="D97" s="558">
        <f>'[81]Sch C'!F90</f>
        <v>0</v>
      </c>
      <c r="E97" s="171">
        <f t="shared" si="19"/>
        <v>15126</v>
      </c>
      <c r="F97" s="171"/>
      <c r="G97" s="171">
        <f t="shared" si="20"/>
        <v>15126</v>
      </c>
      <c r="H97" s="172">
        <f t="shared" si="21"/>
        <v>3.2781428105165839E-3</v>
      </c>
      <c r="I97" s="336"/>
      <c r="J97" s="168"/>
      <c r="K97" s="168"/>
      <c r="M97" s="364">
        <f t="shared" si="22"/>
        <v>0.72297103527387441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'[81]Sch C'!D91</f>
        <v>247300</v>
      </c>
      <c r="D98" s="558">
        <f>'[81]Sch C'!F91</f>
        <v>0</v>
      </c>
      <c r="E98" s="171">
        <f t="shared" si="19"/>
        <v>247300</v>
      </c>
      <c r="F98" s="171"/>
      <c r="G98" s="171">
        <f t="shared" si="20"/>
        <v>247300</v>
      </c>
      <c r="H98" s="172">
        <f t="shared" si="21"/>
        <v>5.3595446055847623E-2</v>
      </c>
      <c r="I98" s="336"/>
      <c r="J98" s="168"/>
      <c r="K98" s="168"/>
      <c r="M98" s="364">
        <f t="shared" si="22"/>
        <v>11.82009368129242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'[81]Sch C'!D92</f>
        <v>48551</v>
      </c>
      <c r="D99" s="558">
        <f>'[81]Sch C'!F92</f>
        <v>-598</v>
      </c>
      <c r="E99" s="171">
        <f t="shared" si="19"/>
        <v>47953</v>
      </c>
      <c r="F99" s="171"/>
      <c r="G99" s="171">
        <f t="shared" si="20"/>
        <v>47953</v>
      </c>
      <c r="H99" s="172">
        <f t="shared" si="21"/>
        <v>1.0392488575479423E-2</v>
      </c>
      <c r="I99" s="336"/>
      <c r="J99" s="168"/>
      <c r="K99" s="168"/>
      <c r="M99" s="364">
        <f t="shared" si="22"/>
        <v>2.2919892935665804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'[81]Sch C'!D93</f>
        <v>13607</v>
      </c>
      <c r="D100" s="558">
        <f>'[81]Sch C'!F93</f>
        <v>0</v>
      </c>
      <c r="E100" s="171">
        <f t="shared" si="19"/>
        <v>13607</v>
      </c>
      <c r="F100" s="171"/>
      <c r="G100" s="171">
        <f t="shared" si="20"/>
        <v>13607</v>
      </c>
      <c r="H100" s="172">
        <f t="shared" si="21"/>
        <v>2.9489415061945759E-3</v>
      </c>
      <c r="I100" s="336"/>
      <c r="J100" s="168"/>
      <c r="K100" s="168"/>
      <c r="M100" s="364">
        <f t="shared" si="22"/>
        <v>0.6503680336487907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'[81]Sch C'!D94</f>
        <v>0</v>
      </c>
      <c r="D101" s="558">
        <f>'[81]Sch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399615</v>
      </c>
      <c r="D102" s="558">
        <f>SUM(D96:D101)</f>
        <v>-598</v>
      </c>
      <c r="E102" s="171">
        <f t="shared" ref="E102:F102" si="23">SUM(E96:E101)</f>
        <v>399017</v>
      </c>
      <c r="F102" s="171">
        <f t="shared" si="23"/>
        <v>0</v>
      </c>
      <c r="G102" s="171">
        <f>SUM(G96:G101)</f>
        <v>399017</v>
      </c>
      <c r="H102" s="172">
        <f t="shared" si="21"/>
        <v>8.6475916291411853E-2</v>
      </c>
      <c r="I102" s="336"/>
      <c r="J102" s="168"/>
      <c r="K102" s="168"/>
      <c r="M102" s="364">
        <f>G102/G$228</f>
        <v>19.071647070069783</v>
      </c>
      <c r="N102" s="359">
        <f>SUMMARY!J105</f>
        <v>19.901077037785338</v>
      </c>
      <c r="O102" s="354">
        <f>M102/N102-1</f>
        <v>-4.1677642176890739E-2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'[81]Sch C'!D98</f>
        <v>0</v>
      </c>
      <c r="D105" s="558">
        <f>'[81]Sch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'[81]Sch C'!D99</f>
        <v>0</v>
      </c>
      <c r="D106" s="558">
        <f>'[81]Sch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'[81]Sch C'!D100</f>
        <v>455</v>
      </c>
      <c r="D107" s="558">
        <f>'[81]Sch C'!F100</f>
        <v>0</v>
      </c>
      <c r="E107" s="171">
        <f t="shared" si="24"/>
        <v>455</v>
      </c>
      <c r="F107" s="171"/>
      <c r="G107" s="171">
        <f t="shared" si="25"/>
        <v>455</v>
      </c>
      <c r="H107" s="172">
        <f t="shared" si="26"/>
        <v>9.8608685626407877E-5</v>
      </c>
      <c r="I107" s="336"/>
      <c r="J107" s="168"/>
      <c r="K107" s="168"/>
      <c r="M107" s="364">
        <f t="shared" si="27"/>
        <v>2.1747442883089572E-2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'[81]Sch C'!D101</f>
        <v>56149</v>
      </c>
      <c r="D108" s="558">
        <f>'[81]Sch C'!F101</f>
        <v>0</v>
      </c>
      <c r="E108" s="171">
        <f t="shared" si="24"/>
        <v>56149</v>
      </c>
      <c r="F108" s="171"/>
      <c r="G108" s="171">
        <f t="shared" si="25"/>
        <v>56149</v>
      </c>
      <c r="H108" s="172">
        <f t="shared" si="26"/>
        <v>1.2168745251070716E-2</v>
      </c>
      <c r="I108" s="336"/>
      <c r="J108" s="168"/>
      <c r="K108" s="168"/>
      <c r="M108" s="364">
        <f t="shared" si="27"/>
        <v>2.6837300449287831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'[81]Sch C'!D102</f>
        <v>9895</v>
      </c>
      <c r="D109" s="558">
        <f>'[81]Sch C'!F102</f>
        <v>0</v>
      </c>
      <c r="E109" s="171">
        <f t="shared" si="24"/>
        <v>9895</v>
      </c>
      <c r="F109" s="171"/>
      <c r="G109" s="171">
        <f t="shared" si="25"/>
        <v>9895</v>
      </c>
      <c r="H109" s="172">
        <f t="shared" si="26"/>
        <v>2.1444680093918814E-3</v>
      </c>
      <c r="I109" s="336"/>
      <c r="J109" s="168"/>
      <c r="K109" s="168"/>
      <c r="M109" s="364">
        <f t="shared" si="27"/>
        <v>0.47294713698499186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'[81]Sch C'!D103</f>
        <v>0</v>
      </c>
      <c r="D110" s="558">
        <f>'[81]Sch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66499</v>
      </c>
      <c r="D111" s="558">
        <f>SUM(D105:D110)</f>
        <v>0</v>
      </c>
      <c r="E111" s="171">
        <f t="shared" ref="E111:F111" si="28">SUM(E105:E110)</f>
        <v>66499</v>
      </c>
      <c r="F111" s="171">
        <f t="shared" si="28"/>
        <v>0</v>
      </c>
      <c r="G111" s="171">
        <f>SUM(G105:G110)</f>
        <v>66499</v>
      </c>
      <c r="H111" s="172">
        <f t="shared" si="26"/>
        <v>1.4411821946089006E-2</v>
      </c>
      <c r="I111" s="336"/>
      <c r="J111" s="168"/>
      <c r="K111" s="168"/>
      <c r="M111" s="364">
        <f>G111/G$228</f>
        <v>3.1784246247968646</v>
      </c>
      <c r="N111" s="359">
        <f>SUMMARY!J114</f>
        <v>2.4242384372309496</v>
      </c>
      <c r="O111" s="354">
        <f>M111/N111-1</f>
        <v>0.31110231402294453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'[81]Sch C'!D115</f>
        <v>0</v>
      </c>
      <c r="D114" s="558">
        <f>'[81]Sch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'[81]Sch C'!D116</f>
        <v>0</v>
      </c>
      <c r="D115" s="558">
        <f>'[81]Sch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'[81]Sch C'!D117</f>
        <v>9663</v>
      </c>
      <c r="D116" s="558">
        <f>'[81]Sch C'!F117</f>
        <v>0</v>
      </c>
      <c r="E116" s="171">
        <f t="shared" si="29"/>
        <v>9663</v>
      </c>
      <c r="F116" s="171"/>
      <c r="G116" s="171">
        <f>E116+F116</f>
        <v>9663</v>
      </c>
      <c r="H116" s="172">
        <f t="shared" si="30"/>
        <v>2.0941884158417129E-3</v>
      </c>
      <c r="I116" s="336"/>
      <c r="J116" s="168"/>
      <c r="K116" s="168"/>
      <c r="M116" s="364">
        <f t="shared" si="31"/>
        <v>0.46185833094350442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'[81]Sch C'!D118</f>
        <v>103341</v>
      </c>
      <c r="D117" s="558">
        <f>'[81]Sch C'!F118</f>
        <v>0</v>
      </c>
      <c r="E117" s="171">
        <f t="shared" si="29"/>
        <v>103341</v>
      </c>
      <c r="F117" s="171"/>
      <c r="G117" s="171">
        <f>E117+F117</f>
        <v>103341</v>
      </c>
      <c r="H117" s="172">
        <f t="shared" si="30"/>
        <v>2.2396308090810148E-2</v>
      </c>
      <c r="I117" s="336"/>
      <c r="J117" s="168"/>
      <c r="K117" s="168"/>
      <c r="M117" s="364">
        <f t="shared" si="31"/>
        <v>4.9393461428161745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'[81]Sch C'!D119</f>
        <v>30</v>
      </c>
      <c r="D118" s="558">
        <f>'[81]Sch C'!F119</f>
        <v>0</v>
      </c>
      <c r="E118" s="171">
        <f t="shared" si="29"/>
        <v>30</v>
      </c>
      <c r="F118" s="171"/>
      <c r="G118" s="171">
        <f>E118+F118</f>
        <v>30</v>
      </c>
      <c r="H118" s="172">
        <f t="shared" si="30"/>
        <v>6.5016715797631575E-6</v>
      </c>
      <c r="I118" s="336"/>
      <c r="J118" s="168"/>
      <c r="K118" s="168"/>
      <c r="M118" s="364">
        <f t="shared" si="31"/>
        <v>1.4338973329509608E-3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113034</v>
      </c>
      <c r="D119" s="558">
        <f>SUM(D114:D118)</f>
        <v>0</v>
      </c>
      <c r="E119" s="171">
        <f t="shared" ref="E119:F119" si="32">SUM(E114:E118)</f>
        <v>113034</v>
      </c>
      <c r="F119" s="171">
        <f t="shared" si="32"/>
        <v>0</v>
      </c>
      <c r="G119" s="171">
        <f>SUM(G114:G118)</f>
        <v>113034</v>
      </c>
      <c r="H119" s="172">
        <f t="shared" si="30"/>
        <v>2.4496998178231623E-2</v>
      </c>
      <c r="I119" s="336"/>
      <c r="J119" s="168"/>
      <c r="K119" s="168"/>
      <c r="M119" s="364">
        <f t="shared" si="31"/>
        <v>5.40263837109263</v>
      </c>
      <c r="N119" s="359">
        <f>SUMMARY!J122</f>
        <v>6.0247597205909562</v>
      </c>
      <c r="O119" s="354">
        <f>M119/N119-1</f>
        <v>-0.1032607735993335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'[81]Sch C'!D124</f>
        <v>0</v>
      </c>
      <c r="D123" s="558">
        <f>'[81]Sch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'[81]Sch C'!D125</f>
        <v>170512</v>
      </c>
      <c r="D124" s="558">
        <f>'[81]Sch C'!F125</f>
        <v>0</v>
      </c>
      <c r="E124" s="171">
        <f t="shared" si="33"/>
        <v>170512</v>
      </c>
      <c r="F124" s="171"/>
      <c r="G124" s="171">
        <f>E124+F124</f>
        <v>170512</v>
      </c>
      <c r="H124" s="172">
        <f>IF($G$208=0,0,G124/$G$208)</f>
        <v>3.6953767480285851E-2</v>
      </c>
      <c r="I124" s="336"/>
      <c r="J124" s="183">
        <v>4264</v>
      </c>
      <c r="K124" s="183">
        <v>4413</v>
      </c>
      <c r="M124" s="364">
        <f t="shared" si="34"/>
        <v>8.1498900678711408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'[81]Sch C'!D126</f>
        <v>0</v>
      </c>
      <c r="D125" s="558">
        <f>'[81]Sch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 t="s">
        <v>198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'[81]Sch C'!D127</f>
        <v>0</v>
      </c>
      <c r="D126" s="558">
        <f>'[81]Sch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'[81]Sch C'!D128</f>
        <v>57895</v>
      </c>
      <c r="D127" s="558">
        <f>'[81]Sch C'!F128</f>
        <v>0</v>
      </c>
      <c r="E127" s="171">
        <f t="shared" si="33"/>
        <v>57895</v>
      </c>
      <c r="F127" s="171"/>
      <c r="G127" s="171">
        <f>E127+F127</f>
        <v>57895</v>
      </c>
      <c r="H127" s="172">
        <f>IF($G$208=0,0,G127/$G$208)</f>
        <v>1.2547142537012933E-2</v>
      </c>
      <c r="I127" s="336"/>
      <c r="J127" s="183">
        <v>3327</v>
      </c>
      <c r="K127" s="183">
        <v>3738</v>
      </c>
      <c r="M127" s="364">
        <f t="shared" si="34"/>
        <v>2.767182869706529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'[81]Sch C'!D130</f>
        <v>0</v>
      </c>
      <c r="D129" s="558">
        <f>'[81]Sch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'[81]Sch C'!D131</f>
        <v>18230</v>
      </c>
      <c r="D130" s="558">
        <f>'[81]Sch C'!F131</f>
        <v>0</v>
      </c>
      <c r="E130" s="171">
        <f t="shared" si="35"/>
        <v>18230</v>
      </c>
      <c r="F130" s="171"/>
      <c r="G130" s="171">
        <f>E130+F130</f>
        <v>18230</v>
      </c>
      <c r="H130" s="172">
        <f>IF($G$208=0,0,G130/$G$208)</f>
        <v>3.9508490966360787E-3</v>
      </c>
      <c r="I130" s="336"/>
      <c r="J130" s="204"/>
      <c r="K130" s="204"/>
      <c r="M130" s="364">
        <f t="shared" si="34"/>
        <v>0.8713316126565338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'[81]Sch C'!D132</f>
        <v>0</v>
      </c>
      <c r="D131" s="558">
        <f>'[81]Sch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'[81]Sch C'!D133</f>
        <v>0</v>
      </c>
      <c r="D132" s="558">
        <f>'[81]Sch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'[81]Sch C'!D134</f>
        <v>22459</v>
      </c>
      <c r="D133" s="558">
        <f>'[81]Sch C'!F134</f>
        <v>0</v>
      </c>
      <c r="E133" s="171">
        <f t="shared" si="35"/>
        <v>22459</v>
      </c>
      <c r="F133" s="171"/>
      <c r="G133" s="171">
        <f>E133+F133</f>
        <v>22459</v>
      </c>
      <c r="H133" s="172">
        <f>IF($G$208=0,0,G133/$G$208)</f>
        <v>4.8673680669966916E-3</v>
      </c>
      <c r="I133" s="336"/>
      <c r="J133" s="168"/>
      <c r="K133" s="168"/>
      <c r="M133" s="364">
        <f t="shared" si="34"/>
        <v>1.0734633400248543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'[81]Sch C'!D136</f>
        <v>444399</v>
      </c>
      <c r="D135" s="558">
        <f>'[81]Sch C'!F136</f>
        <v>0</v>
      </c>
      <c r="E135" s="171">
        <f t="shared" ref="E135:E138" si="36">C135+D135</f>
        <v>444399</v>
      </c>
      <c r="F135" s="171"/>
      <c r="G135" s="171">
        <f>E135+F135</f>
        <v>444399</v>
      </c>
      <c r="H135" s="172">
        <f>IF($G$208=0,0,G135/$G$208)</f>
        <v>9.6311211612505582E-2</v>
      </c>
      <c r="I135" s="336"/>
      <c r="J135" s="183">
        <v>16726</v>
      </c>
      <c r="K135" s="183">
        <v>17455</v>
      </c>
      <c r="M135" s="364">
        <f t="shared" si="34"/>
        <v>21.240751362202467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'[81]Sch C'!D137</f>
        <v>120277</v>
      </c>
      <c r="D136" s="558">
        <f>'[81]Sch C'!F137</f>
        <v>0</v>
      </c>
      <c r="E136" s="171">
        <f t="shared" si="36"/>
        <v>120277</v>
      </c>
      <c r="F136" s="171"/>
      <c r="G136" s="171">
        <f>E136+F136</f>
        <v>120277</v>
      </c>
      <c r="H136" s="172">
        <f>IF($G$208=0,0,G136/$G$208)</f>
        <v>2.6066718419972441E-2</v>
      </c>
      <c r="I136" s="336"/>
      <c r="J136" s="183">
        <v>5049</v>
      </c>
      <c r="K136" s="183">
        <v>5248</v>
      </c>
      <c r="M136" s="364">
        <f t="shared" si="34"/>
        <v>5.7488289838447564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'[81]Sch C'!D138</f>
        <v>523281</v>
      </c>
      <c r="D137" s="558">
        <f>'[81]Sch C'!F138</f>
        <v>14537</v>
      </c>
      <c r="E137" s="171">
        <f t="shared" si="36"/>
        <v>537818</v>
      </c>
      <c r="F137" s="171"/>
      <c r="G137" s="171">
        <f>E137+F137</f>
        <v>537818</v>
      </c>
      <c r="H137" s="172">
        <f>IF($G$208=0,0,G137/$G$208)</f>
        <v>0.11655720018950205</v>
      </c>
      <c r="I137" s="336"/>
      <c r="J137" s="183">
        <v>42058</v>
      </c>
      <c r="K137" s="183">
        <v>45262</v>
      </c>
      <c r="M137" s="364">
        <f t="shared" si="34"/>
        <v>25.705859860433993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'[81]Sch C'!D139</f>
        <v>14537</v>
      </c>
      <c r="D138" s="558">
        <f>'[81]Sch C'!F139</f>
        <v>-14537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'[81]Sch C'!D141</f>
        <v>267867</v>
      </c>
      <c r="D140" s="558">
        <f>'[81]Sch C'!F141</f>
        <v>-159894</v>
      </c>
      <c r="E140" s="171">
        <f t="shared" ref="E140:E143" si="37">C140+D140</f>
        <v>107973</v>
      </c>
      <c r="F140" s="171"/>
      <c r="G140" s="171">
        <f>E140+F140</f>
        <v>107973</v>
      </c>
      <c r="H140" s="172">
        <f>IF($G$208=0,0,G140/$G$208)</f>
        <v>2.3400166182725578E-2</v>
      </c>
      <c r="I140" s="336"/>
      <c r="J140" s="168"/>
      <c r="K140" s="168"/>
      <c r="M140" s="364">
        <f t="shared" si="34"/>
        <v>5.1607398910238027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'[81]Sch C'!D142</f>
        <v>0</v>
      </c>
      <c r="D141" s="558">
        <f>'[81]Sch C'!F142</f>
        <v>29223</v>
      </c>
      <c r="E141" s="171">
        <f t="shared" si="37"/>
        <v>29223</v>
      </c>
      <c r="F141" s="171"/>
      <c r="G141" s="171">
        <f>E141+F141</f>
        <v>29223</v>
      </c>
      <c r="H141" s="172">
        <f>IF($G$208=0,0,G141/$G$208)</f>
        <v>6.3332782858472915E-3</v>
      </c>
      <c r="I141" s="336"/>
      <c r="J141" s="168"/>
      <c r="K141" s="168"/>
      <c r="M141" s="364">
        <f t="shared" si="34"/>
        <v>1.3967593920275307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'[81]Sch C'!D143</f>
        <v>0</v>
      </c>
      <c r="D142" s="558">
        <f>'[81]Sch C'!F143</f>
        <v>130671</v>
      </c>
      <c r="E142" s="171">
        <f t="shared" si="37"/>
        <v>130671</v>
      </c>
      <c r="F142" s="171"/>
      <c r="G142" s="171">
        <f>E142+F142</f>
        <v>130671</v>
      </c>
      <c r="H142" s="172">
        <f>IF($G$208=0,0,G142/$G$208)</f>
        <v>2.8319330899974383E-2</v>
      </c>
      <c r="I142" s="336"/>
      <c r="J142" s="168"/>
      <c r="K142" s="168"/>
      <c r="M142" s="364">
        <f t="shared" si="34"/>
        <v>6.2456266131344993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'[81]Sch C'!D144</f>
        <v>0</v>
      </c>
      <c r="D143" s="558">
        <f>'[81]Sch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'[81]Sch C'!D146</f>
        <v>43857</v>
      </c>
      <c r="D145" s="558">
        <f>'[81]Sch C'!F146</f>
        <v>0</v>
      </c>
      <c r="E145" s="171">
        <f t="shared" ref="E145:E153" si="38">C145+D145</f>
        <v>43857</v>
      </c>
      <c r="F145" s="171"/>
      <c r="G145" s="171">
        <f t="shared" ref="G145:G153" si="39">E145+F145</f>
        <v>43857</v>
      </c>
      <c r="H145" s="172">
        <f t="shared" ref="H145:H153" si="40">IF($G$208=0,0,G145/$G$208)</f>
        <v>9.5047936824557595E-3</v>
      </c>
      <c r="I145" s="336"/>
      <c r="J145" s="183">
        <v>144</v>
      </c>
      <c r="K145" s="183">
        <v>144</v>
      </c>
      <c r="M145" s="364">
        <f t="shared" si="34"/>
        <v>2.0962145110410093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'[81]Sch C'!D147</f>
        <v>7732</v>
      </c>
      <c r="D146" s="558">
        <f>'[81]Sch C'!F147</f>
        <v>0</v>
      </c>
      <c r="E146" s="171">
        <f t="shared" si="38"/>
        <v>7732</v>
      </c>
      <c r="F146" s="171"/>
      <c r="G146" s="171">
        <f t="shared" si="39"/>
        <v>7732</v>
      </c>
      <c r="H146" s="172">
        <f t="shared" si="40"/>
        <v>1.6756974884909576E-3</v>
      </c>
      <c r="I146" s="336"/>
      <c r="J146" s="183">
        <v>200</v>
      </c>
      <c r="K146" s="183">
        <v>200</v>
      </c>
      <c r="M146" s="364">
        <f t="shared" si="34"/>
        <v>0.36956313927922763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'[81]Sch C'!D148</f>
        <v>0</v>
      </c>
      <c r="D147" s="558">
        <f>'[81]Sch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'[81]Sch C'!D149</f>
        <v>25300</v>
      </c>
      <c r="D148" s="558">
        <f>'[81]Sch C'!F149</f>
        <v>0</v>
      </c>
      <c r="E148" s="171">
        <f t="shared" si="38"/>
        <v>25300</v>
      </c>
      <c r="F148" s="171"/>
      <c r="G148" s="171">
        <f t="shared" si="39"/>
        <v>25300</v>
      </c>
      <c r="H148" s="172">
        <f t="shared" si="40"/>
        <v>5.4830763656002627E-3</v>
      </c>
      <c r="I148" s="336"/>
      <c r="J148" s="183">
        <v>1229</v>
      </c>
      <c r="K148" s="183">
        <v>1229</v>
      </c>
      <c r="M148" s="364">
        <f t="shared" si="34"/>
        <v>1.2092534174553102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'[81]Sch C'!D150</f>
        <v>2762</v>
      </c>
      <c r="D149" s="558">
        <f>'[81]Sch C'!F150</f>
        <v>0</v>
      </c>
      <c r="E149" s="171">
        <f t="shared" si="38"/>
        <v>2762</v>
      </c>
      <c r="F149" s="171"/>
      <c r="G149" s="171">
        <f t="shared" si="39"/>
        <v>2762</v>
      </c>
      <c r="H149" s="172">
        <f t="shared" si="40"/>
        <v>5.9858723011019471E-4</v>
      </c>
      <c r="I149" s="336"/>
      <c r="J149" s="183">
        <v>0</v>
      </c>
      <c r="K149" s="183">
        <v>0</v>
      </c>
      <c r="M149" s="364">
        <f t="shared" si="34"/>
        <v>0.13201414778701845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'[81]Sch C'!D151</f>
        <v>54781</v>
      </c>
      <c r="D150" s="558">
        <f>'[81]Sch C'!F151</f>
        <v>-163</v>
      </c>
      <c r="E150" s="171">
        <f t="shared" si="38"/>
        <v>54618</v>
      </c>
      <c r="F150" s="171"/>
      <c r="G150" s="171">
        <f t="shared" si="39"/>
        <v>54618</v>
      </c>
      <c r="H150" s="172">
        <f t="shared" si="40"/>
        <v>1.1836943278116803E-2</v>
      </c>
      <c r="I150" s="336"/>
      <c r="J150" s="168"/>
      <c r="K150" s="168"/>
      <c r="M150" s="364">
        <f t="shared" si="34"/>
        <v>2.6105534843705192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'[81]Sch C'!D152</f>
        <v>5744</v>
      </c>
      <c r="D151" s="558">
        <f>'[81]Sch C'!F152</f>
        <v>0</v>
      </c>
      <c r="E151" s="171">
        <f t="shared" si="38"/>
        <v>5744</v>
      </c>
      <c r="F151" s="171"/>
      <c r="G151" s="171">
        <f t="shared" si="39"/>
        <v>5744</v>
      </c>
      <c r="H151" s="172">
        <f t="shared" si="40"/>
        <v>1.2448533851386525E-3</v>
      </c>
      <c r="I151" s="336"/>
      <c r="J151" s="168"/>
      <c r="K151" s="168"/>
      <c r="M151" s="364">
        <f t="shared" si="34"/>
        <v>0.27454354268234393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'[81]Sch C'!D153</f>
        <v>0</v>
      </c>
      <c r="D152" s="558">
        <f>'[81]Sch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'[81]Sch C'!D154</f>
        <v>0</v>
      </c>
      <c r="D153" s="558">
        <f>'[81]Sch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'[81]Sch C'!D156</f>
        <v>0</v>
      </c>
      <c r="D155" s="558">
        <f>'[81]Sch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'[81]Sch C'!D157</f>
        <v>0</v>
      </c>
      <c r="D156" s="558">
        <f>'[81]Sch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'[81]Sch C'!D158</f>
        <v>1190</v>
      </c>
      <c r="D157" s="558">
        <f>'[81]Sch C'!F158</f>
        <v>0</v>
      </c>
      <c r="E157" s="171">
        <f t="shared" si="41"/>
        <v>1190</v>
      </c>
      <c r="F157" s="171"/>
      <c r="G157" s="171">
        <f t="shared" si="42"/>
        <v>1190</v>
      </c>
      <c r="H157" s="172">
        <f t="shared" si="43"/>
        <v>2.5789963933060524E-4</v>
      </c>
      <c r="I157" s="336"/>
      <c r="J157" s="168"/>
      <c r="K157" s="168"/>
      <c r="M157" s="364">
        <f t="shared" si="34"/>
        <v>5.6877927540388111E-2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'[81]Sch C'!D159</f>
        <v>0</v>
      </c>
      <c r="D158" s="558">
        <f>'[81]Sch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'[81]Sch C'!D160</f>
        <v>0</v>
      </c>
      <c r="D159" s="558">
        <f>'[81]Sch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'[81]Sch C'!D161</f>
        <v>14214</v>
      </c>
      <c r="D160" s="558">
        <f>'[81]Sch C'!F161</f>
        <v>-17</v>
      </c>
      <c r="E160" s="171">
        <f t="shared" si="41"/>
        <v>14197</v>
      </c>
      <c r="F160" s="171"/>
      <c r="G160" s="171">
        <f t="shared" si="42"/>
        <v>14197</v>
      </c>
      <c r="H160" s="172">
        <f t="shared" si="43"/>
        <v>3.0768077139299182E-3</v>
      </c>
      <c r="I160" s="336"/>
      <c r="J160" s="168"/>
      <c r="K160" s="168"/>
      <c r="M160" s="364">
        <f t="shared" si="34"/>
        <v>0.67856801453015969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1795037</v>
      </c>
      <c r="D161" s="558">
        <f>SUM(D123:D160)</f>
        <v>-180</v>
      </c>
      <c r="E161" s="171">
        <f t="shared" ref="E161:F161" si="44">SUM(E123:E160)</f>
        <v>1794857</v>
      </c>
      <c r="F161" s="171">
        <f t="shared" si="44"/>
        <v>0</v>
      </c>
      <c r="G161" s="171">
        <f>SUM(G123:G160)</f>
        <v>1794857</v>
      </c>
      <c r="H161" s="172">
        <f t="shared" si="43"/>
        <v>0.38898569155463203</v>
      </c>
      <c r="I161" s="336"/>
      <c r="J161" s="168"/>
      <c r="K161" s="168"/>
      <c r="M161" s="364">
        <f>G161/G$228</f>
        <v>85.788022177612078</v>
      </c>
      <c r="N161" s="359">
        <f>SUMMARY!J164</f>
        <v>105.56901037202306</v>
      </c>
      <c r="O161" s="354">
        <f>M161/N161-1</f>
        <v>-0.18737495146258532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'[81]Sch C'!D175</f>
        <v>0</v>
      </c>
      <c r="D164" s="558">
        <f>'[81]Sch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'[81]Sch C'!D176</f>
        <v>0</v>
      </c>
      <c r="D165" s="558">
        <f>'[81]Sch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'[81]Sch C'!D177</f>
        <v>0</v>
      </c>
      <c r="D166" s="558">
        <f>'[81]Sch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'[81]Sch C'!D178</f>
        <v>0</v>
      </c>
      <c r="D167" s="558">
        <f>'[81]Sch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'[81]Sch C'!D179</f>
        <v>0</v>
      </c>
      <c r="D168" s="558">
        <f>'[81]Sch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'[81]Sch C'!D180</f>
        <v>0</v>
      </c>
      <c r="D169" s="558">
        <f>'[81]Sch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'[81]Sch C'!D181</f>
        <v>0</v>
      </c>
      <c r="D170" s="558">
        <f>'[81]Sch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'[81]Sch C'!D182</f>
        <v>0</v>
      </c>
      <c r="D171" s="558">
        <f>'[81]Sch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'[81]Sch C'!D183</f>
        <v>0</v>
      </c>
      <c r="D172" s="558">
        <f>'[81]Sch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'[81]Sch C'!D184</f>
        <v>0</v>
      </c>
      <c r="D173" s="558">
        <f>'[81]Sch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'[81]Sch C'!D185</f>
        <v>0</v>
      </c>
      <c r="D174" s="558">
        <f>'[81]Sch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'[81]Sch C'!D186</f>
        <v>0</v>
      </c>
      <c r="D175" s="558">
        <f>'[81]Sch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'[81]Sch C'!D187</f>
        <v>0</v>
      </c>
      <c r="D176" s="558">
        <f>'[81]Sch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'[81]Sch C'!D188</f>
        <v>0</v>
      </c>
      <c r="D177" s="558">
        <f>'[81]Sch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6"/>
      <c r="J177" s="223"/>
      <c r="K177" s="218"/>
      <c r="L177" s="220"/>
      <c r="M177" s="364">
        <f t="shared" si="48"/>
        <v>0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'[81]Sch C'!D189</f>
        <v>0</v>
      </c>
      <c r="D178" s="558">
        <f>'[81]Sch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'[81]Sch C'!D190</f>
        <v>0</v>
      </c>
      <c r="D179" s="558">
        <f>'[81]Sch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'[81]Sch C'!D191</f>
        <v>582</v>
      </c>
      <c r="D180" s="558">
        <f>'[81]Sch C'!F191</f>
        <v>0</v>
      </c>
      <c r="E180" s="171">
        <f t="shared" si="45"/>
        <v>582</v>
      </c>
      <c r="F180" s="216"/>
      <c r="G180" s="171">
        <f t="shared" si="46"/>
        <v>582</v>
      </c>
      <c r="H180" s="172">
        <f t="shared" si="47"/>
        <v>1.2613242864740524E-4</v>
      </c>
      <c r="I180" s="336"/>
      <c r="J180" s="223"/>
      <c r="K180" s="218"/>
      <c r="L180" s="220"/>
      <c r="M180" s="364">
        <f t="shared" si="48"/>
        <v>2.7817608259248637E-2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'[81]Sch C'!D192</f>
        <v>0</v>
      </c>
      <c r="D181" s="558">
        <f>'[81]Sch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'[81]Sch C'!D193</f>
        <v>172</v>
      </c>
      <c r="D182" s="558">
        <f>'[81]Sch C'!F193</f>
        <v>0</v>
      </c>
      <c r="E182" s="171">
        <f t="shared" si="45"/>
        <v>172</v>
      </c>
      <c r="F182" s="216"/>
      <c r="G182" s="171">
        <f t="shared" si="46"/>
        <v>172</v>
      </c>
      <c r="H182" s="172">
        <f t="shared" si="47"/>
        <v>3.7276250390642099E-5</v>
      </c>
      <c r="I182" s="336"/>
      <c r="J182" s="223"/>
      <c r="K182" s="218"/>
      <c r="L182" s="220"/>
      <c r="M182" s="364">
        <f t="shared" si="48"/>
        <v>8.2210113755855074E-3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'[81]Sch C'!D194</f>
        <v>194024</v>
      </c>
      <c r="D183" s="558">
        <f>'[81]Sch C'!F194</f>
        <v>-2619</v>
      </c>
      <c r="E183" s="171">
        <f t="shared" si="45"/>
        <v>191405</v>
      </c>
      <c r="F183" s="216"/>
      <c r="G183" s="171">
        <f t="shared" si="46"/>
        <v>191405</v>
      </c>
      <c r="H183" s="172">
        <f t="shared" si="47"/>
        <v>4.1481748290818903E-2</v>
      </c>
      <c r="I183" s="336"/>
      <c r="J183" s="223"/>
      <c r="K183" s="218"/>
      <c r="M183" s="364">
        <f t="shared" si="48"/>
        <v>9.1485039671159551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'[81]Sch C'!D195</f>
        <v>72700</v>
      </c>
      <c r="D184" s="558">
        <f>'[81]Sch C'!F195</f>
        <v>-981</v>
      </c>
      <c r="E184" s="171">
        <f t="shared" si="45"/>
        <v>71719</v>
      </c>
      <c r="F184" s="216"/>
      <c r="G184" s="171">
        <f t="shared" si="46"/>
        <v>71719</v>
      </c>
      <c r="H184" s="172">
        <f t="shared" si="47"/>
        <v>1.5543112800967795E-2</v>
      </c>
      <c r="I184" s="336"/>
      <c r="J184" s="223"/>
      <c r="K184" s="218"/>
      <c r="M184" s="364">
        <f t="shared" si="48"/>
        <v>3.4279227607303318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'[81]Sch C'!D196</f>
        <v>0</v>
      </c>
      <c r="D185" s="558">
        <f>'[81]Sch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'[81]Sch C'!D197</f>
        <v>173404</v>
      </c>
      <c r="D186" s="558">
        <f>'[81]Sch C'!F197</f>
        <v>-2341</v>
      </c>
      <c r="E186" s="171">
        <f t="shared" si="45"/>
        <v>171063</v>
      </c>
      <c r="F186" s="216"/>
      <c r="G186" s="171">
        <f t="shared" si="46"/>
        <v>171063</v>
      </c>
      <c r="H186" s="172">
        <f t="shared" si="47"/>
        <v>3.7073181514967496E-2</v>
      </c>
      <c r="I186" s="336"/>
      <c r="J186" s="223"/>
      <c r="K186" s="218"/>
      <c r="M186" s="364">
        <f t="shared" si="48"/>
        <v>8.1762259822196732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'[81]Sch C'!D198</f>
        <v>19326</v>
      </c>
      <c r="D187" s="558">
        <f>'[81]Sch C'!F198</f>
        <v>0</v>
      </c>
      <c r="E187" s="171">
        <f t="shared" si="45"/>
        <v>19326</v>
      </c>
      <c r="F187" s="216"/>
      <c r="G187" s="171">
        <f t="shared" si="46"/>
        <v>19326</v>
      </c>
      <c r="H187" s="172">
        <f t="shared" si="47"/>
        <v>4.1883768316834259E-3</v>
      </c>
      <c r="I187" s="336"/>
      <c r="J187" s="223"/>
      <c r="K187" s="218"/>
      <c r="M187" s="364">
        <f t="shared" si="48"/>
        <v>0.92371666188700885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'[81]Sch C'!D199</f>
        <v>0</v>
      </c>
      <c r="D188" s="558">
        <f>'[81]Sch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'[81]Sch C'!D200</f>
        <v>0</v>
      </c>
      <c r="D189" s="558">
        <f>'[81]Sch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'[81]Sch C'!D201</f>
        <v>0</v>
      </c>
      <c r="D190" s="558">
        <f>'[81]Sch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'[81]Sch C'!D202</f>
        <v>0</v>
      </c>
      <c r="D191" s="558">
        <f>'[81]Sch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'[81]Sch C'!D203</f>
        <v>0</v>
      </c>
      <c r="D192" s="558">
        <f>'[81]Sch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'[81]Sch C'!D204</f>
        <v>0</v>
      </c>
      <c r="D193" s="558">
        <f>'[81]Sch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'[81]Sch C'!D205</f>
        <v>104481</v>
      </c>
      <c r="D194" s="558">
        <f>'[81]Sch C'!F205</f>
        <v>-1610</v>
      </c>
      <c r="E194" s="171">
        <f t="shared" si="45"/>
        <v>102871</v>
      </c>
      <c r="F194" s="216"/>
      <c r="G194" s="171">
        <f t="shared" si="46"/>
        <v>102871</v>
      </c>
      <c r="H194" s="172">
        <f t="shared" si="47"/>
        <v>2.2294448569393856E-2</v>
      </c>
      <c r="I194" s="336"/>
      <c r="J194" s="223"/>
      <c r="K194" s="218"/>
      <c r="M194" s="364">
        <f t="shared" si="48"/>
        <v>4.916881751266609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'[81]Sch C'!D206</f>
        <v>159</v>
      </c>
      <c r="D195" s="558">
        <f>'[81]Sch C'!F206</f>
        <v>0</v>
      </c>
      <c r="E195" s="171">
        <f t="shared" si="45"/>
        <v>159</v>
      </c>
      <c r="F195" s="216"/>
      <c r="G195" s="171">
        <f t="shared" si="46"/>
        <v>159</v>
      </c>
      <c r="H195" s="172">
        <f t="shared" si="47"/>
        <v>3.4458859372744734E-5</v>
      </c>
      <c r="I195" s="336"/>
      <c r="J195" s="223"/>
      <c r="K195" s="218"/>
      <c r="M195" s="364">
        <f t="shared" si="48"/>
        <v>7.5996558646400916E-3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'[81]Sch C'!D207</f>
        <v>0</v>
      </c>
      <c r="D196" s="558">
        <f>'[81]Sch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6"/>
      <c r="J196" s="223"/>
      <c r="K196" s="218"/>
      <c r="M196" s="364">
        <f t="shared" si="48"/>
        <v>0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564848</v>
      </c>
      <c r="D197" s="558">
        <f>SUM(D164:D196)</f>
        <v>-7551</v>
      </c>
      <c r="E197" s="171">
        <f t="shared" ref="E197:F197" si="49">SUM(E164:E196)</f>
        <v>557297</v>
      </c>
      <c r="F197" s="171">
        <f t="shared" si="49"/>
        <v>0</v>
      </c>
      <c r="G197" s="171">
        <f>SUM(G164:G196)</f>
        <v>557297</v>
      </c>
      <c r="H197" s="172">
        <f>IF($G$208=0,0,G197/$G$208)</f>
        <v>0.12077873554624227</v>
      </c>
      <c r="I197" s="336"/>
      <c r="J197" s="168"/>
      <c r="K197" s="168"/>
      <c r="M197" s="364">
        <f>G197/G$228</f>
        <v>26.636889398719052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'[81]Sch C'!D211</f>
        <v>147149</v>
      </c>
      <c r="D200" s="558">
        <f>'[81]Sch C'!F211</f>
        <v>0</v>
      </c>
      <c r="E200" s="171">
        <f t="shared" ref="E200:E205" si="50">C200+D200</f>
        <v>147149</v>
      </c>
      <c r="F200" s="171"/>
      <c r="G200" s="171">
        <f t="shared" ref="G200:G205" si="51">E200+F200</f>
        <v>147149</v>
      </c>
      <c r="H200" s="172">
        <f t="shared" ref="H200:H206" si="52">IF($G$208=0,0,G200/$G$208)</f>
        <v>3.1890482376352294E-2</v>
      </c>
      <c r="I200" s="336"/>
      <c r="J200" s="183">
        <v>9734</v>
      </c>
      <c r="K200" s="183">
        <v>10270</v>
      </c>
      <c r="M200" s="364">
        <f t="shared" ref="M200:M205" si="53">G200/G$228</f>
        <v>7.0332186215466974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'[81]Sch C'!D212</f>
        <v>30058</v>
      </c>
      <c r="D201" s="558">
        <f>'[81]Sch C'!F212</f>
        <v>0</v>
      </c>
      <c r="E201" s="171">
        <f t="shared" si="50"/>
        <v>30058</v>
      </c>
      <c r="F201" s="171"/>
      <c r="G201" s="171">
        <f t="shared" si="51"/>
        <v>30058</v>
      </c>
      <c r="H201" s="172">
        <f t="shared" si="52"/>
        <v>6.5142414781506992E-3</v>
      </c>
      <c r="I201" s="336"/>
      <c r="J201" s="168"/>
      <c r="K201" s="168"/>
      <c r="M201" s="364">
        <f t="shared" si="53"/>
        <v>1.4366695344613325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'[81]Sch C'!D213</f>
        <v>4074</v>
      </c>
      <c r="D202" s="558">
        <f>'[81]Sch C'!F213</f>
        <v>0</v>
      </c>
      <c r="E202" s="171">
        <f t="shared" si="50"/>
        <v>4074</v>
      </c>
      <c r="F202" s="171"/>
      <c r="G202" s="171">
        <f t="shared" si="51"/>
        <v>4074</v>
      </c>
      <c r="H202" s="172">
        <f t="shared" si="52"/>
        <v>8.8292700053183677E-4</v>
      </c>
      <c r="I202" s="336"/>
      <c r="J202" s="168"/>
      <c r="K202" s="168"/>
      <c r="M202" s="364">
        <f t="shared" si="53"/>
        <v>0.19472325781474045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'[81]Sch C'!D214</f>
        <v>0</v>
      </c>
      <c r="D203" s="558">
        <f>'[81]Sch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'[81]Sch C'!D215</f>
        <v>0</v>
      </c>
      <c r="D204" s="558">
        <f>'[81]Sch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'[81]Sch C'!D216</f>
        <v>2167</v>
      </c>
      <c r="D205" s="558">
        <f>'[81]Sch C'!F216</f>
        <v>0</v>
      </c>
      <c r="E205" s="171">
        <f t="shared" si="50"/>
        <v>2167</v>
      </c>
      <c r="F205" s="171"/>
      <c r="G205" s="171">
        <f t="shared" si="51"/>
        <v>2167</v>
      </c>
      <c r="H205" s="172">
        <f t="shared" si="52"/>
        <v>4.6963741044489207E-4</v>
      </c>
      <c r="I205" s="336"/>
      <c r="J205" s="168"/>
      <c r="K205" s="168"/>
      <c r="M205" s="364">
        <f t="shared" si="53"/>
        <v>0.10357518401682439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183448</v>
      </c>
      <c r="D206" s="558">
        <f>SUM(D200:D205)</f>
        <v>0</v>
      </c>
      <c r="E206" s="171">
        <f t="shared" ref="E206:F206" si="54">SUM(E200:E205)</f>
        <v>183448</v>
      </c>
      <c r="F206" s="171">
        <f t="shared" si="54"/>
        <v>0</v>
      </c>
      <c r="G206" s="171">
        <f>SUM(G200:G205)</f>
        <v>183448</v>
      </c>
      <c r="H206" s="172">
        <f t="shared" si="52"/>
        <v>3.9757288265479723E-2</v>
      </c>
      <c r="I206" s="336"/>
      <c r="J206" s="168"/>
      <c r="K206" s="168"/>
      <c r="M206" s="364">
        <f>G206/G$228</f>
        <v>8.7681865978395948</v>
      </c>
      <c r="N206" s="359">
        <f>SUMMARY!J209</f>
        <v>7.1515095990067339</v>
      </c>
      <c r="O206" s="354">
        <f>M206/N206-1</f>
        <v>0.22606094230194418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4936433</v>
      </c>
      <c r="D208" s="558">
        <f>SUM(D25:D206)/2</f>
        <v>-322235</v>
      </c>
      <c r="E208" s="171">
        <f t="shared" ref="E208:F208" si="55">SUM(E25:E206)/2</f>
        <v>4614198</v>
      </c>
      <c r="F208" s="171">
        <f t="shared" si="55"/>
        <v>0</v>
      </c>
      <c r="G208" s="171">
        <f>SUM(G25:G206)/2</f>
        <v>4614198</v>
      </c>
      <c r="H208" s="172">
        <f>IF($G$208=0,0,G208/$G$208)</f>
        <v>1</v>
      </c>
      <c r="I208" s="336"/>
      <c r="J208" s="183">
        <f>SUM(J25:J200)</f>
        <v>98903</v>
      </c>
      <c r="K208" s="183">
        <f>SUM(K25:K200)</f>
        <v>105989</v>
      </c>
      <c r="M208" s="364">
        <f>G208/G$228</f>
        <v>220.54287353025524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-5.9839917635710727E-2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'[81]Sch C'!D221</f>
        <v>4936433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-159844</v>
      </c>
      <c r="D215" s="558">
        <f>D21-D208</f>
        <v>315623</v>
      </c>
      <c r="E215" s="171">
        <f t="shared" ref="E215:F215" si="56">E21-E208</f>
        <v>155779</v>
      </c>
      <c r="F215" s="171">
        <f t="shared" si="56"/>
        <v>0</v>
      </c>
      <c r="G215" s="171">
        <f>G21-G208</f>
        <v>155779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'[81]Sch D'!C9</f>
        <v>13911</v>
      </c>
      <c r="D219" s="592"/>
      <c r="E219" s="235">
        <f t="shared" ref="E219:G227" si="57">C219+D219</f>
        <v>13911</v>
      </c>
      <c r="F219" s="234"/>
      <c r="G219" s="235">
        <f t="shared" si="57"/>
        <v>13911</v>
      </c>
      <c r="H219" s="172">
        <f t="shared" ref="H219:H228" si="58">IF($G$228=0,0,G219/$G$228)</f>
        <v>0.66489819328936051</v>
      </c>
      <c r="I219" s="336"/>
      <c r="J219" s="168"/>
      <c r="K219" s="168"/>
    </row>
    <row r="220" spans="1:17">
      <c r="A220" s="163"/>
      <c r="B220" s="170" t="s">
        <v>217</v>
      </c>
      <c r="C220" s="592">
        <f>'[81]Sch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'[81]Sch D'!E9</f>
        <v>1474</v>
      </c>
      <c r="D221" s="592"/>
      <c r="E221" s="235">
        <f t="shared" si="59"/>
        <v>1474</v>
      </c>
      <c r="F221" s="234"/>
      <c r="G221" s="235">
        <f t="shared" si="57"/>
        <v>1474</v>
      </c>
      <c r="H221" s="172">
        <f t="shared" si="58"/>
        <v>7.0452155625657209E-2</v>
      </c>
      <c r="I221" s="336"/>
      <c r="J221" s="168"/>
      <c r="K221" s="168"/>
    </row>
    <row r="222" spans="1:17">
      <c r="A222" s="163"/>
      <c r="B222" s="202" t="s">
        <v>334</v>
      </c>
      <c r="C222" s="592">
        <f>'[81]Sch D'!F9</f>
        <v>1104</v>
      </c>
      <c r="D222" s="592"/>
      <c r="E222" s="235">
        <f>C222+D222</f>
        <v>1104</v>
      </c>
      <c r="F222" s="234"/>
      <c r="G222" s="235">
        <f>E222+F222</f>
        <v>1104</v>
      </c>
      <c r="H222" s="172">
        <f t="shared" si="58"/>
        <v>5.2767421852595357E-2</v>
      </c>
      <c r="I222" s="336"/>
      <c r="J222" s="168"/>
      <c r="K222" s="168"/>
    </row>
    <row r="223" spans="1:17">
      <c r="A223" s="163"/>
      <c r="B223" s="170" t="s">
        <v>73</v>
      </c>
      <c r="C223" s="592">
        <f>'[81]Sch D'!G9</f>
        <v>0</v>
      </c>
      <c r="D223" s="592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'[81]Sch D'!H9</f>
        <v>1361</v>
      </c>
      <c r="D224" s="592"/>
      <c r="E224" s="235">
        <f t="shared" si="59"/>
        <v>1361</v>
      </c>
      <c r="F224" s="234"/>
      <c r="G224" s="235">
        <f t="shared" si="57"/>
        <v>1361</v>
      </c>
      <c r="H224" s="172">
        <f t="shared" si="58"/>
        <v>6.5051142338208578E-2</v>
      </c>
      <c r="I224" s="336"/>
      <c r="J224" s="168"/>
      <c r="K224" s="168"/>
    </row>
    <row r="225" spans="1:11">
      <c r="A225" s="163"/>
      <c r="B225" s="170" t="s">
        <v>236</v>
      </c>
      <c r="C225" s="592">
        <f>'[81]Sch D'!I9</f>
        <v>3020</v>
      </c>
      <c r="D225" s="592"/>
      <c r="E225" s="235">
        <f t="shared" si="59"/>
        <v>3020</v>
      </c>
      <c r="F225" s="234"/>
      <c r="G225" s="235">
        <f t="shared" si="57"/>
        <v>3020</v>
      </c>
      <c r="H225" s="172">
        <f t="shared" si="58"/>
        <v>0.14434566485039671</v>
      </c>
      <c r="I225" s="336"/>
      <c r="J225" s="168"/>
      <c r="K225" s="168"/>
    </row>
    <row r="226" spans="1:11">
      <c r="A226" s="163"/>
      <c r="B226" s="170" t="s">
        <v>235</v>
      </c>
      <c r="C226" s="592">
        <f>'[81]Sch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'[81]Sch D'!K9</f>
        <v>52</v>
      </c>
      <c r="D227" s="592"/>
      <c r="E227" s="235">
        <f t="shared" si="59"/>
        <v>52</v>
      </c>
      <c r="F227" s="234"/>
      <c r="G227" s="235">
        <f t="shared" si="57"/>
        <v>52</v>
      </c>
      <c r="H227" s="172">
        <f t="shared" si="58"/>
        <v>2.4854220437816651E-3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20922</v>
      </c>
      <c r="D228" s="592">
        <f>SUM(D219:D227)</f>
        <v>0</v>
      </c>
      <c r="E228" s="237">
        <f>SUM(E219:E227)</f>
        <v>20922</v>
      </c>
      <c r="F228" s="237">
        <f>SUM(F219:F227)</f>
        <v>0</v>
      </c>
      <c r="G228" s="237">
        <f>SUM(G219:G227)</f>
        <v>20922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'[81]Sch D'!N22</f>
        <v>77</v>
      </c>
      <c r="D231" s="559"/>
      <c r="E231" s="235">
        <f>C231+D231</f>
        <v>77</v>
      </c>
      <c r="F231" s="235"/>
      <c r="G231" s="235">
        <f>E231+F231</f>
        <v>77</v>
      </c>
      <c r="H231" s="167"/>
      <c r="J231" s="168"/>
      <c r="K231" s="168"/>
    </row>
    <row r="232" spans="1:11">
      <c r="A232" s="163"/>
      <c r="B232" s="202" t="s">
        <v>290</v>
      </c>
      <c r="C232" s="593">
        <f>'[81]Sch D'!N24</f>
        <v>77</v>
      </c>
      <c r="D232" s="559"/>
      <c r="E232" s="235">
        <f>C232+D232</f>
        <v>77</v>
      </c>
      <c r="F232" s="235"/>
      <c r="G232" s="235">
        <f>E232+F232</f>
        <v>77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'[81]Sch D'!N28</f>
        <v>28182</v>
      </c>
      <c r="D235" s="483"/>
      <c r="E235" s="234">
        <f>E231*E233</f>
        <v>28182</v>
      </c>
      <c r="F235" s="239"/>
      <c r="G235" s="234">
        <f>G231*G233</f>
        <v>28182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'[81]Sch D'!N30</f>
        <v>0.74238875878220145</v>
      </c>
      <c r="D236" s="239"/>
      <c r="E236" s="244">
        <f>E228/E235</f>
        <v>0.74238875878220145</v>
      </c>
      <c r="F236" s="245"/>
      <c r="G236" s="244">
        <f>G228/G235</f>
        <v>0.74238875878220145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'[81]Sch D'!N32</f>
        <v>0.49361294443261655</v>
      </c>
      <c r="D237" s="239"/>
      <c r="E237" s="244">
        <f>(E219+E220)/E235</f>
        <v>0.49361294443261655</v>
      </c>
      <c r="F237" s="245"/>
      <c r="G237" s="244">
        <f>(G219+G220)/G235</f>
        <v>0.49361294443261655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'[81]Sch D'!N34</f>
        <v>0.6648981932893604</v>
      </c>
      <c r="D238" s="239"/>
      <c r="E238" s="244">
        <f>(E237/E236)</f>
        <v>0.6648981932893604</v>
      </c>
      <c r="F238" s="245"/>
      <c r="G238" s="244">
        <f>(G237/G236)</f>
        <v>0.6648981932893604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'[81]Sch B'!C85</f>
        <v>179.375</v>
      </c>
    </row>
    <row r="242" spans="2:7">
      <c r="F242" s="142" t="s">
        <v>341</v>
      </c>
      <c r="G242" s="558">
        <f>'[81]Sch B'!E85</f>
        <v>179.37686567164178</v>
      </c>
    </row>
    <row r="243" spans="2:7">
      <c r="F243" s="142" t="s">
        <v>342</v>
      </c>
      <c r="G243" s="558">
        <f>'[81]Sch B'!G85</f>
        <v>179.3753581661891</v>
      </c>
    </row>
    <row r="244" spans="2:7">
      <c r="F244" s="142" t="s">
        <v>343</v>
      </c>
      <c r="G244" s="558">
        <f>'[81]Sch B'!I85</f>
        <v>179.376953125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8" sqref="F8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6">
    <tabColor rgb="FFE28CAB"/>
    <pageSetUpPr fitToPage="1"/>
  </sheetPr>
  <dimension ref="A1:T245"/>
  <sheetViews>
    <sheetView showGridLines="0" zoomScale="125" zoomScaleNormal="125" workbookViewId="0">
      <pane xSplit="2" topLeftCell="C1" activePane="topRight" state="frozen"/>
      <selection activeCell="C1" sqref="C1"/>
      <selection pane="top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472"/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246" t="s">
        <v>384</v>
      </c>
      <c r="D2" s="246"/>
      <c r="E2" s="144"/>
    </row>
    <row r="3" spans="1:17">
      <c r="A3" s="145"/>
      <c r="B3" s="140" t="s">
        <v>79</v>
      </c>
      <c r="C3" s="489">
        <v>42186</v>
      </c>
      <c r="D3" s="144"/>
      <c r="E3" s="147"/>
    </row>
    <row r="4" spans="1:17">
      <c r="A4" s="145"/>
      <c r="B4" s="148" t="s">
        <v>80</v>
      </c>
      <c r="C4" s="489">
        <v>42551</v>
      </c>
      <c r="D4" s="144"/>
      <c r="E4" s="149"/>
      <c r="G4" s="150"/>
    </row>
    <row r="5" spans="1:17">
      <c r="A5" s="145"/>
      <c r="B5" s="148"/>
      <c r="C5" s="151"/>
      <c r="D5" s="144"/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151"/>
      <c r="D9" s="144"/>
      <c r="F9" s="144"/>
      <c r="G9" s="144"/>
    </row>
    <row r="10" spans="1:17" s="167" customFormat="1" ht="16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'[82]Sch B'!E10</f>
        <v>7736738</v>
      </c>
      <c r="D11" s="558">
        <f>'[82]Sch B'!G10</f>
        <v>0</v>
      </c>
      <c r="E11" s="171">
        <f>C11+D11</f>
        <v>7736738</v>
      </c>
      <c r="F11" s="171"/>
      <c r="G11" s="171">
        <f t="shared" ref="G11:G20" si="0">E11+F11</f>
        <v>7736738</v>
      </c>
      <c r="H11" s="172">
        <f t="shared" ref="H11:H21" si="1">IF($G$21=0,0,G11/$G$21)</f>
        <v>0.59556006750371204</v>
      </c>
      <c r="I11" s="336"/>
      <c r="J11" s="368" t="s">
        <v>344</v>
      </c>
      <c r="K11" s="369">
        <f>G21</f>
        <v>12990693</v>
      </c>
      <c r="M11" s="359">
        <f>IFERROR(G11/G219,0)</f>
        <v>259.57852709276966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'[82]Sch B'!E15</f>
        <v>0</v>
      </c>
      <c r="D12" s="558">
        <f>'[82]Sch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13959216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'[82]Sch B'!E21</f>
        <v>1458068</v>
      </c>
      <c r="D13" s="558">
        <f>'[82]Sch B'!G21</f>
        <v>0</v>
      </c>
      <c r="E13" s="171">
        <f t="shared" si="2"/>
        <v>1458068</v>
      </c>
      <c r="F13" s="171"/>
      <c r="G13" s="171">
        <f t="shared" si="0"/>
        <v>1458068</v>
      </c>
      <c r="H13" s="172">
        <f t="shared" si="1"/>
        <v>0.11223943172238771</v>
      </c>
      <c r="I13" s="336"/>
      <c r="J13" s="370" t="s">
        <v>346</v>
      </c>
      <c r="K13" s="371">
        <f>G228</f>
        <v>42997</v>
      </c>
      <c r="M13" s="359">
        <f t="shared" si="3"/>
        <v>631.7452339688042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'[82]Sch B'!E27</f>
        <v>1724138</v>
      </c>
      <c r="D14" s="558">
        <f>'[82]Sch B'!G27</f>
        <v>0</v>
      </c>
      <c r="E14" s="171">
        <f t="shared" si="2"/>
        <v>1724138</v>
      </c>
      <c r="F14" s="175"/>
      <c r="G14" s="175">
        <f>E14+F14</f>
        <v>1724138</v>
      </c>
      <c r="H14" s="176">
        <f t="shared" si="1"/>
        <v>0.13272101803960729</v>
      </c>
      <c r="I14" s="337"/>
      <c r="J14" s="370" t="s">
        <v>347</v>
      </c>
      <c r="K14" s="371">
        <f>G231</f>
        <v>184</v>
      </c>
      <c r="M14" s="359">
        <f t="shared" si="3"/>
        <v>511.91745843230404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'[82]Sch B'!E32</f>
        <v>358226</v>
      </c>
      <c r="D15" s="558">
        <f>'[82]Sch B'!G32</f>
        <v>0</v>
      </c>
      <c r="E15" s="171">
        <f t="shared" si="2"/>
        <v>358226</v>
      </c>
      <c r="F15" s="171"/>
      <c r="G15" s="171">
        <f t="shared" si="0"/>
        <v>358226</v>
      </c>
      <c r="H15" s="172">
        <f t="shared" si="1"/>
        <v>2.7575588153765162E-2</v>
      </c>
      <c r="I15" s="336"/>
      <c r="J15" s="370" t="s">
        <v>348</v>
      </c>
      <c r="K15" s="371">
        <f>G235</f>
        <v>67344</v>
      </c>
      <c r="M15" s="359">
        <f t="shared" si="3"/>
        <v>810.46606334841624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'[82]Sch B'!E37</f>
        <v>299215</v>
      </c>
      <c r="D16" s="558">
        <f>'[82]Sch B'!G37</f>
        <v>0</v>
      </c>
      <c r="E16" s="171">
        <f t="shared" si="2"/>
        <v>299215</v>
      </c>
      <c r="F16" s="171"/>
      <c r="G16" s="171">
        <f t="shared" si="0"/>
        <v>299215</v>
      </c>
      <c r="H16" s="172">
        <f t="shared" si="1"/>
        <v>2.30330283380571E-2</v>
      </c>
      <c r="I16" s="336"/>
      <c r="J16" s="372"/>
      <c r="K16" s="371"/>
      <c r="M16" s="359">
        <f t="shared" si="3"/>
        <v>168.95256916996047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'[82]Sch B'!E42</f>
        <v>821244</v>
      </c>
      <c r="D17" s="558">
        <f>'[82]Sch B'!G42</f>
        <v>0</v>
      </c>
      <c r="E17" s="171">
        <f t="shared" si="2"/>
        <v>821244</v>
      </c>
      <c r="F17" s="171"/>
      <c r="G17" s="171">
        <f>E17+F17</f>
        <v>821244</v>
      </c>
      <c r="H17" s="172">
        <f t="shared" si="1"/>
        <v>6.3217874519858178E-2</v>
      </c>
      <c r="I17" s="336"/>
      <c r="J17" s="370" t="s">
        <v>156</v>
      </c>
      <c r="K17" s="371">
        <f>J208</f>
        <v>266638</v>
      </c>
      <c r="M17" s="359">
        <f t="shared" si="3"/>
        <v>214.14445893089962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'[82]Sch B'!E47</f>
        <v>0</v>
      </c>
      <c r="D18" s="558">
        <f>'[82]Sch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6"/>
      <c r="J18" s="373" t="s">
        <v>252</v>
      </c>
      <c r="K18" s="374">
        <f>K208</f>
        <v>288552</v>
      </c>
      <c r="M18" s="359">
        <f t="shared" si="3"/>
        <v>0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'[82]Sch B'!E52</f>
        <v>408233</v>
      </c>
      <c r="D19" s="558">
        <f>'[82]Sch B'!G52</f>
        <v>0</v>
      </c>
      <c r="E19" s="171">
        <f t="shared" si="2"/>
        <v>408233</v>
      </c>
      <c r="F19" s="171"/>
      <c r="G19" s="171">
        <f t="shared" si="0"/>
        <v>408233</v>
      </c>
      <c r="H19" s="172">
        <f t="shared" si="1"/>
        <v>3.1425036370269083E-2</v>
      </c>
      <c r="I19" s="336"/>
      <c r="J19" s="168"/>
      <c r="K19" s="168"/>
      <c r="M19" s="359">
        <f t="shared" si="3"/>
        <v>278.08787465940054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'[82]Sch B'!E67</f>
        <v>206013</v>
      </c>
      <c r="D20" s="558">
        <f>'[82]Sch B'!G67</f>
        <v>-21182</v>
      </c>
      <c r="E20" s="171">
        <f t="shared" si="2"/>
        <v>184831</v>
      </c>
      <c r="F20" s="171"/>
      <c r="G20" s="171">
        <f t="shared" si="0"/>
        <v>184831</v>
      </c>
      <c r="H20" s="172">
        <f t="shared" si="1"/>
        <v>1.4227955352343405E-2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13011875</v>
      </c>
      <c r="D21" s="558">
        <f>SUM(D11:D20)</f>
        <v>-21182</v>
      </c>
      <c r="E21" s="171">
        <f>SUM(E11:E20)</f>
        <v>12990693</v>
      </c>
      <c r="F21" s="171">
        <f>SUM(F11:F20)</f>
        <v>0</v>
      </c>
      <c r="G21" s="171">
        <f>SUM(G11:G20)</f>
        <v>12990693</v>
      </c>
      <c r="H21" s="172">
        <f t="shared" si="1"/>
        <v>1</v>
      </c>
      <c r="I21" s="336"/>
      <c r="J21" s="168"/>
      <c r="K21" s="168"/>
      <c r="M21" s="359">
        <f>IFERROR(G21/G228,0)</f>
        <v>302.13021838732936</v>
      </c>
      <c r="N21" s="359">
        <f>SUMMARY!J24</f>
        <v>278.37842406091033</v>
      </c>
      <c r="P21"/>
      <c r="Q21"/>
    </row>
    <row r="22" spans="1:17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'[82]Sch C'!D10</f>
        <v>0</v>
      </c>
      <c r="D25" s="558">
        <f>'[82]Sch C'!F10</f>
        <v>136667</v>
      </c>
      <c r="E25" s="171">
        <f t="shared" ref="E25:E60" si="4">C25+D25</f>
        <v>136667</v>
      </c>
      <c r="F25" s="171"/>
      <c r="G25" s="182">
        <f>E25+F25</f>
        <v>136667</v>
      </c>
      <c r="H25" s="172">
        <f>IF($G$208=0,0,G25/$G$208)</f>
        <v>9.7904495496022124E-3</v>
      </c>
      <c r="I25" s="336"/>
      <c r="J25" s="183">
        <v>2000</v>
      </c>
      <c r="K25" s="183">
        <v>2306</v>
      </c>
      <c r="M25" s="359">
        <f>G25/G$228</f>
        <v>3.1785240830755632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'[82]Sch C'!D11</f>
        <v>0</v>
      </c>
      <c r="D26" s="558">
        <f>'[82]Sch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'[82]Sch C'!D12</f>
        <v>390320</v>
      </c>
      <c r="D27" s="558">
        <f>'[82]Sch C'!F12</f>
        <v>-136667</v>
      </c>
      <c r="E27" s="171">
        <f t="shared" si="4"/>
        <v>253653</v>
      </c>
      <c r="F27" s="171"/>
      <c r="G27" s="171">
        <f t="shared" si="5"/>
        <v>253653</v>
      </c>
      <c r="H27" s="172">
        <f t="shared" si="6"/>
        <v>1.817100616538923E-2</v>
      </c>
      <c r="I27" s="336"/>
      <c r="J27" s="185">
        <v>12596</v>
      </c>
      <c r="K27" s="185">
        <v>13473</v>
      </c>
      <c r="M27" s="359">
        <f t="shared" si="7"/>
        <v>5.8993185571086357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'[82]Sch C'!D13</f>
        <v>44007</v>
      </c>
      <c r="D28" s="558">
        <f>'[82]Sch C'!F13</f>
        <v>0</v>
      </c>
      <c r="E28" s="171">
        <f t="shared" si="4"/>
        <v>44007</v>
      </c>
      <c r="F28" s="171"/>
      <c r="G28" s="171">
        <f t="shared" si="5"/>
        <v>44007</v>
      </c>
      <c r="H28" s="172">
        <f t="shared" si="6"/>
        <v>3.1525409449928992E-3</v>
      </c>
      <c r="I28" s="336"/>
      <c r="J28" s="168"/>
      <c r="K28" s="168"/>
      <c r="M28" s="359">
        <f t="shared" si="7"/>
        <v>1.0234900109309952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'[82]Sch C'!D14</f>
        <v>0</v>
      </c>
      <c r="D29" s="558">
        <f>'[82]Sch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'[82]Sch C'!D15</f>
        <v>0</v>
      </c>
      <c r="D30" s="558">
        <f>'[82]Sch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'[82]Sch C'!D16</f>
        <v>645845</v>
      </c>
      <c r="D31" s="558">
        <f>'[82]Sch C'!F16</f>
        <v>-1569</v>
      </c>
      <c r="E31" s="171">
        <f t="shared" si="4"/>
        <v>644276</v>
      </c>
      <c r="F31" s="171"/>
      <c r="G31" s="171">
        <f t="shared" si="5"/>
        <v>644276</v>
      </c>
      <c r="H31" s="172">
        <f t="shared" si="6"/>
        <v>4.6154167970464816E-2</v>
      </c>
      <c r="I31" s="336"/>
      <c r="J31" s="168"/>
      <c r="K31" s="168"/>
      <c r="M31" s="359">
        <f t="shared" si="7"/>
        <v>14.984208200572134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'[82]Sch C'!D17</f>
        <v>452</v>
      </c>
      <c r="D32" s="558">
        <f>'[82]Sch C'!F17</f>
        <v>-452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'[82]Sch C'!D18</f>
        <v>17499</v>
      </c>
      <c r="D33" s="558">
        <f>'[82]Sch C'!F18</f>
        <v>0</v>
      </c>
      <c r="E33" s="171">
        <f t="shared" si="4"/>
        <v>17499</v>
      </c>
      <c r="F33" s="171"/>
      <c r="G33" s="171">
        <f t="shared" si="5"/>
        <v>17499</v>
      </c>
      <c r="H33" s="172">
        <f t="shared" si="6"/>
        <v>1.2535804303049683E-3</v>
      </c>
      <c r="I33" s="336"/>
      <c r="J33" s="168"/>
      <c r="K33" s="168"/>
      <c r="M33" s="359">
        <f t="shared" si="7"/>
        <v>0.40698188245691558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'[82]Sch C'!D19</f>
        <v>11998</v>
      </c>
      <c r="D34" s="558">
        <f>'[82]Sch C'!F19</f>
        <v>0</v>
      </c>
      <c r="E34" s="171">
        <f t="shared" si="4"/>
        <v>11998</v>
      </c>
      <c r="F34" s="171"/>
      <c r="G34" s="171">
        <f t="shared" si="5"/>
        <v>11998</v>
      </c>
      <c r="H34" s="172">
        <f t="shared" si="6"/>
        <v>8.5950385752323055E-4</v>
      </c>
      <c r="I34" s="336"/>
      <c r="J34" s="168"/>
      <c r="K34" s="168"/>
      <c r="M34" s="359">
        <f t="shared" si="7"/>
        <v>0.27904272391097051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'[82]Sch C'!D20</f>
        <v>24928</v>
      </c>
      <c r="D35" s="558">
        <f>'[82]Sch C'!F20</f>
        <v>0</v>
      </c>
      <c r="E35" s="171">
        <f t="shared" si="4"/>
        <v>24928</v>
      </c>
      <c r="F35" s="171"/>
      <c r="G35" s="171">
        <f t="shared" si="5"/>
        <v>24928</v>
      </c>
      <c r="H35" s="172">
        <f t="shared" si="6"/>
        <v>1.7857736423019745E-3</v>
      </c>
      <c r="I35" s="336"/>
      <c r="J35" s="168"/>
      <c r="K35" s="168"/>
      <c r="M35" s="359">
        <f t="shared" si="7"/>
        <v>0.57976137870083955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'[82]Sch C'!D21</f>
        <v>28045</v>
      </c>
      <c r="D36" s="558">
        <f>'[82]Sch C'!F21</f>
        <v>0</v>
      </c>
      <c r="E36" s="171">
        <f t="shared" si="4"/>
        <v>28045</v>
      </c>
      <c r="F36" s="171"/>
      <c r="G36" s="171">
        <f t="shared" si="5"/>
        <v>28045</v>
      </c>
      <c r="H36" s="172">
        <f t="shared" si="6"/>
        <v>2.0090669848507252E-3</v>
      </c>
      <c r="I36" s="336"/>
      <c r="J36" s="168"/>
      <c r="K36" s="168"/>
      <c r="M36" s="359">
        <f t="shared" si="7"/>
        <v>0.65225480847500994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'[82]Sch C'!D22</f>
        <v>0</v>
      </c>
      <c r="D37" s="558">
        <f>'[82]Sch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'[82]Sch C'!D23</f>
        <v>30226</v>
      </c>
      <c r="D38" s="558">
        <f>'[82]Sch C'!F23</f>
        <v>0</v>
      </c>
      <c r="E38" s="171">
        <f t="shared" si="4"/>
        <v>30226</v>
      </c>
      <c r="F38" s="171"/>
      <c r="G38" s="171">
        <f t="shared" si="5"/>
        <v>30226</v>
      </c>
      <c r="H38" s="172">
        <f t="shared" si="6"/>
        <v>2.165307851099947E-3</v>
      </c>
      <c r="I38" s="336"/>
      <c r="J38" s="168"/>
      <c r="K38" s="168"/>
      <c r="M38" s="359">
        <f t="shared" si="7"/>
        <v>0.70297927762402024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'[82]Sch C'!D24</f>
        <v>0</v>
      </c>
      <c r="D39" s="558">
        <f>'[82]Sch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6"/>
      <c r="J39" s="168"/>
      <c r="K39" s="168"/>
      <c r="M39" s="359">
        <f t="shared" si="7"/>
        <v>0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'[82]Sch C'!D25</f>
        <v>4102</v>
      </c>
      <c r="D40" s="558">
        <f>'[82]Sch C'!F25</f>
        <v>0</v>
      </c>
      <c r="E40" s="171">
        <f t="shared" si="4"/>
        <v>4102</v>
      </c>
      <c r="F40" s="171"/>
      <c r="G40" s="171">
        <f t="shared" si="5"/>
        <v>4102</v>
      </c>
      <c r="H40" s="172">
        <f t="shared" si="6"/>
        <v>2.9385604463746386E-4</v>
      </c>
      <c r="I40" s="336"/>
      <c r="J40" s="168"/>
      <c r="K40" s="168"/>
      <c r="M40" s="359">
        <f t="shared" si="7"/>
        <v>9.5402004791031933E-2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'[82]Sch C'!D26</f>
        <v>682967</v>
      </c>
      <c r="D41" s="558">
        <f>'[82]Sch C'!F26</f>
        <v>0</v>
      </c>
      <c r="E41" s="171">
        <f t="shared" si="4"/>
        <v>682967</v>
      </c>
      <c r="F41" s="171"/>
      <c r="G41" s="171">
        <f t="shared" si="5"/>
        <v>682967</v>
      </c>
      <c r="H41" s="172">
        <f t="shared" si="6"/>
        <v>4.8925885235961676E-2</v>
      </c>
      <c r="I41" s="336"/>
      <c r="J41" s="168"/>
      <c r="K41" s="168"/>
      <c r="M41" s="359">
        <f t="shared" si="7"/>
        <v>15.884061678721771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'[82]Sch C'!D27</f>
        <v>80267</v>
      </c>
      <c r="D42" s="558">
        <f>'[82]Sch C'!F27</f>
        <v>-741</v>
      </c>
      <c r="E42" s="171">
        <f t="shared" si="4"/>
        <v>79526</v>
      </c>
      <c r="F42" s="171"/>
      <c r="G42" s="171">
        <f t="shared" si="5"/>
        <v>79526</v>
      </c>
      <c r="H42" s="172">
        <f t="shared" si="6"/>
        <v>5.6970248185858E-3</v>
      </c>
      <c r="I42" s="336"/>
      <c r="J42" s="168"/>
      <c r="K42" s="168"/>
      <c r="M42" s="359">
        <f t="shared" si="7"/>
        <v>1.8495709002953695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'[82]Sch C'!D28</f>
        <v>0</v>
      </c>
      <c r="D43" s="558">
        <f>'[82]Sch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'[82]Sch C'!D29</f>
        <v>659497</v>
      </c>
      <c r="D44" s="558">
        <f>'[82]Sch C'!F29</f>
        <v>-659497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'[82]Sch C'!D30</f>
        <v>0</v>
      </c>
      <c r="D45" s="558">
        <f>'[82]Sch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'[82]Sch C'!D31</f>
        <v>0</v>
      </c>
      <c r="D46" s="558">
        <f>'[82]Sch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6"/>
      <c r="J46" s="168"/>
      <c r="K46" s="168"/>
      <c r="M46" s="359">
        <f t="shared" si="7"/>
        <v>0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'[82]Sch C'!D32</f>
        <v>128667</v>
      </c>
      <c r="D47" s="558">
        <f>'[82]Sch C'!F32</f>
        <v>0</v>
      </c>
      <c r="E47" s="171">
        <f t="shared" si="4"/>
        <v>128667</v>
      </c>
      <c r="F47" s="171"/>
      <c r="G47" s="171">
        <f t="shared" si="5"/>
        <v>128667</v>
      </c>
      <c r="H47" s="172">
        <f t="shared" si="6"/>
        <v>9.2173514615720535E-3</v>
      </c>
      <c r="I47" s="336"/>
      <c r="J47" s="168"/>
      <c r="K47" s="168"/>
      <c r="M47" s="359">
        <f t="shared" si="7"/>
        <v>2.9924645905528293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'[82]Sch C'!D33</f>
        <v>0</v>
      </c>
      <c r="D48" s="558">
        <f>'[82]Sch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'[82]Sch C'!D34</f>
        <v>542</v>
      </c>
      <c r="D49" s="558">
        <f>'[82]Sch C'!F34</f>
        <v>0</v>
      </c>
      <c r="E49" s="171">
        <f t="shared" si="4"/>
        <v>542</v>
      </c>
      <c r="F49" s="171"/>
      <c r="G49" s="171">
        <f t="shared" si="5"/>
        <v>542</v>
      </c>
      <c r="H49" s="172">
        <f t="shared" si="6"/>
        <v>3.8827395464043253E-5</v>
      </c>
      <c r="I49" s="336"/>
      <c r="J49" s="168"/>
      <c r="K49" s="168"/>
      <c r="M49" s="359">
        <f t="shared" si="7"/>
        <v>1.2605530618415238E-2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'[82]Sch C'!D35</f>
        <v>0</v>
      </c>
      <c r="D50" s="558">
        <f>'[82]Sch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'[82]Sch C'!D36</f>
        <v>0</v>
      </c>
      <c r="D51" s="558">
        <f>'[82]Sch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'[82]Sch C'!D37</f>
        <v>0</v>
      </c>
      <c r="D52" s="558">
        <f>'[82]Sch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'[82]Sch C'!D38</f>
        <v>187</v>
      </c>
      <c r="D53" s="558">
        <f>'[82]Sch C'!F38</f>
        <v>-187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'[82]Sch C'!D39</f>
        <v>5827</v>
      </c>
      <c r="D54" s="558">
        <f>'[82]Sch C'!F39</f>
        <v>0</v>
      </c>
      <c r="E54" s="171">
        <f t="shared" si="4"/>
        <v>5827</v>
      </c>
      <c r="F54" s="171"/>
      <c r="G54" s="171">
        <f t="shared" si="5"/>
        <v>5827</v>
      </c>
      <c r="H54" s="172">
        <f t="shared" si="6"/>
        <v>4.1743031986896686E-4</v>
      </c>
      <c r="I54" s="336"/>
      <c r="J54" s="168"/>
      <c r="K54" s="168"/>
      <c r="M54" s="359">
        <f t="shared" si="7"/>
        <v>0.13552108286624648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'[82]Sch C'!D40</f>
        <v>4485</v>
      </c>
      <c r="D55" s="558">
        <f>'[82]Sch C'!F40</f>
        <v>-4485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6"/>
      <c r="J55" s="168"/>
      <c r="K55" s="168"/>
      <c r="M55" s="359">
        <f t="shared" si="7"/>
        <v>0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'[82]Sch C'!D41</f>
        <v>228498</v>
      </c>
      <c r="D56" s="558">
        <f>'[82]Sch C'!F41</f>
        <v>-4323</v>
      </c>
      <c r="E56" s="171">
        <f t="shared" si="4"/>
        <v>224175</v>
      </c>
      <c r="F56" s="171"/>
      <c r="G56" s="171">
        <f t="shared" si="5"/>
        <v>224175</v>
      </c>
      <c r="H56" s="172">
        <f t="shared" si="6"/>
        <v>1.6059282985520104E-2</v>
      </c>
      <c r="I56" s="336"/>
      <c r="J56" s="168"/>
      <c r="K56" s="168"/>
      <c r="M56" s="359">
        <f t="shared" si="7"/>
        <v>5.2137358420354909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'[82]Sch C'!D42</f>
        <v>12670</v>
      </c>
      <c r="D57" s="558">
        <f>'[82]Sch C'!F42</f>
        <v>0</v>
      </c>
      <c r="E57" s="171">
        <f t="shared" si="4"/>
        <v>12670</v>
      </c>
      <c r="F57" s="171"/>
      <c r="G57" s="171">
        <f t="shared" si="5"/>
        <v>12670</v>
      </c>
      <c r="H57" s="172">
        <f t="shared" si="6"/>
        <v>9.0764409691776384E-4</v>
      </c>
      <c r="I57" s="336"/>
      <c r="J57" s="168"/>
      <c r="K57" s="168"/>
      <c r="M57" s="359">
        <f t="shared" si="7"/>
        <v>0.29467172128288022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'[82]Sch C'!D43</f>
        <v>11087</v>
      </c>
      <c r="D58" s="558">
        <f>'[82]Sch C'!F43</f>
        <v>-11087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6"/>
      <c r="J58" s="168"/>
      <c r="K58" s="168"/>
      <c r="M58" s="359">
        <f t="shared" si="7"/>
        <v>0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'[82]Sch C'!D44</f>
        <v>0</v>
      </c>
      <c r="D59" s="558">
        <f>'[82]Sch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'[82]Sch C'!D45</f>
        <v>11723</v>
      </c>
      <c r="D60" s="558">
        <f>'[82]Sch C'!F45</f>
        <v>-18445</v>
      </c>
      <c r="E60" s="171">
        <f t="shared" si="4"/>
        <v>-6722</v>
      </c>
      <c r="F60" s="171"/>
      <c r="G60" s="171">
        <f t="shared" si="5"/>
        <v>-6722</v>
      </c>
      <c r="H60" s="172">
        <f t="shared" si="6"/>
        <v>-4.8154566846734083E-4</v>
      </c>
      <c r="I60" s="336"/>
      <c r="J60" s="168"/>
      <c r="K60" s="168"/>
      <c r="M60" s="359">
        <f t="shared" si="7"/>
        <v>-0.15633648859222737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3023839</v>
      </c>
      <c r="D61" s="558">
        <f>SUM(D25:D60)</f>
        <v>-700786</v>
      </c>
      <c r="E61" s="171">
        <f t="shared" ref="E61:F61" si="8">SUM(E25:E60)</f>
        <v>2323053</v>
      </c>
      <c r="F61" s="171">
        <f t="shared" si="8"/>
        <v>0</v>
      </c>
      <c r="G61" s="171">
        <f>SUM(G25:G60)</f>
        <v>2323053</v>
      </c>
      <c r="H61" s="186">
        <f t="shared" si="6"/>
        <v>0.16641715408659052</v>
      </c>
      <c r="I61" s="338"/>
      <c r="J61" s="168"/>
      <c r="K61" s="168"/>
      <c r="M61" s="364">
        <f>G61/G$228</f>
        <v>54.028257785426888</v>
      </c>
      <c r="N61" s="359">
        <f>SUMMARY!J64</f>
        <v>53.728790309602623</v>
      </c>
      <c r="O61" s="354">
        <f>M61/N61-1</f>
        <v>5.5736872931371195E-3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'[82]Sch C'!D57</f>
        <v>1200000</v>
      </c>
      <c r="D64" s="558">
        <f>'[82]Sch C'!F57</f>
        <v>0</v>
      </c>
      <c r="E64" s="171">
        <f t="shared" ref="E64:E78" si="9">C64+D64</f>
        <v>1200000</v>
      </c>
      <c r="F64" s="171"/>
      <c r="G64" s="171">
        <f t="shared" ref="G64:G78" si="10">E64+F64</f>
        <v>1200000</v>
      </c>
      <c r="H64" s="172">
        <f t="shared" ref="H64:H79" si="11">IF($G$208=0,0,G64/$G$208)</f>
        <v>8.5964713204523813E-2</v>
      </c>
      <c r="I64" s="336"/>
      <c r="J64" s="190"/>
      <c r="K64" s="168"/>
      <c r="M64" s="359">
        <f t="shared" ref="M64:M79" si="12">G64/G$228</f>
        <v>27.908923878410121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'[82]Sch C'!D58</f>
        <v>39336</v>
      </c>
      <c r="D65" s="558">
        <f>'[82]Sch C'!F58</f>
        <v>0</v>
      </c>
      <c r="E65" s="171">
        <f t="shared" si="9"/>
        <v>39336</v>
      </c>
      <c r="F65" s="171"/>
      <c r="G65" s="171">
        <f t="shared" si="10"/>
        <v>39336</v>
      </c>
      <c r="H65" s="172">
        <f t="shared" si="11"/>
        <v>2.8179232988442904E-3</v>
      </c>
      <c r="I65" s="336"/>
      <c r="J65" s="190"/>
      <c r="K65" s="168"/>
      <c r="M65" s="359">
        <f t="shared" si="12"/>
        <v>0.91485452473428375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'[82]Sch C'!D59</f>
        <v>0</v>
      </c>
      <c r="D66" s="558">
        <f>'[82]Sch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6"/>
      <c r="J66" s="190"/>
      <c r="K66" s="168"/>
      <c r="M66" s="359">
        <f t="shared" si="12"/>
        <v>0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'[82]Sch C'!D60</f>
        <v>121206</v>
      </c>
      <c r="D67" s="558">
        <f>'[82]Sch C'!F60</f>
        <v>0</v>
      </c>
      <c r="E67" s="171">
        <f t="shared" si="9"/>
        <v>121206</v>
      </c>
      <c r="F67" s="171"/>
      <c r="G67" s="171">
        <f t="shared" si="10"/>
        <v>121206</v>
      </c>
      <c r="H67" s="172">
        <f t="shared" si="11"/>
        <v>8.6828658572229277E-3</v>
      </c>
      <c r="I67" s="336"/>
      <c r="J67" s="193"/>
      <c r="K67" s="168"/>
      <c r="M67" s="359">
        <f t="shared" si="12"/>
        <v>2.8189408563388145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'[82]Sch C'!D61</f>
        <v>16230</v>
      </c>
      <c r="D68" s="558">
        <f>'[82]Sch C'!F61</f>
        <v>0</v>
      </c>
      <c r="E68" s="171">
        <f t="shared" si="9"/>
        <v>16230</v>
      </c>
      <c r="F68" s="171"/>
      <c r="G68" s="171">
        <f t="shared" si="10"/>
        <v>16230</v>
      </c>
      <c r="H68" s="172">
        <f t="shared" si="11"/>
        <v>1.1626727460911845E-3</v>
      </c>
      <c r="I68" s="336"/>
      <c r="J68" s="193"/>
      <c r="K68" s="168"/>
      <c r="M68" s="359">
        <f t="shared" si="12"/>
        <v>0.37746819545549687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'[82]Sch C'!D62</f>
        <v>883</v>
      </c>
      <c r="D69" s="558">
        <f>'[82]Sch C'!F62</f>
        <v>0</v>
      </c>
      <c r="E69" s="171">
        <f t="shared" si="9"/>
        <v>883</v>
      </c>
      <c r="F69" s="171"/>
      <c r="G69" s="171">
        <f t="shared" si="10"/>
        <v>883</v>
      </c>
      <c r="H69" s="172">
        <f t="shared" si="11"/>
        <v>6.3255701466328766E-5</v>
      </c>
      <c r="I69" s="336"/>
      <c r="J69" s="195"/>
      <c r="K69" s="168"/>
      <c r="M69" s="359">
        <f t="shared" si="12"/>
        <v>2.0536316487196782E-2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'[82]Sch C'!D63</f>
        <v>0</v>
      </c>
      <c r="D70" s="558">
        <f>'[82]Sch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'[82]Sch C'!D64</f>
        <v>0</v>
      </c>
      <c r="D71" s="558">
        <f>'[82]Sch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'[82]Sch C'!D65</f>
        <v>0</v>
      </c>
      <c r="D72" s="558">
        <f>'[82]Sch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6"/>
      <c r="J72" s="195"/>
      <c r="K72" s="168"/>
      <c r="M72" s="359">
        <f t="shared" si="12"/>
        <v>0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'[82]Sch C'!D66</f>
        <v>223016</v>
      </c>
      <c r="D73" s="558">
        <f>'[82]Sch C'!F66</f>
        <v>190</v>
      </c>
      <c r="E73" s="171">
        <f t="shared" si="9"/>
        <v>223206</v>
      </c>
      <c r="F73" s="171"/>
      <c r="G73" s="171">
        <f t="shared" si="10"/>
        <v>223206</v>
      </c>
      <c r="H73" s="172">
        <f t="shared" si="11"/>
        <v>1.5989866479607449E-2</v>
      </c>
      <c r="I73" s="336"/>
      <c r="J73" s="195"/>
      <c r="K73" s="168"/>
      <c r="M73" s="359">
        <f t="shared" si="12"/>
        <v>5.1911993860036745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'[82]Sch C'!D67</f>
        <v>65770</v>
      </c>
      <c r="D74" s="558">
        <f>'[82]Sch C'!F67</f>
        <v>0</v>
      </c>
      <c r="E74" s="171">
        <f t="shared" si="9"/>
        <v>65770</v>
      </c>
      <c r="F74" s="171"/>
      <c r="G74" s="171">
        <f t="shared" si="10"/>
        <v>65770</v>
      </c>
      <c r="H74" s="172">
        <f t="shared" si="11"/>
        <v>4.7115826562179426E-3</v>
      </c>
      <c r="I74" s="336"/>
      <c r="J74" s="195"/>
      <c r="K74" s="168"/>
      <c r="M74" s="359">
        <f t="shared" si="12"/>
        <v>1.5296416029025282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'[82]Sch C'!D68</f>
        <v>0</v>
      </c>
      <c r="D75" s="558">
        <f>'[82]Sch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'[82]Sch C'!D69</f>
        <v>6162</v>
      </c>
      <c r="D76" s="558">
        <f>'[82]Sch C'!F69</f>
        <v>0</v>
      </c>
      <c r="E76" s="171">
        <f t="shared" si="9"/>
        <v>6162</v>
      </c>
      <c r="F76" s="171"/>
      <c r="G76" s="171">
        <f t="shared" si="10"/>
        <v>6162</v>
      </c>
      <c r="H76" s="172">
        <f t="shared" si="11"/>
        <v>4.4142880230522974E-4</v>
      </c>
      <c r="I76" s="336"/>
      <c r="J76" s="195"/>
      <c r="K76" s="168"/>
      <c r="M76" s="359">
        <f t="shared" si="12"/>
        <v>0.14331232411563596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'[82]Sch C'!D70</f>
        <v>0</v>
      </c>
      <c r="D77" s="558">
        <f>'[82]Sch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'[82]Sch C'!D71</f>
        <v>0</v>
      </c>
      <c r="D78" s="558">
        <f>'[82]Sch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1672603</v>
      </c>
      <c r="D79" s="558">
        <f>SUM(D64:D78)</f>
        <v>190</v>
      </c>
      <c r="E79" s="171">
        <f t="shared" ref="E79:F79" si="13">SUM(E64:E78)</f>
        <v>1672793</v>
      </c>
      <c r="F79" s="171">
        <f t="shared" si="13"/>
        <v>0</v>
      </c>
      <c r="G79" s="171">
        <f>SUM(G64:G78)</f>
        <v>1672793</v>
      </c>
      <c r="H79" s="172">
        <f t="shared" si="11"/>
        <v>0.11983430874627916</v>
      </c>
      <c r="I79" s="336"/>
      <c r="J79" s="195"/>
      <c r="K79" s="168"/>
      <c r="M79" s="359">
        <f t="shared" si="12"/>
        <v>38.904877084447754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'[82]Sch C'!D75</f>
        <v>66223</v>
      </c>
      <c r="D82" s="558">
        <f>'[82]Sch C'!F75</f>
        <v>0</v>
      </c>
      <c r="E82" s="171">
        <f t="shared" ref="E82:E92" si="14">C82+D82</f>
        <v>66223</v>
      </c>
      <c r="F82" s="171"/>
      <c r="G82" s="171">
        <f t="shared" ref="G82:G92" si="15">E82+F82</f>
        <v>66223</v>
      </c>
      <c r="H82" s="172">
        <f t="shared" ref="H82:H93" si="16">IF($G$208=0,0,G82/$G$208)</f>
        <v>4.7440343354526503E-3</v>
      </c>
      <c r="I82" s="336"/>
      <c r="J82" s="183">
        <v>4045</v>
      </c>
      <c r="K82" s="183">
        <v>4242</v>
      </c>
      <c r="M82" s="359">
        <f t="shared" ref="M82:M92" si="17">G82/G$228</f>
        <v>1.5401772216666278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'[82]Sch C'!D76</f>
        <v>13990</v>
      </c>
      <c r="D83" s="558">
        <f>'[82]Sch C'!F76</f>
        <v>0</v>
      </c>
      <c r="E83" s="171">
        <f t="shared" si="14"/>
        <v>13990</v>
      </c>
      <c r="F83" s="171"/>
      <c r="G83" s="171">
        <f t="shared" si="15"/>
        <v>13990</v>
      </c>
      <c r="H83" s="172">
        <f t="shared" si="16"/>
        <v>1.0022052814427401E-3</v>
      </c>
      <c r="I83" s="336"/>
      <c r="J83" s="168"/>
      <c r="K83" s="168"/>
      <c r="M83" s="359">
        <f t="shared" si="17"/>
        <v>0.32537153754913134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'[82]Sch C'!D77</f>
        <v>14358</v>
      </c>
      <c r="D84" s="558">
        <f>'[82]Sch C'!F77</f>
        <v>0</v>
      </c>
      <c r="E84" s="171">
        <f t="shared" si="14"/>
        <v>14358</v>
      </c>
      <c r="F84" s="171"/>
      <c r="G84" s="171">
        <f t="shared" si="15"/>
        <v>14358</v>
      </c>
      <c r="H84" s="172">
        <f t="shared" si="16"/>
        <v>1.0285677934921275E-3</v>
      </c>
      <c r="I84" s="336"/>
      <c r="J84" s="168"/>
      <c r="K84" s="168"/>
      <c r="M84" s="359">
        <f t="shared" si="17"/>
        <v>0.33393027420517712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'[82]Sch C'!D78</f>
        <v>0</v>
      </c>
      <c r="D85" s="558">
        <f>'[82]Sch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'[82]Sch C'!D79</f>
        <v>12979</v>
      </c>
      <c r="D86" s="558">
        <f>'[82]Sch C'!F79</f>
        <v>0</v>
      </c>
      <c r="E86" s="171">
        <f t="shared" si="14"/>
        <v>12979</v>
      </c>
      <c r="F86" s="171"/>
      <c r="G86" s="171">
        <f>E86+F86</f>
        <v>12979</v>
      </c>
      <c r="H86" s="172">
        <f t="shared" si="16"/>
        <v>9.2978001056792875E-4</v>
      </c>
      <c r="I86" s="336"/>
      <c r="J86" s="168"/>
      <c r="K86" s="168"/>
      <c r="M86" s="359">
        <f t="shared" si="17"/>
        <v>0.30185826918157083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'[82]Sch C'!D80</f>
        <v>35471</v>
      </c>
      <c r="D87" s="558">
        <f>'[82]Sch C'!F80</f>
        <v>0</v>
      </c>
      <c r="E87" s="171">
        <f t="shared" si="14"/>
        <v>35471</v>
      </c>
      <c r="F87" s="171"/>
      <c r="G87" s="171">
        <f t="shared" si="15"/>
        <v>35471</v>
      </c>
      <c r="H87" s="172">
        <f t="shared" si="16"/>
        <v>2.5410452850647201E-3</v>
      </c>
      <c r="I87" s="336"/>
      <c r="J87" s="168"/>
      <c r="K87" s="168"/>
      <c r="M87" s="359">
        <f t="shared" si="17"/>
        <v>0.82496453240923784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'[82]Sch C'!D81</f>
        <v>26024</v>
      </c>
      <c r="D88" s="558">
        <f>'[82]Sch C'!F81</f>
        <v>0</v>
      </c>
      <c r="E88" s="171">
        <f t="shared" si="14"/>
        <v>26024</v>
      </c>
      <c r="F88" s="171"/>
      <c r="G88" s="171">
        <f t="shared" si="15"/>
        <v>26024</v>
      </c>
      <c r="H88" s="172">
        <f t="shared" si="16"/>
        <v>1.8642880803621063E-3</v>
      </c>
      <c r="I88" s="336"/>
      <c r="J88" s="168"/>
      <c r="K88" s="168"/>
      <c r="M88" s="359">
        <f t="shared" si="17"/>
        <v>0.60525152917645419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'[82]Sch C'!D82</f>
        <v>2991</v>
      </c>
      <c r="D89" s="558">
        <f>'[82]Sch C'!F82</f>
        <v>0</v>
      </c>
      <c r="E89" s="171">
        <f t="shared" si="14"/>
        <v>2991</v>
      </c>
      <c r="F89" s="171"/>
      <c r="G89" s="171">
        <f t="shared" si="15"/>
        <v>2991</v>
      </c>
      <c r="H89" s="172">
        <f t="shared" si="16"/>
        <v>2.142670476622756E-4</v>
      </c>
      <c r="I89" s="336"/>
      <c r="J89" s="168"/>
      <c r="K89" s="168"/>
      <c r="M89" s="359">
        <f t="shared" si="17"/>
        <v>6.9562992766937226E-2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'[82]Sch C'!D83</f>
        <v>0</v>
      </c>
      <c r="D90" s="558">
        <f>'[82]Sch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'[82]Sch C'!D84</f>
        <v>178372</v>
      </c>
      <c r="D91" s="558">
        <f>'[82]Sch C'!F84</f>
        <v>0</v>
      </c>
      <c r="E91" s="171">
        <f t="shared" si="14"/>
        <v>178372</v>
      </c>
      <c r="F91" s="171"/>
      <c r="G91" s="171">
        <f t="shared" si="15"/>
        <v>178372</v>
      </c>
      <c r="H91" s="172">
        <f t="shared" si="16"/>
        <v>1.2778081519764433E-2</v>
      </c>
      <c r="I91" s="336"/>
      <c r="J91" s="168"/>
      <c r="K91" s="168"/>
      <c r="M91" s="359">
        <f t="shared" si="17"/>
        <v>4.1484754750331421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'[82]Sch C'!D85</f>
        <v>0</v>
      </c>
      <c r="D92" s="558">
        <f>'[82]Sch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350408</v>
      </c>
      <c r="D93" s="558">
        <f>SUM(D82:D92)</f>
        <v>0</v>
      </c>
      <c r="E93" s="171">
        <f t="shared" ref="E93:F93" si="18">SUM(E82:E92)</f>
        <v>350408</v>
      </c>
      <c r="F93" s="171">
        <f t="shared" si="18"/>
        <v>0</v>
      </c>
      <c r="G93" s="171">
        <f>SUM(G82:G92)</f>
        <v>350408</v>
      </c>
      <c r="H93" s="172">
        <f t="shared" si="16"/>
        <v>2.5102269353808982E-2</v>
      </c>
      <c r="I93" s="336"/>
      <c r="J93" s="168"/>
      <c r="K93" s="168"/>
      <c r="M93" s="364">
        <f>G93/G$228</f>
        <v>8.1495918319882783</v>
      </c>
      <c r="N93" s="359">
        <f>SUMMARY!J96</f>
        <v>11.458724454710746</v>
      </c>
      <c r="O93" s="354">
        <f>M93/N93-1</f>
        <v>-0.28878717136461596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'[82]Sch C'!D89</f>
        <v>212728</v>
      </c>
      <c r="D96" s="558">
        <f>'[82]Sch C'!F89</f>
        <v>0</v>
      </c>
      <c r="E96" s="171">
        <f t="shared" ref="E96:E101" si="19">C96+D96</f>
        <v>212728</v>
      </c>
      <c r="F96" s="171"/>
      <c r="G96" s="171">
        <f t="shared" ref="G96:G101" si="20">E96+F96</f>
        <v>212728</v>
      </c>
      <c r="H96" s="172">
        <f t="shared" ref="H96:H102" si="21">IF($G$208=0,0,G96/$G$208)</f>
        <v>1.523925125880995E-2</v>
      </c>
      <c r="I96" s="336"/>
      <c r="J96" s="183">
        <v>16645</v>
      </c>
      <c r="K96" s="183">
        <v>19186</v>
      </c>
      <c r="M96" s="364">
        <f t="shared" ref="M96:M101" si="22">G96/G$228</f>
        <v>4.947507965672024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'[82]Sch C'!D90</f>
        <v>41606</v>
      </c>
      <c r="D97" s="558">
        <f>'[82]Sch C'!F90</f>
        <v>0</v>
      </c>
      <c r="E97" s="171">
        <f t="shared" si="19"/>
        <v>41606</v>
      </c>
      <c r="F97" s="171"/>
      <c r="G97" s="171">
        <f t="shared" si="20"/>
        <v>41606</v>
      </c>
      <c r="H97" s="172">
        <f t="shared" si="21"/>
        <v>2.980539881322848E-3</v>
      </c>
      <c r="I97" s="336"/>
      <c r="J97" s="168"/>
      <c r="K97" s="168"/>
      <c r="M97" s="364">
        <f t="shared" si="22"/>
        <v>0.96764890573760964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'[82]Sch C'!D91</f>
        <v>418158</v>
      </c>
      <c r="D98" s="558">
        <f>'[82]Sch C'!F91</f>
        <v>0</v>
      </c>
      <c r="E98" s="171">
        <f t="shared" si="19"/>
        <v>418158</v>
      </c>
      <c r="F98" s="171"/>
      <c r="G98" s="171">
        <f t="shared" si="20"/>
        <v>418158</v>
      </c>
      <c r="H98" s="172">
        <f t="shared" si="21"/>
        <v>2.995569378681439E-2</v>
      </c>
      <c r="I98" s="336"/>
      <c r="J98" s="168"/>
      <c r="K98" s="168"/>
      <c r="M98" s="364">
        <f t="shared" si="22"/>
        <v>9.7252831592901838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'[82]Sch C'!D92</f>
        <v>141699</v>
      </c>
      <c r="D99" s="558">
        <f>'[82]Sch C'!F92</f>
        <v>-1896</v>
      </c>
      <c r="E99" s="171">
        <f t="shared" si="19"/>
        <v>139803</v>
      </c>
      <c r="F99" s="171"/>
      <c r="G99" s="171">
        <f t="shared" si="20"/>
        <v>139803</v>
      </c>
      <c r="H99" s="172">
        <f t="shared" si="21"/>
        <v>1.0015104000110036E-2</v>
      </c>
      <c r="I99" s="336"/>
      <c r="J99" s="168"/>
      <c r="K99" s="168"/>
      <c r="M99" s="364">
        <f t="shared" si="22"/>
        <v>3.2514594041444753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'[82]Sch C'!D93</f>
        <v>25584</v>
      </c>
      <c r="D100" s="558">
        <f>'[82]Sch C'!F93</f>
        <v>0</v>
      </c>
      <c r="E100" s="171">
        <f t="shared" si="19"/>
        <v>25584</v>
      </c>
      <c r="F100" s="171"/>
      <c r="G100" s="171">
        <f t="shared" si="20"/>
        <v>25584</v>
      </c>
      <c r="H100" s="172">
        <f t="shared" si="21"/>
        <v>1.8327676855204476E-3</v>
      </c>
      <c r="I100" s="336"/>
      <c r="J100" s="168"/>
      <c r="K100" s="168"/>
      <c r="M100" s="364">
        <f t="shared" si="22"/>
        <v>0.59501825708770384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'[82]Sch C'!D94</f>
        <v>0</v>
      </c>
      <c r="D101" s="558">
        <f>'[82]Sch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6"/>
      <c r="J101" s="168"/>
      <c r="K101" s="168"/>
      <c r="M101" s="364">
        <f t="shared" si="22"/>
        <v>0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839775</v>
      </c>
      <c r="D102" s="558">
        <f>SUM(D96:D101)</f>
        <v>-1896</v>
      </c>
      <c r="E102" s="171">
        <f t="shared" ref="E102:F102" si="23">SUM(E96:E101)</f>
        <v>837879</v>
      </c>
      <c r="F102" s="171">
        <f t="shared" si="23"/>
        <v>0</v>
      </c>
      <c r="G102" s="171">
        <f>SUM(G96:G101)</f>
        <v>837879</v>
      </c>
      <c r="H102" s="172">
        <f t="shared" si="21"/>
        <v>6.0023356612577669E-2</v>
      </c>
      <c r="I102" s="336"/>
      <c r="J102" s="168"/>
      <c r="K102" s="168"/>
      <c r="M102" s="364">
        <f>G102/G$228</f>
        <v>19.486917691931996</v>
      </c>
      <c r="N102" s="359">
        <f>SUMMARY!J105</f>
        <v>19.901077037785338</v>
      </c>
      <c r="O102" s="354">
        <f>M102/N102-1</f>
        <v>-2.081090109178485E-2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'[82]Sch C'!D98</f>
        <v>0</v>
      </c>
      <c r="D105" s="558">
        <f>'[82]Sch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6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'[82]Sch C'!D99</f>
        <v>0</v>
      </c>
      <c r="D106" s="558">
        <f>'[82]Sch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6"/>
      <c r="J106" s="168"/>
      <c r="K106" s="168"/>
      <c r="M106" s="364">
        <f t="shared" si="27"/>
        <v>0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'[82]Sch C'!D100</f>
        <v>277</v>
      </c>
      <c r="D107" s="558">
        <f>'[82]Sch C'!F100</f>
        <v>0</v>
      </c>
      <c r="E107" s="171">
        <f t="shared" si="24"/>
        <v>277</v>
      </c>
      <c r="F107" s="171"/>
      <c r="G107" s="171">
        <f t="shared" si="25"/>
        <v>277</v>
      </c>
      <c r="H107" s="172">
        <f t="shared" si="26"/>
        <v>1.9843521298044245E-5</v>
      </c>
      <c r="I107" s="336"/>
      <c r="J107" s="168"/>
      <c r="K107" s="168"/>
      <c r="M107" s="364">
        <f t="shared" si="27"/>
        <v>6.4423099285996696E-3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'[82]Sch C'!D101</f>
        <v>94658</v>
      </c>
      <c r="D108" s="558">
        <f>'[82]Sch C'!F101</f>
        <v>0</v>
      </c>
      <c r="E108" s="171">
        <f t="shared" si="24"/>
        <v>94658</v>
      </c>
      <c r="F108" s="171"/>
      <c r="G108" s="171">
        <f t="shared" si="25"/>
        <v>94658</v>
      </c>
      <c r="H108" s="172">
        <f t="shared" si="26"/>
        <v>6.7810398520948452E-3</v>
      </c>
      <c r="I108" s="336"/>
      <c r="J108" s="168"/>
      <c r="K108" s="168"/>
      <c r="M108" s="364">
        <f t="shared" si="27"/>
        <v>2.2015024304021211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'[82]Sch C'!D102</f>
        <v>15790</v>
      </c>
      <c r="D109" s="558">
        <f>'[82]Sch C'!F102</f>
        <v>0</v>
      </c>
      <c r="E109" s="171">
        <f t="shared" si="24"/>
        <v>15790</v>
      </c>
      <c r="F109" s="171"/>
      <c r="G109" s="171">
        <f t="shared" si="25"/>
        <v>15790</v>
      </c>
      <c r="H109" s="172">
        <f t="shared" si="26"/>
        <v>1.1311523512495258E-3</v>
      </c>
      <c r="I109" s="336"/>
      <c r="J109" s="168"/>
      <c r="K109" s="168"/>
      <c r="M109" s="364">
        <f t="shared" si="27"/>
        <v>0.36723492336674651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'[82]Sch C'!D103</f>
        <v>0</v>
      </c>
      <c r="D110" s="558">
        <f>'[82]Sch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110725</v>
      </c>
      <c r="D111" s="558">
        <f>SUM(D105:D110)</f>
        <v>0</v>
      </c>
      <c r="E111" s="171">
        <f t="shared" ref="E111:F111" si="28">SUM(E105:E110)</f>
        <v>110725</v>
      </c>
      <c r="F111" s="171">
        <f t="shared" si="28"/>
        <v>0</v>
      </c>
      <c r="G111" s="171">
        <f>SUM(G105:G110)</f>
        <v>110725</v>
      </c>
      <c r="H111" s="172">
        <f t="shared" si="26"/>
        <v>7.932035724642416E-3</v>
      </c>
      <c r="I111" s="336"/>
      <c r="J111" s="168"/>
      <c r="K111" s="168"/>
      <c r="M111" s="364">
        <f>G111/G$228</f>
        <v>2.5751796636974671</v>
      </c>
      <c r="N111" s="359">
        <f>SUMMARY!J114</f>
        <v>2.4242384372309496</v>
      </c>
      <c r="O111" s="354">
        <f>M111/N111-1</f>
        <v>6.2263358318387141E-2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'[82]Sch C'!D115</f>
        <v>0</v>
      </c>
      <c r="D114" s="558">
        <f>'[82]Sch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6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'[82]Sch C'!D116</f>
        <v>0</v>
      </c>
      <c r="D115" s="558">
        <f>'[82]Sch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6"/>
      <c r="J115" s="168"/>
      <c r="K115" s="168"/>
      <c r="M115" s="364">
        <f t="shared" si="31"/>
        <v>0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'[82]Sch C'!D117</f>
        <v>19802</v>
      </c>
      <c r="D116" s="558">
        <f>'[82]Sch C'!F117</f>
        <v>0</v>
      </c>
      <c r="E116" s="171">
        <f t="shared" si="29"/>
        <v>19802</v>
      </c>
      <c r="F116" s="171"/>
      <c r="G116" s="171">
        <f>E116+F116</f>
        <v>19802</v>
      </c>
      <c r="H116" s="172">
        <f t="shared" si="30"/>
        <v>1.4185610423966503E-3</v>
      </c>
      <c r="I116" s="336"/>
      <c r="J116" s="168"/>
      <c r="K116" s="168"/>
      <c r="M116" s="364">
        <f t="shared" si="31"/>
        <v>0.46054375886689769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'[82]Sch C'!D118</f>
        <v>257101</v>
      </c>
      <c r="D117" s="558">
        <f>'[82]Sch C'!F118</f>
        <v>0</v>
      </c>
      <c r="E117" s="171">
        <f t="shared" si="29"/>
        <v>257101</v>
      </c>
      <c r="F117" s="171"/>
      <c r="G117" s="171">
        <f>E117+F117</f>
        <v>257101</v>
      </c>
      <c r="H117" s="172">
        <f t="shared" si="30"/>
        <v>1.8418011441330231E-2</v>
      </c>
      <c r="I117" s="336"/>
      <c r="J117" s="168"/>
      <c r="K117" s="168"/>
      <c r="M117" s="364">
        <f t="shared" si="31"/>
        <v>5.9795101983859338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'[82]Sch C'!D119</f>
        <v>0</v>
      </c>
      <c r="D118" s="558">
        <f>'[82]Sch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6"/>
      <c r="J118" s="168"/>
      <c r="K118" s="168"/>
      <c r="M118" s="364">
        <f t="shared" si="31"/>
        <v>0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276903</v>
      </c>
      <c r="D119" s="558">
        <f>SUM(D114:D118)</f>
        <v>0</v>
      </c>
      <c r="E119" s="171">
        <f t="shared" ref="E119:F119" si="32">SUM(E114:E118)</f>
        <v>276903</v>
      </c>
      <c r="F119" s="171">
        <f t="shared" si="32"/>
        <v>0</v>
      </c>
      <c r="G119" s="171">
        <f>SUM(G114:G118)</f>
        <v>276903</v>
      </c>
      <c r="H119" s="172">
        <f t="shared" si="30"/>
        <v>1.9836572483726878E-2</v>
      </c>
      <c r="I119" s="336"/>
      <c r="J119" s="168"/>
      <c r="K119" s="168"/>
      <c r="M119" s="364">
        <f t="shared" si="31"/>
        <v>6.4400539572528315</v>
      </c>
      <c r="N119" s="359">
        <f>SUMMARY!J122</f>
        <v>6.0247597205909562</v>
      </c>
      <c r="O119" s="354">
        <f>M119/N119-1</f>
        <v>6.8931253016201621E-2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'[82]Sch C'!D124</f>
        <v>0</v>
      </c>
      <c r="D123" s="558">
        <f>'[82]Sch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'[82]Sch C'!D125</f>
        <v>271013</v>
      </c>
      <c r="D124" s="558">
        <f>'[82]Sch C'!F125</f>
        <v>0</v>
      </c>
      <c r="E124" s="171">
        <f t="shared" si="33"/>
        <v>271013</v>
      </c>
      <c r="F124" s="171"/>
      <c r="G124" s="171">
        <f>E124+F124</f>
        <v>271013</v>
      </c>
      <c r="H124" s="172">
        <f>IF($G$208=0,0,G124/$G$208)</f>
        <v>1.9414629016414674E-2</v>
      </c>
      <c r="I124" s="336"/>
      <c r="J124" s="183">
        <v>8252</v>
      </c>
      <c r="K124" s="183">
        <v>9038</v>
      </c>
      <c r="M124" s="364">
        <f t="shared" si="34"/>
        <v>6.3030676558829688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'[82]Sch C'!D126</f>
        <v>0</v>
      </c>
      <c r="D125" s="558">
        <f>'[82]Sch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6"/>
      <c r="J125" s="183">
        <v>0</v>
      </c>
      <c r="K125" s="183">
        <v>0</v>
      </c>
      <c r="M125" s="364">
        <f t="shared" si="34"/>
        <v>0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'[82]Sch C'!D127</f>
        <v>0</v>
      </c>
      <c r="D126" s="558">
        <f>'[82]Sch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'[82]Sch C'!D128</f>
        <v>85536</v>
      </c>
      <c r="D127" s="558">
        <f>'[82]Sch C'!F128</f>
        <v>0</v>
      </c>
      <c r="E127" s="171">
        <f t="shared" si="33"/>
        <v>85536</v>
      </c>
      <c r="F127" s="171"/>
      <c r="G127" s="171">
        <f>E127+F127</f>
        <v>85536</v>
      </c>
      <c r="H127" s="172">
        <f>IF($G$208=0,0,G127/$G$208)</f>
        <v>6.1275647572184566E-3</v>
      </c>
      <c r="I127" s="336"/>
      <c r="J127" s="183">
        <v>4879</v>
      </c>
      <c r="K127" s="183">
        <v>5323</v>
      </c>
      <c r="M127" s="364">
        <f t="shared" si="34"/>
        <v>1.9893480940530734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'[82]Sch C'!D130</f>
        <v>0</v>
      </c>
      <c r="D129" s="558">
        <f>'[82]Sch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'[82]Sch C'!D131</f>
        <v>12210</v>
      </c>
      <c r="D130" s="558">
        <f>'[82]Sch C'!F131</f>
        <v>0</v>
      </c>
      <c r="E130" s="171">
        <f t="shared" si="35"/>
        <v>12210</v>
      </c>
      <c r="F130" s="171"/>
      <c r="G130" s="171">
        <f>E130+F130</f>
        <v>12210</v>
      </c>
      <c r="H130" s="172">
        <f>IF($G$208=0,0,G130/$G$208)</f>
        <v>8.7469095685602976E-4</v>
      </c>
      <c r="I130" s="336"/>
      <c r="J130" s="204"/>
      <c r="K130" s="204"/>
      <c r="M130" s="364">
        <f t="shared" si="34"/>
        <v>0.28397330046282299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'[82]Sch C'!D132</f>
        <v>0</v>
      </c>
      <c r="D131" s="558">
        <f>'[82]Sch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6"/>
      <c r="J131" s="168"/>
      <c r="K131" s="168"/>
      <c r="M131" s="364">
        <f t="shared" si="34"/>
        <v>0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'[82]Sch C'!D133</f>
        <v>0</v>
      </c>
      <c r="D132" s="558">
        <f>'[82]Sch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'[82]Sch C'!D134</f>
        <v>26854</v>
      </c>
      <c r="D133" s="558">
        <f>'[82]Sch C'!F134</f>
        <v>0</v>
      </c>
      <c r="E133" s="171">
        <f t="shared" si="35"/>
        <v>26854</v>
      </c>
      <c r="F133" s="171"/>
      <c r="G133" s="171">
        <f>E133+F133</f>
        <v>26854</v>
      </c>
      <c r="H133" s="172">
        <f>IF($G$208=0,0,G133/$G$208)</f>
        <v>1.9237470069952353E-3</v>
      </c>
      <c r="I133" s="336"/>
      <c r="J133" s="168"/>
      <c r="K133" s="168"/>
      <c r="M133" s="364">
        <f t="shared" si="34"/>
        <v>0.62455520152568789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'[82]Sch C'!D136</f>
        <v>1827995</v>
      </c>
      <c r="D135" s="558">
        <f>'[82]Sch C'!F136</f>
        <v>0</v>
      </c>
      <c r="E135" s="171">
        <f t="shared" ref="E135:E138" si="36">C135+D135</f>
        <v>1827995</v>
      </c>
      <c r="F135" s="171"/>
      <c r="G135" s="171">
        <f>E135+F135</f>
        <v>1827995</v>
      </c>
      <c r="H135" s="172">
        <f>IF($G$208=0,0,G135/$G$208)</f>
        <v>0.13095255492858623</v>
      </c>
      <c r="I135" s="336"/>
      <c r="J135" s="183">
        <v>45650</v>
      </c>
      <c r="K135" s="183">
        <v>49964</v>
      </c>
      <c r="M135" s="364">
        <f t="shared" si="34"/>
        <v>42.514477754261925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'[82]Sch C'!D137</f>
        <v>806846</v>
      </c>
      <c r="D136" s="558">
        <f>'[82]Sch C'!F137</f>
        <v>0</v>
      </c>
      <c r="E136" s="171">
        <f t="shared" si="36"/>
        <v>806846</v>
      </c>
      <c r="F136" s="171"/>
      <c r="G136" s="171">
        <f>E136+F136</f>
        <v>806846</v>
      </c>
      <c r="H136" s="172">
        <f>IF($G$208=0,0,G136/$G$208)</f>
        <v>5.7800237491847678E-2</v>
      </c>
      <c r="I136" s="336"/>
      <c r="J136" s="183">
        <v>33908</v>
      </c>
      <c r="K136" s="183">
        <v>36014</v>
      </c>
      <c r="M136" s="364">
        <f t="shared" si="34"/>
        <v>18.765169662999742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'[82]Sch C'!D138</f>
        <v>1385155</v>
      </c>
      <c r="D137" s="558">
        <f>'[82]Sch C'!F138</f>
        <v>47289</v>
      </c>
      <c r="E137" s="171">
        <f t="shared" si="36"/>
        <v>1432444</v>
      </c>
      <c r="F137" s="171"/>
      <c r="G137" s="171">
        <f>E137+F137</f>
        <v>1432444</v>
      </c>
      <c r="H137" s="172">
        <f>IF($G$208=0,0,G137/$G$208)</f>
        <v>0.10261636470128409</v>
      </c>
      <c r="I137" s="336"/>
      <c r="J137" s="183">
        <v>127570</v>
      </c>
      <c r="K137" s="183">
        <v>137213</v>
      </c>
      <c r="M137" s="364">
        <f t="shared" si="34"/>
        <v>33.314975463404423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'[82]Sch C'!D139</f>
        <v>47289</v>
      </c>
      <c r="D138" s="558">
        <f>'[82]Sch C'!F139</f>
        <v>-47289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6"/>
      <c r="J138" s="183">
        <v>0</v>
      </c>
      <c r="K138" s="183">
        <v>0</v>
      </c>
      <c r="M138" s="364">
        <f t="shared" si="34"/>
        <v>0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'[82]Sch C'!D141</f>
        <v>944095</v>
      </c>
      <c r="D140" s="558">
        <f>'[82]Sch C'!F141</f>
        <v>-519782</v>
      </c>
      <c r="E140" s="171">
        <f t="shared" ref="E140:E143" si="37">C140+D140</f>
        <v>424313</v>
      </c>
      <c r="F140" s="171"/>
      <c r="G140" s="171">
        <f>E140+F140</f>
        <v>424313</v>
      </c>
      <c r="H140" s="172">
        <f>IF($G$208=0,0,G140/$G$208)</f>
        <v>3.039662112829259E-2</v>
      </c>
      <c r="I140" s="336"/>
      <c r="J140" s="168"/>
      <c r="K140" s="168"/>
      <c r="M140" s="364">
        <f t="shared" si="34"/>
        <v>9.8684326813498622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'[82]Sch C'!D142</f>
        <v>0</v>
      </c>
      <c r="D141" s="558">
        <f>'[82]Sch C'!F142</f>
        <v>187284</v>
      </c>
      <c r="E141" s="171">
        <f t="shared" si="37"/>
        <v>187284</v>
      </c>
      <c r="F141" s="171"/>
      <c r="G141" s="171">
        <f>E141+F141</f>
        <v>187284</v>
      </c>
      <c r="H141" s="172">
        <f>IF($G$208=0,0,G141/$G$208)</f>
        <v>1.341651278983003E-2</v>
      </c>
      <c r="I141" s="336"/>
      <c r="J141" s="168"/>
      <c r="K141" s="168"/>
      <c r="M141" s="364">
        <f t="shared" si="34"/>
        <v>4.355745749703468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'[82]Sch C'!D143</f>
        <v>0</v>
      </c>
      <c r="D142" s="558">
        <f>'[82]Sch C'!F143</f>
        <v>332498</v>
      </c>
      <c r="E142" s="171">
        <f t="shared" si="37"/>
        <v>332498</v>
      </c>
      <c r="F142" s="171"/>
      <c r="G142" s="171">
        <f>E142+F142</f>
        <v>332498</v>
      </c>
      <c r="H142" s="172">
        <f>IF($G$208=0,0,G142/$G$208)</f>
        <v>2.3819246009231465E-2</v>
      </c>
      <c r="I142" s="336"/>
      <c r="J142" s="168"/>
      <c r="K142" s="168"/>
      <c r="M142" s="364">
        <f t="shared" si="34"/>
        <v>7.7330511431030073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'[82]Sch C'!D144</f>
        <v>0</v>
      </c>
      <c r="D143" s="558">
        <f>'[82]Sch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6"/>
      <c r="J143" s="168"/>
      <c r="K143" s="168"/>
      <c r="M143" s="364">
        <f t="shared" si="34"/>
        <v>0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'[82]Sch C'!D146</f>
        <v>119709</v>
      </c>
      <c r="D145" s="558">
        <f>'[82]Sch C'!F146</f>
        <v>0</v>
      </c>
      <c r="E145" s="171">
        <f t="shared" ref="E145:E153" si="38">C145+D145</f>
        <v>119709</v>
      </c>
      <c r="F145" s="171"/>
      <c r="G145" s="171">
        <f t="shared" ref="G145:G153" si="39">E145+F145</f>
        <v>119709</v>
      </c>
      <c r="H145" s="172">
        <f t="shared" ref="H145:H153" si="40">IF($G$208=0,0,G145/$G$208)</f>
        <v>8.5756248775002829E-3</v>
      </c>
      <c r="I145" s="336"/>
      <c r="J145" s="183">
        <v>503</v>
      </c>
      <c r="K145" s="183">
        <v>503</v>
      </c>
      <c r="M145" s="364">
        <f t="shared" si="34"/>
        <v>2.7841244738004978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'[82]Sch C'!D147</f>
        <v>54281</v>
      </c>
      <c r="D146" s="558">
        <f>'[82]Sch C'!F147</f>
        <v>0</v>
      </c>
      <c r="E146" s="171">
        <f t="shared" si="38"/>
        <v>54281</v>
      </c>
      <c r="F146" s="171"/>
      <c r="G146" s="171">
        <f t="shared" si="39"/>
        <v>54281</v>
      </c>
      <c r="H146" s="172">
        <f t="shared" si="40"/>
        <v>3.8885421645456306E-3</v>
      </c>
      <c r="I146" s="336"/>
      <c r="J146" s="183">
        <v>1097</v>
      </c>
      <c r="K146" s="183">
        <v>1097</v>
      </c>
      <c r="M146" s="364">
        <f t="shared" si="34"/>
        <v>1.2624369142033165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'[82]Sch C'!D148</f>
        <v>3241</v>
      </c>
      <c r="D147" s="558">
        <f>'[82]Sch C'!F148</f>
        <v>0</v>
      </c>
      <c r="E147" s="171">
        <f t="shared" si="38"/>
        <v>3241</v>
      </c>
      <c r="F147" s="171"/>
      <c r="G147" s="171">
        <f t="shared" si="39"/>
        <v>3241</v>
      </c>
      <c r="H147" s="172">
        <f t="shared" si="40"/>
        <v>2.3217636291321804E-4</v>
      </c>
      <c r="I147" s="336"/>
      <c r="J147" s="183">
        <v>133</v>
      </c>
      <c r="K147" s="183">
        <v>133</v>
      </c>
      <c r="M147" s="364">
        <f t="shared" si="34"/>
        <v>7.5377351908272675E-2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'[82]Sch C'!D149</f>
        <v>16147</v>
      </c>
      <c r="D148" s="558">
        <f>'[82]Sch C'!F149</f>
        <v>0</v>
      </c>
      <c r="E148" s="171">
        <f t="shared" si="38"/>
        <v>16147</v>
      </c>
      <c r="F148" s="171"/>
      <c r="G148" s="171">
        <f t="shared" si="39"/>
        <v>16147</v>
      </c>
      <c r="H148" s="172">
        <f t="shared" si="40"/>
        <v>1.1567268534278716E-3</v>
      </c>
      <c r="I148" s="336"/>
      <c r="J148" s="183">
        <v>668</v>
      </c>
      <c r="K148" s="183">
        <v>668</v>
      </c>
      <c r="M148" s="364">
        <f t="shared" si="34"/>
        <v>0.37553782822057352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'[82]Sch C'!D150</f>
        <v>22122</v>
      </c>
      <c r="D149" s="558">
        <f>'[82]Sch C'!F150</f>
        <v>0</v>
      </c>
      <c r="E149" s="171">
        <f t="shared" si="38"/>
        <v>22122</v>
      </c>
      <c r="F149" s="171"/>
      <c r="G149" s="171">
        <f t="shared" si="39"/>
        <v>22122</v>
      </c>
      <c r="H149" s="172">
        <f t="shared" si="40"/>
        <v>1.5847594879253963E-3</v>
      </c>
      <c r="I149" s="336"/>
      <c r="J149" s="183">
        <v>0</v>
      </c>
      <c r="K149" s="183">
        <v>0</v>
      </c>
      <c r="M149" s="364">
        <f t="shared" si="34"/>
        <v>0.51450101169849061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'[82]Sch C'!D151</f>
        <v>402579</v>
      </c>
      <c r="D150" s="558">
        <f>'[82]Sch C'!F151</f>
        <v>-2426</v>
      </c>
      <c r="E150" s="171">
        <f t="shared" si="38"/>
        <v>400153</v>
      </c>
      <c r="F150" s="171"/>
      <c r="G150" s="171">
        <f t="shared" si="39"/>
        <v>400153</v>
      </c>
      <c r="H150" s="172">
        <f t="shared" si="40"/>
        <v>2.8665864902441513E-2</v>
      </c>
      <c r="I150" s="336"/>
      <c r="J150" s="168"/>
      <c r="K150" s="168"/>
      <c r="M150" s="364">
        <f t="shared" si="34"/>
        <v>9.3065330139312046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'[82]Sch C'!D152</f>
        <v>21333</v>
      </c>
      <c r="D151" s="558">
        <f>'[82]Sch C'!F152</f>
        <v>0</v>
      </c>
      <c r="E151" s="171">
        <f t="shared" si="38"/>
        <v>21333</v>
      </c>
      <c r="F151" s="171"/>
      <c r="G151" s="171">
        <f t="shared" si="39"/>
        <v>21333</v>
      </c>
      <c r="H151" s="172">
        <f t="shared" si="40"/>
        <v>1.528237688993422E-3</v>
      </c>
      <c r="I151" s="336"/>
      <c r="J151" s="168"/>
      <c r="K151" s="168"/>
      <c r="M151" s="364">
        <f t="shared" si="34"/>
        <v>0.49615089424843595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'[82]Sch C'!D153</f>
        <v>0</v>
      </c>
      <c r="D152" s="558">
        <f>'[82]Sch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'[82]Sch C'!D154</f>
        <v>241951</v>
      </c>
      <c r="D153" s="558">
        <f>'[82]Sch C'!F154</f>
        <v>0</v>
      </c>
      <c r="E153" s="171">
        <f t="shared" si="38"/>
        <v>241951</v>
      </c>
      <c r="F153" s="171"/>
      <c r="G153" s="171">
        <f t="shared" si="39"/>
        <v>241951</v>
      </c>
      <c r="H153" s="172">
        <f t="shared" si="40"/>
        <v>1.7332706937123115E-2</v>
      </c>
      <c r="I153" s="336"/>
      <c r="J153" s="168"/>
      <c r="K153" s="168"/>
      <c r="M153" s="364">
        <f t="shared" si="34"/>
        <v>5.6271600344210064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'[82]Sch C'!D156</f>
        <v>0</v>
      </c>
      <c r="D155" s="558">
        <f>'[82]Sch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'[82]Sch C'!D157</f>
        <v>0</v>
      </c>
      <c r="D156" s="558">
        <f>'[82]Sch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'[82]Sch C'!D158</f>
        <v>2409</v>
      </c>
      <c r="D157" s="558">
        <f>'[82]Sch C'!F158</f>
        <v>0</v>
      </c>
      <c r="E157" s="171">
        <f t="shared" si="41"/>
        <v>2409</v>
      </c>
      <c r="F157" s="171"/>
      <c r="G157" s="171">
        <f t="shared" si="42"/>
        <v>2409</v>
      </c>
      <c r="H157" s="172">
        <f t="shared" si="43"/>
        <v>1.7257416175808153E-4</v>
      </c>
      <c r="I157" s="336"/>
      <c r="J157" s="168"/>
      <c r="K157" s="168"/>
      <c r="M157" s="364">
        <f t="shared" si="34"/>
        <v>5.6027164685908321E-2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'[82]Sch C'!D159</f>
        <v>0</v>
      </c>
      <c r="D158" s="558">
        <f>'[82]Sch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'[82]Sch C'!D160</f>
        <v>30</v>
      </c>
      <c r="D159" s="558">
        <f>'[82]Sch C'!F160</f>
        <v>0</v>
      </c>
      <c r="E159" s="171">
        <f t="shared" si="41"/>
        <v>30</v>
      </c>
      <c r="F159" s="171"/>
      <c r="G159" s="171">
        <f t="shared" si="42"/>
        <v>30</v>
      </c>
      <c r="H159" s="172">
        <f>IF($G$208=0,0,G159/$G$208)</f>
        <v>2.149117830113095E-6</v>
      </c>
      <c r="I159" s="336"/>
      <c r="J159" s="168"/>
      <c r="K159" s="168"/>
      <c r="M159" s="364">
        <f t="shared" si="34"/>
        <v>6.9772309696025301E-4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'[82]Sch C'!D161</f>
        <v>25628</v>
      </c>
      <c r="D160" s="558">
        <f>'[82]Sch C'!F161</f>
        <v>-289</v>
      </c>
      <c r="E160" s="171">
        <f t="shared" si="41"/>
        <v>25339</v>
      </c>
      <c r="F160" s="171"/>
      <c r="G160" s="171">
        <f t="shared" si="42"/>
        <v>25339</v>
      </c>
      <c r="H160" s="172">
        <f t="shared" si="43"/>
        <v>1.815216556574524E-3</v>
      </c>
      <c r="I160" s="336"/>
      <c r="J160" s="168"/>
      <c r="K160" s="168"/>
      <c r="M160" s="364">
        <f t="shared" si="34"/>
        <v>0.58932018512919504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6316423</v>
      </c>
      <c r="D161" s="558">
        <f>SUM(D123:D160)</f>
        <v>-2715</v>
      </c>
      <c r="E161" s="171">
        <f t="shared" ref="E161:F161" si="44">SUM(E123:E160)</f>
        <v>6313708</v>
      </c>
      <c r="F161" s="171">
        <f t="shared" si="44"/>
        <v>0</v>
      </c>
      <c r="G161" s="171">
        <f>SUM(G123:G160)</f>
        <v>6313708</v>
      </c>
      <c r="H161" s="172">
        <f t="shared" si="43"/>
        <v>0.45229674789758967</v>
      </c>
      <c r="I161" s="336"/>
      <c r="J161" s="168"/>
      <c r="K161" s="168"/>
      <c r="M161" s="364">
        <f>G161/G$228</f>
        <v>146.84066330209083</v>
      </c>
      <c r="N161" s="359">
        <f>SUMMARY!J164</f>
        <v>105.56901037202306</v>
      </c>
      <c r="O161" s="354">
        <f>M161/N161-1</f>
        <v>0.39094477427255692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'[82]Sch C'!D175</f>
        <v>0</v>
      </c>
      <c r="D164" s="558">
        <f>'[82]Sch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'[82]Sch C'!D176</f>
        <v>0</v>
      </c>
      <c r="D165" s="558">
        <f>'[82]Sch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'[82]Sch C'!D177</f>
        <v>0</v>
      </c>
      <c r="D166" s="558">
        <f>'[82]Sch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2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'[82]Sch C'!D178</f>
        <v>0</v>
      </c>
      <c r="D167" s="558">
        <f>'[82]Sch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3"/>
      <c r="J167" s="222"/>
      <c r="K167" s="222"/>
      <c r="L167" s="218"/>
      <c r="M167" s="364">
        <f t="shared" si="48"/>
        <v>0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'[82]Sch C'!D179</f>
        <v>0</v>
      </c>
      <c r="D168" s="558">
        <f>'[82]Sch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2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'[82]Sch C'!D180</f>
        <v>0</v>
      </c>
      <c r="D169" s="558">
        <f>'[82]Sch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3"/>
      <c r="J169" s="222"/>
      <c r="K169" s="222"/>
      <c r="L169" s="218"/>
      <c r="M169" s="364">
        <f t="shared" si="48"/>
        <v>0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'[82]Sch C'!D181</f>
        <v>0</v>
      </c>
      <c r="D170" s="558">
        <f>'[82]Sch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'[82]Sch C'!D182</f>
        <v>0</v>
      </c>
      <c r="D171" s="558">
        <f>'[82]Sch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'[82]Sch C'!D183</f>
        <v>0</v>
      </c>
      <c r="D172" s="558">
        <f>'[82]Sch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2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'[82]Sch C'!D184</f>
        <v>0</v>
      </c>
      <c r="D173" s="558">
        <f>'[82]Sch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3"/>
      <c r="J173" s="222"/>
      <c r="K173" s="222"/>
      <c r="L173" s="218"/>
      <c r="M173" s="364">
        <f t="shared" si="48"/>
        <v>0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'[82]Sch C'!D185</f>
        <v>0</v>
      </c>
      <c r="D174" s="558">
        <f>'[82]Sch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'[82]Sch C'!D186</f>
        <v>0</v>
      </c>
      <c r="D175" s="558">
        <f>'[82]Sch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'[82]Sch C'!D187</f>
        <v>0</v>
      </c>
      <c r="D176" s="558">
        <f>'[82]Sch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'[82]Sch C'!D188</f>
        <v>292</v>
      </c>
      <c r="D177" s="558">
        <f>'[82]Sch C'!F188</f>
        <v>0</v>
      </c>
      <c r="E177" s="171">
        <f t="shared" si="45"/>
        <v>292</v>
      </c>
      <c r="F177" s="216"/>
      <c r="G177" s="171">
        <f t="shared" si="46"/>
        <v>292</v>
      </c>
      <c r="H177" s="172">
        <f t="shared" si="47"/>
        <v>2.0918080213100792E-5</v>
      </c>
      <c r="I177" s="336"/>
      <c r="J177" s="223"/>
      <c r="K177" s="218"/>
      <c r="L177" s="220"/>
      <c r="M177" s="364">
        <f t="shared" si="48"/>
        <v>6.7911714770797962E-3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'[82]Sch C'!D189</f>
        <v>0</v>
      </c>
      <c r="D178" s="558">
        <f>'[82]Sch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'[82]Sch C'!D190</f>
        <v>0</v>
      </c>
      <c r="D179" s="558">
        <f>'[82]Sch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'[82]Sch C'!D191</f>
        <v>12</v>
      </c>
      <c r="D180" s="558">
        <f>'[82]Sch C'!F191</f>
        <v>0</v>
      </c>
      <c r="E180" s="171">
        <f t="shared" si="45"/>
        <v>12</v>
      </c>
      <c r="F180" s="216"/>
      <c r="G180" s="171">
        <f t="shared" si="46"/>
        <v>12</v>
      </c>
      <c r="H180" s="172">
        <f t="shared" si="47"/>
        <v>8.5964713204523809E-7</v>
      </c>
      <c r="I180" s="336"/>
      <c r="J180" s="223"/>
      <c r="K180" s="218"/>
      <c r="L180" s="220"/>
      <c r="M180" s="364">
        <f t="shared" si="48"/>
        <v>2.7908923878410121E-4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'[82]Sch C'!D192</f>
        <v>486</v>
      </c>
      <c r="D181" s="558">
        <f>'[82]Sch C'!F192</f>
        <v>0</v>
      </c>
      <c r="E181" s="171">
        <f t="shared" si="45"/>
        <v>486</v>
      </c>
      <c r="F181" s="216"/>
      <c r="G181" s="171">
        <f t="shared" si="46"/>
        <v>486</v>
      </c>
      <c r="H181" s="172">
        <f t="shared" si="47"/>
        <v>3.4815708847832141E-5</v>
      </c>
      <c r="I181" s="336"/>
      <c r="J181" s="223"/>
      <c r="K181" s="218"/>
      <c r="L181" s="220"/>
      <c r="M181" s="364">
        <f t="shared" si="48"/>
        <v>1.13031141707561E-2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'[82]Sch C'!D193</f>
        <v>7211</v>
      </c>
      <c r="D182" s="558">
        <f>'[82]Sch C'!F193</f>
        <v>0</v>
      </c>
      <c r="E182" s="171">
        <f t="shared" si="45"/>
        <v>7211</v>
      </c>
      <c r="F182" s="216"/>
      <c r="G182" s="171">
        <f t="shared" si="46"/>
        <v>7211</v>
      </c>
      <c r="H182" s="172">
        <f t="shared" si="47"/>
        <v>5.1657628909818434E-4</v>
      </c>
      <c r="I182" s="336"/>
      <c r="J182" s="223"/>
      <c r="K182" s="218"/>
      <c r="L182" s="220"/>
      <c r="M182" s="364">
        <f t="shared" si="48"/>
        <v>0.1677093750726795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'[82]Sch C'!D194</f>
        <v>634967</v>
      </c>
      <c r="D183" s="558">
        <f>'[82]Sch C'!F194</f>
        <v>-8572</v>
      </c>
      <c r="E183" s="171">
        <f t="shared" si="45"/>
        <v>626395</v>
      </c>
      <c r="F183" s="216"/>
      <c r="G183" s="171">
        <f t="shared" si="46"/>
        <v>626395</v>
      </c>
      <c r="H183" s="172">
        <f t="shared" si="47"/>
        <v>4.487322210645641E-2</v>
      </c>
      <c r="I183" s="336"/>
      <c r="J183" s="223"/>
      <c r="K183" s="218"/>
      <c r="M183" s="364">
        <f t="shared" si="48"/>
        <v>14.568341977347258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'[82]Sch C'!D195</f>
        <v>176189</v>
      </c>
      <c r="D184" s="558">
        <f>'[82]Sch C'!F195</f>
        <v>-2379</v>
      </c>
      <c r="E184" s="171">
        <f t="shared" si="45"/>
        <v>173810</v>
      </c>
      <c r="F184" s="216"/>
      <c r="G184" s="171">
        <f t="shared" si="46"/>
        <v>173810</v>
      </c>
      <c r="H184" s="172">
        <f t="shared" si="47"/>
        <v>1.2451272335065235E-2</v>
      </c>
      <c r="I184" s="336"/>
      <c r="J184" s="223"/>
      <c r="K184" s="218"/>
      <c r="M184" s="364">
        <f t="shared" si="48"/>
        <v>4.0423750494220529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'[82]Sch C'!D196</f>
        <v>0</v>
      </c>
      <c r="D185" s="558">
        <f>'[82]Sch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'[82]Sch C'!D197</f>
        <v>500457</v>
      </c>
      <c r="D186" s="558">
        <f>'[82]Sch C'!F197</f>
        <v>-6756</v>
      </c>
      <c r="E186" s="171">
        <f t="shared" si="45"/>
        <v>493701</v>
      </c>
      <c r="F186" s="216"/>
      <c r="G186" s="171">
        <f t="shared" si="46"/>
        <v>493701</v>
      </c>
      <c r="H186" s="172">
        <f t="shared" si="47"/>
        <v>3.5367387394822175E-2</v>
      </c>
      <c r="I186" s="336"/>
      <c r="J186" s="223"/>
      <c r="K186" s="218"/>
      <c r="M186" s="364">
        <f t="shared" si="48"/>
        <v>11.482219689745797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'[82]Sch C'!D198</f>
        <v>107014</v>
      </c>
      <c r="D187" s="558">
        <f>'[82]Sch C'!F198</f>
        <v>0</v>
      </c>
      <c r="E187" s="171">
        <f t="shared" si="45"/>
        <v>107014</v>
      </c>
      <c r="F187" s="216"/>
      <c r="G187" s="171">
        <f t="shared" si="46"/>
        <v>107014</v>
      </c>
      <c r="H187" s="172">
        <f t="shared" si="47"/>
        <v>7.6661898490574254E-3</v>
      </c>
      <c r="I187" s="336"/>
      <c r="J187" s="223"/>
      <c r="K187" s="218"/>
      <c r="M187" s="364">
        <f t="shared" si="48"/>
        <v>2.4888713166034839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'[82]Sch C'!D199</f>
        <v>0</v>
      </c>
      <c r="D188" s="558">
        <f>'[82]Sch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'[82]Sch C'!D200</f>
        <v>0</v>
      </c>
      <c r="D189" s="558">
        <f>'[82]Sch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'[82]Sch C'!D201</f>
        <v>0</v>
      </c>
      <c r="D190" s="558">
        <f>'[82]Sch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'[82]Sch C'!D202</f>
        <v>0</v>
      </c>
      <c r="D191" s="558">
        <f>'[82]Sch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'[82]Sch C'!D203</f>
        <v>0</v>
      </c>
      <c r="D192" s="558">
        <f>'[82]Sch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'[82]Sch C'!D204</f>
        <v>0</v>
      </c>
      <c r="D193" s="558">
        <f>'[82]Sch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'[82]Sch C'!D205</f>
        <v>404998</v>
      </c>
      <c r="D194" s="558">
        <f>'[82]Sch C'!F205</f>
        <v>-5743</v>
      </c>
      <c r="E194" s="171">
        <f t="shared" si="45"/>
        <v>399255</v>
      </c>
      <c r="F194" s="216"/>
      <c r="G194" s="171">
        <f t="shared" si="46"/>
        <v>399255</v>
      </c>
      <c r="H194" s="172">
        <f t="shared" si="47"/>
        <v>2.8601534642060129E-2</v>
      </c>
      <c r="I194" s="336"/>
      <c r="J194" s="223"/>
      <c r="K194" s="218"/>
      <c r="M194" s="364">
        <f t="shared" si="48"/>
        <v>9.2856478358955279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'[82]Sch C'!D206</f>
        <v>25375</v>
      </c>
      <c r="D195" s="558">
        <f>'[82]Sch C'!F206</f>
        <v>0</v>
      </c>
      <c r="E195" s="171">
        <f t="shared" si="45"/>
        <v>25375</v>
      </c>
      <c r="F195" s="216"/>
      <c r="G195" s="171">
        <f t="shared" si="46"/>
        <v>25375</v>
      </c>
      <c r="H195" s="172">
        <f t="shared" si="47"/>
        <v>1.8177954979706596E-3</v>
      </c>
      <c r="I195" s="336"/>
      <c r="J195" s="223"/>
      <c r="K195" s="218"/>
      <c r="M195" s="364">
        <f t="shared" si="48"/>
        <v>0.59015745284554733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'[82]Sch C'!D207</f>
        <v>16822</v>
      </c>
      <c r="D196" s="558">
        <f>'[82]Sch C'!F207</f>
        <v>0</v>
      </c>
      <c r="E196" s="171">
        <f t="shared" si="45"/>
        <v>16822</v>
      </c>
      <c r="F196" s="216"/>
      <c r="G196" s="171">
        <f t="shared" si="46"/>
        <v>16822</v>
      </c>
      <c r="H196" s="172">
        <f t="shared" si="47"/>
        <v>1.2050820046054162E-3</v>
      </c>
      <c r="I196" s="336"/>
      <c r="J196" s="223"/>
      <c r="K196" s="218"/>
      <c r="M196" s="364">
        <f t="shared" si="48"/>
        <v>0.39123659790217924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1873823</v>
      </c>
      <c r="D197" s="558">
        <f>SUM(D164:D196)</f>
        <v>-23450</v>
      </c>
      <c r="E197" s="171">
        <f t="shared" ref="E197:F197" si="49">SUM(E164:E196)</f>
        <v>1850373</v>
      </c>
      <c r="F197" s="171">
        <f t="shared" si="49"/>
        <v>0</v>
      </c>
      <c r="G197" s="171">
        <f>SUM(G164:G196)</f>
        <v>1850373</v>
      </c>
      <c r="H197" s="172">
        <f>IF($G$208=0,0,G197/$G$208)</f>
        <v>0.13255565355532861</v>
      </c>
      <c r="I197" s="336"/>
      <c r="J197" s="168"/>
      <c r="K197" s="168"/>
      <c r="M197" s="364">
        <f>G197/G$228</f>
        <v>43.034932669721144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'[82]Sch C'!D211</f>
        <v>170186</v>
      </c>
      <c r="D200" s="558">
        <f>'[82]Sch C'!F211</f>
        <v>0</v>
      </c>
      <c r="E200" s="171">
        <f t="shared" ref="E200:E205" si="50">C200+D200</f>
        <v>170186</v>
      </c>
      <c r="F200" s="171"/>
      <c r="G200" s="171">
        <f t="shared" ref="G200:G205" si="51">E200+F200</f>
        <v>170186</v>
      </c>
      <c r="H200" s="172">
        <f t="shared" ref="H200:H206" si="52">IF($G$208=0,0,G200/$G$208)</f>
        <v>1.2191658901187574E-2</v>
      </c>
      <c r="I200" s="336"/>
      <c r="J200" s="183">
        <v>8692</v>
      </c>
      <c r="K200" s="183">
        <v>9392</v>
      </c>
      <c r="M200" s="364">
        <f t="shared" ref="M200:M205" si="53">G200/G$228</f>
        <v>3.958090099309254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'[82]Sch C'!D212</f>
        <v>41571</v>
      </c>
      <c r="D201" s="558">
        <f>'[82]Sch C'!F212</f>
        <v>0</v>
      </c>
      <c r="E201" s="171">
        <f t="shared" si="50"/>
        <v>41571</v>
      </c>
      <c r="F201" s="171"/>
      <c r="G201" s="171">
        <f t="shared" si="51"/>
        <v>41571</v>
      </c>
      <c r="H201" s="172">
        <f t="shared" si="52"/>
        <v>2.9780325771877158E-3</v>
      </c>
      <c r="I201" s="336"/>
      <c r="J201" s="168"/>
      <c r="K201" s="168"/>
      <c r="M201" s="364">
        <f t="shared" si="53"/>
        <v>0.96683489545782264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'[82]Sch C'!D213</f>
        <v>7478</v>
      </c>
      <c r="D202" s="558">
        <f>'[82]Sch C'!F213</f>
        <v>0</v>
      </c>
      <c r="E202" s="171">
        <f t="shared" si="50"/>
        <v>7478</v>
      </c>
      <c r="F202" s="171"/>
      <c r="G202" s="171">
        <f t="shared" si="51"/>
        <v>7478</v>
      </c>
      <c r="H202" s="172">
        <f t="shared" si="52"/>
        <v>5.3570343778619087E-4</v>
      </c>
      <c r="I202" s="336"/>
      <c r="J202" s="168"/>
      <c r="K202" s="168"/>
      <c r="M202" s="364">
        <f t="shared" si="53"/>
        <v>0.17391911063562573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'[82]Sch C'!D214</f>
        <v>0</v>
      </c>
      <c r="D203" s="558">
        <f>'[82]Sch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'[82]Sch C'!D215</f>
        <v>0</v>
      </c>
      <c r="D204" s="558">
        <f>'[82]Sch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'[82]Sch C'!D216</f>
        <v>4139</v>
      </c>
      <c r="D205" s="558">
        <f>'[82]Sch C'!F216</f>
        <v>0</v>
      </c>
      <c r="E205" s="171">
        <f t="shared" si="50"/>
        <v>4139</v>
      </c>
      <c r="F205" s="171"/>
      <c r="G205" s="171">
        <f t="shared" si="51"/>
        <v>4139</v>
      </c>
      <c r="H205" s="172">
        <f t="shared" si="52"/>
        <v>2.9650662329460336E-4</v>
      </c>
      <c r="I205" s="336"/>
      <c r="J205" s="168"/>
      <c r="K205" s="168"/>
      <c r="M205" s="364">
        <f t="shared" si="53"/>
        <v>9.6262529943949585E-2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223374</v>
      </c>
      <c r="D206" s="558">
        <f>SUM(D200:D205)</f>
        <v>0</v>
      </c>
      <c r="E206" s="171">
        <f t="shared" ref="E206:F206" si="54">SUM(E200:E205)</f>
        <v>223374</v>
      </c>
      <c r="F206" s="171">
        <f t="shared" si="54"/>
        <v>0</v>
      </c>
      <c r="G206" s="171">
        <f>SUM(G200:G205)</f>
        <v>223374</v>
      </c>
      <c r="H206" s="172">
        <f t="shared" si="52"/>
        <v>1.6001901539456083E-2</v>
      </c>
      <c r="I206" s="336"/>
      <c r="J206" s="168"/>
      <c r="K206" s="168"/>
      <c r="M206" s="364">
        <f>G206/G$228</f>
        <v>5.1951066353466517</v>
      </c>
      <c r="N206" s="359">
        <f>SUMMARY!J209</f>
        <v>7.1515095990067339</v>
      </c>
      <c r="O206" s="354">
        <f>M206/N206-1</f>
        <v>-0.27356503358840556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14687873</v>
      </c>
      <c r="D208" s="558">
        <f>SUM(D25:D206)/2</f>
        <v>-728657</v>
      </c>
      <c r="E208" s="171">
        <f t="shared" ref="E208:F208" si="55">SUM(E25:E206)/2</f>
        <v>13959216</v>
      </c>
      <c r="F208" s="171">
        <f t="shared" si="55"/>
        <v>0</v>
      </c>
      <c r="G208" s="171">
        <f>SUM(G25:G206)/2</f>
        <v>13959216</v>
      </c>
      <c r="H208" s="172">
        <f>IF($G$208=0,0,G208/$G$208)</f>
        <v>1</v>
      </c>
      <c r="I208" s="336"/>
      <c r="J208" s="183">
        <f>SUM(J25:J200)</f>
        <v>266638</v>
      </c>
      <c r="K208" s="183">
        <f>SUM(K25:K200)</f>
        <v>288552</v>
      </c>
      <c r="M208" s="364">
        <f>G208/G$228</f>
        <v>324.65558062190388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-5.5450033144523569E-2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'[82]Sch C'!D221</f>
        <v>14687873</v>
      </c>
      <c r="D211" s="196"/>
      <c r="E211" s="165"/>
      <c r="F211"/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/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232"/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-1675998</v>
      </c>
      <c r="D215" s="558">
        <f>D21-D208</f>
        <v>707475</v>
      </c>
      <c r="E215" s="171">
        <f t="shared" ref="E215:F215" si="56">E21-E208</f>
        <v>-968523</v>
      </c>
      <c r="F215" s="171">
        <f t="shared" si="56"/>
        <v>0</v>
      </c>
      <c r="G215" s="171">
        <f>G21-G208</f>
        <v>-968523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'[82]Sch D'!C9</f>
        <v>29805</v>
      </c>
      <c r="D219" s="592"/>
      <c r="E219" s="235">
        <f t="shared" ref="E219:G227" si="57">C219+D219</f>
        <v>29805</v>
      </c>
      <c r="F219" s="234"/>
      <c r="G219" s="235">
        <f t="shared" si="57"/>
        <v>29805</v>
      </c>
      <c r="H219" s="172">
        <f t="shared" ref="H219:H228" si="58">IF($G$228=0,0,G219/$G$228)</f>
        <v>0.69318789683001136</v>
      </c>
      <c r="I219" s="336"/>
      <c r="J219" s="168"/>
      <c r="K219" s="168"/>
    </row>
    <row r="220" spans="1:17">
      <c r="A220" s="163"/>
      <c r="B220" s="170" t="s">
        <v>217</v>
      </c>
      <c r="C220" s="592">
        <f>'[82]Sch D'!D9</f>
        <v>0</v>
      </c>
      <c r="D220" s="592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'[82]Sch D'!E9</f>
        <v>2308</v>
      </c>
      <c r="D221" s="592"/>
      <c r="E221" s="235">
        <f t="shared" si="59"/>
        <v>2308</v>
      </c>
      <c r="F221" s="234"/>
      <c r="G221" s="235">
        <f t="shared" si="57"/>
        <v>2308</v>
      </c>
      <c r="H221" s="172">
        <f t="shared" si="58"/>
        <v>5.3678163592808803E-2</v>
      </c>
      <c r="I221" s="336"/>
      <c r="J221" s="168"/>
      <c r="K221" s="168"/>
    </row>
    <row r="222" spans="1:17">
      <c r="A222" s="163"/>
      <c r="B222" s="202" t="s">
        <v>334</v>
      </c>
      <c r="C222" s="592">
        <f>'[82]Sch D'!F9</f>
        <v>3368</v>
      </c>
      <c r="D222" s="592"/>
      <c r="E222" s="235">
        <f>C222+D222</f>
        <v>3368</v>
      </c>
      <c r="F222" s="234"/>
      <c r="G222" s="235">
        <f>E222+F222</f>
        <v>3368</v>
      </c>
      <c r="H222" s="172">
        <f t="shared" si="58"/>
        <v>7.8331046352071068E-2</v>
      </c>
      <c r="I222" s="336"/>
      <c r="J222" s="168"/>
      <c r="K222" s="168"/>
    </row>
    <row r="223" spans="1:17">
      <c r="A223" s="163"/>
      <c r="B223" s="170" t="s">
        <v>73</v>
      </c>
      <c r="C223" s="592">
        <f>'[82]Sch D'!G9</f>
        <v>442</v>
      </c>
      <c r="D223" s="592"/>
      <c r="E223" s="235">
        <f t="shared" si="59"/>
        <v>442</v>
      </c>
      <c r="F223" s="234"/>
      <c r="G223" s="235">
        <f t="shared" si="57"/>
        <v>442</v>
      </c>
      <c r="H223" s="172">
        <f t="shared" si="58"/>
        <v>1.0279786961881062E-2</v>
      </c>
      <c r="I223" s="336"/>
      <c r="J223" s="168"/>
      <c r="K223" s="168"/>
    </row>
    <row r="224" spans="1:17">
      <c r="A224" s="163"/>
      <c r="B224" s="170" t="s">
        <v>74</v>
      </c>
      <c r="C224" s="592">
        <f>'[82]Sch D'!H9</f>
        <v>1771</v>
      </c>
      <c r="D224" s="592"/>
      <c r="E224" s="235">
        <f t="shared" si="59"/>
        <v>1771</v>
      </c>
      <c r="F224" s="234"/>
      <c r="G224" s="235">
        <f t="shared" si="57"/>
        <v>1771</v>
      </c>
      <c r="H224" s="172">
        <f t="shared" si="58"/>
        <v>4.1188920157220268E-2</v>
      </c>
      <c r="I224" s="336"/>
      <c r="J224" s="168"/>
      <c r="K224" s="168"/>
    </row>
    <row r="225" spans="1:11">
      <c r="A225" s="163"/>
      <c r="B225" s="170" t="s">
        <v>236</v>
      </c>
      <c r="C225" s="592">
        <f>'[82]Sch D'!I9</f>
        <v>3835</v>
      </c>
      <c r="D225" s="592"/>
      <c r="E225" s="235">
        <f t="shared" si="59"/>
        <v>3835</v>
      </c>
      <c r="F225" s="234"/>
      <c r="G225" s="235">
        <f t="shared" si="57"/>
        <v>3835</v>
      </c>
      <c r="H225" s="172">
        <f t="shared" si="58"/>
        <v>8.919226922808568E-2</v>
      </c>
      <c r="I225" s="336"/>
      <c r="J225" s="168"/>
      <c r="K225" s="168"/>
    </row>
    <row r="226" spans="1:11">
      <c r="A226" s="163"/>
      <c r="B226" s="170" t="s">
        <v>235</v>
      </c>
      <c r="C226" s="592">
        <f>'[82]Sch D'!J9</f>
        <v>0</v>
      </c>
      <c r="D226" s="592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6"/>
      <c r="J226" s="168"/>
      <c r="K226" s="168"/>
    </row>
    <row r="227" spans="1:11">
      <c r="A227" s="163"/>
      <c r="B227" s="170" t="s">
        <v>179</v>
      </c>
      <c r="C227" s="592">
        <f>'[82]Sch D'!K9</f>
        <v>1468</v>
      </c>
      <c r="D227" s="592"/>
      <c r="E227" s="235">
        <f t="shared" si="59"/>
        <v>1468</v>
      </c>
      <c r="F227" s="234"/>
      <c r="G227" s="235">
        <f t="shared" si="57"/>
        <v>1468</v>
      </c>
      <c r="H227" s="172">
        <f t="shared" si="58"/>
        <v>3.4141916877921716E-2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42997</v>
      </c>
      <c r="D228" s="592">
        <f>SUM(D219:D227)</f>
        <v>0</v>
      </c>
      <c r="E228" s="237">
        <f>SUM(E219:E227)</f>
        <v>42997</v>
      </c>
      <c r="F228" s="237">
        <f>SUM(F219:F227)</f>
        <v>0</v>
      </c>
      <c r="G228" s="237">
        <f>SUM(G219:G227)</f>
        <v>42997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'[82]Sch D'!N22</f>
        <v>184</v>
      </c>
      <c r="D231" s="559"/>
      <c r="E231" s="235">
        <f>C231+D231</f>
        <v>184</v>
      </c>
      <c r="F231" s="235"/>
      <c r="G231" s="235">
        <f>E231+F231</f>
        <v>184</v>
      </c>
      <c r="H231" s="167"/>
      <c r="J231" s="168"/>
      <c r="K231" s="168"/>
    </row>
    <row r="232" spans="1:11">
      <c r="A232" s="163"/>
      <c r="B232" s="202" t="s">
        <v>290</v>
      </c>
      <c r="C232" s="593">
        <f>'[82]Sch D'!N24</f>
        <v>184</v>
      </c>
      <c r="D232" s="559"/>
      <c r="E232" s="235">
        <f>C232+D232</f>
        <v>184</v>
      </c>
      <c r="F232" s="235"/>
      <c r="G232" s="235">
        <f>E232+F232</f>
        <v>184</v>
      </c>
      <c r="H232" s="167"/>
      <c r="J232" s="168"/>
      <c r="K232" s="168"/>
    </row>
    <row r="233" spans="1:11">
      <c r="A233" s="163"/>
      <c r="B233" s="202" t="s">
        <v>76</v>
      </c>
      <c r="C233" s="593">
        <f>$C$4-$C$3+1</f>
        <v>366</v>
      </c>
      <c r="D233" s="483"/>
      <c r="E233" s="235">
        <f>C233+D233</f>
        <v>366</v>
      </c>
      <c r="F233" s="239"/>
      <c r="G233" s="235">
        <f>E233+F233</f>
        <v>366</v>
      </c>
      <c r="H233" s="167"/>
      <c r="J233" s="168"/>
      <c r="K233" s="168"/>
    </row>
    <row r="234" spans="1:11">
      <c r="A234" s="163"/>
      <c r="B234" s="240"/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'[82]Sch D'!N28</f>
        <v>67344</v>
      </c>
      <c r="D235" s="483"/>
      <c r="E235" s="234">
        <f>E231*E233</f>
        <v>67344</v>
      </c>
      <c r="F235" s="239"/>
      <c r="G235" s="234">
        <f>G231*G233</f>
        <v>67344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'[82]Sch D'!N30</f>
        <v>0.63846816345925395</v>
      </c>
      <c r="D236" s="239"/>
      <c r="E236" s="244">
        <f>E228/E235</f>
        <v>0.63846816345925395</v>
      </c>
      <c r="F236" s="245"/>
      <c r="G236" s="244">
        <f>G228/G235</f>
        <v>0.63846816345925395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'[82]Sch D'!N32</f>
        <v>0.44257840342124022</v>
      </c>
      <c r="D237" s="239"/>
      <c r="E237" s="244">
        <f>(E219+E220)/E235</f>
        <v>0.44257840342124022</v>
      </c>
      <c r="F237" s="245"/>
      <c r="G237" s="244">
        <f>(G219+G220)/G235</f>
        <v>0.44257840342124022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'[82]Sch D'!N34</f>
        <v>0.69318789683001147</v>
      </c>
      <c r="D238" s="239"/>
      <c r="E238" s="244">
        <f>(E237/E236)</f>
        <v>0.69318789683001147</v>
      </c>
      <c r="F238" s="245"/>
      <c r="G238" s="244">
        <f>(G237/G236)</f>
        <v>0.69318789683001147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58">
        <f>'[82]Sch B'!C85</f>
        <v>168.95228215767634</v>
      </c>
    </row>
    <row r="242" spans="2:7">
      <c r="F242" s="142" t="s">
        <v>341</v>
      </c>
      <c r="G242" s="558">
        <f>'[82]Sch B'!E85</f>
        <v>168.95229007633588</v>
      </c>
    </row>
    <row r="243" spans="2:7">
      <c r="F243" s="142" t="s">
        <v>342</v>
      </c>
      <c r="G243" s="558">
        <f>'[82]Sch B'!G85</f>
        <v>168.95294117647057</v>
      </c>
    </row>
    <row r="244" spans="2:7">
      <c r="F244" s="142" t="s">
        <v>343</v>
      </c>
      <c r="G244" s="558">
        <f>'[82]Sch B'!I85</f>
        <v>168.95294117647057</v>
      </c>
    </row>
    <row r="245" spans="2:7">
      <c r="F245" s="142"/>
    </row>
  </sheetData>
  <customSheetViews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41" fitToHeight="4" orientation="landscape" horizontalDpi="300" verticalDpi="300" r:id="rId3"/>
  <headerFooter alignWithMargins="0">
    <oddFooter>&amp;R&amp;D
&amp;T
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7">
    <pageSetUpPr fitToPage="1"/>
  </sheetPr>
  <dimension ref="A1:R332"/>
  <sheetViews>
    <sheetView showGridLines="0" tabSelected="1" zoomScale="125" zoomScaleNormal="125" workbookViewId="0">
      <selection activeCell="C8" sqref="C8"/>
    </sheetView>
  </sheetViews>
  <sheetFormatPr defaultColWidth="9" defaultRowHeight="13"/>
  <cols>
    <col min="1" max="1" width="10.08203125" style="30" bestFit="1" customWidth="1"/>
    <col min="2" max="2" width="43.5" style="30" bestFit="1" customWidth="1"/>
    <col min="3" max="6" width="14.58203125" style="30" customWidth="1"/>
    <col min="7" max="7" width="16" style="30" customWidth="1"/>
    <col min="8" max="8" width="10" style="30" customWidth="1"/>
    <col min="9" max="9" width="9" style="30" bestFit="1"/>
    <col min="10" max="10" width="24.4140625" style="30" customWidth="1"/>
    <col min="11" max="11" width="1.1640625" style="30" customWidth="1"/>
    <col min="12" max="12" width="11.6640625" style="30" customWidth="1"/>
    <col min="13" max="13" width="12.08203125" style="30" customWidth="1"/>
    <col min="14" max="14" width="1.6640625" style="68" customWidth="1"/>
    <col min="15" max="15" width="13.08203125" style="30" customWidth="1"/>
    <col min="16" max="16" width="2" style="30" customWidth="1"/>
    <col min="17" max="17" width="17.6640625" style="30" customWidth="1"/>
    <col min="18" max="18" width="1.1640625" style="30" customWidth="1"/>
    <col min="19" max="16384" width="9" style="30"/>
  </cols>
  <sheetData>
    <row r="1" spans="1:18" ht="44" customHeight="1">
      <c r="A1" s="138" t="str">
        <f>'ALPINE VALLEY'!A1</f>
        <v>schedules revised 7/2016</v>
      </c>
      <c r="B1" s="1"/>
      <c r="C1" s="755" t="s">
        <v>468</v>
      </c>
      <c r="D1" s="755"/>
      <c r="E1" s="755"/>
      <c r="F1" s="43"/>
      <c r="G1" s="88"/>
      <c r="I1" s="44"/>
      <c r="K1" s="103"/>
    </row>
    <row r="2" spans="1:18" ht="15.75" customHeight="1">
      <c r="A2" s="29"/>
      <c r="B2" s="30" t="s">
        <v>79</v>
      </c>
      <c r="C2" s="45">
        <v>42186</v>
      </c>
      <c r="D2" s="759" t="s">
        <v>394</v>
      </c>
      <c r="E2" s="760"/>
      <c r="F2" s="760"/>
      <c r="G2" s="760"/>
      <c r="H2" s="760"/>
      <c r="J2" s="104"/>
    </row>
    <row r="3" spans="1:18" ht="15.75" customHeight="1">
      <c r="A3" s="29"/>
      <c r="B3" s="31" t="s">
        <v>80</v>
      </c>
      <c r="C3" s="45">
        <v>42551</v>
      </c>
      <c r="D3" s="760"/>
      <c r="E3" s="760"/>
      <c r="F3" s="760"/>
      <c r="G3" s="760"/>
      <c r="H3" s="760"/>
      <c r="J3" s="104"/>
    </row>
    <row r="4" spans="1:18" ht="19.5" customHeight="1">
      <c r="A4" s="29"/>
      <c r="B4" s="31"/>
      <c r="D4" s="760"/>
      <c r="E4" s="760"/>
      <c r="F4" s="760"/>
      <c r="G4" s="760"/>
      <c r="H4" s="760"/>
      <c r="J4" s="104"/>
    </row>
    <row r="5" spans="1:18">
      <c r="A5" s="29"/>
      <c r="B5" s="31"/>
      <c r="C5" s="48"/>
      <c r="D5" s="760"/>
      <c r="E5" s="760"/>
      <c r="F5" s="760"/>
      <c r="G5" s="760"/>
      <c r="H5" s="760"/>
      <c r="J5" s="104"/>
    </row>
    <row r="6" spans="1:18" ht="13.25" customHeight="1">
      <c r="A6" s="29"/>
      <c r="B6" s="31"/>
      <c r="C6" s="48"/>
      <c r="D6" s="760"/>
      <c r="E6" s="760"/>
      <c r="F6" s="760"/>
      <c r="G6" s="760"/>
      <c r="H6" s="760"/>
      <c r="J6" s="104"/>
    </row>
    <row r="7" spans="1:18" ht="13.25" customHeight="1">
      <c r="A7" s="29"/>
      <c r="B7" s="31"/>
      <c r="C7" s="48"/>
      <c r="D7" s="760"/>
      <c r="E7" s="760"/>
      <c r="F7" s="760"/>
      <c r="G7" s="760"/>
      <c r="H7" s="760"/>
      <c r="J7" s="104"/>
    </row>
    <row r="8" spans="1:18" ht="13.25" customHeight="1">
      <c r="A8" s="29"/>
      <c r="B8" s="31"/>
      <c r="C8" s="48"/>
      <c r="D8" s="760"/>
      <c r="E8" s="760"/>
      <c r="F8" s="760"/>
      <c r="G8" s="760"/>
      <c r="H8" s="760"/>
      <c r="J8" s="104"/>
    </row>
    <row r="9" spans="1:18" ht="15.5">
      <c r="A9" s="29"/>
      <c r="B9" s="31"/>
      <c r="C9" s="50" t="s">
        <v>37</v>
      </c>
      <c r="D9" s="51" t="s">
        <v>38</v>
      </c>
      <c r="E9" s="47" t="s">
        <v>39</v>
      </c>
      <c r="F9" s="52" t="s">
        <v>40</v>
      </c>
      <c r="G9" s="53" t="s">
        <v>41</v>
      </c>
      <c r="H9" s="47" t="s">
        <v>42</v>
      </c>
      <c r="J9" s="105">
        <v>7</v>
      </c>
      <c r="L9" s="86" t="s">
        <v>174</v>
      </c>
      <c r="M9" s="86" t="s">
        <v>174</v>
      </c>
      <c r="N9" s="106"/>
      <c r="O9" s="77" t="s">
        <v>182</v>
      </c>
      <c r="P9" s="58"/>
      <c r="Q9" s="87" t="s">
        <v>183</v>
      </c>
      <c r="R9" s="59"/>
    </row>
    <row r="10" spans="1:18" ht="15.5">
      <c r="A10" s="29" t="s">
        <v>0</v>
      </c>
      <c r="B10" s="31"/>
      <c r="C10" s="55" t="s">
        <v>1</v>
      </c>
      <c r="D10" s="55" t="s">
        <v>2</v>
      </c>
      <c r="E10" s="55" t="s">
        <v>3</v>
      </c>
      <c r="F10" s="55" t="s">
        <v>4</v>
      </c>
      <c r="G10" s="55" t="s">
        <v>5</v>
      </c>
      <c r="H10" s="56" t="s">
        <v>6</v>
      </c>
      <c r="J10" s="107" t="s">
        <v>249</v>
      </c>
      <c r="L10" s="756" t="s">
        <v>273</v>
      </c>
      <c r="M10" s="756" t="s">
        <v>274</v>
      </c>
      <c r="N10" s="108"/>
      <c r="O10" s="7" t="s">
        <v>186</v>
      </c>
      <c r="P10" s="58"/>
      <c r="Q10" s="7" t="s">
        <v>185</v>
      </c>
      <c r="R10" s="59"/>
    </row>
    <row r="11" spans="1:18" ht="15.5">
      <c r="A11" s="29" t="s">
        <v>7</v>
      </c>
      <c r="B11" s="31"/>
      <c r="C11" s="60"/>
      <c r="D11" s="60"/>
      <c r="E11" s="60" t="s">
        <v>8</v>
      </c>
      <c r="F11" s="60" t="s">
        <v>9</v>
      </c>
      <c r="G11" s="60" t="s">
        <v>10</v>
      </c>
      <c r="H11" s="61" t="s">
        <v>11</v>
      </c>
      <c r="J11" s="109" t="s">
        <v>250</v>
      </c>
      <c r="L11" s="757"/>
      <c r="M11" s="757"/>
      <c r="N11" s="108"/>
      <c r="O11" s="62" t="s">
        <v>184</v>
      </c>
      <c r="P11" s="58"/>
      <c r="Q11" s="62" t="s">
        <v>187</v>
      </c>
      <c r="R11" s="59"/>
    </row>
    <row r="12" spans="1:18" ht="15.5">
      <c r="A12" s="29"/>
      <c r="B12" s="1"/>
      <c r="C12" s="49"/>
      <c r="D12" s="46"/>
      <c r="F12" s="46"/>
      <c r="G12" s="43"/>
      <c r="J12" s="110" t="s">
        <v>251</v>
      </c>
      <c r="L12" s="758"/>
      <c r="M12" s="758"/>
      <c r="N12" s="108"/>
      <c r="O12" s="63" t="s">
        <v>193</v>
      </c>
      <c r="P12" s="58"/>
      <c r="Q12" s="63" t="s">
        <v>188</v>
      </c>
      <c r="R12" s="59"/>
    </row>
    <row r="13" spans="1:18" ht="15.5">
      <c r="A13" s="29"/>
      <c r="B13" s="1" t="s">
        <v>221</v>
      </c>
      <c r="C13" s="49"/>
      <c r="D13" s="46"/>
      <c r="F13" s="46"/>
      <c r="G13" s="43"/>
      <c r="J13" s="110"/>
      <c r="L13" s="12"/>
      <c r="M13" s="12"/>
      <c r="N13" s="21"/>
      <c r="O13" s="57"/>
      <c r="P13" s="58"/>
      <c r="Q13" s="57"/>
      <c r="R13" s="59"/>
    </row>
    <row r="14" spans="1:18" s="25" customFormat="1" ht="15.5">
      <c r="A14" s="32" t="s">
        <v>13</v>
      </c>
      <c r="B14" s="24" t="s">
        <v>213</v>
      </c>
      <c r="C14" s="14">
        <f>SUM('ALPINE VALLEY:WOODLAND'!C11)</f>
        <v>187356726.37</v>
      </c>
      <c r="D14" s="14">
        <f>SUM('ALPINE VALLEY:WOODLAND'!D11)</f>
        <v>1460210.88</v>
      </c>
      <c r="E14" s="14">
        <f>SUM('ALPINE VALLEY:WOODLAND'!E11)</f>
        <v>188691418.59999999</v>
      </c>
      <c r="F14" s="14">
        <f>SUM('ALPINE VALLEY:WOODLAND'!F11)</f>
        <v>34169161.859999999</v>
      </c>
      <c r="G14" s="14">
        <f>SUM('ALPINE VALLEY:WOODLAND'!G11)</f>
        <v>222749609.72</v>
      </c>
      <c r="H14" s="26">
        <f t="shared" ref="H14:H24" si="0">G14/$G$24</f>
        <v>0.4288248863459016</v>
      </c>
      <c r="J14" s="111">
        <f>IF(G222=0,0,G14/G222)</f>
        <v>222.18858354654498</v>
      </c>
      <c r="L14" s="247" t="s">
        <v>344</v>
      </c>
      <c r="M14" s="168">
        <f>G24</f>
        <v>519441890.64699996</v>
      </c>
      <c r="N14" s="90"/>
      <c r="O14" s="411"/>
      <c r="P14" s="113"/>
      <c r="Q14" s="112"/>
      <c r="R14" s="113"/>
    </row>
    <row r="15" spans="1:18" s="25" customFormat="1" ht="15.5">
      <c r="A15" s="32" t="s">
        <v>15</v>
      </c>
      <c r="B15" s="24" t="s">
        <v>214</v>
      </c>
      <c r="C15" s="14">
        <f>SUM('ALPINE VALLEY:WOODLAND'!C12)</f>
        <v>1918616</v>
      </c>
      <c r="D15" s="14">
        <f>SUM('ALPINE VALLEY:WOODLAND'!D12)</f>
        <v>270058</v>
      </c>
      <c r="E15" s="14">
        <f>SUM('ALPINE VALLEY:WOODLAND'!E12)</f>
        <v>2188674</v>
      </c>
      <c r="F15" s="14">
        <f>SUM('ALPINE VALLEY:WOODLAND'!F12)</f>
        <v>749671</v>
      </c>
      <c r="G15" s="14">
        <f>SUM('ALPINE VALLEY:WOODLAND'!G12)</f>
        <v>2938345</v>
      </c>
      <c r="H15" s="26">
        <f t="shared" si="0"/>
        <v>5.6567347626509156E-3</v>
      </c>
      <c r="J15" s="111">
        <f>IF(G223=0,0,G15/G223)</f>
        <v>207.2175599435825</v>
      </c>
      <c r="L15" s="247" t="s">
        <v>345</v>
      </c>
      <c r="M15" s="168">
        <f>G211</f>
        <v>496943713.97877508</v>
      </c>
      <c r="N15" s="90"/>
      <c r="O15" s="411"/>
      <c r="P15" s="113"/>
      <c r="Q15" s="112"/>
      <c r="R15" s="113"/>
    </row>
    <row r="16" spans="1:18" s="25" customFormat="1" ht="15.5">
      <c r="A16" s="32" t="s">
        <v>16</v>
      </c>
      <c r="B16" s="24" t="s">
        <v>170</v>
      </c>
      <c r="C16" s="14">
        <f>SUM('ALPINE VALLEY:WOODLAND'!C13)</f>
        <v>122729990.01000001</v>
      </c>
      <c r="D16" s="14">
        <f>SUM('ALPINE VALLEY:WOODLAND'!D13)</f>
        <v>348782.65</v>
      </c>
      <c r="E16" s="14">
        <f>SUM('ALPINE VALLEY:WOODLAND'!E13)</f>
        <v>123078772.66</v>
      </c>
      <c r="F16" s="14">
        <f>SUM('ALPINE VALLEY:WOODLAND'!F13)</f>
        <v>12078209.9</v>
      </c>
      <c r="G16" s="14">
        <f>SUM('ALPINE VALLEY:WOODLAND'!G13)</f>
        <v>135156982.56</v>
      </c>
      <c r="H16" s="26">
        <f t="shared" si="0"/>
        <v>0.26019653977397328</v>
      </c>
      <c r="J16" s="111">
        <f t="shared" ref="J16:J22" si="1">IF(G224=0,0,G16/G224)</f>
        <v>537.49113199368492</v>
      </c>
      <c r="L16" s="247" t="s">
        <v>346</v>
      </c>
      <c r="M16" s="168">
        <f>G231</f>
        <v>1865956</v>
      </c>
      <c r="N16" s="90"/>
      <c r="O16" s="411"/>
      <c r="P16" s="113"/>
      <c r="Q16" s="112"/>
      <c r="R16" s="113"/>
    </row>
    <row r="17" spans="1:18" s="25" customFormat="1" ht="15.5">
      <c r="A17" s="32" t="s">
        <v>18</v>
      </c>
      <c r="B17" s="24" t="s">
        <v>272</v>
      </c>
      <c r="C17" s="14">
        <f>SUM('ALPINE VALLEY:WOODLAND'!C14)</f>
        <v>43003836.769999996</v>
      </c>
      <c r="D17" s="14">
        <f>SUM('ALPINE VALLEY:WOODLAND'!D14)</f>
        <v>2181907.226594558</v>
      </c>
      <c r="E17" s="14">
        <f>SUM('ALPINE VALLEY:WOODLAND'!E14)</f>
        <v>45185743.996594556</v>
      </c>
      <c r="F17" s="14">
        <f>SUM('ALPINE VALLEY:WOODLAND'!F14)</f>
        <v>3823509.3499999996</v>
      </c>
      <c r="G17" s="14">
        <f>SUM('ALPINE VALLEY:WOODLAND'!G14)</f>
        <v>49009253.34659455</v>
      </c>
      <c r="H17" s="26">
        <f t="shared" si="0"/>
        <v>9.4349828593050536E-2</v>
      </c>
      <c r="J17" s="111">
        <f t="shared" si="1"/>
        <v>403.86361337438132</v>
      </c>
      <c r="L17" s="247" t="s">
        <v>347</v>
      </c>
      <c r="M17" s="168">
        <f>G234</f>
        <v>8016</v>
      </c>
      <c r="N17" s="90"/>
      <c r="O17" s="411"/>
      <c r="P17" s="113"/>
      <c r="Q17" s="112"/>
      <c r="R17" s="113"/>
    </row>
    <row r="18" spans="1:18" s="25" customFormat="1" ht="15.5">
      <c r="A18" s="32" t="s">
        <v>19</v>
      </c>
      <c r="B18" s="24" t="s">
        <v>171</v>
      </c>
      <c r="C18" s="14">
        <f>SUM('ALPINE VALLEY:WOODLAND'!C15)</f>
        <v>29429216.5</v>
      </c>
      <c r="D18" s="14">
        <f>SUM('ALPINE VALLEY:WOODLAND'!D15)</f>
        <v>-10669672</v>
      </c>
      <c r="E18" s="14">
        <f>SUM('ALPINE VALLEY:WOODLAND'!E15)</f>
        <v>18759544.5</v>
      </c>
      <c r="F18" s="14">
        <f>SUM('ALPINE VALLEY:WOODLAND'!F15)</f>
        <v>159982.91</v>
      </c>
      <c r="G18" s="14">
        <f>SUM('ALPINE VALLEY:WOODLAND'!G15)</f>
        <v>18919527.41</v>
      </c>
      <c r="H18" s="26">
        <f t="shared" si="0"/>
        <v>3.6422798681936208E-2</v>
      </c>
      <c r="J18" s="111">
        <f t="shared" si="1"/>
        <v>332.02055718372145</v>
      </c>
      <c r="L18" s="247" t="s">
        <v>348</v>
      </c>
      <c r="M18" s="168">
        <f>G238</f>
        <v>2915436</v>
      </c>
      <c r="N18" s="90"/>
      <c r="O18" s="411"/>
      <c r="P18" s="113"/>
      <c r="Q18" s="112"/>
      <c r="R18" s="113"/>
    </row>
    <row r="19" spans="1:18" s="25" customFormat="1" ht="15.5">
      <c r="A19" s="32" t="s">
        <v>21</v>
      </c>
      <c r="B19" s="24" t="s">
        <v>172</v>
      </c>
      <c r="C19" s="14">
        <f>SUM('ALPINE VALLEY:WOODLAND'!C16)</f>
        <v>46381635.850000001</v>
      </c>
      <c r="D19" s="14">
        <f>SUM('ALPINE VALLEY:WOODLAND'!D16)</f>
        <v>8979090.3200000003</v>
      </c>
      <c r="E19" s="14">
        <f>SUM('ALPINE VALLEY:WOODLAND'!E16)</f>
        <v>55360726.170000002</v>
      </c>
      <c r="F19" s="14">
        <f>SUM('ALPINE VALLEY:WOODLAND'!F16)</f>
        <v>3944293.5999999996</v>
      </c>
      <c r="G19" s="14">
        <f>SUM('ALPINE VALLEY:WOODLAND'!G16)</f>
        <v>59305019.769999996</v>
      </c>
      <c r="H19" s="26">
        <f t="shared" si="0"/>
        <v>0.11417065284459747</v>
      </c>
      <c r="J19" s="111">
        <f t="shared" si="1"/>
        <v>209.32685676266178</v>
      </c>
      <c r="L19" s="163"/>
      <c r="M19" s="168"/>
      <c r="N19" s="90"/>
      <c r="O19" s="411"/>
      <c r="P19" s="113"/>
      <c r="Q19" s="112"/>
      <c r="R19" s="113"/>
    </row>
    <row r="20" spans="1:18" s="25" customFormat="1" ht="15.5">
      <c r="A20" s="32" t="s">
        <v>215</v>
      </c>
      <c r="B20" s="24" t="s">
        <v>228</v>
      </c>
      <c r="C20" s="14">
        <f>SUM('ALPINE VALLEY:WOODLAND'!C17)</f>
        <v>12227217.457000002</v>
      </c>
      <c r="D20" s="14">
        <f>SUM('ALPINE VALLEY:WOODLAND'!D17)</f>
        <v>1842048.0567443527</v>
      </c>
      <c r="E20" s="14">
        <f>SUM('ALPINE VALLEY:WOODLAND'!E17)</f>
        <v>14069265.513744354</v>
      </c>
      <c r="F20" s="14">
        <f>SUM('ALPINE VALLEY:WOODLAND'!F17)</f>
        <v>1227480.23</v>
      </c>
      <c r="G20" s="14">
        <f>SUM('ALPINE VALLEY:WOODLAND'!G17)</f>
        <v>15296745.743744355</v>
      </c>
      <c r="H20" s="26">
        <f t="shared" si="0"/>
        <v>2.944842535647486E-2</v>
      </c>
      <c r="J20" s="111">
        <f t="shared" si="1"/>
        <v>177.55325692366318</v>
      </c>
      <c r="L20" s="247" t="s">
        <v>156</v>
      </c>
      <c r="M20" s="168">
        <f>L211</f>
        <v>12094662.205169212</v>
      </c>
      <c r="N20" s="90"/>
      <c r="O20" s="411"/>
      <c r="P20" s="113"/>
      <c r="Q20" s="112"/>
      <c r="R20" s="113"/>
    </row>
    <row r="21" spans="1:18" s="25" customFormat="1" ht="15.5">
      <c r="A21" s="32" t="s">
        <v>216</v>
      </c>
      <c r="B21" s="24" t="s">
        <v>229</v>
      </c>
      <c r="C21" s="14">
        <f>SUM('ALPINE VALLEY:WOODLAND'!C18)</f>
        <v>7497616.1200000001</v>
      </c>
      <c r="D21" s="14">
        <f>SUM('ALPINE VALLEY:WOODLAND'!D18)</f>
        <v>-1527090.9432029279</v>
      </c>
      <c r="E21" s="14">
        <f>SUM('ALPINE VALLEY:WOODLAND'!E18)</f>
        <v>5970525.1767970715</v>
      </c>
      <c r="F21" s="14">
        <f>SUM('ALPINE VALLEY:WOODLAND'!F18)</f>
        <v>849198.70000000007</v>
      </c>
      <c r="G21" s="14">
        <f>SUM('ALPINE VALLEY:WOODLAND'!G18)</f>
        <v>6819723.8767970735</v>
      </c>
      <c r="H21" s="26">
        <f t="shared" si="0"/>
        <v>1.312894473778895E-2</v>
      </c>
      <c r="J21" s="111">
        <f t="shared" si="1"/>
        <v>189.23177326776752</v>
      </c>
      <c r="L21" s="247" t="s">
        <v>252</v>
      </c>
      <c r="M21" s="168">
        <f>M211</f>
        <v>12885068.212929975</v>
      </c>
      <c r="N21" s="90"/>
      <c r="O21" s="411"/>
      <c r="P21" s="113"/>
      <c r="Q21" s="112"/>
      <c r="R21" s="113"/>
    </row>
    <row r="22" spans="1:18" s="25" customFormat="1" ht="15.5">
      <c r="A22" s="32" t="s">
        <v>227</v>
      </c>
      <c r="B22" s="24" t="s">
        <v>230</v>
      </c>
      <c r="C22" s="14">
        <f>SUM('ALPINE VALLEY:WOODLAND'!C19)</f>
        <v>5327016.95</v>
      </c>
      <c r="D22" s="14">
        <f>SUM('ALPINE VALLEY:WOODLAND'!D19)</f>
        <v>-569878.260135983</v>
      </c>
      <c r="E22" s="14">
        <f>SUM('ALPINE VALLEY:WOODLAND'!E19)</f>
        <v>4757138.6898640171</v>
      </c>
      <c r="F22" s="14">
        <f>SUM('ALPINE VALLEY:WOODLAND'!F19)</f>
        <v>-126</v>
      </c>
      <c r="G22" s="14">
        <f>SUM('ALPINE VALLEY:WOODLAND'!G19)</f>
        <v>4757012.6898640171</v>
      </c>
      <c r="H22" s="26">
        <f t="shared" si="0"/>
        <v>9.157930416314396E-3</v>
      </c>
      <c r="J22" s="111">
        <f t="shared" si="1"/>
        <v>340.93117536472568</v>
      </c>
      <c r="L22" s="90"/>
      <c r="M22" s="90"/>
      <c r="N22" s="90"/>
      <c r="O22" s="112"/>
      <c r="P22" s="113"/>
      <c r="Q22" s="112"/>
      <c r="R22" s="113"/>
    </row>
    <row r="23" spans="1:18" s="25" customFormat="1" ht="15.5">
      <c r="A23" s="32" t="s">
        <v>183</v>
      </c>
      <c r="B23" s="2" t="s">
        <v>180</v>
      </c>
      <c r="C23" s="14">
        <f>SUM('ALPINE VALLEY:WOODLAND'!C20)</f>
        <v>8893425.6699999999</v>
      </c>
      <c r="D23" s="14">
        <f>SUM('ALPINE VALLEY:WOODLAND'!D20)</f>
        <v>-5608373.21</v>
      </c>
      <c r="E23" s="14">
        <f>SUM('ALPINE VALLEY:WOODLAND'!E20)</f>
        <v>3409699.1100000003</v>
      </c>
      <c r="F23" s="14">
        <f>SUM('ALPINE VALLEY:WOODLAND'!F20)</f>
        <v>969000.68000000017</v>
      </c>
      <c r="G23" s="14">
        <f>SUM('ALPINE VALLEY:WOODLAND'!G20)</f>
        <v>4489670.53</v>
      </c>
      <c r="H23" s="26">
        <f t="shared" si="0"/>
        <v>8.6432584873118584E-3</v>
      </c>
      <c r="J23" s="114" t="s">
        <v>200</v>
      </c>
      <c r="L23" s="91"/>
      <c r="M23" s="91"/>
      <c r="N23" s="91"/>
      <c r="O23" s="112"/>
      <c r="P23" s="113"/>
      <c r="Q23" s="112"/>
      <c r="R23" s="113"/>
    </row>
    <row r="24" spans="1:18" s="25" customFormat="1" ht="15.5">
      <c r="A24" s="32"/>
      <c r="B24" s="3" t="s">
        <v>77</v>
      </c>
      <c r="C24" s="14">
        <f>SUM('ALPINE VALLEY:WOODLAND'!C21)</f>
        <v>464765297.69699997</v>
      </c>
      <c r="D24" s="14">
        <f>SUM('ALPINE VALLEY:WOODLAND'!D21)</f>
        <v>-3292917.2800000007</v>
      </c>
      <c r="E24" s="14">
        <f>SUM('ALPINE VALLEY:WOODLAND'!E21)</f>
        <v>461471508.417</v>
      </c>
      <c r="F24" s="14">
        <f>SUM('ALPINE VALLEY:WOODLAND'!F21)</f>
        <v>57970382.229999997</v>
      </c>
      <c r="G24" s="14">
        <f>SUM('ALPINE VALLEY:WOODLAND'!G21)</f>
        <v>519441890.64699996</v>
      </c>
      <c r="H24" s="26">
        <f t="shared" si="0"/>
        <v>1</v>
      </c>
      <c r="J24" s="111">
        <f>IF(G231=0,0,G24/G231)</f>
        <v>278.37842406091033</v>
      </c>
      <c r="L24" s="90"/>
      <c r="M24" s="90"/>
      <c r="N24" s="90"/>
      <c r="O24" s="112"/>
      <c r="P24" s="113"/>
      <c r="Q24" s="112"/>
      <c r="R24" s="113"/>
    </row>
    <row r="25" spans="1:18" ht="15.5">
      <c r="A25" s="29"/>
      <c r="B25" s="1"/>
      <c r="C25" s="17"/>
      <c r="D25" s="17"/>
      <c r="E25" s="17"/>
      <c r="F25" s="17"/>
      <c r="G25" s="17"/>
      <c r="H25" s="59"/>
      <c r="J25" s="115"/>
      <c r="L25" s="12"/>
      <c r="M25" s="12"/>
      <c r="N25" s="21"/>
      <c r="O25" s="57"/>
      <c r="P25" s="58"/>
      <c r="Q25" s="57"/>
      <c r="R25" s="59"/>
    </row>
    <row r="26" spans="1:18" ht="26.5">
      <c r="A26" s="33" t="s">
        <v>231</v>
      </c>
      <c r="B26" s="1" t="s">
        <v>222</v>
      </c>
      <c r="C26" s="49"/>
      <c r="D26" s="46"/>
      <c r="E26" s="46"/>
      <c r="F26" s="46"/>
      <c r="G26" s="46"/>
      <c r="H26" s="59"/>
      <c r="J26" s="115"/>
      <c r="L26" s="12"/>
      <c r="M26" s="12"/>
      <c r="N26" s="21"/>
      <c r="O26" s="57"/>
      <c r="P26" s="58"/>
      <c r="Q26" s="57"/>
      <c r="R26" s="59"/>
    </row>
    <row r="27" spans="1:18" ht="15.5">
      <c r="A27" s="34" t="s">
        <v>161</v>
      </c>
      <c r="B27" s="31" t="s">
        <v>12</v>
      </c>
      <c r="H27" s="59"/>
      <c r="J27" s="116"/>
      <c r="L27" s="66"/>
      <c r="M27" s="66"/>
      <c r="N27" s="117"/>
      <c r="O27" s="58"/>
      <c r="P27" s="58"/>
      <c r="Q27" s="59"/>
      <c r="R27" s="59"/>
    </row>
    <row r="28" spans="1:18" s="25" customFormat="1" ht="15.5">
      <c r="A28" s="32" t="s">
        <v>83</v>
      </c>
      <c r="B28" s="24" t="s">
        <v>14</v>
      </c>
      <c r="C28" s="14">
        <f>SUM('ALPINE VALLEY:WOODLAND'!C25)</f>
        <v>5773601.9800000004</v>
      </c>
      <c r="D28" s="14">
        <f>SUM('ALPINE VALLEY:WOODLAND'!D25)</f>
        <v>3032529.4400000004</v>
      </c>
      <c r="E28" s="14">
        <f>SUM('ALPINE VALLEY:WOODLAND'!E25)</f>
        <v>8806131.4200000018</v>
      </c>
      <c r="F28" s="14">
        <f>SUM('ALPINE VALLEY:WOODLAND'!F25)</f>
        <v>1059367.8900000001</v>
      </c>
      <c r="G28" s="14">
        <f>SUM('ALPINE VALLEY:WOODLAND'!G25)</f>
        <v>9865499.3100000005</v>
      </c>
      <c r="H28" s="92">
        <f>IF($G$211=0,0,G28/$G$211)</f>
        <v>1.9852347524454982E-2</v>
      </c>
      <c r="J28" s="111">
        <f t="shared" ref="J28:J64" si="2">IF(G28=0,0,G28/$G$231)</f>
        <v>5.2871017912533844</v>
      </c>
      <c r="K28" s="25">
        <v>2031.37</v>
      </c>
      <c r="L28" s="118">
        <f>SUM('ALPINE VALLEY:WOODLAND'!J25)</f>
        <v>173185.21999999997</v>
      </c>
      <c r="M28" s="118">
        <f>SUM('ALPINE VALLEY:WOODLAND'!K25)</f>
        <v>182642.53999999995</v>
      </c>
      <c r="N28" s="119"/>
      <c r="O28" s="120">
        <f>IF(L28=0,0,G28/M28)</f>
        <v>54.015342263636953</v>
      </c>
      <c r="P28" s="59"/>
      <c r="Q28" s="121">
        <f>M28/$G$231</f>
        <v>9.7881482735927297E-2</v>
      </c>
      <c r="R28" s="59"/>
    </row>
    <row r="29" spans="1:18" s="25" customFormat="1" ht="15.5">
      <c r="A29" s="32" t="s">
        <v>84</v>
      </c>
      <c r="B29" s="24" t="s">
        <v>176</v>
      </c>
      <c r="C29" s="14">
        <f>SUM('ALPINE VALLEY:WOODLAND'!C26)</f>
        <v>72634</v>
      </c>
      <c r="D29" s="14">
        <f>SUM('ALPINE VALLEY:WOODLAND'!D26)</f>
        <v>30750</v>
      </c>
      <c r="E29" s="14">
        <f>SUM('ALPINE VALLEY:WOODLAND'!E26)</f>
        <v>103384</v>
      </c>
      <c r="F29" s="14">
        <f>SUM('ALPINE VALLEY:WOODLAND'!F26)</f>
        <v>0</v>
      </c>
      <c r="G29" s="14">
        <f>SUM('ALPINE VALLEY:WOODLAND'!G26)</f>
        <v>103384</v>
      </c>
      <c r="H29" s="92">
        <f>IF($G$211=0,0,G29/$G$211)</f>
        <v>2.0803965739350438E-4</v>
      </c>
      <c r="J29" s="111">
        <f t="shared" si="2"/>
        <v>5.5405379333703472E-2</v>
      </c>
      <c r="K29" s="25">
        <v>0</v>
      </c>
      <c r="L29" s="118">
        <f>SUM('ALPINE VALLEY:WOODLAND'!J26)</f>
        <v>2211.71</v>
      </c>
      <c r="M29" s="118">
        <f>SUM('ALPINE VALLEY:WOODLAND'!K26)</f>
        <v>2571.71</v>
      </c>
      <c r="N29" s="119"/>
      <c r="O29" s="120">
        <f>IF(L29=0,0,G29/M29)</f>
        <v>40.200489168685429</v>
      </c>
      <c r="P29" s="59"/>
      <c r="Q29" s="121">
        <f>M29/$G$231</f>
        <v>1.3782264962303506E-3</v>
      </c>
      <c r="R29" s="59"/>
    </row>
    <row r="30" spans="1:18" s="25" customFormat="1" ht="15.5">
      <c r="A30" s="32" t="s">
        <v>85</v>
      </c>
      <c r="B30" s="24" t="s">
        <v>17</v>
      </c>
      <c r="C30" s="14">
        <f>SUM('ALPINE VALLEY:WOODLAND'!C27)</f>
        <v>18175341.09</v>
      </c>
      <c r="D30" s="14">
        <f>SUM('ALPINE VALLEY:WOODLAND'!D27)</f>
        <v>-6754866.1486450443</v>
      </c>
      <c r="E30" s="14">
        <f>SUM('ALPINE VALLEY:WOODLAND'!E27)</f>
        <v>11420474.941354958</v>
      </c>
      <c r="F30" s="14">
        <f>SUM('ALPINE VALLEY:WOODLAND'!F27)</f>
        <v>1136749.25</v>
      </c>
      <c r="G30" s="14">
        <f>SUM('ALPINE VALLEY:WOODLAND'!G27)</f>
        <v>12557224.191354958</v>
      </c>
      <c r="H30" s="92">
        <f>IF($G$211=0,0,G30/$G$211)</f>
        <v>2.5268906393473949E-2</v>
      </c>
      <c r="J30" s="111">
        <f t="shared" si="2"/>
        <v>6.7296464607712929</v>
      </c>
      <c r="K30" s="25">
        <v>1898.21</v>
      </c>
      <c r="L30" s="118">
        <f>SUM('ALPINE VALLEY:WOODLAND'!J27)</f>
        <v>653623.41142857133</v>
      </c>
      <c r="M30" s="118">
        <f>SUM('ALPINE VALLEY:WOODLAND'!K27)</f>
        <v>701378.84285714279</v>
      </c>
      <c r="N30" s="119"/>
      <c r="O30" s="120">
        <f>IF(L30=0,0,G30/M30)</f>
        <v>17.903625578726817</v>
      </c>
      <c r="P30" s="59"/>
      <c r="Q30" s="121">
        <f>M30/$G$231</f>
        <v>0.37588176937566736</v>
      </c>
      <c r="R30" s="59"/>
    </row>
    <row r="31" spans="1:18" s="25" customFormat="1" ht="15.5">
      <c r="A31" s="32" t="s">
        <v>86</v>
      </c>
      <c r="B31" s="24" t="s">
        <v>45</v>
      </c>
      <c r="C31" s="14">
        <f>SUM('ALPINE VALLEY:WOODLAND'!C28)</f>
        <v>18826839.02</v>
      </c>
      <c r="D31" s="14">
        <f>SUM('ALPINE VALLEY:WOODLAND'!D28)</f>
        <v>-14824554.652467577</v>
      </c>
      <c r="E31" s="14">
        <f>SUM('ALPINE VALLEY:WOODLAND'!E28)</f>
        <v>4002284.3675324256</v>
      </c>
      <c r="F31" s="14">
        <f>SUM('ALPINE VALLEY:WOODLAND'!F28)</f>
        <v>121161.94999999995</v>
      </c>
      <c r="G31" s="14">
        <f>SUM('ALPINE VALLEY:WOODLAND'!G28)</f>
        <v>4123446.3175324248</v>
      </c>
      <c r="H31" s="92">
        <f>IF($G$211=0,0,G31/$G$211)</f>
        <v>8.2976123885703107E-3</v>
      </c>
      <c r="J31" s="111">
        <f t="shared" si="2"/>
        <v>2.2098304126852</v>
      </c>
      <c r="L31" s="69"/>
      <c r="M31" s="69"/>
      <c r="N31" s="69"/>
      <c r="O31" s="71"/>
      <c r="P31" s="59"/>
      <c r="Q31" s="71"/>
      <c r="R31" s="59"/>
    </row>
    <row r="32" spans="1:18" s="25" customFormat="1" ht="15.5">
      <c r="A32" s="32" t="s">
        <v>175</v>
      </c>
      <c r="B32" s="24" t="s">
        <v>20</v>
      </c>
      <c r="C32" s="14">
        <f>SUM('ALPINE VALLEY:WOODLAND'!C29)</f>
        <v>14461.76</v>
      </c>
      <c r="D32" s="14">
        <f>SUM('ALPINE VALLEY:WOODLAND'!D29)</f>
        <v>-1189</v>
      </c>
      <c r="E32" s="14">
        <f>SUM('ALPINE VALLEY:WOODLAND'!E29)</f>
        <v>13272.76</v>
      </c>
      <c r="F32" s="14">
        <f>SUM('ALPINE VALLEY:WOODLAND'!F29)</f>
        <v>227</v>
      </c>
      <c r="G32" s="14">
        <f>SUM('ALPINE VALLEY:WOODLAND'!G29)</f>
        <v>13499.76</v>
      </c>
      <c r="H32" s="92">
        <f t="shared" ref="H32:H64" si="3">IF($G$211=0,0,G32/$G$211)</f>
        <v>2.7165571512947212E-5</v>
      </c>
      <c r="J32" s="111">
        <f t="shared" si="2"/>
        <v>7.2347686654990794E-3</v>
      </c>
      <c r="L32" s="69"/>
      <c r="M32" s="69"/>
      <c r="N32" s="69"/>
      <c r="O32" s="71"/>
      <c r="P32" s="59"/>
      <c r="Q32" s="71"/>
      <c r="R32" s="59"/>
    </row>
    <row r="33" spans="1:18" s="25" customFormat="1" ht="15.5">
      <c r="A33" s="32" t="s">
        <v>88</v>
      </c>
      <c r="B33" s="24" t="s">
        <v>22</v>
      </c>
      <c r="C33" s="14">
        <f>SUM('ALPINE VALLEY:WOODLAND'!C30)</f>
        <v>5942788.6999999993</v>
      </c>
      <c r="D33" s="14">
        <f>SUM('ALPINE VALLEY:WOODLAND'!D30)</f>
        <v>-1551533.9113960001</v>
      </c>
      <c r="E33" s="14">
        <f>SUM('ALPINE VALLEY:WOODLAND'!E30)</f>
        <v>4391254.7886039997</v>
      </c>
      <c r="F33" s="14">
        <f>SUM('ALPINE VALLEY:WOODLAND'!F30)</f>
        <v>-45515</v>
      </c>
      <c r="G33" s="14">
        <f>SUM('ALPINE VALLEY:WOODLAND'!G30)</f>
        <v>4345739.7886039997</v>
      </c>
      <c r="H33" s="92">
        <f t="shared" si="3"/>
        <v>8.7449336139295859E-3</v>
      </c>
      <c r="J33" s="111">
        <f t="shared" si="2"/>
        <v>2.3289615556872723</v>
      </c>
      <c r="L33" s="69"/>
      <c r="M33" s="69"/>
      <c r="N33" s="69"/>
      <c r="O33" s="71"/>
      <c r="P33" s="59"/>
      <c r="Q33" s="71"/>
      <c r="R33" s="59"/>
    </row>
    <row r="34" spans="1:18" s="25" customFormat="1" ht="15.5">
      <c r="A34" s="32" t="s">
        <v>89</v>
      </c>
      <c r="B34" s="24" t="s">
        <v>148</v>
      </c>
      <c r="C34" s="14">
        <f>SUM('ALPINE VALLEY:WOODLAND'!C31)</f>
        <v>15635765.42</v>
      </c>
      <c r="D34" s="14">
        <f>SUM('ALPINE VALLEY:WOODLAND'!D31)</f>
        <v>408866.7854188187</v>
      </c>
      <c r="E34" s="14">
        <f>SUM('ALPINE VALLEY:WOODLAND'!E31)</f>
        <v>16044632.205418818</v>
      </c>
      <c r="F34" s="14">
        <f>SUM('ALPINE VALLEY:WOODLAND'!F31)</f>
        <v>1175694.3599999999</v>
      </c>
      <c r="G34" s="14">
        <f>SUM('ALPINE VALLEY:WOODLAND'!G31)</f>
        <v>17220326.565418817</v>
      </c>
      <c r="H34" s="92">
        <f t="shared" si="3"/>
        <v>3.465246884308977E-2</v>
      </c>
      <c r="J34" s="111">
        <f t="shared" si="2"/>
        <v>9.228688439287323</v>
      </c>
      <c r="L34" s="69"/>
      <c r="M34" s="69"/>
      <c r="N34" s="69"/>
      <c r="O34" s="71"/>
      <c r="P34" s="59"/>
      <c r="Q34" s="71"/>
      <c r="R34" s="59"/>
    </row>
    <row r="35" spans="1:18" s="25" customFormat="1" ht="15.5">
      <c r="A35" s="32" t="s">
        <v>90</v>
      </c>
      <c r="B35" s="24" t="s">
        <v>23</v>
      </c>
      <c r="C35" s="14">
        <f>SUM('ALPINE VALLEY:WOODLAND'!C32)</f>
        <v>454265</v>
      </c>
      <c r="D35" s="14">
        <f>SUM('ALPINE VALLEY:WOODLAND'!D32)</f>
        <v>-376738.12</v>
      </c>
      <c r="E35" s="14">
        <f>SUM('ALPINE VALLEY:WOODLAND'!E32)</f>
        <v>77526.880000000019</v>
      </c>
      <c r="F35" s="14">
        <f>SUM('ALPINE VALLEY:WOODLAND'!F32)</f>
        <v>-62912</v>
      </c>
      <c r="G35" s="14">
        <f>SUM('ALPINE VALLEY:WOODLAND'!G32)</f>
        <v>14614.880000000014</v>
      </c>
      <c r="H35" s="92">
        <f t="shared" si="3"/>
        <v>2.9409527857765052E-5</v>
      </c>
      <c r="J35" s="111">
        <f t="shared" si="2"/>
        <v>7.8323818996803851E-3</v>
      </c>
      <c r="L35" s="69"/>
      <c r="M35" s="69"/>
      <c r="N35" s="69"/>
      <c r="O35" s="71"/>
      <c r="P35" s="59"/>
      <c r="Q35" s="71"/>
      <c r="R35" s="59"/>
    </row>
    <row r="36" spans="1:18" s="25" customFormat="1" ht="15.5">
      <c r="A36" s="32" t="s">
        <v>91</v>
      </c>
      <c r="B36" s="24" t="s">
        <v>24</v>
      </c>
      <c r="C36" s="14">
        <f>SUM('ALPINE VALLEY:WOODLAND'!C33)</f>
        <v>1479835.34</v>
      </c>
      <c r="D36" s="14">
        <f>SUM('ALPINE VALLEY:WOODLAND'!D33)</f>
        <v>-2307</v>
      </c>
      <c r="E36" s="14">
        <f>SUM('ALPINE VALLEY:WOODLAND'!E33)</f>
        <v>1477528.34</v>
      </c>
      <c r="F36" s="14">
        <f>SUM('ALPINE VALLEY:WOODLAND'!F33)</f>
        <v>99643.989999999991</v>
      </c>
      <c r="G36" s="14">
        <f>SUM('ALPINE VALLEY:WOODLAND'!G33)</f>
        <v>1577172.33</v>
      </c>
      <c r="H36" s="92">
        <f t="shared" si="3"/>
        <v>3.1737444012972515E-3</v>
      </c>
      <c r="J36" s="111">
        <f t="shared" si="2"/>
        <v>0.84523554145971291</v>
      </c>
      <c r="L36" s="69"/>
      <c r="M36" s="69"/>
      <c r="N36" s="69"/>
      <c r="O36" s="71"/>
      <c r="P36" s="59"/>
      <c r="Q36" s="71"/>
      <c r="R36" s="59"/>
    </row>
    <row r="37" spans="1:18" s="25" customFormat="1" ht="15.5">
      <c r="A37" s="32" t="s">
        <v>92</v>
      </c>
      <c r="B37" s="24" t="s">
        <v>25</v>
      </c>
      <c r="C37" s="14">
        <f>SUM('ALPINE VALLEY:WOODLAND'!C34)</f>
        <v>1127159.5599999996</v>
      </c>
      <c r="D37" s="14">
        <f>SUM('ALPINE VALLEY:WOODLAND'!D34)</f>
        <v>-36576.729999999996</v>
      </c>
      <c r="E37" s="14">
        <f>SUM('ALPINE VALLEY:WOODLAND'!E34)</f>
        <v>1090582.8299999996</v>
      </c>
      <c r="F37" s="14">
        <f>SUM('ALPINE VALLEY:WOODLAND'!F34)</f>
        <v>151501.82</v>
      </c>
      <c r="G37" s="14">
        <f>SUM('ALPINE VALLEY:WOODLAND'!G34)</f>
        <v>1242084.6499999999</v>
      </c>
      <c r="H37" s="92">
        <f t="shared" si="3"/>
        <v>2.4994473520054436E-3</v>
      </c>
      <c r="J37" s="111">
        <f t="shared" si="2"/>
        <v>0.66565591578793926</v>
      </c>
      <c r="L37" s="69"/>
      <c r="M37" s="69"/>
      <c r="N37" s="69"/>
      <c r="O37" s="71"/>
      <c r="P37" s="59"/>
      <c r="Q37" s="71"/>
      <c r="R37" s="59"/>
    </row>
    <row r="38" spans="1:18" s="25" customFormat="1" ht="15.5">
      <c r="A38" s="32" t="s">
        <v>93</v>
      </c>
      <c r="B38" s="24" t="s">
        <v>26</v>
      </c>
      <c r="C38" s="14">
        <f>SUM('ALPINE VALLEY:WOODLAND'!C35)</f>
        <v>1406208.45</v>
      </c>
      <c r="D38" s="14">
        <f>SUM('ALPINE VALLEY:WOODLAND'!D35)</f>
        <v>-2081.09</v>
      </c>
      <c r="E38" s="14">
        <f>SUM('ALPINE VALLEY:WOODLAND'!E35)</f>
        <v>1404127.3599999999</v>
      </c>
      <c r="F38" s="14">
        <f>SUM('ALPINE VALLEY:WOODLAND'!F35)</f>
        <v>167864.52</v>
      </c>
      <c r="G38" s="14">
        <f>SUM('ALPINE VALLEY:WOODLAND'!G35)</f>
        <v>1571991.88</v>
      </c>
      <c r="H38" s="92">
        <f t="shared" si="3"/>
        <v>3.1633197800488549E-3</v>
      </c>
      <c r="J38" s="111">
        <f t="shared" si="2"/>
        <v>0.8424592434119561</v>
      </c>
      <c r="L38" s="69"/>
      <c r="M38" s="69"/>
      <c r="N38" s="69"/>
      <c r="O38" s="71"/>
      <c r="P38" s="59"/>
      <c r="Q38" s="71"/>
      <c r="R38" s="59"/>
    </row>
    <row r="39" spans="1:18" s="25" customFormat="1" ht="15.5">
      <c r="A39" s="32" t="s">
        <v>94</v>
      </c>
      <c r="B39" s="24" t="s">
        <v>27</v>
      </c>
      <c r="C39" s="14">
        <f>SUM('ALPINE VALLEY:WOODLAND'!C36)</f>
        <v>1868609.41</v>
      </c>
      <c r="D39" s="14">
        <f>SUM('ALPINE VALLEY:WOODLAND'!D36)</f>
        <v>291551</v>
      </c>
      <c r="E39" s="14">
        <f>SUM('ALPINE VALLEY:WOODLAND'!E36)</f>
        <v>2160160.41</v>
      </c>
      <c r="F39" s="14">
        <f>SUM('ALPINE VALLEY:WOODLAND'!F36)</f>
        <v>297161.05</v>
      </c>
      <c r="G39" s="14">
        <f>SUM('ALPINE VALLEY:WOODLAND'!G36)</f>
        <v>2457321.46</v>
      </c>
      <c r="H39" s="92">
        <f t="shared" si="3"/>
        <v>4.9448687866991596E-3</v>
      </c>
      <c r="J39" s="111">
        <f t="shared" si="2"/>
        <v>1.3169235823352747</v>
      </c>
      <c r="L39" s="69"/>
      <c r="M39" s="69"/>
      <c r="N39" s="69"/>
      <c r="O39" s="71"/>
      <c r="P39" s="59"/>
      <c r="Q39" s="71"/>
      <c r="R39" s="59"/>
    </row>
    <row r="40" spans="1:18" s="25" customFormat="1" ht="15.5">
      <c r="A40" s="35">
        <v>130</v>
      </c>
      <c r="B40" s="24" t="s">
        <v>28</v>
      </c>
      <c r="C40" s="14">
        <f>SUM('ALPINE VALLEY:WOODLAND'!C37)</f>
        <v>31000</v>
      </c>
      <c r="D40" s="14">
        <f>SUM('ALPINE VALLEY:WOODLAND'!D37)</f>
        <v>0</v>
      </c>
      <c r="E40" s="14">
        <f>SUM('ALPINE VALLEY:WOODLAND'!E37)</f>
        <v>31000</v>
      </c>
      <c r="F40" s="14">
        <f>SUM('ALPINE VALLEY:WOODLAND'!F37)</f>
        <v>0</v>
      </c>
      <c r="G40" s="14">
        <f>SUM('ALPINE VALLEY:WOODLAND'!G37)</f>
        <v>31000</v>
      </c>
      <c r="H40" s="92">
        <f t="shared" si="3"/>
        <v>6.2381310253024021E-5</v>
      </c>
      <c r="J40" s="111">
        <f t="shared" si="2"/>
        <v>1.6613467841685443E-2</v>
      </c>
      <c r="L40" s="69"/>
      <c r="M40" s="69"/>
      <c r="N40" s="69"/>
      <c r="O40" s="71"/>
      <c r="P40" s="59"/>
      <c r="Q40" s="71"/>
      <c r="R40" s="59"/>
    </row>
    <row r="41" spans="1:18" s="25" customFormat="1" ht="15.5">
      <c r="A41" s="35">
        <v>140</v>
      </c>
      <c r="B41" s="24" t="s">
        <v>149</v>
      </c>
      <c r="C41" s="14">
        <f>SUM('ALPINE VALLEY:WOODLAND'!C38)</f>
        <v>1184925.8</v>
      </c>
      <c r="D41" s="14">
        <f>SUM('ALPINE VALLEY:WOODLAND'!D38)</f>
        <v>204071.88</v>
      </c>
      <c r="E41" s="14">
        <f>SUM('ALPINE VALLEY:WOODLAND'!E38)</f>
        <v>1388997.68</v>
      </c>
      <c r="F41" s="14">
        <f>SUM('ALPINE VALLEY:WOODLAND'!F38)</f>
        <v>72987.200000000012</v>
      </c>
      <c r="G41" s="14">
        <f>SUM('ALPINE VALLEY:WOODLAND'!G38)</f>
        <v>1461984.88</v>
      </c>
      <c r="H41" s="92">
        <f t="shared" si="3"/>
        <v>2.9419526575648414E-3</v>
      </c>
      <c r="J41" s="111">
        <f t="shared" si="2"/>
        <v>0.78350447706162407</v>
      </c>
      <c r="L41" s="69"/>
      <c r="M41" s="69"/>
      <c r="N41" s="69"/>
      <c r="O41" s="71"/>
      <c r="P41" s="59"/>
      <c r="Q41" s="71"/>
      <c r="R41" s="59"/>
    </row>
    <row r="42" spans="1:18" s="25" customFormat="1" ht="15.5">
      <c r="A42" s="35">
        <v>150</v>
      </c>
      <c r="B42" s="24" t="s">
        <v>29</v>
      </c>
      <c r="C42" s="14">
        <f>SUM('ALPINE VALLEY:WOODLAND'!C39)</f>
        <v>1936291.5899999999</v>
      </c>
      <c r="D42" s="14">
        <f>SUM('ALPINE VALLEY:WOODLAND'!D39)</f>
        <v>93977.220000000016</v>
      </c>
      <c r="E42" s="14">
        <f>SUM('ALPINE VALLEY:WOODLAND'!E39)</f>
        <v>2030268.8099999996</v>
      </c>
      <c r="F42" s="14">
        <f>SUM('ALPINE VALLEY:WOODLAND'!F39)</f>
        <v>332723.3</v>
      </c>
      <c r="G42" s="14">
        <f>SUM('ALPINE VALLEY:WOODLAND'!G39)</f>
        <v>2362992.1099999994</v>
      </c>
      <c r="H42" s="92">
        <f t="shared" si="3"/>
        <v>4.7550498044954138E-3</v>
      </c>
      <c r="J42" s="111">
        <f t="shared" si="2"/>
        <v>1.2663707557948845</v>
      </c>
      <c r="L42" s="69"/>
      <c r="M42" s="69"/>
      <c r="N42" s="69"/>
      <c r="O42" s="71"/>
      <c r="P42" s="59"/>
      <c r="Q42" s="71"/>
      <c r="R42" s="59"/>
    </row>
    <row r="43" spans="1:18" s="25" customFormat="1" ht="15.5">
      <c r="A43" s="35">
        <v>160</v>
      </c>
      <c r="B43" s="24" t="s">
        <v>30</v>
      </c>
      <c r="C43" s="14">
        <f>SUM('ALPINE VALLEY:WOODLAND'!C40)</f>
        <v>62310</v>
      </c>
      <c r="D43" s="14">
        <f>SUM('ALPINE VALLEY:WOODLAND'!D40)</f>
        <v>12067</v>
      </c>
      <c r="E43" s="14">
        <f>SUM('ALPINE VALLEY:WOODLAND'!E40)</f>
        <v>74377</v>
      </c>
      <c r="F43" s="14">
        <f>SUM('ALPINE VALLEY:WOODLAND'!F40)</f>
        <v>0</v>
      </c>
      <c r="G43" s="14">
        <f>SUM('ALPINE VALLEY:WOODLAND'!G40)</f>
        <v>74377</v>
      </c>
      <c r="H43" s="92">
        <f t="shared" si="3"/>
        <v>1.4966886169965056E-4</v>
      </c>
      <c r="J43" s="111">
        <f t="shared" si="2"/>
        <v>3.9859996698743162E-2</v>
      </c>
      <c r="L43" s="69"/>
      <c r="M43" s="69"/>
      <c r="N43" s="69"/>
      <c r="O43" s="71"/>
      <c r="P43" s="59"/>
      <c r="Q43" s="71"/>
      <c r="R43" s="59"/>
    </row>
    <row r="44" spans="1:18" s="25" customFormat="1" ht="15.5">
      <c r="A44" s="35">
        <v>170</v>
      </c>
      <c r="B44" s="24" t="s">
        <v>31</v>
      </c>
      <c r="C44" s="14">
        <f>SUM('ALPINE VALLEY:WOODLAND'!C41)</f>
        <v>22023436.880000003</v>
      </c>
      <c r="D44" s="14">
        <f>SUM('ALPINE VALLEY:WOODLAND'!D41)</f>
        <v>-5472.4400000000205</v>
      </c>
      <c r="E44" s="14">
        <f>SUM('ALPINE VALLEY:WOODLAND'!E41)</f>
        <v>22017964.440000001</v>
      </c>
      <c r="F44" s="14">
        <f>SUM('ALPINE VALLEY:WOODLAND'!F41)</f>
        <v>2754980.6999999997</v>
      </c>
      <c r="G44" s="14">
        <f>SUM('ALPINE VALLEY:WOODLAND'!G41)</f>
        <v>24772945.140000008</v>
      </c>
      <c r="H44" s="92">
        <f t="shared" si="3"/>
        <v>4.985060569869304E-2</v>
      </c>
      <c r="J44" s="111">
        <f t="shared" si="2"/>
        <v>13.276275078297671</v>
      </c>
      <c r="L44" s="69"/>
      <c r="M44" s="69"/>
      <c r="N44" s="69"/>
      <c r="O44" s="71"/>
      <c r="P44" s="59"/>
      <c r="Q44" s="71"/>
      <c r="R44" s="59"/>
    </row>
    <row r="45" spans="1:18" s="25" customFormat="1" ht="15.5">
      <c r="A45" s="35">
        <v>180</v>
      </c>
      <c r="B45" s="24" t="s">
        <v>32</v>
      </c>
      <c r="C45" s="14">
        <f>SUM('ALPINE VALLEY:WOODLAND'!C42)</f>
        <v>936314.85000000009</v>
      </c>
      <c r="D45" s="14">
        <f>SUM('ALPINE VALLEY:WOODLAND'!D42)</f>
        <v>-22475.22</v>
      </c>
      <c r="E45" s="14">
        <f>SUM('ALPINE VALLEY:WOODLAND'!E42)</f>
        <v>913839.63000000012</v>
      </c>
      <c r="F45" s="14">
        <f>SUM('ALPINE VALLEY:WOODLAND'!F42)</f>
        <v>88271.41</v>
      </c>
      <c r="G45" s="14">
        <f>SUM('ALPINE VALLEY:WOODLAND'!G42)</f>
        <v>1002111.04</v>
      </c>
      <c r="H45" s="92">
        <f t="shared" si="3"/>
        <v>2.0165483772329215E-3</v>
      </c>
      <c r="J45" s="111">
        <f t="shared" si="2"/>
        <v>0.53704966247864372</v>
      </c>
      <c r="L45" s="69"/>
      <c r="M45" s="69"/>
      <c r="N45" s="69"/>
      <c r="O45" s="71"/>
      <c r="P45" s="59"/>
      <c r="Q45" s="71"/>
      <c r="R45" s="59"/>
    </row>
    <row r="46" spans="1:18" s="25" customFormat="1" ht="15.5">
      <c r="A46" s="35">
        <v>190</v>
      </c>
      <c r="B46" s="24" t="s">
        <v>33</v>
      </c>
      <c r="C46" s="14">
        <f>SUM('ALPINE VALLEY:WOODLAND'!C43)</f>
        <v>280384.81</v>
      </c>
      <c r="D46" s="14">
        <f>SUM('ALPINE VALLEY:WOODLAND'!D43)</f>
        <v>-280384.81</v>
      </c>
      <c r="E46" s="14">
        <f>SUM('ALPINE VALLEY:WOODLAND'!E43)</f>
        <v>0</v>
      </c>
      <c r="F46" s="14">
        <f>SUM('ALPINE VALLEY:WOODLAND'!F43)</f>
        <v>0</v>
      </c>
      <c r="G46" s="14">
        <f>SUM('ALPINE VALLEY:WOODLAND'!G43)</f>
        <v>0</v>
      </c>
      <c r="H46" s="92">
        <f t="shared" si="3"/>
        <v>0</v>
      </c>
      <c r="J46" s="111">
        <f t="shared" si="2"/>
        <v>0</v>
      </c>
      <c r="L46" s="69"/>
      <c r="M46" s="69"/>
      <c r="N46" s="69"/>
      <c r="O46" s="71"/>
      <c r="P46" s="59"/>
      <c r="Q46" s="71"/>
      <c r="R46" s="59"/>
    </row>
    <row r="47" spans="1:18" s="25" customFormat="1" ht="15.5">
      <c r="A47" s="35">
        <v>200</v>
      </c>
      <c r="B47" s="24" t="s">
        <v>34</v>
      </c>
      <c r="C47" s="14">
        <f>SUM('ALPINE VALLEY:WOODLAND'!C44)</f>
        <v>8388815.6000000015</v>
      </c>
      <c r="D47" s="14">
        <f>SUM('ALPINE VALLEY:WOODLAND'!D44)</f>
        <v>-8388815.6000000015</v>
      </c>
      <c r="E47" s="14">
        <f>SUM('ALPINE VALLEY:WOODLAND'!E44)</f>
        <v>0</v>
      </c>
      <c r="F47" s="14">
        <f>SUM('ALPINE VALLEY:WOODLAND'!F44)</f>
        <v>0</v>
      </c>
      <c r="G47" s="14">
        <f>SUM('ALPINE VALLEY:WOODLAND'!G44)</f>
        <v>0</v>
      </c>
      <c r="H47" s="92">
        <f t="shared" si="3"/>
        <v>0</v>
      </c>
      <c r="J47" s="111">
        <f t="shared" si="2"/>
        <v>0</v>
      </c>
      <c r="L47" s="69"/>
      <c r="M47" s="69"/>
      <c r="N47" s="69"/>
      <c r="O47" s="71"/>
      <c r="P47" s="59"/>
      <c r="Q47" s="71"/>
      <c r="R47" s="59"/>
    </row>
    <row r="48" spans="1:18" s="25" customFormat="1" ht="15.5">
      <c r="A48" s="35">
        <v>210</v>
      </c>
      <c r="B48" s="24" t="s">
        <v>35</v>
      </c>
      <c r="C48" s="14">
        <f>SUM('ALPINE VALLEY:WOODLAND'!C45)</f>
        <v>14329.38</v>
      </c>
      <c r="D48" s="14">
        <f>SUM('ALPINE VALLEY:WOODLAND'!D45)</f>
        <v>-14329.38</v>
      </c>
      <c r="E48" s="14">
        <f>SUM('ALPINE VALLEY:WOODLAND'!E45)</f>
        <v>0</v>
      </c>
      <c r="F48" s="14">
        <f>SUM('ALPINE VALLEY:WOODLAND'!F45)</f>
        <v>0</v>
      </c>
      <c r="G48" s="14">
        <f>SUM('ALPINE VALLEY:WOODLAND'!G45)</f>
        <v>0</v>
      </c>
      <c r="H48" s="92">
        <f t="shared" si="3"/>
        <v>0</v>
      </c>
      <c r="J48" s="111">
        <f t="shared" si="2"/>
        <v>0</v>
      </c>
      <c r="L48" s="69"/>
      <c r="M48" s="69"/>
      <c r="N48" s="69"/>
      <c r="O48" s="71"/>
      <c r="P48" s="59"/>
      <c r="Q48" s="71"/>
      <c r="R48" s="59"/>
    </row>
    <row r="49" spans="1:18" s="25" customFormat="1" ht="15.5">
      <c r="A49" s="35">
        <v>220</v>
      </c>
      <c r="B49" s="24" t="s">
        <v>190</v>
      </c>
      <c r="C49" s="14">
        <f>SUM('ALPINE VALLEY:WOODLAND'!C46)</f>
        <v>2249097.92</v>
      </c>
      <c r="D49" s="14">
        <f>SUM('ALPINE VALLEY:WOODLAND'!D46)</f>
        <v>-80017</v>
      </c>
      <c r="E49" s="14">
        <f>SUM('ALPINE VALLEY:WOODLAND'!E46)</f>
        <v>2169080.92</v>
      </c>
      <c r="F49" s="14">
        <f>SUM('ALPINE VALLEY:WOODLAND'!F46)</f>
        <v>149008.63</v>
      </c>
      <c r="G49" s="14">
        <f>SUM('ALPINE VALLEY:WOODLAND'!G46)</f>
        <v>2318089.5499999998</v>
      </c>
      <c r="H49" s="92">
        <f t="shared" si="3"/>
        <v>4.6646923681562206E-3</v>
      </c>
      <c r="J49" s="111">
        <f t="shared" si="2"/>
        <v>1.2423066513894216</v>
      </c>
      <c r="L49" s="69"/>
      <c r="M49" s="69"/>
      <c r="N49" s="69"/>
      <c r="O49" s="71"/>
      <c r="P49" s="59"/>
      <c r="Q49" s="71"/>
      <c r="R49" s="59"/>
    </row>
    <row r="50" spans="1:18" s="25" customFormat="1" ht="15.5">
      <c r="A50" s="35">
        <v>230</v>
      </c>
      <c r="B50" s="24" t="s">
        <v>191</v>
      </c>
      <c r="C50" s="14">
        <f>SUM('ALPINE VALLEY:WOODLAND'!C47)</f>
        <v>4376191.37</v>
      </c>
      <c r="D50" s="14">
        <f>SUM('ALPINE VALLEY:WOODLAND'!D47)</f>
        <v>-266049.22666666674</v>
      </c>
      <c r="E50" s="14">
        <f>SUM('ALPINE VALLEY:WOODLAND'!E47)</f>
        <v>4110142.1433333331</v>
      </c>
      <c r="F50" s="14">
        <f>SUM('ALPINE VALLEY:WOODLAND'!F47)</f>
        <v>523834.25</v>
      </c>
      <c r="G50" s="14">
        <f>SUM('ALPINE VALLEY:WOODLAND'!G47)</f>
        <v>4633976.3933333326</v>
      </c>
      <c r="H50" s="92">
        <f t="shared" si="3"/>
        <v>9.324952228958577E-3</v>
      </c>
      <c r="J50" s="111">
        <f t="shared" si="2"/>
        <v>2.4834328319281553</v>
      </c>
      <c r="L50" s="69"/>
      <c r="M50" s="69"/>
      <c r="N50" s="69"/>
      <c r="O50" s="71"/>
      <c r="P50" s="59"/>
      <c r="Q50" s="71"/>
      <c r="R50" s="59"/>
    </row>
    <row r="51" spans="1:18" s="25" customFormat="1" ht="15.5">
      <c r="A51" s="35">
        <v>240</v>
      </c>
      <c r="B51" s="24" t="s">
        <v>201</v>
      </c>
      <c r="C51" s="14">
        <f>SUM('ALPINE VALLEY:WOODLAND'!C48)</f>
        <v>24205.5</v>
      </c>
      <c r="D51" s="14">
        <f>SUM('ALPINE VALLEY:WOODLAND'!D48)</f>
        <v>-24205.5</v>
      </c>
      <c r="E51" s="14">
        <f>SUM('ALPINE VALLEY:WOODLAND'!E48)</f>
        <v>0</v>
      </c>
      <c r="F51" s="14">
        <f>SUM('ALPINE VALLEY:WOODLAND'!F48)</f>
        <v>0</v>
      </c>
      <c r="G51" s="14">
        <f>SUM('ALPINE VALLEY:WOODLAND'!G48)</f>
        <v>0</v>
      </c>
      <c r="H51" s="92">
        <f t="shared" si="3"/>
        <v>0</v>
      </c>
      <c r="J51" s="111">
        <f t="shared" si="2"/>
        <v>0</v>
      </c>
      <c r="L51" s="69"/>
      <c r="M51" s="69"/>
      <c r="N51" s="69"/>
      <c r="O51" s="71"/>
      <c r="P51" s="59"/>
      <c r="Q51" s="71"/>
      <c r="R51" s="59"/>
    </row>
    <row r="52" spans="1:18" s="25" customFormat="1" ht="15.5">
      <c r="A52" s="35">
        <v>250</v>
      </c>
      <c r="B52" s="24" t="s">
        <v>202</v>
      </c>
      <c r="C52" s="14">
        <f>SUM('ALPINE VALLEY:WOODLAND'!C49)</f>
        <v>31855.71</v>
      </c>
      <c r="D52" s="14">
        <f>SUM('ALPINE VALLEY:WOODLAND'!D49)</f>
        <v>5444</v>
      </c>
      <c r="E52" s="14">
        <f>SUM('ALPINE VALLEY:WOODLAND'!E49)</f>
        <v>37299.71</v>
      </c>
      <c r="F52" s="14">
        <f>SUM('ALPINE VALLEY:WOODLAND'!F49)</f>
        <v>0</v>
      </c>
      <c r="G52" s="14">
        <f>SUM('ALPINE VALLEY:WOODLAND'!G49)</f>
        <v>37299.71</v>
      </c>
      <c r="H52" s="92">
        <f t="shared" si="3"/>
        <v>7.5058218769607178E-5</v>
      </c>
      <c r="J52" s="111">
        <f t="shared" si="2"/>
        <v>1.9989597825457835E-2</v>
      </c>
      <c r="L52" s="69"/>
      <c r="M52" s="69"/>
      <c r="N52" s="69"/>
      <c r="O52" s="71"/>
      <c r="P52" s="59"/>
      <c r="Q52" s="71"/>
      <c r="R52" s="59"/>
    </row>
    <row r="53" spans="1:18" s="25" customFormat="1" ht="15.5">
      <c r="A53" s="35">
        <v>270</v>
      </c>
      <c r="B53" s="24" t="s">
        <v>203</v>
      </c>
      <c r="C53" s="14">
        <f>SUM('ALPINE VALLEY:WOODLAND'!C50)</f>
        <v>271019.22000000003</v>
      </c>
      <c r="D53" s="14">
        <f>SUM('ALPINE VALLEY:WOODLAND'!D50)</f>
        <v>-271019.22000000003</v>
      </c>
      <c r="E53" s="14">
        <f>SUM('ALPINE VALLEY:WOODLAND'!E50)</f>
        <v>0</v>
      </c>
      <c r="F53" s="14">
        <f>SUM('ALPINE VALLEY:WOODLAND'!F50)</f>
        <v>0</v>
      </c>
      <c r="G53" s="14">
        <f>SUM('ALPINE VALLEY:WOODLAND'!G50)</f>
        <v>0</v>
      </c>
      <c r="H53" s="92">
        <f t="shared" si="3"/>
        <v>0</v>
      </c>
      <c r="J53" s="111">
        <f t="shared" si="2"/>
        <v>0</v>
      </c>
      <c r="L53" s="69"/>
      <c r="M53" s="69"/>
      <c r="N53" s="69"/>
      <c r="O53" s="71"/>
      <c r="P53" s="59"/>
      <c r="Q53" s="71"/>
      <c r="R53" s="59"/>
    </row>
    <row r="54" spans="1:18" s="25" customFormat="1" ht="15.5">
      <c r="A54" s="35">
        <v>280</v>
      </c>
      <c r="B54" s="24" t="s">
        <v>204</v>
      </c>
      <c r="C54" s="14">
        <f>SUM('ALPINE VALLEY:WOODLAND'!C51)</f>
        <v>998170.26</v>
      </c>
      <c r="D54" s="14">
        <f>SUM('ALPINE VALLEY:WOODLAND'!D51)</f>
        <v>227727.28922857143</v>
      </c>
      <c r="E54" s="14">
        <f>SUM('ALPINE VALLEY:WOODLAND'!E51)</f>
        <v>1225897.5492285714</v>
      </c>
      <c r="F54" s="14">
        <f>SUM('ALPINE VALLEY:WOODLAND'!F51)</f>
        <v>99240.15</v>
      </c>
      <c r="G54" s="14">
        <f>SUM('ALPINE VALLEY:WOODLAND'!G51)</f>
        <v>1325137.6992285713</v>
      </c>
      <c r="H54" s="92">
        <f t="shared" si="3"/>
        <v>2.6665750304372881E-3</v>
      </c>
      <c r="J54" s="111">
        <f t="shared" si="2"/>
        <v>0.71016556619157756</v>
      </c>
      <c r="K54" s="25">
        <v>0</v>
      </c>
      <c r="L54" s="118">
        <f>SUM('ALPINE VALLEY:WOODLAND'!J51)</f>
        <v>89613.84</v>
      </c>
      <c r="M54" s="118">
        <f>SUM('ALPINE VALLEY:WOODLAND'!K51)</f>
        <v>96479.701428571425</v>
      </c>
      <c r="N54" s="119"/>
      <c r="O54" s="120">
        <f>IF(L54=0,0,G54/M54)</f>
        <v>13.73488598749069</v>
      </c>
      <c r="P54" s="59"/>
      <c r="Q54" s="121">
        <f>M54/$G$231</f>
        <v>5.1705239259967235E-2</v>
      </c>
      <c r="R54" s="59"/>
    </row>
    <row r="55" spans="1:18" s="25" customFormat="1" ht="15.5">
      <c r="A55" s="35">
        <v>290</v>
      </c>
      <c r="B55" s="24" t="s">
        <v>205</v>
      </c>
      <c r="C55" s="14">
        <f>SUM('ALPINE VALLEY:WOODLAND'!C52)</f>
        <v>89997</v>
      </c>
      <c r="D55" s="14">
        <f>SUM('ALPINE VALLEY:WOODLAND'!D52)</f>
        <v>116886.46547275838</v>
      </c>
      <c r="E55" s="14">
        <f>SUM('ALPINE VALLEY:WOODLAND'!E52)</f>
        <v>206883.4654727584</v>
      </c>
      <c r="F55" s="14">
        <f>SUM('ALPINE VALLEY:WOODLAND'!F52)</f>
        <v>22003.11</v>
      </c>
      <c r="G55" s="14">
        <f>SUM('ALPINE VALLEY:WOODLAND'!G52)</f>
        <v>228886.57547275838</v>
      </c>
      <c r="H55" s="92">
        <f t="shared" si="3"/>
        <v>4.6058853152639804E-4</v>
      </c>
      <c r="J55" s="111">
        <f t="shared" si="2"/>
        <v>0.1226645084196832</v>
      </c>
      <c r="L55" s="69"/>
      <c r="M55" s="69"/>
      <c r="N55" s="69"/>
      <c r="O55" s="71"/>
      <c r="P55" s="59"/>
      <c r="Q55" s="122"/>
      <c r="R55" s="59"/>
    </row>
    <row r="56" spans="1:18" s="25" customFormat="1" ht="15.5">
      <c r="A56" s="35">
        <v>300</v>
      </c>
      <c r="B56" s="24" t="s">
        <v>206</v>
      </c>
      <c r="C56" s="14">
        <f>SUM('ALPINE VALLEY:WOODLAND'!C53)</f>
        <v>42808.24</v>
      </c>
      <c r="D56" s="14">
        <f>SUM('ALPINE VALLEY:WOODLAND'!D53)</f>
        <v>-38711</v>
      </c>
      <c r="E56" s="14">
        <f>SUM('ALPINE VALLEY:WOODLAND'!E53)</f>
        <v>4097.24</v>
      </c>
      <c r="F56" s="14">
        <f>SUM('ALPINE VALLEY:WOODLAND'!F53)</f>
        <v>74.489999999999995</v>
      </c>
      <c r="G56" s="14">
        <f>SUM('ALPINE VALLEY:WOODLAND'!G53)</f>
        <v>4171.7300000000005</v>
      </c>
      <c r="H56" s="92">
        <f t="shared" si="3"/>
        <v>8.3947736587692876E-6</v>
      </c>
      <c r="J56" s="111">
        <f t="shared" si="2"/>
        <v>2.2357065225546585E-3</v>
      </c>
      <c r="L56" s="69"/>
      <c r="M56" s="69"/>
      <c r="N56" s="69"/>
      <c r="O56" s="71"/>
      <c r="P56" s="59"/>
      <c r="Q56" s="122"/>
      <c r="R56" s="59"/>
    </row>
    <row r="57" spans="1:18" s="25" customFormat="1" ht="15.5">
      <c r="A57" s="35">
        <v>310</v>
      </c>
      <c r="B57" s="24" t="s">
        <v>207</v>
      </c>
      <c r="C57" s="14">
        <f>SUM('ALPINE VALLEY:WOODLAND'!C54)</f>
        <v>467504.88</v>
      </c>
      <c r="D57" s="14">
        <f>SUM('ALPINE VALLEY:WOODLAND'!D54)</f>
        <v>14651</v>
      </c>
      <c r="E57" s="14">
        <f>SUM('ALPINE VALLEY:WOODLAND'!E54)</f>
        <v>482155.88</v>
      </c>
      <c r="F57" s="14">
        <f>SUM('ALPINE VALLEY:WOODLAND'!F54)</f>
        <v>36199.1</v>
      </c>
      <c r="G57" s="14">
        <f>SUM('ALPINE VALLEY:WOODLAND'!G54)</f>
        <v>518354.97999999992</v>
      </c>
      <c r="H57" s="92">
        <f t="shared" si="3"/>
        <v>1.043085897696131E-3</v>
      </c>
      <c r="J57" s="111">
        <f t="shared" si="2"/>
        <v>0.27779592873572578</v>
      </c>
      <c r="L57" s="69"/>
      <c r="M57" s="69"/>
      <c r="N57" s="69"/>
      <c r="O57" s="71"/>
      <c r="P57" s="59"/>
      <c r="Q57" s="122"/>
      <c r="R57" s="59"/>
    </row>
    <row r="58" spans="1:18" s="25" customFormat="1" ht="15.5">
      <c r="A58" s="35">
        <v>320</v>
      </c>
      <c r="B58" s="24" t="s">
        <v>208</v>
      </c>
      <c r="C58" s="14">
        <f>SUM('ALPINE VALLEY:WOODLAND'!C55)</f>
        <v>903566.4500000003</v>
      </c>
      <c r="D58" s="14">
        <f>SUM('ALPINE VALLEY:WOODLAND'!D55)</f>
        <v>-638094.04</v>
      </c>
      <c r="E58" s="14">
        <f>SUM('ALPINE VALLEY:WOODLAND'!E55)</f>
        <v>265472.41000000003</v>
      </c>
      <c r="F58" s="14">
        <f>SUM('ALPINE VALLEY:WOODLAND'!F55)</f>
        <v>45281.8</v>
      </c>
      <c r="G58" s="14">
        <f>SUM('ALPINE VALLEY:WOODLAND'!G55)</f>
        <v>310754.21000000002</v>
      </c>
      <c r="H58" s="92">
        <f t="shared" si="3"/>
        <v>6.2533079956268972E-4</v>
      </c>
      <c r="J58" s="111">
        <f t="shared" si="2"/>
        <v>0.16653887337107628</v>
      </c>
      <c r="L58" s="69"/>
      <c r="M58" s="69"/>
      <c r="N58" s="69"/>
      <c r="O58" s="71"/>
      <c r="P58" s="59"/>
      <c r="Q58" s="122"/>
      <c r="R58" s="59"/>
    </row>
    <row r="59" spans="1:18" s="25" customFormat="1" ht="15.5">
      <c r="A59" s="35">
        <v>330</v>
      </c>
      <c r="B59" s="24" t="s">
        <v>48</v>
      </c>
      <c r="C59" s="14">
        <f>SUM('ALPINE VALLEY:WOODLAND'!C56)</f>
        <v>3234195.5999999996</v>
      </c>
      <c r="D59" s="14">
        <f>SUM('ALPINE VALLEY:WOODLAND'!D56)</f>
        <v>52300.14</v>
      </c>
      <c r="E59" s="14">
        <f>SUM('ALPINE VALLEY:WOODLAND'!E56)</f>
        <v>3286495.7399999998</v>
      </c>
      <c r="F59" s="14">
        <f>SUM('ALPINE VALLEY:WOODLAND'!F56)</f>
        <v>725205.62</v>
      </c>
      <c r="G59" s="14">
        <f>SUM('ALPINE VALLEY:WOODLAND'!G56)</f>
        <v>4011701.36</v>
      </c>
      <c r="H59" s="92">
        <f t="shared" si="3"/>
        <v>8.0727479735689806E-3</v>
      </c>
      <c r="J59" s="111">
        <f t="shared" si="2"/>
        <v>2.14994424305825</v>
      </c>
      <c r="L59" s="69"/>
      <c r="M59" s="69"/>
      <c r="N59" s="69"/>
      <c r="O59" s="71"/>
      <c r="P59" s="59"/>
      <c r="Q59" s="122"/>
      <c r="R59" s="59"/>
    </row>
    <row r="60" spans="1:18" s="25" customFormat="1" ht="15.5">
      <c r="A60" s="35">
        <v>340</v>
      </c>
      <c r="B60" s="24" t="s">
        <v>209</v>
      </c>
      <c r="C60" s="14">
        <f>SUM('ALPINE VALLEY:WOODLAND'!C57)</f>
        <v>307589.31000000006</v>
      </c>
      <c r="D60" s="14">
        <f>SUM('ALPINE VALLEY:WOODLAND'!D57)</f>
        <v>25622</v>
      </c>
      <c r="E60" s="14">
        <f>SUM('ALPINE VALLEY:WOODLAND'!E57)</f>
        <v>333211.31</v>
      </c>
      <c r="F60" s="14">
        <f>SUM('ALPINE VALLEY:WOODLAND'!F57)</f>
        <v>97447.31</v>
      </c>
      <c r="G60" s="14">
        <f>SUM('ALPINE VALLEY:WOODLAND'!G57)</f>
        <v>430658.62</v>
      </c>
      <c r="H60" s="92">
        <f t="shared" si="3"/>
        <v>8.666144834631992E-4</v>
      </c>
      <c r="J60" s="111">
        <f t="shared" si="2"/>
        <v>0.23079784303595582</v>
      </c>
      <c r="L60" s="69"/>
      <c r="M60" s="69"/>
      <c r="N60" s="69"/>
      <c r="O60" s="71"/>
      <c r="P60" s="59"/>
      <c r="Q60" s="122"/>
      <c r="R60" s="59"/>
    </row>
    <row r="61" spans="1:18" s="25" customFormat="1" ht="15.5">
      <c r="A61" s="35">
        <v>350</v>
      </c>
      <c r="B61" s="24" t="s">
        <v>210</v>
      </c>
      <c r="C61" s="14">
        <f>SUM('ALPINE VALLEY:WOODLAND'!C58)</f>
        <v>544550.12000000011</v>
      </c>
      <c r="D61" s="14">
        <f>SUM('ALPINE VALLEY:WOODLAND'!D58)</f>
        <v>-229968</v>
      </c>
      <c r="E61" s="14">
        <f>SUM('ALPINE VALLEY:WOODLAND'!E58)</f>
        <v>314582.12</v>
      </c>
      <c r="F61" s="14">
        <f>SUM('ALPINE VALLEY:WOODLAND'!F58)</f>
        <v>15468.72</v>
      </c>
      <c r="G61" s="14">
        <f>SUM('ALPINE VALLEY:WOODLAND'!G58)</f>
        <v>330050.83999999997</v>
      </c>
      <c r="H61" s="92">
        <f t="shared" si="3"/>
        <v>6.6416141449390938E-4</v>
      </c>
      <c r="J61" s="111">
        <f t="shared" si="2"/>
        <v>0.17688029085358925</v>
      </c>
      <c r="L61" s="69"/>
      <c r="M61" s="69"/>
      <c r="N61" s="69"/>
      <c r="O61" s="71"/>
      <c r="P61" s="59"/>
      <c r="Q61" s="122"/>
      <c r="R61" s="59"/>
    </row>
    <row r="62" spans="1:18" s="25" customFormat="1" ht="15.5">
      <c r="A62" s="35">
        <v>360</v>
      </c>
      <c r="B62" s="24" t="s">
        <v>211</v>
      </c>
      <c r="C62" s="14">
        <f>SUM('ALPINE VALLEY:WOODLAND'!C59)</f>
        <v>10441.23</v>
      </c>
      <c r="D62" s="14">
        <f>SUM('ALPINE VALLEY:WOODLAND'!D59)</f>
        <v>-591</v>
      </c>
      <c r="E62" s="14">
        <f>SUM('ALPINE VALLEY:WOODLAND'!E59)</f>
        <v>9850.23</v>
      </c>
      <c r="F62" s="14">
        <f>SUM('ALPINE VALLEY:WOODLAND'!F59)</f>
        <v>1469</v>
      </c>
      <c r="G62" s="14">
        <f>SUM('ALPINE VALLEY:WOODLAND'!G59)</f>
        <v>11319.23</v>
      </c>
      <c r="H62" s="92">
        <f t="shared" si="3"/>
        <v>2.2777690272752808E-5</v>
      </c>
      <c r="J62" s="111">
        <f t="shared" si="2"/>
        <v>6.0661826966981001E-3</v>
      </c>
      <c r="L62" s="69"/>
      <c r="M62" s="69"/>
      <c r="N62" s="69"/>
      <c r="O62" s="71"/>
      <c r="P62" s="59"/>
      <c r="Q62" s="122"/>
      <c r="R62" s="59"/>
    </row>
    <row r="63" spans="1:18" s="25" customFormat="1" ht="15.5">
      <c r="A63" s="35">
        <v>490</v>
      </c>
      <c r="B63" s="24" t="s">
        <v>266</v>
      </c>
      <c r="C63" s="14">
        <f>SUM('ALPINE VALLEY:WOODLAND'!C60)</f>
        <v>6309209.8199999994</v>
      </c>
      <c r="D63" s="14">
        <f>SUM('ALPINE VALLEY:WOODLAND'!D60)</f>
        <v>-5041339.08</v>
      </c>
      <c r="E63" s="14">
        <f>SUM('ALPINE VALLEY:WOODLAND'!E60)</f>
        <v>1267870.7400000002</v>
      </c>
      <c r="F63" s="14">
        <f>SUM('ALPINE VALLEY:WOODLAND'!F60)</f>
        <v>29571.710000000006</v>
      </c>
      <c r="G63" s="14">
        <f>SUM('ALPINE VALLEY:WOODLAND'!G60)</f>
        <v>1297442.4500000002</v>
      </c>
      <c r="H63" s="92">
        <f t="shared" si="3"/>
        <v>2.610843871254633E-3</v>
      </c>
      <c r="J63" s="111">
        <f t="shared" si="2"/>
        <v>0.69532317482298633</v>
      </c>
      <c r="L63" s="69"/>
      <c r="M63" s="69"/>
      <c r="N63" s="69"/>
      <c r="O63" s="71"/>
      <c r="P63" s="59"/>
      <c r="Q63" s="122"/>
      <c r="R63" s="59"/>
    </row>
    <row r="64" spans="1:18" s="25" customFormat="1" ht="15.5">
      <c r="A64" s="35"/>
      <c r="B64" s="3" t="s">
        <v>177</v>
      </c>
      <c r="C64" s="14">
        <f>SUM('ALPINE VALLEY:WOODLAND'!C61)</f>
        <v>125495721.27000001</v>
      </c>
      <c r="D64" s="14">
        <f>SUM('ALPINE VALLEY:WOODLAND'!D61)</f>
        <v>-34334873.949055135</v>
      </c>
      <c r="E64" s="14">
        <f>SUM('ALPINE VALLEY:WOODLAND'!E61)</f>
        <v>91160847.320944861</v>
      </c>
      <c r="F64" s="14">
        <f>SUM('ALPINE VALLEY:WOODLAND'!F61)</f>
        <v>9094711.3300000001</v>
      </c>
      <c r="G64" s="14">
        <f>SUM('ALPINE VALLEY:WOODLAND'!G61)</f>
        <v>100255558.65094487</v>
      </c>
      <c r="H64" s="92">
        <f t="shared" si="3"/>
        <v>0.20174429383209158</v>
      </c>
      <c r="J64" s="111">
        <f t="shared" si="2"/>
        <v>53.728790309602623</v>
      </c>
      <c r="L64" s="69"/>
      <c r="M64" s="69"/>
      <c r="N64" s="69"/>
      <c r="O64" s="71"/>
      <c r="P64" s="58"/>
      <c r="Q64" s="122"/>
      <c r="R64" s="58"/>
    </row>
    <row r="65" spans="1:18" s="25" customFormat="1" ht="15.5">
      <c r="A65" s="35"/>
      <c r="C65" s="17"/>
      <c r="D65" s="17"/>
      <c r="E65" s="17"/>
      <c r="F65" s="17"/>
      <c r="G65" s="17"/>
      <c r="H65" s="22"/>
      <c r="J65" s="123"/>
      <c r="L65" s="68"/>
      <c r="M65" s="68"/>
      <c r="N65" s="68"/>
      <c r="Q65" s="124"/>
    </row>
    <row r="66" spans="1:18" s="25" customFormat="1" ht="15.5">
      <c r="A66" s="32" t="s">
        <v>162</v>
      </c>
      <c r="B66" s="24" t="s">
        <v>178</v>
      </c>
      <c r="C66" s="64"/>
      <c r="D66" s="64"/>
      <c r="E66" s="64"/>
      <c r="F66" s="65"/>
      <c r="G66" s="65"/>
      <c r="H66" s="22"/>
      <c r="J66" s="123"/>
      <c r="L66" s="68"/>
      <c r="M66" s="68"/>
      <c r="N66" s="68"/>
      <c r="Q66" s="124"/>
    </row>
    <row r="67" spans="1:18" s="25" customFormat="1" ht="15.5">
      <c r="A67" s="32">
        <v>230</v>
      </c>
      <c r="B67" s="24" t="s">
        <v>253</v>
      </c>
      <c r="C67" s="14">
        <f>SUM('ALPINE VALLEY:WOODLAND'!C64)</f>
        <v>27440569.259999998</v>
      </c>
      <c r="D67" s="14">
        <f>SUM('ALPINE VALLEY:WOODLAND'!D64)</f>
        <v>-15129253.039999999</v>
      </c>
      <c r="E67" s="14">
        <f>SUM('ALPINE VALLEY:WOODLAND'!E64)</f>
        <v>12311316.220000003</v>
      </c>
      <c r="F67" s="14">
        <f>SUM('ALPINE VALLEY:WOODLAND'!F64)</f>
        <v>-1602513.2500000002</v>
      </c>
      <c r="G67" s="14">
        <f>SUM('ALPINE VALLEY:WOODLAND'!G64)</f>
        <v>10708802.970000001</v>
      </c>
      <c r="H67" s="92">
        <f t="shared" ref="H67:H81" si="4">IF($G$211=0,0,G67/$G$211)</f>
        <v>2.1549327758389521E-2</v>
      </c>
      <c r="J67" s="111">
        <f t="shared" ref="J67:J82" si="5">IF(G67=0,0,G67/$G$231)</f>
        <v>5.7390436698400178</v>
      </c>
      <c r="L67" s="90"/>
      <c r="M67" s="90"/>
      <c r="N67" s="90"/>
      <c r="O67" s="112"/>
      <c r="P67" s="113"/>
      <c r="Q67" s="125"/>
      <c r="R67" s="58"/>
    </row>
    <row r="68" spans="1:18" s="25" customFormat="1" ht="15.5">
      <c r="A68" s="32">
        <v>240</v>
      </c>
      <c r="B68" s="24" t="s">
        <v>254</v>
      </c>
      <c r="C68" s="14">
        <f>SUM('ALPINE VALLEY:WOODLAND'!C65)</f>
        <v>4921967.870000001</v>
      </c>
      <c r="D68" s="14">
        <f>SUM('ALPINE VALLEY:WOODLAND'!D65)</f>
        <v>3925024.23</v>
      </c>
      <c r="E68" s="14">
        <f>SUM('ALPINE VALLEY:WOODLAND'!E65)</f>
        <v>8846992.0999999996</v>
      </c>
      <c r="F68" s="14">
        <f>SUM('ALPINE VALLEY:WOODLAND'!F65)</f>
        <v>1875082.3199999998</v>
      </c>
      <c r="G68" s="14">
        <f>SUM('ALPINE VALLEY:WOODLAND'!G65)</f>
        <v>10722074.42</v>
      </c>
      <c r="H68" s="92">
        <f t="shared" si="4"/>
        <v>2.1576033901613955E-2</v>
      </c>
      <c r="J68" s="111">
        <f t="shared" si="5"/>
        <v>5.746156082994454</v>
      </c>
      <c r="L68" s="90"/>
      <c r="M68" s="90"/>
      <c r="N68" s="90"/>
      <c r="O68" s="112"/>
      <c r="P68" s="113"/>
      <c r="Q68" s="125"/>
      <c r="R68" s="58"/>
    </row>
    <row r="69" spans="1:18" s="25" customFormat="1" ht="15.5">
      <c r="A69" s="32">
        <v>250</v>
      </c>
      <c r="B69" s="24" t="s">
        <v>255</v>
      </c>
      <c r="C69" s="14">
        <f>SUM('ALPINE VALLEY:WOODLAND'!C66)</f>
        <v>3783791</v>
      </c>
      <c r="D69" s="14">
        <f>SUM('ALPINE VALLEY:WOODLAND'!D66)</f>
        <v>2912035.23</v>
      </c>
      <c r="E69" s="14">
        <f>SUM('ALPINE VALLEY:WOODLAND'!E66)</f>
        <v>6695826.2300000004</v>
      </c>
      <c r="F69" s="14">
        <f>SUM('ALPINE VALLEY:WOODLAND'!F66)</f>
        <v>2153881.37</v>
      </c>
      <c r="G69" s="14">
        <f>SUM('ALPINE VALLEY:WOODLAND'!G66)</f>
        <v>8849707.5999999978</v>
      </c>
      <c r="H69" s="92">
        <f t="shared" si="4"/>
        <v>1.7808269530456274E-2</v>
      </c>
      <c r="J69" s="111">
        <f t="shared" si="5"/>
        <v>4.7427204071264262</v>
      </c>
      <c r="L69" s="90"/>
      <c r="M69" s="90"/>
      <c r="N69" s="90"/>
      <c r="O69" s="112"/>
      <c r="P69" s="113"/>
      <c r="Q69" s="125"/>
      <c r="R69" s="58"/>
    </row>
    <row r="70" spans="1:18" s="25" customFormat="1" ht="15.5">
      <c r="A70" s="32">
        <v>260</v>
      </c>
      <c r="B70" s="24" t="s">
        <v>256</v>
      </c>
      <c r="C70" s="14">
        <f>SUM('ALPINE VALLEY:WOODLAND'!C67)</f>
        <v>2112167.0200000005</v>
      </c>
      <c r="D70" s="14">
        <f>SUM('ALPINE VALLEY:WOODLAND'!D67)</f>
        <v>232534.43999999997</v>
      </c>
      <c r="E70" s="14">
        <f>SUM('ALPINE VALLEY:WOODLAND'!E67)</f>
        <v>2344701.46</v>
      </c>
      <c r="F70" s="14">
        <f>SUM('ALPINE VALLEY:WOODLAND'!F67)</f>
        <v>120152.79000000001</v>
      </c>
      <c r="G70" s="14">
        <f>SUM('ALPINE VALLEY:WOODLAND'!G67)</f>
        <v>2464854.25</v>
      </c>
      <c r="H70" s="92">
        <f t="shared" si="4"/>
        <v>4.9600270225075753E-3</v>
      </c>
      <c r="J70" s="111">
        <f t="shared" si="5"/>
        <v>1.3209605424779576</v>
      </c>
      <c r="L70" s="90"/>
      <c r="M70" s="90"/>
      <c r="N70" s="90"/>
      <c r="O70" s="112"/>
      <c r="P70" s="113"/>
      <c r="Q70" s="125"/>
      <c r="R70" s="58"/>
    </row>
    <row r="71" spans="1:18" s="25" customFormat="1" ht="15.5">
      <c r="A71" s="32">
        <v>270</v>
      </c>
      <c r="B71" s="24" t="s">
        <v>257</v>
      </c>
      <c r="C71" s="14">
        <f>SUM('ALPINE VALLEY:WOODLAND'!C68)</f>
        <v>870631.17999999993</v>
      </c>
      <c r="D71" s="14">
        <f>SUM('ALPINE VALLEY:WOODLAND'!D68)</f>
        <v>100103.33</v>
      </c>
      <c r="E71" s="14">
        <f>SUM('ALPINE VALLEY:WOODLAND'!E68)</f>
        <v>970734.50999999989</v>
      </c>
      <c r="F71" s="14">
        <f>SUM('ALPINE VALLEY:WOODLAND'!F68)</f>
        <v>35090.69</v>
      </c>
      <c r="G71" s="14">
        <f>SUM('ALPINE VALLEY:WOODLAND'!G68)</f>
        <v>1005825.1999999998</v>
      </c>
      <c r="H71" s="92">
        <f t="shared" si="4"/>
        <v>2.0240223826293526E-3</v>
      </c>
      <c r="J71" s="111">
        <f t="shared" si="5"/>
        <v>0.53904014885667173</v>
      </c>
      <c r="L71" s="90"/>
      <c r="M71" s="90"/>
      <c r="N71" s="90"/>
      <c r="O71" s="112"/>
      <c r="P71" s="113"/>
      <c r="Q71" s="125"/>
      <c r="R71" s="58"/>
    </row>
    <row r="72" spans="1:18" s="25" customFormat="1" ht="15.5">
      <c r="A72" s="32">
        <v>280</v>
      </c>
      <c r="B72" s="24" t="s">
        <v>258</v>
      </c>
      <c r="C72" s="14">
        <f>SUM('ALPINE VALLEY:WOODLAND'!C69)</f>
        <v>259780.79000000007</v>
      </c>
      <c r="D72" s="14">
        <f>SUM('ALPINE VALLEY:WOODLAND'!D69)</f>
        <v>8237</v>
      </c>
      <c r="E72" s="14">
        <f>SUM('ALPINE VALLEY:WOODLAND'!E69)</f>
        <v>268017.79000000004</v>
      </c>
      <c r="F72" s="14">
        <f>SUM('ALPINE VALLEY:WOODLAND'!F69)</f>
        <v>43852.43</v>
      </c>
      <c r="G72" s="14">
        <f>SUM('ALPINE VALLEY:WOODLAND'!G69)</f>
        <v>311870.21999999997</v>
      </c>
      <c r="H72" s="92">
        <f t="shared" si="4"/>
        <v>6.2757654685480181E-4</v>
      </c>
      <c r="J72" s="111">
        <f t="shared" si="5"/>
        <v>0.16713696357256011</v>
      </c>
      <c r="L72" s="90"/>
      <c r="M72" s="90"/>
      <c r="N72" s="90"/>
      <c r="O72" s="112"/>
      <c r="P72" s="113"/>
      <c r="Q72" s="125"/>
      <c r="R72" s="58"/>
    </row>
    <row r="73" spans="1:18" s="25" customFormat="1" ht="15.5">
      <c r="A73" s="32">
        <v>290</v>
      </c>
      <c r="B73" s="24" t="s">
        <v>259</v>
      </c>
      <c r="C73" s="14">
        <f>SUM('ALPINE VALLEY:WOODLAND'!C70)</f>
        <v>3664.8199999999997</v>
      </c>
      <c r="D73" s="14">
        <f>SUM('ALPINE VALLEY:WOODLAND'!D70)</f>
        <v>0</v>
      </c>
      <c r="E73" s="14">
        <f>SUM('ALPINE VALLEY:WOODLAND'!E70)</f>
        <v>3664.8199999999997</v>
      </c>
      <c r="F73" s="14">
        <f>SUM('ALPINE VALLEY:WOODLAND'!F70)</f>
        <v>-161</v>
      </c>
      <c r="G73" s="14">
        <f>SUM('ALPINE VALLEY:WOODLAND'!G70)</f>
        <v>3503.8199999999997</v>
      </c>
      <c r="H73" s="92">
        <f t="shared" si="4"/>
        <v>7.0507381448629228E-6</v>
      </c>
      <c r="J73" s="111">
        <f t="shared" si="5"/>
        <v>1.8777613191307831E-3</v>
      </c>
      <c r="L73" s="90"/>
      <c r="M73" s="90"/>
      <c r="N73" s="90"/>
      <c r="O73" s="112"/>
      <c r="P73" s="113"/>
      <c r="Q73" s="125"/>
      <c r="R73" s="58"/>
    </row>
    <row r="74" spans="1:18" s="25" customFormat="1" ht="15.5">
      <c r="A74" s="32">
        <v>300</v>
      </c>
      <c r="B74" s="24" t="s">
        <v>260</v>
      </c>
      <c r="C74" s="14">
        <f>SUM('ALPINE VALLEY:WOODLAND'!C71)</f>
        <v>185</v>
      </c>
      <c r="D74" s="14">
        <f>SUM('ALPINE VALLEY:WOODLAND'!D71)</f>
        <v>0</v>
      </c>
      <c r="E74" s="14">
        <f>SUM('ALPINE VALLEY:WOODLAND'!E71)</f>
        <v>185</v>
      </c>
      <c r="F74" s="14">
        <f>SUM('ALPINE VALLEY:WOODLAND'!F71)</f>
        <v>715</v>
      </c>
      <c r="G74" s="14">
        <f>SUM('ALPINE VALLEY:WOODLAND'!G71)</f>
        <v>900</v>
      </c>
      <c r="H74" s="92">
        <f t="shared" si="4"/>
        <v>1.8110702976684395E-6</v>
      </c>
      <c r="J74" s="111">
        <f t="shared" si="5"/>
        <v>4.8232648572635154E-4</v>
      </c>
      <c r="L74" s="90"/>
      <c r="M74" s="90"/>
      <c r="N74" s="90"/>
      <c r="O74" s="112"/>
      <c r="P74" s="113"/>
      <c r="Q74" s="125"/>
      <c r="R74" s="58"/>
    </row>
    <row r="75" spans="1:18" s="25" customFormat="1" ht="15.5">
      <c r="A75" s="32">
        <v>310</v>
      </c>
      <c r="B75" s="2" t="s">
        <v>261</v>
      </c>
      <c r="C75" s="14">
        <f>SUM('ALPINE VALLEY:WOODLAND'!C72)</f>
        <v>236511.63000000003</v>
      </c>
      <c r="D75" s="14">
        <f>SUM('ALPINE VALLEY:WOODLAND'!D72)</f>
        <v>23650.32</v>
      </c>
      <c r="E75" s="14">
        <f>SUM('ALPINE VALLEY:WOODLAND'!E72)</f>
        <v>260161.95000000004</v>
      </c>
      <c r="F75" s="14">
        <f>SUM('ALPINE VALLEY:WOODLAND'!F72)</f>
        <v>43313.87</v>
      </c>
      <c r="G75" s="14">
        <f>SUM('ALPINE VALLEY:WOODLAND'!G72)</f>
        <v>303475.82000000007</v>
      </c>
      <c r="H75" s="92">
        <f t="shared" si="4"/>
        <v>6.1068449295841542E-4</v>
      </c>
      <c r="J75" s="111">
        <f t="shared" si="5"/>
        <v>0.16263825084835873</v>
      </c>
      <c r="L75" s="90"/>
      <c r="M75" s="90"/>
      <c r="N75" s="90"/>
      <c r="O75" s="112"/>
      <c r="P75" s="113"/>
      <c r="Q75" s="125"/>
      <c r="R75" s="58"/>
    </row>
    <row r="76" spans="1:18" s="25" customFormat="1" ht="15.5">
      <c r="A76" s="32">
        <v>320</v>
      </c>
      <c r="B76" s="2" t="s">
        <v>262</v>
      </c>
      <c r="C76" s="14">
        <f>SUM('ALPINE VALLEY:WOODLAND'!C73)</f>
        <v>1785835.0299999998</v>
      </c>
      <c r="D76" s="14">
        <f>SUM('ALPINE VALLEY:WOODLAND'!D73)</f>
        <v>-278116.34000000003</v>
      </c>
      <c r="E76" s="14">
        <f>SUM('ALPINE VALLEY:WOODLAND'!E73)</f>
        <v>1507718.69</v>
      </c>
      <c r="F76" s="14">
        <f>SUM('ALPINE VALLEY:WOODLAND'!F73)</f>
        <v>19197.900000000001</v>
      </c>
      <c r="G76" s="14">
        <f>SUM('ALPINE VALLEY:WOODLAND'!G73)</f>
        <v>1526916.5899999999</v>
      </c>
      <c r="H76" s="92">
        <f t="shared" si="4"/>
        <v>3.0726147590735314E-3</v>
      </c>
      <c r="J76" s="111">
        <f t="shared" si="5"/>
        <v>0.81830256983551586</v>
      </c>
      <c r="L76" s="90"/>
      <c r="M76" s="90"/>
      <c r="N76" s="90"/>
      <c r="O76" s="112"/>
      <c r="P76" s="113"/>
      <c r="Q76" s="125"/>
      <c r="R76" s="58"/>
    </row>
    <row r="77" spans="1:18" s="25" customFormat="1" ht="15.5">
      <c r="A77" s="32">
        <v>330</v>
      </c>
      <c r="B77" s="2" t="s">
        <v>263</v>
      </c>
      <c r="C77" s="14">
        <f>SUM('ALPINE VALLEY:WOODLAND'!C74)</f>
        <v>4050258.88</v>
      </c>
      <c r="D77" s="14">
        <f>SUM('ALPINE VALLEY:WOODLAND'!D74)</f>
        <v>1447472.0635416668</v>
      </c>
      <c r="E77" s="14">
        <f>SUM('ALPINE VALLEY:WOODLAND'!E74)</f>
        <v>5497730.9435416656</v>
      </c>
      <c r="F77" s="14">
        <f>SUM('ALPINE VALLEY:WOODLAND'!F74)</f>
        <v>498135.94999999995</v>
      </c>
      <c r="G77" s="14">
        <f>SUM('ALPINE VALLEY:WOODLAND'!G74)</f>
        <v>5995866.8935416648</v>
      </c>
      <c r="H77" s="92">
        <f t="shared" si="4"/>
        <v>1.2065484932963159E-2</v>
      </c>
      <c r="J77" s="111">
        <f t="shared" si="5"/>
        <v>3.2132948973832529</v>
      </c>
      <c r="L77" s="90"/>
      <c r="M77" s="90"/>
      <c r="N77" s="90"/>
      <c r="O77" s="112"/>
      <c r="P77" s="113"/>
      <c r="Q77" s="125"/>
      <c r="R77" s="58"/>
    </row>
    <row r="78" spans="1:18" s="25" customFormat="1" ht="15.5">
      <c r="A78" s="32">
        <v>340</v>
      </c>
      <c r="B78" s="2" t="s">
        <v>264</v>
      </c>
      <c r="C78" s="14">
        <f>SUM('ALPINE VALLEY:WOODLAND'!C75)</f>
        <v>65301</v>
      </c>
      <c r="D78" s="14">
        <f>SUM('ALPINE VALLEY:WOODLAND'!D75)</f>
        <v>67909</v>
      </c>
      <c r="E78" s="14">
        <f>SUM('ALPINE VALLEY:WOODLAND'!E75)</f>
        <v>133210</v>
      </c>
      <c r="F78" s="14">
        <f>SUM('ALPINE VALLEY:WOODLAND'!F75)</f>
        <v>0</v>
      </c>
      <c r="G78" s="14">
        <f>SUM('ALPINE VALLEY:WOODLAND'!G75)</f>
        <v>133210</v>
      </c>
      <c r="H78" s="92">
        <f t="shared" si="4"/>
        <v>2.6805852705823647E-4</v>
      </c>
      <c r="J78" s="111">
        <f t="shared" si="5"/>
        <v>7.1389679070674769E-2</v>
      </c>
      <c r="L78" s="90"/>
      <c r="M78" s="90"/>
      <c r="N78" s="90"/>
      <c r="O78" s="112"/>
      <c r="P78" s="113"/>
      <c r="Q78" s="125"/>
      <c r="R78" s="58"/>
    </row>
    <row r="79" spans="1:18" s="25" customFormat="1" ht="15.5">
      <c r="A79" s="32">
        <v>350</v>
      </c>
      <c r="B79" s="2" t="s">
        <v>265</v>
      </c>
      <c r="C79" s="14">
        <f>SUM('ALPINE VALLEY:WOODLAND'!C76)</f>
        <v>192097.43999999997</v>
      </c>
      <c r="D79" s="14">
        <f>SUM('ALPINE VALLEY:WOODLAND'!D76)</f>
        <v>29785.870000000003</v>
      </c>
      <c r="E79" s="14">
        <f>SUM('ALPINE VALLEY:WOODLAND'!E76)</f>
        <v>221883.31</v>
      </c>
      <c r="F79" s="14">
        <f>SUM('ALPINE VALLEY:WOODLAND'!F76)</f>
        <v>25236.28</v>
      </c>
      <c r="G79" s="14">
        <f>SUM('ALPINE VALLEY:WOODLAND'!G76)</f>
        <v>247119.59</v>
      </c>
      <c r="H79" s="92">
        <f t="shared" si="4"/>
        <v>4.9727883269000297E-4</v>
      </c>
      <c r="J79" s="111">
        <f t="shared" si="5"/>
        <v>0.13243591488759648</v>
      </c>
      <c r="L79" s="90"/>
      <c r="M79" s="90"/>
      <c r="N79" s="90"/>
      <c r="O79" s="112"/>
      <c r="P79" s="113"/>
      <c r="Q79" s="125"/>
      <c r="R79" s="58"/>
    </row>
    <row r="80" spans="1:18" s="25" customFormat="1" ht="15.5">
      <c r="A80" s="32">
        <v>360</v>
      </c>
      <c r="B80" s="2" t="s">
        <v>192</v>
      </c>
      <c r="C80" s="14">
        <f>SUM('ALPINE VALLEY:WOODLAND'!C77)</f>
        <v>45039</v>
      </c>
      <c r="D80" s="14">
        <f>SUM('ALPINE VALLEY:WOODLAND'!D77)</f>
        <v>-46124</v>
      </c>
      <c r="E80" s="14">
        <f>SUM('ALPINE VALLEY:WOODLAND'!E77)</f>
        <v>-1085</v>
      </c>
      <c r="F80" s="14">
        <f>SUM('ALPINE VALLEY:WOODLAND'!F77)</f>
        <v>0</v>
      </c>
      <c r="G80" s="14">
        <f>SUM('ALPINE VALLEY:WOODLAND'!G77)</f>
        <v>-1085</v>
      </c>
      <c r="H80" s="92">
        <f t="shared" si="4"/>
        <v>-2.1833458588558409E-6</v>
      </c>
      <c r="J80" s="111">
        <f t="shared" si="5"/>
        <v>-5.8147137445899047E-4</v>
      </c>
      <c r="L80" s="90"/>
      <c r="M80" s="90"/>
      <c r="N80" s="90"/>
      <c r="O80" s="112"/>
      <c r="P80" s="113"/>
      <c r="Q80" s="125"/>
      <c r="R80" s="58"/>
    </row>
    <row r="81" spans="1:18" s="25" customFormat="1" ht="15.5">
      <c r="A81" s="32">
        <v>490</v>
      </c>
      <c r="B81" s="2" t="s">
        <v>266</v>
      </c>
      <c r="C81" s="14">
        <f>SUM('ALPINE VALLEY:WOODLAND'!C78)</f>
        <v>2278</v>
      </c>
      <c r="D81" s="14">
        <f>SUM('ALPINE VALLEY:WOODLAND'!D78)</f>
        <v>-2098</v>
      </c>
      <c r="E81" s="14">
        <f>SUM('ALPINE VALLEY:WOODLAND'!E78)</f>
        <v>180</v>
      </c>
      <c r="F81" s="14">
        <f>SUM('ALPINE VALLEY:WOODLAND'!F78)</f>
        <v>2518.96</v>
      </c>
      <c r="G81" s="14">
        <f>SUM('ALPINE VALLEY:WOODLAND'!G78)</f>
        <v>2698.96</v>
      </c>
      <c r="H81" s="92">
        <f t="shared" si="4"/>
        <v>5.4311181006613459E-6</v>
      </c>
      <c r="J81" s="111">
        <f t="shared" si="5"/>
        <v>1.4464221021288819E-3</v>
      </c>
      <c r="L81" s="90"/>
      <c r="M81" s="90"/>
      <c r="N81" s="90"/>
      <c r="O81" s="112"/>
      <c r="P81" s="113"/>
      <c r="Q81" s="125"/>
      <c r="R81" s="58"/>
    </row>
    <row r="82" spans="1:18" s="25" customFormat="1" ht="15.5">
      <c r="A82" s="35"/>
      <c r="B82" s="3" t="s">
        <v>150</v>
      </c>
      <c r="C82" s="14">
        <f>SUM('ALPINE VALLEY:WOODLAND'!C79)</f>
        <v>45770077.919999994</v>
      </c>
      <c r="D82" s="14">
        <f>SUM('ALPINE VALLEY:WOODLAND'!D79)</f>
        <v>-6708839.8964583334</v>
      </c>
      <c r="E82" s="14">
        <f>SUM('ALPINE VALLEY:WOODLAND'!E79)</f>
        <v>39061238.023541667</v>
      </c>
      <c r="F82" s="14">
        <f>SUM('ALPINE VALLEY:WOODLAND'!F79)</f>
        <v>3214503.31</v>
      </c>
      <c r="G82" s="14">
        <f>SUM('ALPINE VALLEY:WOODLAND'!G79)</f>
        <v>42275741.333541662</v>
      </c>
      <c r="H82" s="92">
        <f>SUM(H67:H81)</f>
        <v>8.507148826787915E-2</v>
      </c>
      <c r="J82" s="111">
        <f t="shared" si="5"/>
        <v>22.656344165426013</v>
      </c>
      <c r="L82" s="90"/>
      <c r="M82" s="90"/>
      <c r="N82" s="90"/>
      <c r="O82" s="112"/>
      <c r="P82" s="113"/>
      <c r="Q82" s="125"/>
      <c r="R82" s="58"/>
    </row>
    <row r="83" spans="1:18" s="25" customFormat="1" ht="15.5">
      <c r="A83" s="35"/>
      <c r="B83" s="24"/>
      <c r="C83" s="17"/>
      <c r="D83" s="17"/>
      <c r="E83" s="17"/>
      <c r="F83" s="17"/>
      <c r="G83" s="17"/>
      <c r="H83" s="72"/>
      <c r="J83" s="123"/>
      <c r="L83" s="93"/>
      <c r="M83" s="93"/>
      <c r="N83" s="93"/>
      <c r="O83" s="93"/>
      <c r="P83" s="93"/>
      <c r="Q83" s="126"/>
    </row>
    <row r="84" spans="1:18" s="25" customFormat="1" ht="15.5">
      <c r="A84" s="32" t="s">
        <v>163</v>
      </c>
      <c r="B84" s="24" t="s">
        <v>43</v>
      </c>
      <c r="C84" s="64"/>
      <c r="D84" s="64"/>
      <c r="E84" s="64"/>
      <c r="F84" s="65"/>
      <c r="G84" s="65"/>
      <c r="H84" s="94"/>
      <c r="J84" s="123"/>
      <c r="L84" s="93"/>
      <c r="M84" s="93"/>
      <c r="N84" s="93"/>
      <c r="O84" s="93"/>
      <c r="P84" s="93"/>
      <c r="Q84" s="126"/>
    </row>
    <row r="85" spans="1:18" s="25" customFormat="1" ht="15.5">
      <c r="A85" s="32" t="s">
        <v>85</v>
      </c>
      <c r="B85" s="24" t="s">
        <v>44</v>
      </c>
      <c r="C85" s="14">
        <f>SUM('ALPINE VALLEY:WOODLAND'!C82)</f>
        <v>4294807.01</v>
      </c>
      <c r="D85" s="14">
        <f>SUM('ALPINE VALLEY:WOODLAND'!D82)</f>
        <v>35781.752533308645</v>
      </c>
      <c r="E85" s="14">
        <f>SUM('ALPINE VALLEY:WOODLAND'!E82)</f>
        <v>4330588.7625333089</v>
      </c>
      <c r="F85" s="14">
        <f>SUM('ALPINE VALLEY:WOODLAND'!F82)</f>
        <v>403282.12</v>
      </c>
      <c r="G85" s="14">
        <f>SUM('ALPINE VALLEY:WOODLAND'!G82)</f>
        <v>4733870.8825333081</v>
      </c>
      <c r="H85" s="92">
        <f>IF($G$211=0,0,G85/$G$211)</f>
        <v>9.5259699426150628E-3</v>
      </c>
      <c r="J85" s="111">
        <f t="shared" ref="J85:J96" si="6">IF(G85=0,0,G85/$G$231)</f>
        <v>2.536968118505103</v>
      </c>
      <c r="K85" s="25">
        <v>1955.33</v>
      </c>
      <c r="L85" s="118">
        <f>SUM('ALPINE VALLEY:WOODLAND'!J82)</f>
        <v>249644.32714285707</v>
      </c>
      <c r="M85" s="118">
        <f>SUM('ALPINE VALLEY:WOODLAND'!K82)</f>
        <v>267956.01714285713</v>
      </c>
      <c r="N85" s="119"/>
      <c r="O85" s="120">
        <f>IF(L85=0,0,G85/M85)</f>
        <v>17.666596678847888</v>
      </c>
      <c r="P85" s="59"/>
      <c r="Q85" s="121">
        <f>M85/$G$231</f>
        <v>0.14360253786416033</v>
      </c>
      <c r="R85" s="58"/>
    </row>
    <row r="86" spans="1:18" s="25" customFormat="1" ht="15.5">
      <c r="A86" s="32" t="s">
        <v>86</v>
      </c>
      <c r="B86" s="24" t="s">
        <v>45</v>
      </c>
      <c r="C86" s="14">
        <f>SUM('ALPINE VALLEY:WOODLAND'!C83)</f>
        <v>582065.88000000012</v>
      </c>
      <c r="D86" s="14">
        <f>SUM('ALPINE VALLEY:WOODLAND'!D83)</f>
        <v>297366.78608093201</v>
      </c>
      <c r="E86" s="14">
        <f>SUM('ALPINE VALLEY:WOODLAND'!E83)</f>
        <v>879432.66608093213</v>
      </c>
      <c r="F86" s="14">
        <f>SUM('ALPINE VALLEY:WOODLAND'!F83)</f>
        <v>73792.039999999994</v>
      </c>
      <c r="G86" s="14">
        <f>SUM('ALPINE VALLEY:WOODLAND'!G83)</f>
        <v>953224.70608093205</v>
      </c>
      <c r="H86" s="92">
        <f t="shared" ref="H86:H96" si="7">IF($G$211=0,0,G86/$G$211)</f>
        <v>1.9181743913187824E-3</v>
      </c>
      <c r="J86" s="111">
        <f t="shared" si="6"/>
        <v>0.51085058065727817</v>
      </c>
      <c r="L86" s="90"/>
      <c r="M86" s="90"/>
      <c r="N86" s="90"/>
      <c r="O86" s="112"/>
      <c r="P86" s="113"/>
      <c r="Q86" s="125"/>
      <c r="R86" s="58"/>
    </row>
    <row r="87" spans="1:18" s="25" customFormat="1" ht="15.5">
      <c r="A87" s="32" t="s">
        <v>93</v>
      </c>
      <c r="B87" s="24" t="s">
        <v>47</v>
      </c>
      <c r="C87" s="14">
        <f>SUM('ALPINE VALLEY:WOODLAND'!C84)</f>
        <v>1103402.3900000001</v>
      </c>
      <c r="D87" s="14">
        <f>SUM('ALPINE VALLEY:WOODLAND'!D84)</f>
        <v>-10973.58</v>
      </c>
      <c r="E87" s="14">
        <f>SUM('ALPINE VALLEY:WOODLAND'!E84)</f>
        <v>1092428.81</v>
      </c>
      <c r="F87" s="14">
        <f>SUM('ALPINE VALLEY:WOODLAND'!F84)</f>
        <v>70622.2</v>
      </c>
      <c r="G87" s="14">
        <f>SUM('ALPINE VALLEY:WOODLAND'!G84)</f>
        <v>1163051.01</v>
      </c>
      <c r="H87" s="92">
        <f t="shared" si="7"/>
        <v>2.3404079320936432E-3</v>
      </c>
      <c r="J87" s="111">
        <f t="shared" si="6"/>
        <v>0.62330034041531523</v>
      </c>
      <c r="L87" s="90"/>
      <c r="M87" s="90"/>
      <c r="N87" s="90"/>
      <c r="O87" s="112"/>
      <c r="P87" s="113"/>
      <c r="Q87" s="125"/>
      <c r="R87" s="58"/>
    </row>
    <row r="88" spans="1:18" s="25" customFormat="1" ht="15.5">
      <c r="A88" s="32">
        <v>230</v>
      </c>
      <c r="B88" s="24" t="s">
        <v>46</v>
      </c>
      <c r="C88" s="14">
        <f>SUM('ALPINE VALLEY:WOODLAND'!C85)</f>
        <v>391037.05999999994</v>
      </c>
      <c r="D88" s="14">
        <f>SUM('ALPINE VALLEY:WOODLAND'!D85)</f>
        <v>9956</v>
      </c>
      <c r="E88" s="14">
        <f>SUM('ALPINE VALLEY:WOODLAND'!E85)</f>
        <v>400993.06</v>
      </c>
      <c r="F88" s="14">
        <f>SUM('ALPINE VALLEY:WOODLAND'!F85)</f>
        <v>35554.15</v>
      </c>
      <c r="G88" s="14">
        <f>SUM('ALPINE VALLEY:WOODLAND'!G85)</f>
        <v>436547.2099999999</v>
      </c>
      <c r="H88" s="92">
        <f t="shared" si="7"/>
        <v>8.7846409506780727E-4</v>
      </c>
      <c r="J88" s="111">
        <f t="shared" si="6"/>
        <v>0.23395364628104837</v>
      </c>
      <c r="L88" s="90"/>
      <c r="M88" s="90"/>
      <c r="N88" s="90"/>
      <c r="O88" s="112"/>
      <c r="P88" s="113"/>
      <c r="Q88" s="125"/>
      <c r="R88" s="58"/>
    </row>
    <row r="89" spans="1:18" s="25" customFormat="1" ht="15.5">
      <c r="A89" s="32">
        <v>240</v>
      </c>
      <c r="B89" s="24" t="s">
        <v>267</v>
      </c>
      <c r="C89" s="14">
        <f>SUM('ALPINE VALLEY:WOODLAND'!C86)</f>
        <v>781576.11999999988</v>
      </c>
      <c r="D89" s="14">
        <f>SUM('ALPINE VALLEY:WOODLAND'!D86)</f>
        <v>-36765.769999999997</v>
      </c>
      <c r="E89" s="14">
        <f>SUM('ALPINE VALLEY:WOODLAND'!E86)</f>
        <v>744810.35000000009</v>
      </c>
      <c r="F89" s="14">
        <f>SUM('ALPINE VALLEY:WOODLAND'!F86)</f>
        <v>47863.72</v>
      </c>
      <c r="G89" s="14">
        <f>SUM('ALPINE VALLEY:WOODLAND'!G86)</f>
        <v>792674.07000000007</v>
      </c>
      <c r="H89" s="92">
        <f t="shared" si="7"/>
        <v>1.5950982932321706E-3</v>
      </c>
      <c r="J89" s="111">
        <f t="shared" si="6"/>
        <v>0.42480855389944888</v>
      </c>
      <c r="L89" s="90"/>
      <c r="M89" s="90"/>
      <c r="N89" s="90"/>
      <c r="O89" s="112"/>
      <c r="P89" s="113"/>
      <c r="Q89" s="125"/>
      <c r="R89" s="58"/>
    </row>
    <row r="90" spans="1:18" s="25" customFormat="1" ht="15.5">
      <c r="A90" s="32">
        <v>310</v>
      </c>
      <c r="B90" s="24" t="s">
        <v>54</v>
      </c>
      <c r="C90" s="14">
        <f>SUM('ALPINE VALLEY:WOODLAND'!C87)</f>
        <v>1774853.8499999996</v>
      </c>
      <c r="D90" s="14">
        <f>SUM('ALPINE VALLEY:WOODLAND'!D87)</f>
        <v>-8405</v>
      </c>
      <c r="E90" s="14">
        <f>SUM('ALPINE VALLEY:WOODLAND'!E87)</f>
        <v>1766448.8499999996</v>
      </c>
      <c r="F90" s="14">
        <f>SUM('ALPINE VALLEY:WOODLAND'!F87)</f>
        <v>118355.15999999997</v>
      </c>
      <c r="G90" s="14">
        <f>SUM('ALPINE VALLEY:WOODLAND'!G87)</f>
        <v>1884804.0099999995</v>
      </c>
      <c r="H90" s="92">
        <f t="shared" si="7"/>
        <v>3.792791732708186E-3</v>
      </c>
      <c r="J90" s="111">
        <f t="shared" si="6"/>
        <v>1.0101009938069276</v>
      </c>
      <c r="L90" s="90"/>
      <c r="M90" s="90"/>
      <c r="N90" s="90"/>
      <c r="O90" s="112"/>
      <c r="P90" s="113"/>
      <c r="Q90" s="125"/>
      <c r="R90" s="58"/>
    </row>
    <row r="91" spans="1:18" s="25" customFormat="1" ht="15.5">
      <c r="A91" s="32">
        <v>320</v>
      </c>
      <c r="B91" s="24" t="s">
        <v>270</v>
      </c>
      <c r="C91" s="14">
        <f>SUM('ALPINE VALLEY:WOODLAND'!C88)</f>
        <v>1201721.57</v>
      </c>
      <c r="D91" s="14">
        <f>SUM('ALPINE VALLEY:WOODLAND'!D88)</f>
        <v>-79491</v>
      </c>
      <c r="E91" s="14">
        <f>SUM('ALPINE VALLEY:WOODLAND'!E88)</f>
        <v>1122230.5699999998</v>
      </c>
      <c r="F91" s="14">
        <f>SUM('ALPINE VALLEY:WOODLAND'!F88)</f>
        <v>90601.37</v>
      </c>
      <c r="G91" s="14">
        <f>SUM('ALPINE VALLEY:WOODLAND'!G88)</f>
        <v>1212831.94</v>
      </c>
      <c r="H91" s="92">
        <f t="shared" si="7"/>
        <v>2.440582113997323E-3</v>
      </c>
      <c r="J91" s="111">
        <f t="shared" si="6"/>
        <v>0.64997885266319244</v>
      </c>
      <c r="L91" s="90"/>
      <c r="M91" s="90"/>
      <c r="N91" s="90"/>
      <c r="O91" s="112"/>
      <c r="P91" s="113"/>
      <c r="Q91" s="125"/>
      <c r="R91" s="58"/>
    </row>
    <row r="92" spans="1:18" s="25" customFormat="1" ht="15.5">
      <c r="A92" s="32">
        <v>330</v>
      </c>
      <c r="B92" s="24" t="s">
        <v>269</v>
      </c>
      <c r="C92" s="14">
        <f>SUM('ALPINE VALLEY:WOODLAND'!C89)</f>
        <v>792672.49</v>
      </c>
      <c r="D92" s="14">
        <f>SUM('ALPINE VALLEY:WOODLAND'!D89)</f>
        <v>-37645.78</v>
      </c>
      <c r="E92" s="14">
        <f>SUM('ALPINE VALLEY:WOODLAND'!E89)</f>
        <v>755026.71</v>
      </c>
      <c r="F92" s="14">
        <f>SUM('ALPINE VALLEY:WOODLAND'!F89)</f>
        <v>35509.440000000002</v>
      </c>
      <c r="G92" s="14">
        <f>SUM('ALPINE VALLEY:WOODLAND'!G89)</f>
        <v>790536.14999999991</v>
      </c>
      <c r="H92" s="92">
        <f t="shared" si="7"/>
        <v>1.5907961561090688E-3</v>
      </c>
      <c r="J92" s="111">
        <f t="shared" si="6"/>
        <v>0.42366280341015539</v>
      </c>
      <c r="L92" s="90"/>
      <c r="M92" s="90"/>
      <c r="N92" s="90"/>
      <c r="O92" s="112"/>
      <c r="P92" s="113"/>
      <c r="Q92" s="125"/>
      <c r="R92" s="58"/>
    </row>
    <row r="93" spans="1:18" s="25" customFormat="1" ht="15.5">
      <c r="A93" s="35">
        <v>340</v>
      </c>
      <c r="B93" s="24" t="s">
        <v>268</v>
      </c>
      <c r="C93" s="14">
        <f>SUM('ALPINE VALLEY:WOODLAND'!C90)</f>
        <v>352977.58</v>
      </c>
      <c r="D93" s="14">
        <f>SUM('ALPINE VALLEY:WOODLAND'!D90)</f>
        <v>-7231</v>
      </c>
      <c r="E93" s="14">
        <f>SUM('ALPINE VALLEY:WOODLAND'!E90)</f>
        <v>345746.58</v>
      </c>
      <c r="F93" s="14">
        <f>SUM('ALPINE VALLEY:WOODLAND'!F90)</f>
        <v>1983</v>
      </c>
      <c r="G93" s="14">
        <f>SUM('ALPINE VALLEY:WOODLAND'!G90)</f>
        <v>347729.58</v>
      </c>
      <c r="H93" s="92">
        <f t="shared" si="7"/>
        <v>6.9973634884302387E-4</v>
      </c>
      <c r="J93" s="111">
        <f t="shared" si="6"/>
        <v>0.18635465144944469</v>
      </c>
      <c r="L93" s="90"/>
      <c r="M93" s="90"/>
      <c r="N93" s="90"/>
      <c r="O93" s="112"/>
      <c r="P93" s="113"/>
      <c r="Q93" s="125"/>
      <c r="R93" s="58"/>
    </row>
    <row r="94" spans="1:18" s="25" customFormat="1" ht="15.5">
      <c r="A94" s="35">
        <v>350</v>
      </c>
      <c r="B94" s="24" t="s">
        <v>49</v>
      </c>
      <c r="C94" s="14">
        <f>SUM('ALPINE VALLEY:WOODLAND'!C91)</f>
        <v>8229022.6599999992</v>
      </c>
      <c r="D94" s="14">
        <f>SUM('ALPINE VALLEY:WOODLAND'!D91)</f>
        <v>-55563</v>
      </c>
      <c r="E94" s="14">
        <f>SUM('ALPINE VALLEY:WOODLAND'!E91)</f>
        <v>8173459.6599999992</v>
      </c>
      <c r="F94" s="14">
        <f>SUM('ALPINE VALLEY:WOODLAND'!F91)</f>
        <v>697037.24</v>
      </c>
      <c r="G94" s="14">
        <f>SUM('ALPINE VALLEY:WOODLAND'!G91)</f>
        <v>8870496.8999999985</v>
      </c>
      <c r="H94" s="92">
        <f t="shared" si="7"/>
        <v>1.7850103845722186E-2</v>
      </c>
      <c r="J94" s="111">
        <f t="shared" si="6"/>
        <v>4.7538617738038829</v>
      </c>
      <c r="L94" s="90"/>
      <c r="M94" s="90"/>
      <c r="N94" s="90"/>
      <c r="O94" s="112"/>
      <c r="P94" s="113"/>
      <c r="Q94" s="125"/>
      <c r="R94" s="58"/>
    </row>
    <row r="95" spans="1:18" s="25" customFormat="1" ht="15.5">
      <c r="A95" s="35">
        <v>490</v>
      </c>
      <c r="B95" s="2" t="s">
        <v>271</v>
      </c>
      <c r="C95" s="14">
        <f>SUM('ALPINE VALLEY:WOODLAND'!C92)</f>
        <v>88264.75</v>
      </c>
      <c r="D95" s="14">
        <f>SUM('ALPINE VALLEY:WOODLAND'!D92)</f>
        <v>92914</v>
      </c>
      <c r="E95" s="14">
        <f>SUM('ALPINE VALLEY:WOODLAND'!E92)</f>
        <v>181178.75000000003</v>
      </c>
      <c r="F95" s="14">
        <f>SUM('ALPINE VALLEY:WOODLAND'!F92)</f>
        <v>14530.44</v>
      </c>
      <c r="G95" s="14">
        <f>SUM('ALPINE VALLEY:WOODLAND'!G92)</f>
        <v>195709.19000000003</v>
      </c>
      <c r="H95" s="92">
        <f t="shared" si="7"/>
        <v>3.9382566776638802E-4</v>
      </c>
      <c r="J95" s="111">
        <f t="shared" si="6"/>
        <v>0.10488413981894537</v>
      </c>
      <c r="L95" s="90"/>
      <c r="M95" s="90"/>
      <c r="N95" s="90"/>
      <c r="O95" s="112"/>
      <c r="P95" s="113"/>
      <c r="Q95" s="125"/>
      <c r="R95" s="58"/>
    </row>
    <row r="96" spans="1:18" s="25" customFormat="1" ht="15.5">
      <c r="A96" s="35"/>
      <c r="B96" s="3" t="s">
        <v>288</v>
      </c>
      <c r="C96" s="14">
        <f>SUM('ALPINE VALLEY:WOODLAND'!C93)</f>
        <v>19592401.359999996</v>
      </c>
      <c r="D96" s="14">
        <f>SUM('ALPINE VALLEY:WOODLAND'!D93)</f>
        <v>199943.4086142407</v>
      </c>
      <c r="E96" s="14">
        <f>SUM('ALPINE VALLEY:WOODLAND'!E93)</f>
        <v>19792344.76861424</v>
      </c>
      <c r="F96" s="14">
        <f>SUM('ALPINE VALLEY:WOODLAND'!F93)</f>
        <v>1589130.8800000001</v>
      </c>
      <c r="G96" s="14">
        <f>SUM('ALPINE VALLEY:WOODLAND'!G93)</f>
        <v>21381475.648614243</v>
      </c>
      <c r="H96" s="92">
        <f t="shared" si="7"/>
        <v>4.3025950519473652E-2</v>
      </c>
      <c r="J96" s="111">
        <f t="shared" si="6"/>
        <v>11.458724454710746</v>
      </c>
      <c r="L96" s="90"/>
      <c r="M96" s="90"/>
      <c r="N96" s="90"/>
      <c r="O96" s="112"/>
      <c r="P96" s="113"/>
      <c r="Q96" s="125"/>
      <c r="R96" s="58"/>
    </row>
    <row r="97" spans="1:18" s="25" customFormat="1" ht="15.5">
      <c r="A97" s="35"/>
      <c r="C97" s="17"/>
      <c r="D97" s="17"/>
      <c r="E97" s="17"/>
      <c r="F97" s="17"/>
      <c r="G97" s="17"/>
      <c r="H97" s="94"/>
      <c r="J97" s="123"/>
      <c r="L97" s="93"/>
      <c r="M97" s="93"/>
      <c r="N97" s="93"/>
      <c r="O97" s="93"/>
      <c r="P97" s="93"/>
      <c r="Q97" s="126"/>
    </row>
    <row r="98" spans="1:18" s="25" customFormat="1" ht="15.5">
      <c r="A98" s="32" t="s">
        <v>164</v>
      </c>
      <c r="B98" s="24" t="s">
        <v>51</v>
      </c>
      <c r="C98" s="64"/>
      <c r="D98" s="64"/>
      <c r="E98" s="64"/>
      <c r="F98" s="65"/>
      <c r="G98" s="65"/>
      <c r="H98" s="94"/>
      <c r="J98" s="123"/>
      <c r="L98" s="93"/>
      <c r="M98" s="93"/>
      <c r="N98" s="93"/>
      <c r="O98" s="93"/>
      <c r="P98" s="93"/>
      <c r="Q98" s="126"/>
    </row>
    <row r="99" spans="1:18" s="25" customFormat="1" ht="15.5">
      <c r="A99" s="32" t="s">
        <v>85</v>
      </c>
      <c r="B99" s="24" t="s">
        <v>44</v>
      </c>
      <c r="C99" s="14">
        <f>SUM('ALPINE VALLEY:WOODLAND'!C96)</f>
        <v>13654591.879999997</v>
      </c>
      <c r="D99" s="14">
        <f>SUM('ALPINE VALLEY:WOODLAND'!D96)</f>
        <v>262019.16244918847</v>
      </c>
      <c r="E99" s="14">
        <f>SUM('ALPINE VALLEY:WOODLAND'!E96)</f>
        <v>13916611.042449186</v>
      </c>
      <c r="F99" s="14">
        <f>SUM('ALPINE VALLEY:WOODLAND'!F96)</f>
        <v>1589597.23</v>
      </c>
      <c r="G99" s="14">
        <f>SUM('ALPINE VALLEY:WOODLAND'!G96)</f>
        <v>15506208.272449186</v>
      </c>
      <c r="H99" s="92">
        <f t="shared" ref="H99:H105" si="8">IF($G$211=0,0,G99/$G$211)</f>
        <v>3.1203148035214848E-2</v>
      </c>
      <c r="J99" s="111">
        <f t="shared" ref="J99:J105" si="9">IF(G99=0,0,G99/$G$231)</f>
        <v>8.3100610477681069</v>
      </c>
      <c r="K99" s="25">
        <v>10822.02</v>
      </c>
      <c r="L99" s="118">
        <f>SUM('ALPINE VALLEY:WOODLAND'!J96)</f>
        <v>1226376.9099999997</v>
      </c>
      <c r="M99" s="118">
        <f>SUM('ALPINE VALLEY:WOODLAND'!K96)</f>
        <v>1309172.9785714285</v>
      </c>
      <c r="N99" s="119"/>
      <c r="O99" s="120">
        <f>IF(L99=0,0,G99/M99)</f>
        <v>11.844277667088411</v>
      </c>
      <c r="P99" s="59"/>
      <c r="Q99" s="121">
        <f>M99/$G$231</f>
        <v>0.70160977995806351</v>
      </c>
      <c r="R99" s="58"/>
    </row>
    <row r="100" spans="1:18" s="25" customFormat="1" ht="15.5">
      <c r="A100" s="32" t="s">
        <v>86</v>
      </c>
      <c r="B100" s="24" t="s">
        <v>45</v>
      </c>
      <c r="C100" s="14">
        <f>SUM('ALPINE VALLEY:WOODLAND'!C97)</f>
        <v>1614850.54</v>
      </c>
      <c r="D100" s="14">
        <f>SUM('ALPINE VALLEY:WOODLAND'!D97)</f>
        <v>920105.49266859004</v>
      </c>
      <c r="E100" s="14">
        <f>SUM('ALPINE VALLEY:WOODLAND'!E97)</f>
        <v>2534956.0326685901</v>
      </c>
      <c r="F100" s="14">
        <f>SUM('ALPINE VALLEY:WOODLAND'!F97)</f>
        <v>294371.20999999996</v>
      </c>
      <c r="G100" s="14">
        <f>SUM('ALPINE VALLEY:WOODLAND'!G97)</f>
        <v>2829327.2426685896</v>
      </c>
      <c r="H100" s="92">
        <f t="shared" si="8"/>
        <v>5.6934561462013639E-3</v>
      </c>
      <c r="J100" s="111">
        <f t="shared" si="9"/>
        <v>1.5162882954735211</v>
      </c>
      <c r="L100" s="90"/>
      <c r="M100" s="90"/>
      <c r="N100" s="90"/>
      <c r="O100" s="112"/>
      <c r="P100" s="113"/>
      <c r="Q100" s="125"/>
      <c r="R100" s="58"/>
    </row>
    <row r="101" spans="1:18" s="25" customFormat="1" ht="15.5">
      <c r="A101" s="32">
        <v>310</v>
      </c>
      <c r="B101" s="24" t="s">
        <v>54</v>
      </c>
      <c r="C101" s="14">
        <f>SUM('ALPINE VALLEY:WOODLAND'!C98)</f>
        <v>5025442.93</v>
      </c>
      <c r="D101" s="14">
        <f>SUM('ALPINE VALLEY:WOODLAND'!D98)</f>
        <v>-417464</v>
      </c>
      <c r="E101" s="14">
        <f>SUM('ALPINE VALLEY:WOODLAND'!E98)</f>
        <v>4607978.93</v>
      </c>
      <c r="F101" s="14">
        <f>SUM('ALPINE VALLEY:WOODLAND'!F98)</f>
        <v>103022.64</v>
      </c>
      <c r="G101" s="14">
        <f>SUM('ALPINE VALLEY:WOODLAND'!G98)</f>
        <v>4711001.57</v>
      </c>
      <c r="H101" s="92">
        <f t="shared" si="8"/>
        <v>9.4799500174404285E-3</v>
      </c>
      <c r="J101" s="111">
        <f t="shared" si="9"/>
        <v>2.5247120350104719</v>
      </c>
      <c r="L101" s="90"/>
      <c r="M101" s="90"/>
      <c r="N101" s="90"/>
      <c r="O101" s="112"/>
      <c r="P101" s="113"/>
      <c r="Q101" s="125"/>
      <c r="R101" s="58"/>
    </row>
    <row r="102" spans="1:18" s="25" customFormat="1" ht="15.5">
      <c r="A102" s="32">
        <v>380</v>
      </c>
      <c r="B102" s="24" t="s">
        <v>52</v>
      </c>
      <c r="C102" s="14">
        <f>SUM('ALPINE VALLEY:WOODLAND'!C99)</f>
        <v>11143393.580000002</v>
      </c>
      <c r="D102" s="14">
        <f>SUM('ALPINE VALLEY:WOODLAND'!D99)</f>
        <v>234602.75000000003</v>
      </c>
      <c r="E102" s="14">
        <f>SUM('ALPINE VALLEY:WOODLAND'!E99)</f>
        <v>11377996.330000004</v>
      </c>
      <c r="F102" s="14">
        <f>SUM('ALPINE VALLEY:WOODLAND'!F99)</f>
        <v>1236621.54</v>
      </c>
      <c r="G102" s="14">
        <f>SUM('ALPINE VALLEY:WOODLAND'!G99)</f>
        <v>12614617.870000005</v>
      </c>
      <c r="H102" s="92">
        <f t="shared" si="8"/>
        <v>2.5384399711993914E-2</v>
      </c>
      <c r="J102" s="111">
        <f t="shared" si="9"/>
        <v>6.7604047844643738</v>
      </c>
      <c r="L102" s="90"/>
      <c r="M102" s="90"/>
      <c r="N102" s="90"/>
      <c r="O102" s="112"/>
      <c r="P102" s="113"/>
      <c r="Q102" s="125"/>
      <c r="R102" s="58"/>
    </row>
    <row r="103" spans="1:18" s="25" customFormat="1" ht="15.5">
      <c r="A103" s="32">
        <v>390</v>
      </c>
      <c r="B103" s="24" t="s">
        <v>53</v>
      </c>
      <c r="C103" s="14">
        <f>SUM('ALPINE VALLEY:WOODLAND'!C100)</f>
        <v>1231224.08</v>
      </c>
      <c r="D103" s="14">
        <f>SUM('ALPINE VALLEY:WOODLAND'!D100)</f>
        <v>-1909.13</v>
      </c>
      <c r="E103" s="14">
        <f>SUM('ALPINE VALLEY:WOODLAND'!E100)</f>
        <v>1229314.9500000002</v>
      </c>
      <c r="F103" s="14">
        <f>SUM('ALPINE VALLEY:WOODLAND'!F100)</f>
        <v>121366.51</v>
      </c>
      <c r="G103" s="14">
        <f>SUM('ALPINE VALLEY:WOODLAND'!G100)</f>
        <v>1350681.46</v>
      </c>
      <c r="H103" s="92">
        <f t="shared" si="8"/>
        <v>2.7179767486860467E-3</v>
      </c>
      <c r="J103" s="111">
        <f t="shared" si="9"/>
        <v>0.72385493548615287</v>
      </c>
      <c r="L103" s="90"/>
      <c r="M103" s="90"/>
      <c r="N103" s="90"/>
      <c r="O103" s="112"/>
      <c r="P103" s="113"/>
      <c r="Q103" s="125"/>
      <c r="R103" s="58"/>
    </row>
    <row r="104" spans="1:18" s="25" customFormat="1" ht="15.5">
      <c r="A104" s="32">
        <v>490</v>
      </c>
      <c r="B104" s="2" t="s">
        <v>266</v>
      </c>
      <c r="C104" s="14">
        <f>SUM('ALPINE VALLEY:WOODLAND'!C101)</f>
        <v>120199.14000000001</v>
      </c>
      <c r="D104" s="14">
        <f>SUM('ALPINE VALLEY:WOODLAND'!D101)</f>
        <v>-4426</v>
      </c>
      <c r="E104" s="14">
        <f>SUM('ALPINE VALLEY:WOODLAND'!E101)</f>
        <v>115773.14</v>
      </c>
      <c r="F104" s="14">
        <f>SUM('ALPINE VALLEY:WOODLAND'!F101)</f>
        <v>6924.5499999999993</v>
      </c>
      <c r="G104" s="14">
        <f>SUM('ALPINE VALLEY:WOODLAND'!G101)</f>
        <v>122697.69</v>
      </c>
      <c r="H104" s="92">
        <f t="shared" si="8"/>
        <v>2.4690460216836654E-4</v>
      </c>
      <c r="J104" s="111">
        <f t="shared" si="9"/>
        <v>6.5755939582712558E-2</v>
      </c>
      <c r="L104" s="90"/>
      <c r="M104" s="90"/>
      <c r="N104" s="90"/>
      <c r="O104" s="112"/>
      <c r="P104" s="113"/>
      <c r="Q104" s="125"/>
      <c r="R104" s="58"/>
    </row>
    <row r="105" spans="1:18" s="25" customFormat="1" ht="15.5">
      <c r="A105" s="32"/>
      <c r="B105" s="3" t="s">
        <v>55</v>
      </c>
      <c r="C105" s="14">
        <f>SUM('ALPINE VALLEY:WOODLAND'!C102)</f>
        <v>32789702.149999999</v>
      </c>
      <c r="D105" s="14">
        <f>SUM('ALPINE VALLEY:WOODLAND'!D102)</f>
        <v>992928.27511777834</v>
      </c>
      <c r="E105" s="14">
        <f>SUM('ALPINE VALLEY:WOODLAND'!E102)</f>
        <v>33782630.425117768</v>
      </c>
      <c r="F105" s="14">
        <f>SUM('ALPINE VALLEY:WOODLAND'!F102)</f>
        <v>3351903.68</v>
      </c>
      <c r="G105" s="14">
        <f>SUM('ALPINE VALLEY:WOODLAND'!G102)</f>
        <v>37134534.105117775</v>
      </c>
      <c r="H105" s="92">
        <f t="shared" si="8"/>
        <v>7.4725835261704954E-2</v>
      </c>
      <c r="J105" s="111">
        <f t="shared" si="9"/>
        <v>19.901077037785338</v>
      </c>
      <c r="L105" s="90"/>
      <c r="M105" s="90"/>
      <c r="N105" s="90"/>
      <c r="O105" s="112"/>
      <c r="P105" s="113"/>
      <c r="Q105" s="125"/>
      <c r="R105" s="58"/>
    </row>
    <row r="106" spans="1:18" s="25" customFormat="1" ht="15.5">
      <c r="A106" s="35"/>
      <c r="C106" s="17"/>
      <c r="D106" s="17"/>
      <c r="E106" s="17"/>
      <c r="F106" s="17"/>
      <c r="G106" s="17"/>
      <c r="H106" s="94"/>
      <c r="J106" s="123"/>
      <c r="L106" s="93"/>
      <c r="M106" s="93"/>
      <c r="N106" s="93"/>
      <c r="O106" s="93"/>
      <c r="P106" s="93"/>
      <c r="Q106" s="126"/>
    </row>
    <row r="107" spans="1:18" s="25" customFormat="1" ht="15.5">
      <c r="A107" s="32" t="s">
        <v>165</v>
      </c>
      <c r="B107" s="24" t="s">
        <v>56</v>
      </c>
      <c r="C107" s="64"/>
      <c r="D107" s="64"/>
      <c r="E107" s="64"/>
      <c r="F107" s="65"/>
      <c r="G107" s="65"/>
      <c r="H107" s="94"/>
      <c r="J107" s="123"/>
      <c r="L107" s="93"/>
      <c r="M107" s="93"/>
      <c r="N107" s="93"/>
      <c r="O107" s="93"/>
      <c r="P107" s="93"/>
      <c r="Q107" s="126"/>
    </row>
    <row r="108" spans="1:18" s="25" customFormat="1" ht="15.5">
      <c r="A108" s="32" t="s">
        <v>85</v>
      </c>
      <c r="B108" s="24" t="s">
        <v>44</v>
      </c>
      <c r="C108" s="14">
        <f>SUM('ALPINE VALLEY:WOODLAND'!C105)</f>
        <v>1583124.1600000001</v>
      </c>
      <c r="D108" s="14">
        <f>SUM('ALPINE VALLEY:WOODLAND'!D105)</f>
        <v>62644.611091905412</v>
      </c>
      <c r="E108" s="14">
        <f>SUM('ALPINE VALLEY:WOODLAND'!E105)</f>
        <v>1645768.7710919057</v>
      </c>
      <c r="F108" s="14">
        <f>SUM('ALPINE VALLEY:WOODLAND'!F105)</f>
        <v>289519.62</v>
      </c>
      <c r="G108" s="14">
        <f>SUM('ALPINE VALLEY:WOODLAND'!G105)</f>
        <v>1935288.3910919051</v>
      </c>
      <c r="H108" s="92">
        <f t="shared" ref="H108:H114" si="10">IF($G$211=0,0,G108/$G$211)</f>
        <v>3.8943814694767684E-3</v>
      </c>
      <c r="J108" s="111">
        <f t="shared" ref="J108:J114" si="11">IF(G108=0,0,G108/$G$231)</f>
        <v>1.037156498380404</v>
      </c>
      <c r="K108" s="25">
        <v>2573.69</v>
      </c>
      <c r="L108" s="118">
        <f>SUM('ALPINE VALLEY:WOODLAND'!J105 )</f>
        <v>181487.06714285715</v>
      </c>
      <c r="M108" s="118">
        <f>SUM('ALPINE VALLEY:WOODLAND'!K105 )</f>
        <v>193490.45428571428</v>
      </c>
      <c r="N108" s="119"/>
      <c r="O108" s="120">
        <f>IF(L108=0,0,G108/M108)</f>
        <v>10.001983809672572</v>
      </c>
      <c r="P108" s="59"/>
      <c r="Q108" s="121">
        <f>M108/$G$231</f>
        <v>0.10369507870802649</v>
      </c>
      <c r="R108" s="58"/>
    </row>
    <row r="109" spans="1:18" s="25" customFormat="1" ht="15.5">
      <c r="A109" s="32" t="s">
        <v>86</v>
      </c>
      <c r="B109" s="24" t="s">
        <v>45</v>
      </c>
      <c r="C109" s="14">
        <f>SUM('ALPINE VALLEY:WOODLAND'!C106)</f>
        <v>229952.24</v>
      </c>
      <c r="D109" s="14">
        <f>SUM('ALPINE VALLEY:WOODLAND'!D106)</f>
        <v>96841.016289808307</v>
      </c>
      <c r="E109" s="14">
        <f>SUM('ALPINE VALLEY:WOODLAND'!E106)</f>
        <v>326793.25628980825</v>
      </c>
      <c r="F109" s="14">
        <f>SUM('ALPINE VALLEY:WOODLAND'!F106)</f>
        <v>57159.47</v>
      </c>
      <c r="G109" s="14">
        <f>SUM('ALPINE VALLEY:WOODLAND'!G106)</f>
        <v>383952.72628980828</v>
      </c>
      <c r="H109" s="92">
        <f t="shared" si="10"/>
        <v>7.7262819810254655E-4</v>
      </c>
      <c r="J109" s="111">
        <f t="shared" si="11"/>
        <v>0.20576729906268329</v>
      </c>
      <c r="L109" s="90"/>
      <c r="M109" s="90"/>
      <c r="N109" s="90"/>
      <c r="O109" s="112"/>
      <c r="P109" s="113"/>
      <c r="Q109" s="125"/>
      <c r="R109" s="58"/>
    </row>
    <row r="110" spans="1:18" s="25" customFormat="1" ht="15.5">
      <c r="A110" s="32">
        <v>110</v>
      </c>
      <c r="B110" s="24" t="s">
        <v>47</v>
      </c>
      <c r="C110" s="14">
        <f>SUM('ALPINE VALLEY:WOODLAND'!C107)</f>
        <v>272797.80999999994</v>
      </c>
      <c r="D110" s="14">
        <f>SUM('ALPINE VALLEY:WOODLAND'!D107)</f>
        <v>-66.5</v>
      </c>
      <c r="E110" s="14">
        <f>SUM('ALPINE VALLEY:WOODLAND'!E107)</f>
        <v>272731.30999999994</v>
      </c>
      <c r="F110" s="14">
        <f>SUM('ALPINE VALLEY:WOODLAND'!F107)</f>
        <v>40254.79</v>
      </c>
      <c r="G110" s="14">
        <f>SUM('ALPINE VALLEY:WOODLAND'!G107)</f>
        <v>312986.09999999998</v>
      </c>
      <c r="H110" s="92">
        <f t="shared" si="10"/>
        <v>6.2982203254787102E-4</v>
      </c>
      <c r="J110" s="111">
        <f t="shared" si="11"/>
        <v>0.1677349841046627</v>
      </c>
      <c r="L110" s="90"/>
      <c r="M110" s="90"/>
      <c r="N110" s="90"/>
      <c r="O110" s="112"/>
      <c r="P110" s="113"/>
      <c r="Q110" s="125"/>
      <c r="R110" s="58"/>
    </row>
    <row r="111" spans="1:18" s="25" customFormat="1" ht="15.5">
      <c r="A111" s="32">
        <v>310</v>
      </c>
      <c r="B111" s="24" t="s">
        <v>54</v>
      </c>
      <c r="C111" s="14">
        <f>SUM('ALPINE VALLEY:WOODLAND'!C108)</f>
        <v>1378216.99</v>
      </c>
      <c r="D111" s="14">
        <f>SUM('ALPINE VALLEY:WOODLAND'!D108)</f>
        <v>-516</v>
      </c>
      <c r="E111" s="14">
        <f>SUM('ALPINE VALLEY:WOODLAND'!E108)</f>
        <v>1377700.99</v>
      </c>
      <c r="F111" s="14">
        <f>SUM('ALPINE VALLEY:WOODLAND'!F108)</f>
        <v>24279.690000000002</v>
      </c>
      <c r="G111" s="14">
        <f>SUM('ALPINE VALLEY:WOODLAND'!G108)</f>
        <v>1401980.68</v>
      </c>
      <c r="H111" s="92">
        <f t="shared" si="10"/>
        <v>2.8212061860588898E-3</v>
      </c>
      <c r="J111" s="111">
        <f t="shared" si="11"/>
        <v>0.75134712715626728</v>
      </c>
      <c r="L111" s="90"/>
      <c r="M111" s="90"/>
      <c r="N111" s="90"/>
      <c r="O111" s="112"/>
      <c r="P111" s="113"/>
      <c r="Q111" s="125"/>
      <c r="R111" s="58"/>
    </row>
    <row r="112" spans="1:18" s="25" customFormat="1" ht="15.5">
      <c r="A112" s="32">
        <v>410</v>
      </c>
      <c r="B112" s="24" t="s">
        <v>57</v>
      </c>
      <c r="C112" s="14">
        <f>SUM('ALPINE VALLEY:WOODLAND'!C109)</f>
        <v>414452.29</v>
      </c>
      <c r="D112" s="14">
        <f>SUM('ALPINE VALLEY:WOODLAND'!D109)</f>
        <v>0</v>
      </c>
      <c r="E112" s="14">
        <f>SUM('ALPINE VALLEY:WOODLAND'!E109)</f>
        <v>414452.29</v>
      </c>
      <c r="F112" s="14">
        <f>SUM('ALPINE VALLEY:WOODLAND'!F109)</f>
        <v>47952.22</v>
      </c>
      <c r="G112" s="14">
        <f>SUM('ALPINE VALLEY:WOODLAND'!G109)</f>
        <v>462404.51000000007</v>
      </c>
      <c r="H112" s="92">
        <f t="shared" si="10"/>
        <v>9.3049674840992112E-4</v>
      </c>
      <c r="J112" s="111">
        <f t="shared" si="11"/>
        <v>0.24781104699146178</v>
      </c>
      <c r="L112" s="90"/>
      <c r="M112" s="90"/>
      <c r="N112" s="90"/>
      <c r="O112" s="112"/>
      <c r="P112" s="113"/>
      <c r="Q112" s="125"/>
      <c r="R112" s="58"/>
    </row>
    <row r="113" spans="1:18" s="25" customFormat="1" ht="15.5">
      <c r="A113" s="32">
        <v>490</v>
      </c>
      <c r="B113" s="2" t="s">
        <v>266</v>
      </c>
      <c r="C113" s="14">
        <f>SUM('ALPINE VALLEY:WOODLAND'!C110)</f>
        <v>21085.69</v>
      </c>
      <c r="D113" s="14">
        <f>SUM('ALPINE VALLEY:WOODLAND'!D110)</f>
        <v>6</v>
      </c>
      <c r="E113" s="14">
        <f>SUM('ALPINE VALLEY:WOODLAND'!E110)</f>
        <v>21091.69</v>
      </c>
      <c r="F113" s="14">
        <f>SUM('ALPINE VALLEY:WOODLAND'!F110)</f>
        <v>5818.16</v>
      </c>
      <c r="G113" s="14">
        <f>SUM('ALPINE VALLEY:WOODLAND'!G110)</f>
        <v>26909.85</v>
      </c>
      <c r="H113" s="92">
        <f t="shared" si="10"/>
        <v>5.4150700055236722E-5</v>
      </c>
      <c r="J113" s="111">
        <f t="shared" si="11"/>
        <v>1.442148153547029E-2</v>
      </c>
      <c r="L113" s="90"/>
      <c r="M113" s="90"/>
      <c r="N113" s="90"/>
      <c r="O113" s="112"/>
      <c r="P113" s="113"/>
      <c r="Q113" s="125"/>
      <c r="R113" s="58"/>
    </row>
    <row r="114" spans="1:18" s="25" customFormat="1" ht="15.5">
      <c r="A114" s="35"/>
      <c r="B114" s="3" t="s">
        <v>58</v>
      </c>
      <c r="C114" s="14">
        <f>SUM('ALPINE VALLEY:WOODLAND'!C111)</f>
        <v>3899629.1800000016</v>
      </c>
      <c r="D114" s="14">
        <f>SUM('ALPINE VALLEY:WOODLAND'!D111)</f>
        <v>158909.12738171368</v>
      </c>
      <c r="E114" s="14">
        <f>SUM('ALPINE VALLEY:WOODLAND'!E111)</f>
        <v>4058538.3073817147</v>
      </c>
      <c r="F114" s="14">
        <f>SUM('ALPINE VALLEY:WOODLAND'!F111)</f>
        <v>464983.95</v>
      </c>
      <c r="G114" s="14">
        <f>SUM('ALPINE VALLEY:WOODLAND'!G111)</f>
        <v>4523522.2573817139</v>
      </c>
      <c r="H114" s="92">
        <f t="shared" si="10"/>
        <v>9.1026853346512348E-3</v>
      </c>
      <c r="J114" s="111">
        <f t="shared" si="11"/>
        <v>2.4242384372309496</v>
      </c>
      <c r="L114" s="90"/>
      <c r="M114" s="90"/>
      <c r="N114" s="90"/>
      <c r="O114" s="112"/>
      <c r="P114" s="113"/>
      <c r="Q114" s="125"/>
      <c r="R114" s="58"/>
    </row>
    <row r="115" spans="1:18" s="25" customFormat="1" ht="15.5">
      <c r="A115" s="35"/>
      <c r="C115" s="17"/>
      <c r="D115" s="17"/>
      <c r="E115" s="17"/>
      <c r="F115" s="17"/>
      <c r="G115" s="17"/>
      <c r="H115" s="94"/>
      <c r="J115" s="123"/>
      <c r="L115" s="93"/>
      <c r="M115" s="93"/>
      <c r="N115" s="93"/>
      <c r="O115" s="93"/>
      <c r="P115" s="93"/>
      <c r="Q115" s="126"/>
    </row>
    <row r="116" spans="1:18" s="25" customFormat="1" ht="15.5">
      <c r="A116" s="32" t="s">
        <v>166</v>
      </c>
      <c r="B116" s="24" t="s">
        <v>59</v>
      </c>
      <c r="C116" s="64"/>
      <c r="D116" s="64"/>
      <c r="E116" s="64"/>
      <c r="F116" s="65"/>
      <c r="G116" s="65"/>
      <c r="H116" s="94"/>
      <c r="J116" s="123"/>
      <c r="L116" s="93"/>
      <c r="M116" s="93"/>
      <c r="N116" s="93"/>
      <c r="O116" s="93"/>
      <c r="P116" s="93"/>
      <c r="Q116" s="126"/>
    </row>
    <row r="117" spans="1:18" s="25" customFormat="1" ht="15.5">
      <c r="A117" s="32" t="s">
        <v>85</v>
      </c>
      <c r="B117" s="24" t="s">
        <v>44</v>
      </c>
      <c r="C117" s="14">
        <f>SUM('ALPINE VALLEY:WOODLAND'!C114)</f>
        <v>5304982.4900000012</v>
      </c>
      <c r="D117" s="14">
        <f>SUM('ALPINE VALLEY:WOODLAND'!D114)</f>
        <v>128584.3861075389</v>
      </c>
      <c r="E117" s="14">
        <f>SUM('ALPINE VALLEY:WOODLAND'!E114)</f>
        <v>5433566.8761075391</v>
      </c>
      <c r="F117" s="14">
        <f>SUM('ALPINE VALLEY:WOODLAND'!F114)</f>
        <v>617608.93999999994</v>
      </c>
      <c r="G117" s="14">
        <f>SUM('ALPINE VALLEY:WOODLAND'!G114)</f>
        <v>6051175.8161075395</v>
      </c>
      <c r="H117" s="92">
        <f t="shared" ref="H117:H122" si="12">IF($G$211=0,0,G117/$G$211)</f>
        <v>1.2176783096135492E-2</v>
      </c>
      <c r="J117" s="111">
        <f t="shared" ref="J117:J122" si="13">IF(G117=0,0,G117/$G$231)</f>
        <v>3.2429359621060407</v>
      </c>
      <c r="K117" s="25">
        <v>5281.71</v>
      </c>
      <c r="L117" s="118">
        <f>SUM('ALPINE VALLEY:WOODLAND'!J114)</f>
        <v>563791.30142857134</v>
      </c>
      <c r="M117" s="118">
        <f>SUM('ALPINE VALLEY:WOODLAND'!K114)</f>
        <v>601074.0914285715</v>
      </c>
      <c r="N117" s="119"/>
      <c r="O117" s="120">
        <f>IF(L117=0,0,G117/M117)</f>
        <v>10.067271077556716</v>
      </c>
      <c r="P117" s="59"/>
      <c r="Q117" s="121">
        <f>M117/$G$231</f>
        <v>0.32212661575544732</v>
      </c>
      <c r="R117" s="58"/>
    </row>
    <row r="118" spans="1:18" s="25" customFormat="1" ht="15.5">
      <c r="A118" s="32" t="s">
        <v>86</v>
      </c>
      <c r="B118" s="24" t="s">
        <v>151</v>
      </c>
      <c r="C118" s="14">
        <f>SUM('ALPINE VALLEY:WOODLAND'!C115)</f>
        <v>705514.33</v>
      </c>
      <c r="D118" s="14">
        <f>SUM('ALPINE VALLEY:WOODLAND'!D115)</f>
        <v>381285.38308747736</v>
      </c>
      <c r="E118" s="14">
        <f>SUM('ALPINE VALLEY:WOODLAND'!E115)</f>
        <v>1086799.7130874773</v>
      </c>
      <c r="F118" s="14">
        <f>SUM('ALPINE VALLEY:WOODLAND'!F115)</f>
        <v>115188.79000000001</v>
      </c>
      <c r="G118" s="14">
        <f>SUM('ALPINE VALLEY:WOODLAND'!G115)</f>
        <v>1201988.5030874775</v>
      </c>
      <c r="H118" s="92">
        <f t="shared" si="12"/>
        <v>2.4187618623118666E-3</v>
      </c>
      <c r="J118" s="111">
        <f t="shared" si="13"/>
        <v>0.64416765619740102</v>
      </c>
      <c r="L118" s="90"/>
      <c r="M118" s="90"/>
      <c r="N118" s="90"/>
      <c r="O118" s="112"/>
      <c r="P118" s="113"/>
      <c r="Q118" s="112"/>
      <c r="R118" s="58"/>
    </row>
    <row r="119" spans="1:18" s="25" customFormat="1" ht="15.5">
      <c r="A119" s="32" t="s">
        <v>93</v>
      </c>
      <c r="B119" s="24" t="s">
        <v>47</v>
      </c>
      <c r="C119" s="14">
        <f>SUM('ALPINE VALLEY:WOODLAND'!C116)</f>
        <v>1449683.66</v>
      </c>
      <c r="D119" s="14">
        <f>SUM('ALPINE VALLEY:WOODLAND'!D116)</f>
        <v>-66.710000000000008</v>
      </c>
      <c r="E119" s="14">
        <f>SUM('ALPINE VALLEY:WOODLAND'!E116)</f>
        <v>1449616.95</v>
      </c>
      <c r="F119" s="14">
        <f>SUM('ALPINE VALLEY:WOODLAND'!F116)</f>
        <v>170423.90999999997</v>
      </c>
      <c r="G119" s="14">
        <f>SUM('ALPINE VALLEY:WOODLAND'!G116)</f>
        <v>1620040.8599999999</v>
      </c>
      <c r="H119" s="92">
        <f t="shared" si="12"/>
        <v>3.2600087583947047E-3</v>
      </c>
      <c r="J119" s="111">
        <f t="shared" si="13"/>
        <v>0.86820957192988468</v>
      </c>
      <c r="L119" s="90"/>
      <c r="M119" s="90"/>
      <c r="N119" s="90"/>
      <c r="O119" s="112"/>
      <c r="P119" s="113"/>
      <c r="Q119" s="112"/>
      <c r="R119" s="58"/>
    </row>
    <row r="120" spans="1:18" s="25" customFormat="1" ht="15.5">
      <c r="A120" s="32">
        <v>310</v>
      </c>
      <c r="B120" s="24" t="s">
        <v>60</v>
      </c>
      <c r="C120" s="14">
        <f>SUM('ALPINE VALLEY:WOODLAND'!C117)</f>
        <v>2309558.2199999997</v>
      </c>
      <c r="D120" s="14">
        <f>SUM('ALPINE VALLEY:WOODLAND'!D117)</f>
        <v>0</v>
      </c>
      <c r="E120" s="14">
        <f>SUM('ALPINE VALLEY:WOODLAND'!E117)</f>
        <v>2309558.2199999997</v>
      </c>
      <c r="F120" s="14">
        <f>SUM('ALPINE VALLEY:WOODLAND'!F117)</f>
        <v>42483.649999999994</v>
      </c>
      <c r="G120" s="14">
        <f>SUM('ALPINE VALLEY:WOODLAND'!G117)</f>
        <v>2352041.8699999996</v>
      </c>
      <c r="H120" s="92">
        <f t="shared" si="12"/>
        <v>4.7330146329217027E-3</v>
      </c>
      <c r="J120" s="111">
        <f t="shared" si="13"/>
        <v>1.260502321598151</v>
      </c>
      <c r="L120" s="90"/>
      <c r="M120" s="90"/>
      <c r="N120" s="90"/>
      <c r="O120" s="112"/>
      <c r="P120" s="113"/>
      <c r="Q120" s="112"/>
      <c r="R120" s="58"/>
    </row>
    <row r="121" spans="1:18" s="25" customFormat="1" ht="15.5">
      <c r="A121" s="32">
        <v>490</v>
      </c>
      <c r="B121" s="2" t="s">
        <v>266</v>
      </c>
      <c r="C121" s="14">
        <f>SUM('ALPINE VALLEY:WOODLAND'!C118)</f>
        <v>15279.75</v>
      </c>
      <c r="D121" s="14">
        <f>SUM('ALPINE VALLEY:WOODLAND'!D118)</f>
        <v>45</v>
      </c>
      <c r="E121" s="14">
        <f>SUM('ALPINE VALLEY:WOODLAND'!E118)</f>
        <v>15324.75</v>
      </c>
      <c r="F121" s="14">
        <f>SUM('ALPINE VALLEY:WOODLAND'!F118)</f>
        <v>1364.75</v>
      </c>
      <c r="G121" s="14">
        <f>SUM('ALPINE VALLEY:WOODLAND'!G118)</f>
        <v>16689.5</v>
      </c>
      <c r="H121" s="92">
        <f t="shared" si="12"/>
        <v>3.3584286369930464E-5</v>
      </c>
      <c r="J121" s="111">
        <f t="shared" si="13"/>
        <v>8.9442087594777155E-3</v>
      </c>
      <c r="L121" s="90"/>
      <c r="M121" s="90"/>
      <c r="N121" s="90"/>
      <c r="O121" s="112"/>
      <c r="P121" s="113"/>
      <c r="Q121" s="112"/>
      <c r="R121" s="58"/>
    </row>
    <row r="122" spans="1:18" s="25" customFormat="1" ht="15.5">
      <c r="A122" s="35"/>
      <c r="B122" s="3" t="s">
        <v>61</v>
      </c>
      <c r="C122" s="14">
        <f>SUM('ALPINE VALLEY:WOODLAND'!C119)</f>
        <v>9785018.4499999993</v>
      </c>
      <c r="D122" s="14">
        <f>SUM('ALPINE VALLEY:WOODLAND'!D119)</f>
        <v>509848.05919501622</v>
      </c>
      <c r="E122" s="14">
        <f>SUM('ALPINE VALLEY:WOODLAND'!E119)</f>
        <v>10294866.509195017</v>
      </c>
      <c r="F122" s="14">
        <f>SUM('ALPINE VALLEY:WOODLAND'!F119)</f>
        <v>947070.04</v>
      </c>
      <c r="G122" s="14">
        <f>SUM('ALPINE VALLEY:WOODLAND'!G119)</f>
        <v>11241936.549195018</v>
      </c>
      <c r="H122" s="92">
        <f t="shared" si="12"/>
        <v>2.2622152636133697E-2</v>
      </c>
      <c r="J122" s="111">
        <f t="shared" si="13"/>
        <v>6.0247597205909562</v>
      </c>
      <c r="L122" s="90"/>
      <c r="M122" s="90"/>
      <c r="N122" s="90"/>
      <c r="O122" s="112"/>
      <c r="P122" s="113"/>
      <c r="Q122" s="112"/>
      <c r="R122" s="58"/>
    </row>
    <row r="123" spans="1:18" s="25" customFormat="1" ht="16.25" customHeight="1">
      <c r="A123" s="35"/>
      <c r="B123" s="24"/>
      <c r="C123" s="17"/>
      <c r="D123" s="17"/>
      <c r="E123" s="17"/>
      <c r="F123" s="17"/>
      <c r="G123" s="17"/>
      <c r="H123" s="72"/>
      <c r="J123" s="123"/>
      <c r="L123" s="95"/>
      <c r="M123" s="95"/>
      <c r="N123" s="95"/>
      <c r="O123" s="95"/>
      <c r="P123" s="95"/>
      <c r="Q123" s="95"/>
      <c r="R123" s="68"/>
    </row>
    <row r="124" spans="1:18" s="25" customFormat="1" ht="16.25" customHeight="1">
      <c r="A124" s="32" t="s">
        <v>167</v>
      </c>
      <c r="B124" s="24" t="s">
        <v>62</v>
      </c>
      <c r="C124" s="64"/>
      <c r="D124" s="64"/>
      <c r="E124" s="64"/>
      <c r="F124" s="65"/>
      <c r="G124" s="65"/>
      <c r="H124" s="94"/>
      <c r="J124" s="123"/>
      <c r="L124" s="95"/>
      <c r="M124" s="95"/>
      <c r="N124" s="95"/>
      <c r="O124" s="95"/>
      <c r="P124" s="95"/>
      <c r="Q124" s="95"/>
      <c r="R124" s="68"/>
    </row>
    <row r="125" spans="1:18" s="25" customFormat="1" ht="15.5">
      <c r="A125" s="32" t="s">
        <v>85</v>
      </c>
      <c r="B125" s="24" t="s">
        <v>63</v>
      </c>
      <c r="C125" s="9"/>
      <c r="D125" s="9"/>
      <c r="E125" s="9"/>
      <c r="F125" s="9"/>
      <c r="G125" s="9"/>
      <c r="H125" s="72"/>
      <c r="I125" s="68"/>
      <c r="J125" s="127"/>
      <c r="L125" s="96"/>
      <c r="M125" s="96"/>
      <c r="N125" s="96"/>
      <c r="O125" s="96"/>
      <c r="P125" s="113"/>
      <c r="Q125" s="128"/>
      <c r="R125" s="70"/>
    </row>
    <row r="126" spans="1:18" s="25" customFormat="1" ht="15.5">
      <c r="A126" s="32"/>
      <c r="B126" s="35" t="s">
        <v>232</v>
      </c>
      <c r="C126" s="14">
        <f>SUM('ALPINE VALLEY:WOODLAND'!C123)</f>
        <v>1047057.09</v>
      </c>
      <c r="D126" s="14">
        <f>SUM('ALPINE VALLEY:WOODLAND'!D123)</f>
        <v>54000</v>
      </c>
      <c r="E126" s="14">
        <f>SUM('ALPINE VALLEY:WOODLAND'!E123)</f>
        <v>1101057.0900000003</v>
      </c>
      <c r="F126" s="14">
        <f>SUM('ALPINE VALLEY:WOODLAND'!F123)</f>
        <v>-46863.03</v>
      </c>
      <c r="G126" s="14">
        <f>SUM('ALPINE VALLEY:WOODLAND'!G123)</f>
        <v>1054194.06</v>
      </c>
      <c r="H126" s="92">
        <f>IF($G$211=0,0,G126/$G$211)</f>
        <v>2.1213550556050008E-3</v>
      </c>
      <c r="J126" s="111">
        <f>IF(G126=0,0,G126/$G$231)</f>
        <v>0.56496190692599402</v>
      </c>
      <c r="K126" s="25">
        <v>0</v>
      </c>
      <c r="L126" s="118">
        <f>SUM('ALPINE VALLEY:WOODLAND'!J123)</f>
        <v>41382.020000000004</v>
      </c>
      <c r="M126" s="118">
        <f>SUM('ALPINE VALLEY:WOODLAND'!K123)</f>
        <v>43241.020000000004</v>
      </c>
      <c r="N126" s="119"/>
      <c r="O126" s="120">
        <f>IF(L126=0,0,G126/M126)</f>
        <v>24.379491048083509</v>
      </c>
      <c r="P126" s="59"/>
      <c r="Q126" s="121">
        <f>M126/$G$231</f>
        <v>2.3173654684247647E-2</v>
      </c>
      <c r="R126" s="70"/>
    </row>
    <row r="127" spans="1:18" s="25" customFormat="1" ht="15.5">
      <c r="A127" s="32"/>
      <c r="B127" s="35" t="s">
        <v>194</v>
      </c>
      <c r="C127" s="14">
        <f>SUM('ALPINE VALLEY:WOODLAND'!C124)</f>
        <v>11802509.460000003</v>
      </c>
      <c r="D127" s="14">
        <f>SUM('ALPINE VALLEY:WOODLAND'!D124)</f>
        <v>889056.04172181629</v>
      </c>
      <c r="E127" s="14">
        <f>SUM('ALPINE VALLEY:WOODLAND'!E124)</f>
        <v>12691565.501721818</v>
      </c>
      <c r="F127" s="14">
        <f>SUM('ALPINE VALLEY:WOODLAND'!F124)</f>
        <v>1588331.49</v>
      </c>
      <c r="G127" s="14">
        <f>SUM('ALPINE VALLEY:WOODLAND'!G124)</f>
        <v>14279896.991721816</v>
      </c>
      <c r="H127" s="92">
        <f>IF($G$211=0,0,G127/$G$211)</f>
        <v>2.8735441439413648E-2</v>
      </c>
      <c r="J127" s="111">
        <f>IF(G127=0,0,G127/$G$231)</f>
        <v>7.6528583695016472</v>
      </c>
      <c r="K127" s="25">
        <v>2044.34</v>
      </c>
      <c r="L127" s="118">
        <f>SUM('ALPINE VALLEY:WOODLAND'!J124)</f>
        <v>363113.09285714279</v>
      </c>
      <c r="M127" s="118">
        <f>SUM('ALPINE VALLEY:WOODLAND'!K124)</f>
        <v>393513.84142857138</v>
      </c>
      <c r="N127" s="119"/>
      <c r="O127" s="120">
        <f>IF(L127=0,0,G127/M127)</f>
        <v>36.288169533964997</v>
      </c>
      <c r="P127" s="59"/>
      <c r="Q127" s="121">
        <f>M127/$G$231</f>
        <v>0.21089127580102177</v>
      </c>
      <c r="R127" s="70"/>
    </row>
    <row r="128" spans="1:18" s="25" customFormat="1" ht="15.5">
      <c r="A128" s="32"/>
      <c r="B128" s="35" t="s">
        <v>195</v>
      </c>
      <c r="C128" s="14">
        <f>SUM('ALPINE VALLEY:WOODLAND'!C125)</f>
        <v>821727</v>
      </c>
      <c r="D128" s="14">
        <f>SUM('ALPINE VALLEY:WOODLAND'!D125)</f>
        <v>141931.1088930635</v>
      </c>
      <c r="E128" s="14">
        <f>SUM('ALPINE VALLEY:WOODLAND'!E125)</f>
        <v>963658.10889306362</v>
      </c>
      <c r="F128" s="14">
        <f>SUM('ALPINE VALLEY:WOODLAND'!F125)</f>
        <v>94512</v>
      </c>
      <c r="G128" s="14">
        <f>SUM('ALPINE VALLEY:WOODLAND'!G125)</f>
        <v>1058170.1088930636</v>
      </c>
      <c r="H128" s="92">
        <f>IF($G$211=0,0,G128/$G$211)</f>
        <v>2.1293560601075619E-3</v>
      </c>
      <c r="J128" s="111">
        <f>IF(G128=0,0,G128/$G$231)</f>
        <v>0.56709274435895785</v>
      </c>
      <c r="K128" s="25">
        <v>0</v>
      </c>
      <c r="L128" s="118">
        <f>SUM('ALPINE VALLEY:WOODLAND'!J125)</f>
        <v>31949.95</v>
      </c>
      <c r="M128" s="118">
        <f>SUM('ALPINE VALLEY:WOODLAND'!K125)</f>
        <v>33993.577142857146</v>
      </c>
      <c r="N128" s="119"/>
      <c r="O128" s="120">
        <f>IF(L128=0,0,G128/M128)</f>
        <v>31.128530676431332</v>
      </c>
      <c r="P128" s="59"/>
      <c r="Q128" s="121">
        <f>M128/$G$231</f>
        <v>1.8217780667313242E-2</v>
      </c>
      <c r="R128" s="70"/>
    </row>
    <row r="129" spans="1:18" s="25" customFormat="1" ht="15.5">
      <c r="A129" s="32"/>
      <c r="B129" s="35" t="s">
        <v>196</v>
      </c>
      <c r="C129" s="14">
        <f>SUM('ALPINE VALLEY:WOODLAND'!C126)</f>
        <v>0</v>
      </c>
      <c r="D129" s="14">
        <f>SUM('ALPINE VALLEY:WOODLAND'!D126)</f>
        <v>18956.200813691685</v>
      </c>
      <c r="E129" s="14">
        <f>SUM('ALPINE VALLEY:WOODLAND'!E126)</f>
        <v>18956.200813691685</v>
      </c>
      <c r="F129" s="14">
        <f>SUM('ALPINE VALLEY:WOODLAND'!F126)</f>
        <v>0</v>
      </c>
      <c r="G129" s="14">
        <f>SUM('ALPINE VALLEY:WOODLAND'!G126)</f>
        <v>18956.200813691685</v>
      </c>
      <c r="H129" s="92">
        <f>IF($G$211=0,0,G129/$G$211)</f>
        <v>3.8145569167017013E-5</v>
      </c>
      <c r="J129" s="111">
        <f>IF(G129=0,0,G129/$G$231)</f>
        <v>1.0158975245767685E-2</v>
      </c>
      <c r="K129" s="25">
        <v>0</v>
      </c>
      <c r="L129" s="118">
        <f>SUM('ALPINE VALLEY:WOODLAND'!J126)</f>
        <v>829.26</v>
      </c>
      <c r="M129" s="118">
        <f>SUM('ALPINE VALLEY:WOODLAND'!K126)</f>
        <v>957.26</v>
      </c>
      <c r="N129" s="119"/>
      <c r="O129" s="120">
        <f>IF(L129=0,0,G129/M129)</f>
        <v>19.802562327572119</v>
      </c>
      <c r="P129" s="59"/>
      <c r="Q129" s="121">
        <f>M129/$G$231</f>
        <v>5.1301316858489701E-4</v>
      </c>
      <c r="R129" s="70"/>
    </row>
    <row r="130" spans="1:18" s="25" customFormat="1" ht="15.5">
      <c r="A130" s="32"/>
      <c r="B130" s="35" t="s">
        <v>197</v>
      </c>
      <c r="C130" s="14">
        <f>SUM('ALPINE VALLEY:WOODLAND'!C127)</f>
        <v>7063917.3600000013</v>
      </c>
      <c r="D130" s="14">
        <f>SUM('ALPINE VALLEY:WOODLAND'!D127)</f>
        <v>-605736.97</v>
      </c>
      <c r="E130" s="14">
        <f>SUM('ALPINE VALLEY:WOODLAND'!E127)</f>
        <v>6458180.3900000015</v>
      </c>
      <c r="F130" s="14">
        <f>SUM('ALPINE VALLEY:WOODLAND'!F127)</f>
        <v>102199.40000000002</v>
      </c>
      <c r="G130" s="14">
        <f>SUM('ALPINE VALLEY:WOODLAND'!G127)</f>
        <v>6560379.790000001</v>
      </c>
      <c r="H130" s="92">
        <f>IF($G$211=0,0,G130/$G$211)</f>
        <v>1.3201454421214795E-2</v>
      </c>
      <c r="J130" s="111">
        <f>IF(G130=0,0,G130/$G$231)</f>
        <v>3.5158276990454227</v>
      </c>
      <c r="K130" s="25">
        <v>1679.72</v>
      </c>
      <c r="L130" s="118">
        <f>SUM('ALPINE VALLEY:WOODLAND'!J127)</f>
        <v>291025.78428571427</v>
      </c>
      <c r="M130" s="118">
        <f>SUM('ALPINE VALLEY:WOODLAND'!K127)</f>
        <v>324963.4823809524</v>
      </c>
      <c r="N130" s="119"/>
      <c r="O130" s="120">
        <f>IF(L130=0,0,G130/M130)</f>
        <v>20.188052337244816</v>
      </c>
      <c r="P130" s="59"/>
      <c r="Q130" s="121">
        <f>M130/$G$231</f>
        <v>0.17415388271800214</v>
      </c>
      <c r="R130" s="70"/>
    </row>
    <row r="131" spans="1:18" s="25" customFormat="1" ht="15.5">
      <c r="A131" s="32" t="s">
        <v>95</v>
      </c>
      <c r="B131" s="24" t="s">
        <v>152</v>
      </c>
      <c r="C131" s="9"/>
      <c r="D131" s="9"/>
      <c r="E131" s="9"/>
      <c r="F131" s="9"/>
      <c r="G131" s="9"/>
      <c r="H131" s="72"/>
      <c r="I131" s="68"/>
      <c r="J131" s="127"/>
      <c r="L131" s="90"/>
      <c r="M131" s="90"/>
      <c r="N131" s="90"/>
      <c r="O131" s="112"/>
      <c r="P131" s="113"/>
      <c r="Q131" s="125"/>
      <c r="R131" s="70"/>
    </row>
    <row r="132" spans="1:18" s="25" customFormat="1" ht="15.5">
      <c r="A132" s="32"/>
      <c r="B132" s="35" t="s">
        <v>232</v>
      </c>
      <c r="C132" s="14">
        <f>SUM('ALPINE VALLEY:WOODLAND'!C129)</f>
        <v>216921.18213564152</v>
      </c>
      <c r="D132" s="14">
        <f>SUM('ALPINE VALLEY:WOODLAND'!D129)</f>
        <v>20777</v>
      </c>
      <c r="E132" s="14">
        <f>SUM('ALPINE VALLEY:WOODLAND'!E129)</f>
        <v>237698.18213564155</v>
      </c>
      <c r="F132" s="14">
        <f>SUM('ALPINE VALLEY:WOODLAND'!F129)</f>
        <v>12953.89</v>
      </c>
      <c r="G132" s="14">
        <f>SUM('ALPINE VALLEY:WOODLAND'!G129)</f>
        <v>250652.0721356415</v>
      </c>
      <c r="H132" s="92">
        <f>IF($G$211=0,0,G132/$G$211)</f>
        <v>5.0438724765989706E-4</v>
      </c>
      <c r="J132" s="111">
        <f>IF(G132=0,0,G132/$G$231)</f>
        <v>0.13432903677023547</v>
      </c>
      <c r="L132" s="90"/>
      <c r="M132" s="90"/>
      <c r="N132" s="90"/>
      <c r="O132" s="112"/>
      <c r="P132" s="113"/>
      <c r="Q132" s="125"/>
      <c r="R132" s="70"/>
    </row>
    <row r="133" spans="1:18" s="25" customFormat="1" ht="15.5">
      <c r="A133" s="32"/>
      <c r="B133" s="35" t="s">
        <v>194</v>
      </c>
      <c r="C133" s="14">
        <f>SUM('ALPINE VALLEY:WOODLAND'!C130)</f>
        <v>1178554.1384034487</v>
      </c>
      <c r="D133" s="14">
        <f>SUM('ALPINE VALLEY:WOODLAND'!D130)</f>
        <v>870052.76228187548</v>
      </c>
      <c r="E133" s="14">
        <f>SUM('ALPINE VALLEY:WOODLAND'!E130)</f>
        <v>2048606.9006853246</v>
      </c>
      <c r="F133" s="14">
        <f>SUM('ALPINE VALLEY:WOODLAND'!F130)</f>
        <v>334342.17</v>
      </c>
      <c r="G133" s="14">
        <f>SUM('ALPINE VALLEY:WOODLAND'!G130)</f>
        <v>2382949.0706853247</v>
      </c>
      <c r="H133" s="92">
        <f>IF($G$211=0,0,G133/$G$211)</f>
        <v>4.7952092030831136E-3</v>
      </c>
      <c r="J133" s="111">
        <f>IF(G133=0,0,G133/$G$231)</f>
        <v>1.2770660565872531</v>
      </c>
      <c r="L133" s="90"/>
      <c r="M133" s="90"/>
      <c r="N133" s="90"/>
      <c r="O133" s="112"/>
      <c r="P133" s="113"/>
      <c r="Q133" s="125"/>
      <c r="R133" s="70"/>
    </row>
    <row r="134" spans="1:18" s="25" customFormat="1" ht="15.5">
      <c r="A134" s="32"/>
      <c r="B134" s="35" t="s">
        <v>195</v>
      </c>
      <c r="C134" s="14">
        <f>SUM('ALPINE VALLEY:WOODLAND'!C131)</f>
        <v>9029.1200000000008</v>
      </c>
      <c r="D134" s="14">
        <f>SUM('ALPINE VALLEY:WOODLAND'!D131)</f>
        <v>121020.20634338853</v>
      </c>
      <c r="E134" s="14">
        <f>SUM('ALPINE VALLEY:WOODLAND'!E131)</f>
        <v>130049.32634338853</v>
      </c>
      <c r="F134" s="14">
        <f>SUM('ALPINE VALLEY:WOODLAND'!F131)</f>
        <v>11571</v>
      </c>
      <c r="G134" s="14">
        <f>SUM('ALPINE VALLEY:WOODLAND'!G131)</f>
        <v>141620.32634338853</v>
      </c>
      <c r="H134" s="92">
        <f>IF($G$211=0,0,G134/$G$211)</f>
        <v>2.8498262954069131E-4</v>
      </c>
      <c r="J134" s="111">
        <f>IF(G134=0,0,G134/$G$231)</f>
        <v>7.5896927014028476E-2</v>
      </c>
      <c r="L134" s="90"/>
      <c r="M134" s="90"/>
      <c r="N134" s="90"/>
      <c r="O134" s="112"/>
      <c r="P134" s="113"/>
      <c r="Q134" s="125"/>
      <c r="R134" s="70"/>
    </row>
    <row r="135" spans="1:18" s="25" customFormat="1" ht="15.5">
      <c r="A135" s="32"/>
      <c r="B135" s="35" t="s">
        <v>196</v>
      </c>
      <c r="C135" s="14">
        <f>SUM('ALPINE VALLEY:WOODLAND'!C132)</f>
        <v>0</v>
      </c>
      <c r="D135" s="14">
        <f>SUM('ALPINE VALLEY:WOODLAND'!D132)</f>
        <v>3511.9326547310711</v>
      </c>
      <c r="E135" s="14">
        <f>SUM('ALPINE VALLEY:WOODLAND'!E132)</f>
        <v>3511.9326547310711</v>
      </c>
      <c r="F135" s="14">
        <f>SUM('ALPINE VALLEY:WOODLAND'!F132)</f>
        <v>0</v>
      </c>
      <c r="G135" s="14">
        <f>SUM('ALPINE VALLEY:WOODLAND'!G132)</f>
        <v>3511.9326547310711</v>
      </c>
      <c r="H135" s="92">
        <f>IF($G$211=0,0,G135/$G$211)</f>
        <v>7.0670632426614598E-6</v>
      </c>
      <c r="J135" s="111">
        <f>IF(G135=0,0,G135/$G$231)</f>
        <v>1.8821090394045043E-3</v>
      </c>
      <c r="L135" s="90"/>
      <c r="M135" s="90"/>
      <c r="N135" s="90"/>
      <c r="O135" s="112"/>
      <c r="P135" s="113"/>
      <c r="Q135" s="125"/>
      <c r="R135" s="70"/>
    </row>
    <row r="136" spans="1:18" s="25" customFormat="1" ht="15.5">
      <c r="A136" s="32"/>
      <c r="B136" s="35" t="s">
        <v>197</v>
      </c>
      <c r="C136" s="14">
        <f>SUM('ALPINE VALLEY:WOODLAND'!C133)</f>
        <v>1001446.3000000002</v>
      </c>
      <c r="D136" s="14">
        <f>SUM('ALPINE VALLEY:WOODLAND'!D133)</f>
        <v>232638.7997626724</v>
      </c>
      <c r="E136" s="14">
        <f>SUM('ALPINE VALLEY:WOODLAND'!E133)</f>
        <v>1234085.0997626726</v>
      </c>
      <c r="F136" s="14">
        <f>SUM('ALPINE VALLEY:WOODLAND'!F133)</f>
        <v>37521.159999999996</v>
      </c>
      <c r="G136" s="14">
        <f>SUM('ALPINE VALLEY:WOODLAND'!G133)</f>
        <v>1271606.2597626725</v>
      </c>
      <c r="H136" s="92">
        <f>IF($G$211=0,0,G136/$G$211)</f>
        <v>2.5588536970949267E-3</v>
      </c>
      <c r="J136" s="111">
        <f>IF(G136=0,0,G136/$G$231)</f>
        <v>0.68147708722106659</v>
      </c>
      <c r="L136" s="90"/>
      <c r="M136" s="90"/>
      <c r="N136" s="90"/>
      <c r="O136" s="112"/>
      <c r="P136" s="113"/>
      <c r="Q136" s="125"/>
      <c r="R136" s="70"/>
    </row>
    <row r="137" spans="1:18" s="25" customFormat="1" ht="15.5">
      <c r="A137" s="32" t="s">
        <v>86</v>
      </c>
      <c r="B137" s="24" t="s">
        <v>64</v>
      </c>
      <c r="C137" s="9"/>
      <c r="D137" s="9"/>
      <c r="E137" s="9"/>
      <c r="F137" s="9"/>
      <c r="G137" s="9"/>
      <c r="H137" s="72"/>
      <c r="I137" s="68"/>
      <c r="J137" s="127"/>
      <c r="L137" s="96"/>
      <c r="M137" s="96"/>
      <c r="N137" s="96"/>
      <c r="O137" s="96"/>
      <c r="P137" s="113"/>
      <c r="Q137" s="122"/>
      <c r="R137" s="70"/>
    </row>
    <row r="138" spans="1:18" s="25" customFormat="1" ht="15.5">
      <c r="A138" s="32"/>
      <c r="B138" s="35" t="s">
        <v>194</v>
      </c>
      <c r="C138" s="14">
        <f>SUM('ALPINE VALLEY:WOODLAND'!C135)</f>
        <v>36574379.149999999</v>
      </c>
      <c r="D138" s="14">
        <f>SUM('ALPINE VALLEY:WOODLAND'!D135)</f>
        <v>2071092.540860475</v>
      </c>
      <c r="E138" s="14">
        <f>SUM('ALPINE VALLEY:WOODLAND'!E135)</f>
        <v>38645471.690860473</v>
      </c>
      <c r="F138" s="14">
        <f>SUM('ALPINE VALLEY:WOODLAND'!F135)</f>
        <v>3957818.42</v>
      </c>
      <c r="G138" s="14">
        <f>SUM('ALPINE VALLEY:WOODLAND'!G135)</f>
        <v>42603290.110860474</v>
      </c>
      <c r="H138" s="92">
        <f>IF($G$211=0,0,G138/$G$211)</f>
        <v>8.5730614780812175E-2</v>
      </c>
      <c r="J138" s="111">
        <f>IF(G138=0,0,G138/$G$231)</f>
        <v>22.831883555057285</v>
      </c>
      <c r="K138" s="25">
        <v>4815.4449999999997</v>
      </c>
      <c r="L138" s="118">
        <f>SUM('ALPINE VALLEY:WOODLAND'!J135)</f>
        <v>1406233.7528571431</v>
      </c>
      <c r="M138" s="118">
        <f>SUM('ALPINE VALLEY:WOODLAND'!K135)</f>
        <v>1455149.7185714287</v>
      </c>
      <c r="N138" s="119"/>
      <c r="O138" s="120">
        <f>IF(L138=0,0,G138/M138)</f>
        <v>29.277599113777523</v>
      </c>
      <c r="P138" s="59"/>
      <c r="Q138" s="121">
        <f>M138/$G$231</f>
        <v>0.77984138884916299</v>
      </c>
      <c r="R138" s="70"/>
    </row>
    <row r="139" spans="1:18" s="25" customFormat="1" ht="15.5">
      <c r="A139" s="32"/>
      <c r="B139" s="35" t="s">
        <v>195</v>
      </c>
      <c r="C139" s="14">
        <f>SUM('ALPINE VALLEY:WOODLAND'!C136)</f>
        <v>19583113.460000001</v>
      </c>
      <c r="D139" s="14">
        <f>SUM('ALPINE VALLEY:WOODLAND'!D136)</f>
        <v>1123657.6594004184</v>
      </c>
      <c r="E139" s="14">
        <f>SUM('ALPINE VALLEY:WOODLAND'!E136)</f>
        <v>20706771.119400419</v>
      </c>
      <c r="F139" s="14">
        <f>SUM('ALPINE VALLEY:WOODLAND'!F136)</f>
        <v>1961062.52</v>
      </c>
      <c r="G139" s="14">
        <f>SUM('ALPINE VALLEY:WOODLAND'!G136)</f>
        <v>22667833.639400419</v>
      </c>
      <c r="H139" s="92">
        <f>IF($G$211=0,0,G139/$G$211)</f>
        <v>4.5614489129786204E-2</v>
      </c>
      <c r="J139" s="111">
        <f>IF(G139=0,0,G139/$G$231)</f>
        <v>12.148107264801752</v>
      </c>
      <c r="K139" s="25">
        <v>6591.04</v>
      </c>
      <c r="L139" s="118">
        <f>SUM('ALPINE VALLEY:WOODLAND'!J136)</f>
        <v>963546.13714285719</v>
      </c>
      <c r="M139" s="118">
        <f>SUM('ALPINE VALLEY:WOODLAND'!K136)</f>
        <v>1054897.8957142858</v>
      </c>
      <c r="N139" s="119"/>
      <c r="O139" s="120">
        <f>IF(L139=0,0,G139/M139)</f>
        <v>21.488177890478887</v>
      </c>
      <c r="P139" s="59"/>
      <c r="Q139" s="121">
        <f>M139/$G$231</f>
        <v>0.56533910537777188</v>
      </c>
      <c r="R139" s="70"/>
    </row>
    <row r="140" spans="1:18" s="25" customFormat="1" ht="15.5">
      <c r="A140" s="32"/>
      <c r="B140" s="35" t="s">
        <v>196</v>
      </c>
      <c r="C140" s="14">
        <f>SUM('ALPINE VALLEY:WOODLAND'!C137)</f>
        <v>47581833.249999985</v>
      </c>
      <c r="D140" s="14">
        <f>SUM('ALPINE VALLEY:WOODLAND'!D137)</f>
        <v>3055095.3268578327</v>
      </c>
      <c r="E140" s="14">
        <f>SUM('ALPINE VALLEY:WOODLAND'!E137)</f>
        <v>50636928.57685782</v>
      </c>
      <c r="F140" s="14">
        <f>SUM('ALPINE VALLEY:WOODLAND'!F137)</f>
        <v>4884784.45</v>
      </c>
      <c r="G140" s="14">
        <f>SUM('ALPINE VALLEY:WOODLAND'!G137)</f>
        <v>55521713.026857823</v>
      </c>
      <c r="H140" s="92">
        <f>IF($G$211=0,0,G140/$G$211)</f>
        <v>0.11172636148734785</v>
      </c>
      <c r="J140" s="111">
        <f>IF(G140=0,0,G140/$G$231)</f>
        <v>29.755103028612584</v>
      </c>
      <c r="K140" s="25">
        <v>37934.71</v>
      </c>
      <c r="L140" s="118">
        <f>SUM('ALPINE VALLEY:WOODLAND'!J137)</f>
        <v>4445812.83</v>
      </c>
      <c r="M140" s="118">
        <f>SUM('ALPINE VALLEY:WOODLAND'!K137)</f>
        <v>4734030.4928571414</v>
      </c>
      <c r="N140" s="119"/>
      <c r="O140" s="120">
        <f>IF(L140=0,0,G140/M140)</f>
        <v>11.728211956097617</v>
      </c>
      <c r="P140" s="59"/>
      <c r="Q140" s="121">
        <f>M140/$G$231</f>
        <v>2.5370536566013033</v>
      </c>
      <c r="R140" s="70"/>
    </row>
    <row r="141" spans="1:18" s="25" customFormat="1" ht="15.5">
      <c r="A141" s="32"/>
      <c r="B141" s="35" t="s">
        <v>197</v>
      </c>
      <c r="C141" s="14">
        <f>SUM('ALPINE VALLEY:WOODLAND'!C138)</f>
        <v>7443681.9299999988</v>
      </c>
      <c r="D141" s="14">
        <f>SUM('ALPINE VALLEY:WOODLAND'!D138)</f>
        <v>-3302961.0571187264</v>
      </c>
      <c r="E141" s="14">
        <f>SUM('ALPINE VALLEY:WOODLAND'!E138)</f>
        <v>4140720.8728812737</v>
      </c>
      <c r="F141" s="14">
        <f>SUM('ALPINE VALLEY:WOODLAND'!F138)</f>
        <v>736428.39</v>
      </c>
      <c r="G141" s="14">
        <f>SUM('ALPINE VALLEY:WOODLAND'!G138)</f>
        <v>4877149.2628812734</v>
      </c>
      <c r="H141" s="92">
        <f>IF($G$211=0,0,G141/$G$211)</f>
        <v>9.8142890747775526E-3</v>
      </c>
      <c r="J141" s="111">
        <f>IF(G141=0,0,G141/$G$231)</f>
        <v>2.6137536270315449</v>
      </c>
      <c r="K141" s="25">
        <v>0</v>
      </c>
      <c r="L141" s="118">
        <f>SUM('ALPINE VALLEY:WOODLAND'!J138)</f>
        <v>263995.26190476189</v>
      </c>
      <c r="M141" s="118">
        <f>SUM('ALPINE VALLEY:WOODLAND'!K138)</f>
        <v>281701.2576190476</v>
      </c>
      <c r="N141" s="119"/>
      <c r="O141" s="120">
        <f>IF(L141=0,0,G141/M141)</f>
        <v>17.313196625755847</v>
      </c>
      <c r="P141" s="59"/>
      <c r="Q141" s="121">
        <f>M141/$G$231</f>
        <v>0.15096886401343204</v>
      </c>
      <c r="R141" s="70"/>
    </row>
    <row r="142" spans="1:18" s="25" customFormat="1" ht="15.5">
      <c r="A142" s="32" t="s">
        <v>96</v>
      </c>
      <c r="B142" s="24" t="s">
        <v>153</v>
      </c>
      <c r="C142" s="9"/>
      <c r="D142" s="9"/>
      <c r="E142" s="9"/>
      <c r="F142" s="9"/>
      <c r="G142" s="9"/>
      <c r="H142" s="72"/>
      <c r="I142" s="68"/>
      <c r="J142" s="127"/>
      <c r="L142" s="90"/>
      <c r="M142" s="90"/>
      <c r="N142" s="90"/>
      <c r="O142" s="112"/>
      <c r="P142" s="113"/>
      <c r="Q142" s="125"/>
      <c r="R142" s="70"/>
    </row>
    <row r="143" spans="1:18" s="25" customFormat="1" ht="15.5">
      <c r="A143" s="32"/>
      <c r="B143" s="35" t="s">
        <v>194</v>
      </c>
      <c r="C143" s="14">
        <f>SUM('ALPINE VALLEY:WOODLAND'!C140)</f>
        <v>9756211.8290141039</v>
      </c>
      <c r="D143" s="14">
        <f>SUM('ALPINE VALLEY:WOODLAND'!D140)</f>
        <v>-2037396.3207692169</v>
      </c>
      <c r="E143" s="14">
        <f>SUM('ALPINE VALLEY:WOODLAND'!E140)</f>
        <v>7718815.508244887</v>
      </c>
      <c r="F143" s="14">
        <f>SUM('ALPINE VALLEY:WOODLAND'!F140)</f>
        <v>136276.7300000001</v>
      </c>
      <c r="G143" s="14">
        <f>SUM('ALPINE VALLEY:WOODLAND'!G140)</f>
        <v>7856159.2382448865</v>
      </c>
      <c r="H143" s="92">
        <f>IF($G$211=0,0,G143/$G$211)</f>
        <v>1.5808951833487586E-2</v>
      </c>
      <c r="J143" s="111">
        <f>IF(G143=0,0,G143/$G$231)</f>
        <v>4.2102596407658526</v>
      </c>
      <c r="L143" s="90"/>
      <c r="M143" s="90"/>
      <c r="N143" s="90"/>
      <c r="O143" s="112"/>
      <c r="P143" s="113"/>
      <c r="Q143" s="125"/>
      <c r="R143" s="70"/>
    </row>
    <row r="144" spans="1:18" s="25" customFormat="1" ht="15.5">
      <c r="A144" s="32"/>
      <c r="B144" s="35" t="s">
        <v>195</v>
      </c>
      <c r="C144" s="14">
        <f>SUM('ALPINE VALLEY:WOODLAND'!C141)</f>
        <v>966287.51130148512</v>
      </c>
      <c r="D144" s="14">
        <f>SUM('ALPINE VALLEY:WOODLAND'!D141)</f>
        <v>2688906.7152662869</v>
      </c>
      <c r="E144" s="14">
        <f>SUM('ALPINE VALLEY:WOODLAND'!E141)</f>
        <v>3655194.2265677718</v>
      </c>
      <c r="F144" s="14">
        <f>SUM('ALPINE VALLEY:WOODLAND'!F141)</f>
        <v>500746.06</v>
      </c>
      <c r="G144" s="14">
        <f>SUM('ALPINE VALLEY:WOODLAND'!G141)</f>
        <v>4152984.2865677723</v>
      </c>
      <c r="H144" s="92">
        <f>IF($G$211=0,0,G144/$G$211)</f>
        <v>8.3570516534296081E-3</v>
      </c>
      <c r="J144" s="111">
        <f>IF(G144=0,0,G144/$G$231)</f>
        <v>2.2256603513522144</v>
      </c>
      <c r="L144" s="90"/>
      <c r="M144" s="90"/>
      <c r="N144" s="90"/>
      <c r="O144" s="112"/>
      <c r="P144" s="113"/>
      <c r="Q144" s="125"/>
      <c r="R144" s="70"/>
    </row>
    <row r="145" spans="1:18" s="25" customFormat="1" ht="15.5">
      <c r="A145" s="32"/>
      <c r="B145" s="35" t="s">
        <v>196</v>
      </c>
      <c r="C145" s="14">
        <f>SUM('ALPINE VALLEY:WOODLAND'!C142)</f>
        <v>2588066.225867887</v>
      </c>
      <c r="D145" s="14">
        <f>SUM('ALPINE VALLEY:WOODLAND'!D142)</f>
        <v>6618587.5148103209</v>
      </c>
      <c r="E145" s="14">
        <f>SUM('ALPINE VALLEY:WOODLAND'!E142)</f>
        <v>9206653.7406782079</v>
      </c>
      <c r="F145" s="14">
        <f>SUM('ALPINE VALLEY:WOODLAND'!F142)</f>
        <v>1064995.26</v>
      </c>
      <c r="G145" s="14">
        <f>SUM('ALPINE VALLEY:WOODLAND'!G142)</f>
        <v>10274605.000678208</v>
      </c>
      <c r="H145" s="92">
        <f>IF($G$211=0,0,G145/$G$211)</f>
        <v>2.0675591041115465E-2</v>
      </c>
      <c r="J145" s="111">
        <f>IF(G145=0,0,G145/$G$231)</f>
        <v>5.5063490246705751</v>
      </c>
      <c r="L145" s="90"/>
      <c r="M145" s="90"/>
      <c r="N145" s="90"/>
      <c r="O145" s="112"/>
      <c r="P145" s="113"/>
      <c r="Q145" s="125"/>
      <c r="R145" s="70"/>
    </row>
    <row r="146" spans="1:18" s="25" customFormat="1" ht="15.5">
      <c r="A146" s="32"/>
      <c r="B146" s="35" t="s">
        <v>197</v>
      </c>
      <c r="C146" s="14">
        <f>SUM('ALPINE VALLEY:WOODLAND'!C143)</f>
        <v>1479262.2976343727</v>
      </c>
      <c r="D146" s="14">
        <f>SUM('ALPINE VALLEY:WOODLAND'!D143)</f>
        <v>-581704.44493032387</v>
      </c>
      <c r="E146" s="14">
        <f>SUM('ALPINE VALLEY:WOODLAND'!E143)</f>
        <v>897557.85270404839</v>
      </c>
      <c r="F146" s="14">
        <f>SUM('ALPINE VALLEY:WOODLAND'!F143)</f>
        <v>129919.03000000001</v>
      </c>
      <c r="G146" s="14">
        <f>SUM('ALPINE VALLEY:WOODLAND'!G143)</f>
        <v>1027476.8827040484</v>
      </c>
      <c r="H146" s="92">
        <f>IF($G$211=0,0,G146/$G$211)</f>
        <v>2.0675920708958457E-3</v>
      </c>
      <c r="J146" s="111">
        <f>IF(G146=0,0,G146/$G$231)</f>
        <v>0.55064368222190041</v>
      </c>
      <c r="L146" s="90"/>
      <c r="M146" s="90"/>
      <c r="N146" s="90"/>
      <c r="O146" s="112"/>
      <c r="P146" s="113"/>
      <c r="Q146" s="125"/>
      <c r="R146" s="70"/>
    </row>
    <row r="147" spans="1:18" s="25" customFormat="1" ht="15.5">
      <c r="A147" s="32" t="s">
        <v>87</v>
      </c>
      <c r="B147" s="24" t="s">
        <v>98</v>
      </c>
      <c r="C147" s="9"/>
      <c r="D147" s="9"/>
      <c r="E147" s="9"/>
      <c r="F147" s="9"/>
      <c r="G147" s="9"/>
      <c r="H147" s="72"/>
      <c r="I147" s="68"/>
      <c r="J147" s="127"/>
      <c r="L147" s="96"/>
      <c r="M147" s="96"/>
      <c r="N147" s="96"/>
      <c r="O147" s="96"/>
      <c r="P147" s="113"/>
      <c r="Q147" s="122"/>
      <c r="R147" s="70"/>
    </row>
    <row r="148" spans="1:18" s="25" customFormat="1" ht="15.5">
      <c r="A148" s="32"/>
      <c r="B148" s="35" t="s">
        <v>232</v>
      </c>
      <c r="C148" s="14">
        <f>SUM('ALPINE VALLEY:WOODLAND'!C145)</f>
        <v>2646697.9000000004</v>
      </c>
      <c r="D148" s="14">
        <f>SUM('ALPINE VALLEY:WOODLAND'!D145)</f>
        <v>59400</v>
      </c>
      <c r="E148" s="14">
        <f>SUM('ALPINE VALLEY:WOODLAND'!E145)</f>
        <v>2706097.9000000004</v>
      </c>
      <c r="F148" s="14">
        <f>SUM('ALPINE VALLEY:WOODLAND'!F145)</f>
        <v>363634.78</v>
      </c>
      <c r="G148" s="14">
        <f>SUM('ALPINE VALLEY:WOODLAND'!G145)</f>
        <v>3069732.68</v>
      </c>
      <c r="H148" s="92">
        <f t="shared" ref="H148:H156" si="14">IF($G$211=0,0,G148/$G$211)</f>
        <v>6.1772240872557073E-3</v>
      </c>
      <c r="J148" s="111">
        <f t="shared" ref="J148:J156" si="15">IF(G148=0,0,G148/$G$231)</f>
        <v>1.6451259729597054</v>
      </c>
      <c r="K148" s="25">
        <v>0</v>
      </c>
      <c r="L148" s="118">
        <f>SUM('ALPINE VALLEY:WOODLAND'!J145)</f>
        <v>7296.4972700545986</v>
      </c>
      <c r="M148" s="118">
        <f>SUM('ALPINE VALLEY:WOODLAND'!K145)</f>
        <v>7296</v>
      </c>
      <c r="N148" s="119"/>
      <c r="O148" s="120">
        <f>IF(L148=0,0,G148/M148)</f>
        <v>420.74186951754388</v>
      </c>
      <c r="P148" s="59"/>
      <c r="Q148" s="121">
        <f>M148/$G$231</f>
        <v>3.91006004428829E-3</v>
      </c>
      <c r="R148" s="70"/>
    </row>
    <row r="149" spans="1:18" s="25" customFormat="1" ht="15.5">
      <c r="A149" s="32"/>
      <c r="B149" s="35" t="s">
        <v>194</v>
      </c>
      <c r="C149" s="14">
        <f>SUM('ALPINE VALLEY:WOODLAND'!C146)</f>
        <v>819123.54</v>
      </c>
      <c r="D149" s="14">
        <f>SUM('ALPINE VALLEY:WOODLAND'!D146)</f>
        <v>0</v>
      </c>
      <c r="E149" s="14">
        <f>SUM('ALPINE VALLEY:WOODLAND'!E146)</f>
        <v>819123.54</v>
      </c>
      <c r="F149" s="14">
        <f>SUM('ALPINE VALLEY:WOODLAND'!F146)</f>
        <v>49298.66</v>
      </c>
      <c r="G149" s="14">
        <f>SUM('ALPINE VALLEY:WOODLAND'!G146)</f>
        <v>868422.20000000019</v>
      </c>
      <c r="H149" s="92">
        <f t="shared" si="14"/>
        <v>1.7475262802843126E-3</v>
      </c>
      <c r="J149" s="111">
        <f t="shared" si="15"/>
        <v>0.46540336428082985</v>
      </c>
      <c r="K149" s="25">
        <v>433</v>
      </c>
      <c r="L149" s="118">
        <f>SUM('ALPINE VALLEY:WOODLAND'!J146)</f>
        <v>17023.300000000003</v>
      </c>
      <c r="M149" s="118">
        <f>SUM('ALPINE VALLEY:WOODLAND'!K146)</f>
        <v>16026.849999999999</v>
      </c>
      <c r="N149" s="119"/>
      <c r="O149" s="120">
        <f>IF(L149=0,0,G149/M149)</f>
        <v>54.185457529084026</v>
      </c>
      <c r="P149" s="59"/>
      <c r="Q149" s="121">
        <f>M149/$G$231</f>
        <v>8.589082486403752E-3</v>
      </c>
      <c r="R149" s="70"/>
    </row>
    <row r="150" spans="1:18" s="25" customFormat="1" ht="15.5">
      <c r="A150" s="32"/>
      <c r="B150" s="35" t="s">
        <v>195</v>
      </c>
      <c r="C150" s="14">
        <f>SUM('ALPINE VALLEY:WOODLAND'!C147)</f>
        <v>387916.32</v>
      </c>
      <c r="D150" s="14">
        <f>SUM('ALPINE VALLEY:WOODLAND'!D147)</f>
        <v>-2575.6520380188458</v>
      </c>
      <c r="E150" s="14">
        <f>SUM('ALPINE VALLEY:WOODLAND'!E147)</f>
        <v>385340.66796198115</v>
      </c>
      <c r="F150" s="14">
        <f>SUM('ALPINE VALLEY:WOODLAND'!F147)</f>
        <v>6630</v>
      </c>
      <c r="G150" s="14">
        <f>SUM('ALPINE VALLEY:WOODLAND'!G147)</f>
        <v>391970.66796198115</v>
      </c>
      <c r="H150" s="92">
        <f t="shared" si="14"/>
        <v>7.8876270478133576E-4</v>
      </c>
      <c r="J150" s="111">
        <f t="shared" si="15"/>
        <v>0.21006426087323665</v>
      </c>
      <c r="K150" s="25">
        <v>36</v>
      </c>
      <c r="L150" s="118">
        <f>SUM('ALPINE VALLEY:WOODLAND'!J147)</f>
        <v>9028.9433333333327</v>
      </c>
      <c r="M150" s="118">
        <f>SUM('ALPINE VALLEY:WOODLAND'!K147)</f>
        <v>8494.11</v>
      </c>
      <c r="N150" s="119"/>
      <c r="O150" s="120">
        <f>IF(L150=0,0,G150/M150)</f>
        <v>46.146172814100723</v>
      </c>
      <c r="P150" s="59"/>
      <c r="Q150" s="121">
        <f>M150/$G$231</f>
        <v>4.5521491396367337E-3</v>
      </c>
      <c r="R150" s="70"/>
    </row>
    <row r="151" spans="1:18" s="25" customFormat="1" ht="15.5">
      <c r="A151" s="32"/>
      <c r="B151" s="35" t="s">
        <v>196</v>
      </c>
      <c r="C151" s="14">
        <f>SUM('ALPINE VALLEY:WOODLAND'!C148)</f>
        <v>388932.67</v>
      </c>
      <c r="D151" s="14">
        <f>SUM('ALPINE VALLEY:WOODLAND'!D148)</f>
        <v>0</v>
      </c>
      <c r="E151" s="14">
        <f>SUM('ALPINE VALLEY:WOODLAND'!E148)</f>
        <v>388932.67</v>
      </c>
      <c r="F151" s="14">
        <f>SUM('ALPINE VALLEY:WOODLAND'!F148)</f>
        <v>188513</v>
      </c>
      <c r="G151" s="14">
        <f>SUM('ALPINE VALLEY:WOODLAND'!G148)</f>
        <v>577445.66999999993</v>
      </c>
      <c r="H151" s="92">
        <f t="shared" si="14"/>
        <v>1.1619941127269458E-3</v>
      </c>
      <c r="J151" s="111">
        <f t="shared" si="15"/>
        <v>0.30946371189888716</v>
      </c>
      <c r="K151" s="25">
        <v>314</v>
      </c>
      <c r="L151" s="118">
        <f>SUM('ALPINE VALLEY:WOODLAND'!J148)</f>
        <v>15406.859803921567</v>
      </c>
      <c r="M151" s="118">
        <f>SUM('ALPINE VALLEY:WOODLAND'!K148)</f>
        <v>12023.10588235294</v>
      </c>
      <c r="N151" s="119"/>
      <c r="O151" s="120">
        <f>IF(L151=0,0,G151/M151)</f>
        <v>48.027995066362415</v>
      </c>
      <c r="P151" s="59"/>
      <c r="Q151" s="121">
        <f>M151/$G$231</f>
        <v>6.4434026752790202E-3</v>
      </c>
      <c r="R151" s="70"/>
    </row>
    <row r="152" spans="1:18" s="25" customFormat="1" ht="15.5">
      <c r="A152" s="32"/>
      <c r="B152" s="35" t="s">
        <v>197</v>
      </c>
      <c r="C152" s="14">
        <f>SUM('ALPINE VALLEY:WOODLAND'!C149)</f>
        <v>1015650.3599999999</v>
      </c>
      <c r="D152" s="14">
        <f>SUM('ALPINE VALLEY:WOODLAND'!D149)</f>
        <v>89864</v>
      </c>
      <c r="E152" s="14">
        <f>SUM('ALPINE VALLEY:WOODLAND'!E149)</f>
        <v>1105514.3599999996</v>
      </c>
      <c r="F152" s="14">
        <f>SUM('ALPINE VALLEY:WOODLAND'!F149)</f>
        <v>87992.37</v>
      </c>
      <c r="G152" s="14">
        <f>SUM('ALPINE VALLEY:WOODLAND'!G149)</f>
        <v>1193506.7299999997</v>
      </c>
      <c r="H152" s="92">
        <f t="shared" si="14"/>
        <v>2.4016939875226503E-3</v>
      </c>
      <c r="J152" s="111">
        <f t="shared" si="15"/>
        <v>0.63962211863516594</v>
      </c>
      <c r="K152" s="25">
        <v>0</v>
      </c>
      <c r="L152" s="118">
        <f>SUM('ALPINE VALLEY:WOODLAND'!J149)</f>
        <v>10385.999999999996</v>
      </c>
      <c r="M152" s="118">
        <f>SUM('ALPINE VALLEY:WOODLAND'!K149)</f>
        <v>3723.5333333333301</v>
      </c>
      <c r="N152" s="119"/>
      <c r="O152" s="120">
        <f>IF(L152=0,0,G152/M152)</f>
        <v>320.53069575492833</v>
      </c>
      <c r="P152" s="59"/>
      <c r="Q152" s="121">
        <f>M152/$G$231</f>
        <v>1.9955097190573253E-3</v>
      </c>
      <c r="R152" s="70"/>
    </row>
    <row r="153" spans="1:18" s="25" customFormat="1" ht="15.5">
      <c r="A153" s="32">
        <v>110</v>
      </c>
      <c r="B153" s="25" t="s">
        <v>65</v>
      </c>
      <c r="C153" s="14">
        <f>SUM('ALPINE VALLEY:WOODLAND'!C150)</f>
        <v>9547224.7199999988</v>
      </c>
      <c r="D153" s="14">
        <f>SUM('ALPINE VALLEY:WOODLAND'!D150)</f>
        <v>-8690.42</v>
      </c>
      <c r="E153" s="14">
        <f>SUM('ALPINE VALLEY:WOODLAND'!E150)</f>
        <v>9538534.2999999989</v>
      </c>
      <c r="F153" s="14">
        <f>SUM('ALPINE VALLEY:WOODLAND'!F150)</f>
        <v>970720.70000000007</v>
      </c>
      <c r="G153" s="14">
        <f>SUM('ALPINE VALLEY:WOODLAND'!G150)</f>
        <v>10509254.999999996</v>
      </c>
      <c r="H153" s="92">
        <f t="shared" si="14"/>
        <v>2.1147777312359475E-2</v>
      </c>
      <c r="J153" s="111">
        <f t="shared" si="15"/>
        <v>5.6321022575023187</v>
      </c>
      <c r="L153" s="90"/>
      <c r="M153" s="90"/>
      <c r="N153" s="90"/>
      <c r="O153" s="112"/>
      <c r="P153" s="113"/>
      <c r="Q153" s="125"/>
      <c r="R153" s="58"/>
    </row>
    <row r="154" spans="1:18" s="25" customFormat="1" ht="15.5">
      <c r="A154" s="32">
        <v>111</v>
      </c>
      <c r="B154" s="24" t="s">
        <v>97</v>
      </c>
      <c r="C154" s="14">
        <f>SUM('ALPINE VALLEY:WOODLAND'!C151)</f>
        <v>574361.1399999999</v>
      </c>
      <c r="D154" s="14">
        <f>SUM('ALPINE VALLEY:WOODLAND'!D151)</f>
        <v>-1163</v>
      </c>
      <c r="E154" s="14">
        <f>SUM('ALPINE VALLEY:WOODLAND'!E151)</f>
        <v>573198.1399999999</v>
      </c>
      <c r="F154" s="14">
        <f>SUM('ALPINE VALLEY:WOODLAND'!F151)</f>
        <v>78721.069999999992</v>
      </c>
      <c r="G154" s="14">
        <f>SUM('ALPINE VALLEY:WOODLAND'!G151)</f>
        <v>651919.21</v>
      </c>
      <c r="H154" s="92">
        <f t="shared" si="14"/>
        <v>1.3118572419005263E-3</v>
      </c>
      <c r="J154" s="111">
        <f t="shared" si="15"/>
        <v>0.34937544615199928</v>
      </c>
      <c r="L154" s="90"/>
      <c r="M154" s="90"/>
      <c r="N154" s="90"/>
      <c r="O154" s="112"/>
      <c r="P154" s="113"/>
      <c r="Q154" s="125"/>
      <c r="R154" s="58"/>
    </row>
    <row r="155" spans="1:18" s="25" customFormat="1" ht="15.5">
      <c r="A155" s="32">
        <v>230</v>
      </c>
      <c r="B155" s="24" t="s">
        <v>66</v>
      </c>
      <c r="C155" s="14">
        <f>SUM('ALPINE VALLEY:WOODLAND'!C152)</f>
        <v>278281.38000000006</v>
      </c>
      <c r="D155" s="14">
        <f>SUM('ALPINE VALLEY:WOODLAND'!D152)</f>
        <v>0</v>
      </c>
      <c r="E155" s="14">
        <f>SUM('ALPINE VALLEY:WOODLAND'!E152)</f>
        <v>278281.38000000006</v>
      </c>
      <c r="F155" s="14">
        <f>SUM('ALPINE VALLEY:WOODLAND'!F152)</f>
        <v>28484.959999999999</v>
      </c>
      <c r="G155" s="14">
        <f>SUM('ALPINE VALLEY:WOODLAND'!G152)</f>
        <v>306766.34000000003</v>
      </c>
      <c r="H155" s="92">
        <f t="shared" si="14"/>
        <v>6.1730600744273087E-4</v>
      </c>
      <c r="J155" s="111">
        <f t="shared" si="15"/>
        <v>0.16440170079037233</v>
      </c>
      <c r="L155" s="90"/>
      <c r="M155" s="90"/>
      <c r="N155" s="90"/>
      <c r="O155" s="112"/>
      <c r="P155" s="113"/>
      <c r="Q155" s="125"/>
      <c r="R155" s="58"/>
    </row>
    <row r="156" spans="1:18" s="25" customFormat="1" ht="15.5">
      <c r="A156" s="32">
        <v>430</v>
      </c>
      <c r="B156" s="24" t="s">
        <v>99</v>
      </c>
      <c r="C156" s="14">
        <f>SUM('ALPINE VALLEY:WOODLAND'!C153)</f>
        <v>1083683.23</v>
      </c>
      <c r="D156" s="14">
        <f>SUM('ALPINE VALLEY:WOODLAND'!D153)</f>
        <v>878981</v>
      </c>
      <c r="E156" s="14">
        <f>SUM('ALPINE VALLEY:WOODLAND'!E153)</f>
        <v>1962664.23</v>
      </c>
      <c r="F156" s="14">
        <f>SUM('ALPINE VALLEY:WOODLAND'!F153)</f>
        <v>-211580</v>
      </c>
      <c r="G156" s="14">
        <f>SUM('ALPINE VALLEY:WOODLAND'!G153)</f>
        <v>1751084.23</v>
      </c>
      <c r="H156" s="92">
        <f t="shared" si="14"/>
        <v>3.5237073751873444E-3</v>
      </c>
      <c r="J156" s="111">
        <f t="shared" si="15"/>
        <v>0.93843811429637136</v>
      </c>
      <c r="L156" s="90"/>
      <c r="M156" s="90"/>
      <c r="N156" s="90"/>
      <c r="O156" s="112"/>
      <c r="P156" s="113"/>
      <c r="Q156" s="125"/>
      <c r="R156" s="58"/>
    </row>
    <row r="157" spans="1:18" s="25" customFormat="1" ht="15.5">
      <c r="A157" s="32"/>
      <c r="B157" s="73" t="s">
        <v>302</v>
      </c>
      <c r="C157" s="13"/>
      <c r="D157" s="13"/>
      <c r="E157" s="13"/>
      <c r="F157" s="13"/>
      <c r="G157" s="13"/>
      <c r="H157" s="74"/>
      <c r="I157" s="68"/>
      <c r="J157" s="129"/>
      <c r="K157" s="68"/>
      <c r="L157" s="90"/>
      <c r="M157" s="90"/>
      <c r="N157" s="90"/>
      <c r="O157" s="112"/>
      <c r="P157" s="113"/>
      <c r="Q157" s="125"/>
      <c r="R157" s="70"/>
    </row>
    <row r="158" spans="1:18" s="25" customFormat="1" ht="15.5">
      <c r="A158" s="32">
        <v>440.1</v>
      </c>
      <c r="B158" s="35" t="s">
        <v>223</v>
      </c>
      <c r="C158" s="14">
        <f>SUM('ALPINE VALLEY:WOODLAND'!C155)</f>
        <v>911</v>
      </c>
      <c r="D158" s="14">
        <f>SUM('ALPINE VALLEY:WOODLAND'!D155)</f>
        <v>0</v>
      </c>
      <c r="E158" s="14">
        <f>SUM('ALPINE VALLEY:WOODLAND'!E155)</f>
        <v>911</v>
      </c>
      <c r="F158" s="14">
        <f>SUM('ALPINE VALLEY:WOODLAND'!F155)</f>
        <v>0</v>
      </c>
      <c r="G158" s="14">
        <f>SUM('ALPINE VALLEY:WOODLAND'!G155)</f>
        <v>911</v>
      </c>
      <c r="H158" s="92">
        <f t="shared" ref="H158:H164" si="16">IF($G$211=0,0,G158/$G$211)</f>
        <v>1.8332056013066092E-6</v>
      </c>
      <c r="J158" s="111">
        <f>IF(G158=0,0,G158/$G$231)</f>
        <v>4.8822158721856251E-4</v>
      </c>
      <c r="L158" s="90"/>
      <c r="M158" s="90"/>
      <c r="N158" s="90"/>
      <c r="O158" s="112"/>
      <c r="P158" s="113"/>
      <c r="Q158" s="125"/>
      <c r="R158" s="58"/>
    </row>
    <row r="159" spans="1:18" s="25" customFormat="1" ht="15.5">
      <c r="A159" s="32">
        <v>440.2</v>
      </c>
      <c r="B159" s="35" t="s">
        <v>224</v>
      </c>
      <c r="C159" s="14">
        <f>SUM('ALPINE VALLEY:WOODLAND'!C156)</f>
        <v>7771</v>
      </c>
      <c r="D159" s="14">
        <f>SUM('ALPINE VALLEY:WOODLAND'!D156)</f>
        <v>3861.3885714285716</v>
      </c>
      <c r="E159" s="14">
        <f>SUM('ALPINE VALLEY:WOODLAND'!E156)</f>
        <v>11632.388571428572</v>
      </c>
      <c r="F159" s="14">
        <f>SUM('ALPINE VALLEY:WOODLAND'!F156)</f>
        <v>11631</v>
      </c>
      <c r="G159" s="14">
        <f>SUM('ALPINE VALLEY:WOODLAND'!G156)</f>
        <v>23263.388571428572</v>
      </c>
      <c r="H159" s="92">
        <f t="shared" si="16"/>
        <v>4.6812924516481903E-5</v>
      </c>
      <c r="J159" s="111">
        <f t="shared" ref="J159:J164" si="17">IF(G159=0,0,G159/$G$231)</f>
        <v>1.2467276061937458E-2</v>
      </c>
      <c r="L159" s="90"/>
      <c r="M159" s="90"/>
      <c r="N159" s="90"/>
      <c r="O159" s="112"/>
      <c r="P159" s="113"/>
      <c r="Q159" s="125"/>
      <c r="R159" s="58"/>
    </row>
    <row r="160" spans="1:18" s="25" customFormat="1" ht="15.5">
      <c r="A160" s="32">
        <v>440.3</v>
      </c>
      <c r="B160" s="35" t="s">
        <v>225</v>
      </c>
      <c r="C160" s="14">
        <f>SUM('ALPINE VALLEY:WOODLAND'!C157)</f>
        <v>16593</v>
      </c>
      <c r="D160" s="14">
        <f>SUM('ALPINE VALLEY:WOODLAND'!D157)</f>
        <v>0</v>
      </c>
      <c r="E160" s="14">
        <f>SUM('ALPINE VALLEY:WOODLAND'!E157)</f>
        <v>16593</v>
      </c>
      <c r="F160" s="14">
        <f>SUM('ALPINE VALLEY:WOODLAND'!F157)</f>
        <v>0</v>
      </c>
      <c r="G160" s="14">
        <f>SUM('ALPINE VALLEY:WOODLAND'!G157)</f>
        <v>16593</v>
      </c>
      <c r="H160" s="92">
        <f t="shared" si="16"/>
        <v>3.3390099388013794E-5</v>
      </c>
      <c r="J160" s="111">
        <f t="shared" si="17"/>
        <v>8.8924926418415019E-3</v>
      </c>
      <c r="L160" s="90"/>
      <c r="M160" s="90"/>
      <c r="N160" s="90"/>
      <c r="O160" s="112"/>
      <c r="P160" s="113"/>
      <c r="Q160" s="125"/>
      <c r="R160" s="58"/>
    </row>
    <row r="161" spans="1:18" s="25" customFormat="1" ht="15.5">
      <c r="A161" s="32">
        <v>440.4</v>
      </c>
      <c r="B161" s="35" t="s">
        <v>226</v>
      </c>
      <c r="C161" s="14">
        <f>SUM('ALPINE VALLEY:WOODLAND'!C158)</f>
        <v>143.23000000000002</v>
      </c>
      <c r="D161" s="14">
        <f>SUM('ALPINE VALLEY:WOODLAND'!D158)</f>
        <v>0</v>
      </c>
      <c r="E161" s="14">
        <f>SUM('ALPINE VALLEY:WOODLAND'!E158)</f>
        <v>143.23000000000002</v>
      </c>
      <c r="F161" s="14">
        <f>SUM('ALPINE VALLEY:WOODLAND'!F158)</f>
        <v>905</v>
      </c>
      <c r="G161" s="14">
        <f>SUM('ALPINE VALLEY:WOODLAND'!G158)</f>
        <v>1048.23</v>
      </c>
      <c r="H161" s="92">
        <f t="shared" si="16"/>
        <v>2.1093535756944314E-6</v>
      </c>
      <c r="J161" s="111">
        <f t="shared" si="17"/>
        <v>5.6176565792548166E-4</v>
      </c>
      <c r="L161" s="90"/>
      <c r="M161" s="90"/>
      <c r="N161" s="90"/>
      <c r="O161" s="112"/>
      <c r="P161" s="113"/>
      <c r="Q161" s="125"/>
      <c r="R161" s="58"/>
    </row>
    <row r="162" spans="1:18" s="25" customFormat="1" ht="15.5">
      <c r="A162" s="32">
        <v>440.5</v>
      </c>
      <c r="B162" s="35" t="s">
        <v>301</v>
      </c>
      <c r="C162" s="14">
        <f>SUM('ALPINE VALLEY:WOODLAND'!C159)</f>
        <v>32161.48</v>
      </c>
      <c r="D162" s="14">
        <f>SUM('ALPINE VALLEY:WOODLAND'!D159)</f>
        <v>-1750</v>
      </c>
      <c r="E162" s="14">
        <f>SUM('ALPINE VALLEY:WOODLAND'!E159)</f>
        <v>30411.480000000003</v>
      </c>
      <c r="F162" s="14">
        <f>SUM('ALPINE VALLEY:WOODLAND'!F159)</f>
        <v>644.5</v>
      </c>
      <c r="G162" s="14">
        <f>SUM('ALPINE VALLEY:WOODLAND'!G159)</f>
        <v>31055.980000000003</v>
      </c>
      <c r="H162" s="92">
        <f t="shared" si="16"/>
        <v>6.2493958825539012E-5</v>
      </c>
      <c r="J162" s="111">
        <f t="shared" si="17"/>
        <v>1.6643468549097623E-2</v>
      </c>
      <c r="L162" s="90"/>
      <c r="M162" s="90"/>
      <c r="N162" s="90"/>
      <c r="O162" s="112"/>
      <c r="P162" s="113"/>
      <c r="Q162" s="125"/>
      <c r="R162" s="58"/>
    </row>
    <row r="163" spans="1:18" s="25" customFormat="1" ht="15.5">
      <c r="A163" s="32">
        <v>490</v>
      </c>
      <c r="B163" s="2" t="s">
        <v>303</v>
      </c>
      <c r="C163" s="14">
        <f>SUM('ALPINE VALLEY:WOODLAND'!C160)</f>
        <v>1241334.8200000003</v>
      </c>
      <c r="D163" s="14">
        <f>SUM('ALPINE VALLEY:WOODLAND'!D160)</f>
        <v>66903</v>
      </c>
      <c r="E163" s="14">
        <f>SUM('ALPINE VALLEY:WOODLAND'!E160)</f>
        <v>1308237.8200000003</v>
      </c>
      <c r="F163" s="14">
        <f>SUM('ALPINE VALLEY:WOODLAND'!F160)</f>
        <v>282767.91000000003</v>
      </c>
      <c r="G163" s="14">
        <f>SUM('ALPINE VALLEY:WOODLAND'!G160)</f>
        <v>1591005.7300000002</v>
      </c>
      <c r="H163" s="92">
        <f t="shared" si="16"/>
        <v>3.2015813566925481E-3</v>
      </c>
      <c r="J163" s="111">
        <f t="shared" si="17"/>
        <v>0.85264911391265397</v>
      </c>
      <c r="L163" s="90"/>
      <c r="M163" s="90"/>
      <c r="N163" s="90"/>
      <c r="O163" s="112"/>
      <c r="P163" s="113"/>
      <c r="Q163" s="125"/>
      <c r="R163" s="58"/>
    </row>
    <row r="164" spans="1:18" s="25" customFormat="1" ht="15.5">
      <c r="A164" s="32"/>
      <c r="B164" s="3" t="s">
        <v>233</v>
      </c>
      <c r="C164" s="14">
        <f>SUM('ALPINE VALLEY:WOODLAND'!C161)</f>
        <v>167154783.09435692</v>
      </c>
      <c r="D164" s="14">
        <f>SUM('ALPINE VALLEY:WOODLAND'!D161)</f>
        <v>12466315.333381716</v>
      </c>
      <c r="E164" s="14">
        <f>SUM('ALPINE VALLEY:WOODLAND'!E161)</f>
        <v>179621098.42773867</v>
      </c>
      <c r="F164" s="14">
        <f>SUM('ALPINE VALLEY:WOODLAND'!F161)</f>
        <v>17364962.890000001</v>
      </c>
      <c r="G164" s="14">
        <f>SUM('ALPINE VALLEY:WOODLAND'!G161)</f>
        <v>196987128.31773865</v>
      </c>
      <c r="H164" s="92">
        <f t="shared" si="16"/>
        <v>0.39639726346584225</v>
      </c>
      <c r="J164" s="111">
        <f t="shared" si="17"/>
        <v>105.56901037202306</v>
      </c>
      <c r="L164" s="90"/>
      <c r="M164" s="90"/>
      <c r="N164" s="90"/>
      <c r="O164" s="112"/>
      <c r="P164" s="113"/>
      <c r="Q164" s="125"/>
      <c r="R164" s="58"/>
    </row>
    <row r="165" spans="1:18" s="25" customFormat="1" ht="15.5">
      <c r="A165" s="32"/>
      <c r="B165" s="24"/>
      <c r="C165" s="17"/>
      <c r="D165" s="17"/>
      <c r="E165" s="17"/>
      <c r="F165" s="17"/>
      <c r="G165" s="17"/>
      <c r="H165" s="72"/>
      <c r="J165" s="123"/>
      <c r="L165" s="93"/>
      <c r="M165" s="93"/>
      <c r="N165" s="93"/>
      <c r="O165" s="93"/>
      <c r="P165" s="93"/>
      <c r="Q165" s="126"/>
    </row>
    <row r="166" spans="1:18" s="25" customFormat="1" ht="15.5">
      <c r="A166" s="32" t="s">
        <v>168</v>
      </c>
      <c r="B166" s="36" t="s">
        <v>100</v>
      </c>
      <c r="C166" s="75"/>
      <c r="D166" s="75"/>
      <c r="E166" s="75"/>
      <c r="F166" s="76"/>
      <c r="G166" s="76"/>
      <c r="H166" s="72"/>
      <c r="J166" s="123"/>
      <c r="L166" s="93"/>
      <c r="M166" s="93"/>
      <c r="N166" s="93"/>
      <c r="O166" s="93"/>
      <c r="P166" s="93"/>
      <c r="Q166" s="126"/>
    </row>
    <row r="167" spans="1:18" s="25" customFormat="1" ht="15.5">
      <c r="A167" s="32" t="s">
        <v>95</v>
      </c>
      <c r="B167" s="24" t="s">
        <v>102</v>
      </c>
      <c r="C167" s="14">
        <f>SUM('ALPINE VALLEY:WOODLAND'!C164)</f>
        <v>0</v>
      </c>
      <c r="D167" s="14">
        <f>SUM('ALPINE VALLEY:WOODLAND'!D164)</f>
        <v>0</v>
      </c>
      <c r="E167" s="14">
        <f>SUM('ALPINE VALLEY:WOODLAND'!E164)</f>
        <v>0</v>
      </c>
      <c r="F167" s="14">
        <f>SUM('ALPINE VALLEY:WOODLAND'!F164)</f>
        <v>0</v>
      </c>
      <c r="G167" s="14">
        <f>SUM('ALPINE VALLEY:WOODLAND'!G164)</f>
        <v>0</v>
      </c>
      <c r="H167" s="92">
        <f t="shared" ref="H167:H190" si="18">IF($G$211=0,0,G167/$G$211)</f>
        <v>0</v>
      </c>
      <c r="J167" s="111">
        <f t="shared" ref="J167:J200" si="19">IF(G167=0,0,G167/$G$231)</f>
        <v>0</v>
      </c>
      <c r="K167" s="25">
        <v>0</v>
      </c>
      <c r="L167" s="118">
        <f>SUM('ALPINE VALLEY:WOODLAND'!J164)</f>
        <v>0</v>
      </c>
      <c r="M167" s="118">
        <f>SUM('ALPINE VALLEY:WOODLAND'!K164)</f>
        <v>0</v>
      </c>
      <c r="N167" s="119"/>
      <c r="O167" s="120">
        <f>IF(L167=0,0,G167/M167)</f>
        <v>0</v>
      </c>
      <c r="P167" s="59"/>
      <c r="Q167" s="121">
        <f>M167/$G$231</f>
        <v>0</v>
      </c>
      <c r="R167" s="58"/>
    </row>
    <row r="168" spans="1:18" s="25" customFormat="1" ht="15.5">
      <c r="A168" s="32" t="s">
        <v>123</v>
      </c>
      <c r="B168" s="24" t="s">
        <v>103</v>
      </c>
      <c r="C168" s="14">
        <f>SUM('ALPINE VALLEY:WOODLAND'!C165)</f>
        <v>0</v>
      </c>
      <c r="D168" s="14">
        <f>SUM('ALPINE VALLEY:WOODLAND'!D165)</f>
        <v>0</v>
      </c>
      <c r="E168" s="14">
        <f>SUM('ALPINE VALLEY:WOODLAND'!E165)</f>
        <v>0</v>
      </c>
      <c r="F168" s="14">
        <f>SUM('ALPINE VALLEY:WOODLAND'!F165)</f>
        <v>0</v>
      </c>
      <c r="G168" s="14">
        <f>SUM('ALPINE VALLEY:WOODLAND'!G165)</f>
        <v>0</v>
      </c>
      <c r="H168" s="92">
        <f t="shared" si="18"/>
        <v>0</v>
      </c>
      <c r="J168" s="111">
        <f t="shared" si="19"/>
        <v>0</v>
      </c>
      <c r="L168" s="90"/>
      <c r="M168" s="90"/>
      <c r="N168" s="90"/>
      <c r="O168" s="130"/>
      <c r="P168" s="113"/>
      <c r="Q168" s="125"/>
      <c r="R168" s="58"/>
    </row>
    <row r="169" spans="1:18" s="25" customFormat="1" ht="15.5">
      <c r="A169" s="32" t="s">
        <v>124</v>
      </c>
      <c r="B169" s="24" t="s">
        <v>104</v>
      </c>
      <c r="C169" s="14">
        <f>SUM('ALPINE VALLEY:WOODLAND'!C166)</f>
        <v>7915106.5999999996</v>
      </c>
      <c r="D169" s="14">
        <f>SUM('ALPINE VALLEY:WOODLAND'!D166)</f>
        <v>546591.26255338197</v>
      </c>
      <c r="E169" s="14">
        <f>SUM('ALPINE VALLEY:WOODLAND'!E166)</f>
        <v>8461697.8625533823</v>
      </c>
      <c r="F169" s="14">
        <f>SUM('ALPINE VALLEY:WOODLAND'!F166)</f>
        <v>692745.39</v>
      </c>
      <c r="G169" s="14">
        <f>SUM('ALPINE VALLEY:WOODLAND'!G166)</f>
        <v>9154443.2525533829</v>
      </c>
      <c r="H169" s="92">
        <f t="shared" si="18"/>
        <v>1.8421489184878546E-2</v>
      </c>
      <c r="J169" s="111">
        <f t="shared" si="19"/>
        <v>4.9060338253170936</v>
      </c>
      <c r="K169" s="25">
        <v>0</v>
      </c>
      <c r="L169" s="118">
        <f>SUM('ALPINE VALLEY:WOODLAND'!J166)</f>
        <v>311376.56857142854</v>
      </c>
      <c r="M169" s="118">
        <f>SUM('ALPINE VALLEY:WOODLAND'!K166)</f>
        <v>331106.9914285714</v>
      </c>
      <c r="N169" s="119"/>
      <c r="O169" s="120">
        <f>IF(L169=0,0,G169/M169)</f>
        <v>27.64799140319041</v>
      </c>
      <c r="P169" s="59"/>
      <c r="Q169" s="121">
        <f>M169/$G$231</f>
        <v>0.17744630175018672</v>
      </c>
      <c r="R169" s="58"/>
    </row>
    <row r="170" spans="1:18" s="25" customFormat="1" ht="15.5">
      <c r="A170" s="32" t="s">
        <v>157</v>
      </c>
      <c r="B170" s="24" t="s">
        <v>105</v>
      </c>
      <c r="C170" s="14">
        <f>SUM('ALPINE VALLEY:WOODLAND'!C167)</f>
        <v>595828.03</v>
      </c>
      <c r="D170" s="14">
        <f>SUM('ALPINE VALLEY:WOODLAND'!D167)</f>
        <v>893468.56333441532</v>
      </c>
      <c r="E170" s="14">
        <f>SUM('ALPINE VALLEY:WOODLAND'!E167)</f>
        <v>1489296.5933344152</v>
      </c>
      <c r="F170" s="14">
        <f>SUM('ALPINE VALLEY:WOODLAND'!F167)</f>
        <v>105360.47</v>
      </c>
      <c r="G170" s="14">
        <f>SUM('ALPINE VALLEY:WOODLAND'!G167)</f>
        <v>1594657.0633344154</v>
      </c>
      <c r="H170" s="92">
        <f t="shared" si="18"/>
        <v>3.2089289359690434E-3</v>
      </c>
      <c r="J170" s="111">
        <f t="shared" si="19"/>
        <v>0.8546059303297695</v>
      </c>
      <c r="L170" s="90"/>
      <c r="M170" s="90"/>
      <c r="N170" s="90"/>
      <c r="O170" s="130"/>
      <c r="P170" s="113"/>
      <c r="Q170" s="125"/>
      <c r="R170" s="58"/>
    </row>
    <row r="171" spans="1:18" s="25" customFormat="1" ht="15.5">
      <c r="A171" s="32" t="s">
        <v>158</v>
      </c>
      <c r="B171" s="25" t="s">
        <v>106</v>
      </c>
      <c r="C171" s="14">
        <f>SUM('ALPINE VALLEY:WOODLAND'!C168)</f>
        <v>1263872.57</v>
      </c>
      <c r="D171" s="14">
        <f>SUM('ALPINE VALLEY:WOODLAND'!D168)</f>
        <v>101763.36705276067</v>
      </c>
      <c r="E171" s="14">
        <f>SUM('ALPINE VALLEY:WOODLAND'!E168)</f>
        <v>1365635.9370527607</v>
      </c>
      <c r="F171" s="14">
        <f>SUM('ALPINE VALLEY:WOODLAND'!F168)</f>
        <v>118019.39</v>
      </c>
      <c r="G171" s="14">
        <f>SUM('ALPINE VALLEY:WOODLAND'!G168)</f>
        <v>1483655.3270527606</v>
      </c>
      <c r="H171" s="92">
        <f t="shared" si="18"/>
        <v>2.9855601053364544E-3</v>
      </c>
      <c r="J171" s="111">
        <f t="shared" si="19"/>
        <v>0.79511806658504303</v>
      </c>
      <c r="K171" s="25">
        <v>0</v>
      </c>
      <c r="L171" s="118">
        <f>SUM('ALPINE VALLEY:WOODLAND'!J168)</f>
        <v>40509.507142857139</v>
      </c>
      <c r="M171" s="118">
        <f>SUM('ALPINE VALLEY:WOODLAND'!K168)</f>
        <v>43724.131428571425</v>
      </c>
      <c r="N171" s="119"/>
      <c r="O171" s="120">
        <f>IF(L171=0,0,G171/M171)</f>
        <v>33.93218523909362</v>
      </c>
      <c r="P171" s="59"/>
      <c r="Q171" s="121">
        <f>M171/$G$231</f>
        <v>2.343256294819997E-2</v>
      </c>
      <c r="R171" s="58"/>
    </row>
    <row r="172" spans="1:18" s="25" customFormat="1" ht="15.5">
      <c r="A172" s="32" t="s">
        <v>86</v>
      </c>
      <c r="B172" s="25" t="s">
        <v>107</v>
      </c>
      <c r="C172" s="14">
        <f>SUM('ALPINE VALLEY:WOODLAND'!C169)</f>
        <v>138548.10999999999</v>
      </c>
      <c r="D172" s="14">
        <f>SUM('ALPINE VALLEY:WOODLAND'!D169)</f>
        <v>103722.97</v>
      </c>
      <c r="E172" s="14">
        <f>SUM('ALPINE VALLEY:WOODLAND'!E169)</f>
        <v>242271.08</v>
      </c>
      <c r="F172" s="14">
        <f>SUM('ALPINE VALLEY:WOODLAND'!F169)</f>
        <v>19936.239999999998</v>
      </c>
      <c r="G172" s="14">
        <f>SUM('ALPINE VALLEY:WOODLAND'!G169)</f>
        <v>262207.31999999995</v>
      </c>
      <c r="H172" s="92">
        <f t="shared" si="18"/>
        <v>5.2763987675915963E-4</v>
      </c>
      <c r="J172" s="111">
        <f t="shared" si="19"/>
        <v>0.1405217057636943</v>
      </c>
      <c r="L172" s="90"/>
      <c r="M172" s="90"/>
      <c r="N172" s="90"/>
      <c r="O172" s="130"/>
      <c r="P172" s="113"/>
      <c r="Q172" s="125"/>
      <c r="R172" s="58"/>
    </row>
    <row r="173" spans="1:18" s="25" customFormat="1" ht="15.5">
      <c r="A173" s="32" t="s">
        <v>96</v>
      </c>
      <c r="B173" s="24" t="s">
        <v>108</v>
      </c>
      <c r="C173" s="14">
        <f>SUM('ALPINE VALLEY:WOODLAND'!C170)</f>
        <v>264093</v>
      </c>
      <c r="D173" s="14">
        <f>SUM('ALPINE VALLEY:WOODLAND'!D170)</f>
        <v>13116</v>
      </c>
      <c r="E173" s="14">
        <f>SUM('ALPINE VALLEY:WOODLAND'!E170)</f>
        <v>277209</v>
      </c>
      <c r="F173" s="14">
        <f>SUM('ALPINE VALLEY:WOODLAND'!F170)</f>
        <v>0</v>
      </c>
      <c r="G173" s="14">
        <f>SUM('ALPINE VALLEY:WOODLAND'!G170)</f>
        <v>277209</v>
      </c>
      <c r="H173" s="92">
        <f t="shared" si="18"/>
        <v>5.5782776238485598E-4</v>
      </c>
      <c r="J173" s="111">
        <f t="shared" si="19"/>
        <v>0.14856138086857354</v>
      </c>
      <c r="K173" s="25">
        <v>0</v>
      </c>
      <c r="L173" s="118">
        <f>SUM('ALPINE VALLEY:WOODLAND'!J170)</f>
        <v>9044</v>
      </c>
      <c r="M173" s="118">
        <f>SUM('ALPINE VALLEY:WOODLAND'!K170)</f>
        <v>9505</v>
      </c>
      <c r="N173" s="119"/>
      <c r="O173" s="120">
        <f>IF(L173=0,0,G173/M173)</f>
        <v>29.164544976328248</v>
      </c>
      <c r="P173" s="59"/>
      <c r="Q173" s="121">
        <f>M173/$G$231</f>
        <v>5.0939036075877461E-3</v>
      </c>
      <c r="R173" s="58"/>
    </row>
    <row r="174" spans="1:18" s="25" customFormat="1" ht="15.5">
      <c r="A174" s="32" t="s">
        <v>125</v>
      </c>
      <c r="B174" s="24" t="s">
        <v>109</v>
      </c>
      <c r="C174" s="14">
        <f>SUM('ALPINE VALLEY:WOODLAND'!C171)</f>
        <v>0</v>
      </c>
      <c r="D174" s="14">
        <f>SUM('ALPINE VALLEY:WOODLAND'!D171)</f>
        <v>42069</v>
      </c>
      <c r="E174" s="14">
        <f>SUM('ALPINE VALLEY:WOODLAND'!E171)</f>
        <v>42069</v>
      </c>
      <c r="F174" s="14">
        <f>SUM('ALPINE VALLEY:WOODLAND'!F171)</f>
        <v>0</v>
      </c>
      <c r="G174" s="14">
        <f>SUM('ALPINE VALLEY:WOODLAND'!G171)</f>
        <v>42069</v>
      </c>
      <c r="H174" s="92">
        <f t="shared" si="18"/>
        <v>8.4655462614015084E-5</v>
      </c>
      <c r="J174" s="111">
        <f t="shared" si="19"/>
        <v>2.2545547697802093E-2</v>
      </c>
      <c r="L174" s="90"/>
      <c r="M174" s="90"/>
      <c r="N174" s="90"/>
      <c r="O174" s="130"/>
      <c r="P174" s="113"/>
      <c r="Q174" s="125"/>
      <c r="R174" s="58"/>
    </row>
    <row r="175" spans="1:18" s="25" customFormat="1" ht="15.5">
      <c r="A175" s="32" t="s">
        <v>126</v>
      </c>
      <c r="B175" s="24" t="s">
        <v>110</v>
      </c>
      <c r="C175" s="14">
        <f>SUM('ALPINE VALLEY:WOODLAND'!C172)</f>
        <v>4607776.8900000006</v>
      </c>
      <c r="D175" s="14">
        <f>SUM('ALPINE VALLEY:WOODLAND'!D172)</f>
        <v>332699.93434195028</v>
      </c>
      <c r="E175" s="14">
        <f>SUM('ALPINE VALLEY:WOODLAND'!E172)</f>
        <v>4940476.8243419509</v>
      </c>
      <c r="F175" s="14">
        <f>SUM('ALPINE VALLEY:WOODLAND'!F172)</f>
        <v>407353.3</v>
      </c>
      <c r="G175" s="14">
        <f>SUM('ALPINE VALLEY:WOODLAND'!G172)</f>
        <v>5347830.1243419498</v>
      </c>
      <c r="H175" s="92">
        <f t="shared" si="18"/>
        <v>1.0761440327969135E-2</v>
      </c>
      <c r="J175" s="111">
        <f t="shared" si="19"/>
        <v>2.8660001223726335</v>
      </c>
      <c r="K175" s="25">
        <v>0</v>
      </c>
      <c r="L175" s="118">
        <f>SUM('ALPINE VALLEY:WOODLAND'!J172)</f>
        <v>168956.46428571429</v>
      </c>
      <c r="M175" s="118">
        <f>SUM('ALPINE VALLEY:WOODLAND'!K172)</f>
        <v>179923.06228571426</v>
      </c>
      <c r="N175" s="119"/>
      <c r="O175" s="120">
        <f>IF(L175=0,0,G175/M175)</f>
        <v>29.722871856469968</v>
      </c>
      <c r="P175" s="59"/>
      <c r="Q175" s="121">
        <f>M175/$G$231</f>
        <v>9.6424064814880014E-2</v>
      </c>
      <c r="R175" s="58"/>
    </row>
    <row r="176" spans="1:18" s="25" customFormat="1" ht="15.5">
      <c r="A176" s="32" t="s">
        <v>127</v>
      </c>
      <c r="B176" s="24" t="s">
        <v>111</v>
      </c>
      <c r="C176" s="14">
        <f>SUM('ALPINE VALLEY:WOODLAND'!C173)</f>
        <v>252572.87</v>
      </c>
      <c r="D176" s="14">
        <f>SUM('ALPINE VALLEY:WOODLAND'!D173)</f>
        <v>543279.30030110525</v>
      </c>
      <c r="E176" s="14">
        <f>SUM('ALPINE VALLEY:WOODLAND'!E173)</f>
        <v>795852.17030110525</v>
      </c>
      <c r="F176" s="14">
        <f>SUM('ALPINE VALLEY:WOODLAND'!F173)</f>
        <v>61038.21</v>
      </c>
      <c r="G176" s="14">
        <f>SUM('ALPINE VALLEY:WOODLAND'!G173)</f>
        <v>856890.38030110521</v>
      </c>
      <c r="H176" s="92">
        <f t="shared" si="18"/>
        <v>1.724320795690161E-3</v>
      </c>
      <c r="J176" s="111">
        <f t="shared" si="19"/>
        <v>0.45922325087038773</v>
      </c>
      <c r="L176" s="90"/>
      <c r="M176" s="90"/>
      <c r="N176" s="90"/>
      <c r="O176" s="130"/>
      <c r="P176" s="113"/>
      <c r="Q176" s="125"/>
      <c r="R176" s="58"/>
    </row>
    <row r="177" spans="1:18" s="25" customFormat="1" ht="15.5">
      <c r="A177" s="32" t="s">
        <v>128</v>
      </c>
      <c r="B177" s="24" t="s">
        <v>112</v>
      </c>
      <c r="C177" s="14">
        <f>SUM('ALPINE VALLEY:WOODLAND'!C174)</f>
        <v>0</v>
      </c>
      <c r="D177" s="14">
        <f>SUM('ALPINE VALLEY:WOODLAND'!D174)</f>
        <v>0</v>
      </c>
      <c r="E177" s="14">
        <f>SUM('ALPINE VALLEY:WOODLAND'!E174)</f>
        <v>0</v>
      </c>
      <c r="F177" s="14">
        <f>SUM('ALPINE VALLEY:WOODLAND'!F174)</f>
        <v>0</v>
      </c>
      <c r="G177" s="14">
        <f>SUM('ALPINE VALLEY:WOODLAND'!G174)</f>
        <v>0</v>
      </c>
      <c r="H177" s="92">
        <f t="shared" si="18"/>
        <v>0</v>
      </c>
      <c r="J177" s="111">
        <f t="shared" si="19"/>
        <v>0</v>
      </c>
      <c r="K177" s="25">
        <v>0</v>
      </c>
      <c r="L177" s="118">
        <f>SUM('ALPINE VALLEY:WOODLAND'!J174)</f>
        <v>0</v>
      </c>
      <c r="M177" s="118">
        <f>SUM('ALPINE VALLEY:WOODLAND'!K174)</f>
        <v>0</v>
      </c>
      <c r="N177" s="119"/>
      <c r="O177" s="120">
        <f>IF(L177=0,0,G177/M177)</f>
        <v>0</v>
      </c>
      <c r="P177" s="59"/>
      <c r="Q177" s="121">
        <f>M177/$G$231</f>
        <v>0</v>
      </c>
      <c r="R177" s="58"/>
    </row>
    <row r="178" spans="1:18" s="25" customFormat="1" ht="15.5">
      <c r="A178" s="32" t="s">
        <v>129</v>
      </c>
      <c r="B178" s="2" t="s">
        <v>113</v>
      </c>
      <c r="C178" s="14">
        <f>SUM('ALPINE VALLEY:WOODLAND'!C175)</f>
        <v>0</v>
      </c>
      <c r="D178" s="14">
        <f>SUM('ALPINE VALLEY:WOODLAND'!D175)</f>
        <v>0</v>
      </c>
      <c r="E178" s="14">
        <f>SUM('ALPINE VALLEY:WOODLAND'!E175)</f>
        <v>0</v>
      </c>
      <c r="F178" s="14">
        <f>SUM('ALPINE VALLEY:WOODLAND'!F175)</f>
        <v>0</v>
      </c>
      <c r="G178" s="14">
        <f>SUM('ALPINE VALLEY:WOODLAND'!G175)</f>
        <v>0</v>
      </c>
      <c r="H178" s="92">
        <f t="shared" si="18"/>
        <v>0</v>
      </c>
      <c r="J178" s="111">
        <f t="shared" si="19"/>
        <v>0</v>
      </c>
      <c r="L178" s="96"/>
      <c r="M178" s="96"/>
      <c r="N178" s="96"/>
      <c r="O178" s="112"/>
      <c r="P178" s="113"/>
      <c r="Q178" s="112"/>
      <c r="R178" s="58"/>
    </row>
    <row r="179" spans="1:18" s="25" customFormat="1" ht="15.5">
      <c r="A179" s="32">
        <v>112</v>
      </c>
      <c r="B179" s="2" t="s">
        <v>154</v>
      </c>
      <c r="C179" s="14">
        <f>SUM('ALPINE VALLEY:WOODLAND'!C176)</f>
        <v>0</v>
      </c>
      <c r="D179" s="14">
        <f>SUM('ALPINE VALLEY:WOODLAND'!D176)</f>
        <v>0</v>
      </c>
      <c r="E179" s="14">
        <f>SUM('ALPINE VALLEY:WOODLAND'!E176)</f>
        <v>0</v>
      </c>
      <c r="F179" s="14">
        <f>SUM('ALPINE VALLEY:WOODLAND'!F176)</f>
        <v>0</v>
      </c>
      <c r="G179" s="14">
        <f>SUM('ALPINE VALLEY:WOODLAND'!G176)</f>
        <v>0</v>
      </c>
      <c r="H179" s="92">
        <f t="shared" si="18"/>
        <v>0</v>
      </c>
      <c r="J179" s="111">
        <f t="shared" si="19"/>
        <v>0</v>
      </c>
      <c r="L179" s="90"/>
      <c r="M179" s="90"/>
      <c r="N179" s="90"/>
      <c r="O179" s="112"/>
      <c r="P179" s="113"/>
      <c r="Q179" s="112"/>
      <c r="R179" s="58"/>
    </row>
    <row r="180" spans="1:18" s="25" customFormat="1" ht="15.5">
      <c r="A180" s="32">
        <v>113</v>
      </c>
      <c r="B180" s="2" t="s">
        <v>114</v>
      </c>
      <c r="C180" s="14">
        <f>SUM('ALPINE VALLEY:WOODLAND'!C177)</f>
        <v>216751.97000000003</v>
      </c>
      <c r="D180" s="14">
        <f>SUM('ALPINE VALLEY:WOODLAND'!D177)</f>
        <v>22</v>
      </c>
      <c r="E180" s="14">
        <f>SUM('ALPINE VALLEY:WOODLAND'!E177)</f>
        <v>216773.97000000003</v>
      </c>
      <c r="F180" s="14">
        <f>SUM('ALPINE VALLEY:WOODLAND'!F177)</f>
        <v>356176.77999999997</v>
      </c>
      <c r="G180" s="14">
        <f>SUM('ALPINE VALLEY:WOODLAND'!G177)</f>
        <v>572950.75</v>
      </c>
      <c r="H180" s="92">
        <f t="shared" si="18"/>
        <v>1.1529489837242841E-3</v>
      </c>
      <c r="J180" s="111">
        <f t="shared" si="19"/>
        <v>0.30705480193530821</v>
      </c>
      <c r="L180" s="90"/>
      <c r="M180" s="90"/>
      <c r="N180" s="90"/>
      <c r="O180" s="112"/>
      <c r="P180" s="113"/>
      <c r="Q180" s="112"/>
      <c r="R180" s="58"/>
    </row>
    <row r="181" spans="1:18" s="25" customFormat="1" ht="15.5">
      <c r="A181" s="32">
        <v>114</v>
      </c>
      <c r="B181" s="25" t="s">
        <v>155</v>
      </c>
      <c r="C181" s="14">
        <f>SUM('ALPINE VALLEY:WOODLAND'!C178)</f>
        <v>22139.56</v>
      </c>
      <c r="D181" s="14">
        <f>SUM('ALPINE VALLEY:WOODLAND'!D178)</f>
        <v>0</v>
      </c>
      <c r="E181" s="14">
        <f>SUM('ALPINE VALLEY:WOODLAND'!E178)</f>
        <v>22139.56</v>
      </c>
      <c r="F181" s="14">
        <f>SUM('ALPINE VALLEY:WOODLAND'!F178)</f>
        <v>77846.680000000008</v>
      </c>
      <c r="G181" s="14">
        <f>SUM('ALPINE VALLEY:WOODLAND'!G178)</f>
        <v>99986.240000000005</v>
      </c>
      <c r="H181" s="92">
        <f t="shared" si="18"/>
        <v>2.0120234382172003E-4</v>
      </c>
      <c r="J181" s="111">
        <f t="shared" si="19"/>
        <v>5.3584457511323957E-2</v>
      </c>
      <c r="L181" s="90"/>
      <c r="M181" s="90"/>
      <c r="N181" s="90"/>
      <c r="O181" s="112"/>
      <c r="P181" s="113"/>
      <c r="Q181" s="112"/>
      <c r="R181" s="58"/>
    </row>
    <row r="182" spans="1:18" s="25" customFormat="1" ht="15.5">
      <c r="A182" s="32">
        <v>115</v>
      </c>
      <c r="B182" s="2" t="s">
        <v>115</v>
      </c>
      <c r="C182" s="14">
        <f>SUM('ALPINE VALLEY:WOODLAND'!C179)</f>
        <v>0</v>
      </c>
      <c r="D182" s="14">
        <f>SUM('ALPINE VALLEY:WOODLAND'!D179)</f>
        <v>0</v>
      </c>
      <c r="E182" s="14">
        <f>SUM('ALPINE VALLEY:WOODLAND'!E179)</f>
        <v>0</v>
      </c>
      <c r="F182" s="14">
        <f>SUM('ALPINE VALLEY:WOODLAND'!F179)</f>
        <v>0</v>
      </c>
      <c r="G182" s="14">
        <f>SUM('ALPINE VALLEY:WOODLAND'!G179)</f>
        <v>0</v>
      </c>
      <c r="H182" s="92">
        <f t="shared" si="18"/>
        <v>0</v>
      </c>
      <c r="J182" s="111">
        <f t="shared" si="19"/>
        <v>0</v>
      </c>
      <c r="L182" s="90"/>
      <c r="M182" s="90"/>
      <c r="N182" s="90"/>
      <c r="O182" s="112"/>
      <c r="P182" s="113"/>
      <c r="Q182" s="112"/>
      <c r="R182" s="58"/>
    </row>
    <row r="183" spans="1:18" s="25" customFormat="1" ht="15.5">
      <c r="A183" s="32">
        <v>116</v>
      </c>
      <c r="B183" s="2" t="s">
        <v>116</v>
      </c>
      <c r="C183" s="14">
        <f>SUM('ALPINE VALLEY:WOODLAND'!C180)</f>
        <v>35032.43</v>
      </c>
      <c r="D183" s="14">
        <f>SUM('ALPINE VALLEY:WOODLAND'!D180)</f>
        <v>0</v>
      </c>
      <c r="E183" s="14">
        <f>SUM('ALPINE VALLEY:WOODLAND'!E180)</f>
        <v>35032.43</v>
      </c>
      <c r="F183" s="14">
        <f>SUM('ALPINE VALLEY:WOODLAND'!F180)</f>
        <v>213743.46999999997</v>
      </c>
      <c r="G183" s="14">
        <f>SUM('ALPINE VALLEY:WOODLAND'!G180)</f>
        <v>248775.9</v>
      </c>
      <c r="H183" s="92">
        <f t="shared" si="18"/>
        <v>5.0061182585081545E-4</v>
      </c>
      <c r="J183" s="111">
        <f t="shared" si="19"/>
        <v>0.1333235617560114</v>
      </c>
      <c r="L183" s="90"/>
      <c r="M183" s="90"/>
      <c r="N183" s="90"/>
      <c r="O183" s="112"/>
      <c r="P183" s="113"/>
      <c r="Q183" s="112"/>
      <c r="R183" s="58"/>
    </row>
    <row r="184" spans="1:18" s="25" customFormat="1" ht="15.5">
      <c r="A184" s="32">
        <v>117</v>
      </c>
      <c r="B184" s="2" t="s">
        <v>117</v>
      </c>
      <c r="C184" s="14">
        <f>SUM('ALPINE VALLEY:WOODLAND'!C181)</f>
        <v>439588.93000000005</v>
      </c>
      <c r="D184" s="14">
        <f>SUM('ALPINE VALLEY:WOODLAND'!D181)</f>
        <v>0</v>
      </c>
      <c r="E184" s="14">
        <f>SUM('ALPINE VALLEY:WOODLAND'!E181)</f>
        <v>439588.93000000005</v>
      </c>
      <c r="F184" s="14">
        <f>SUM('ALPINE VALLEY:WOODLAND'!F181)</f>
        <v>104795.73</v>
      </c>
      <c r="G184" s="14">
        <f>SUM('ALPINE VALLEY:WOODLAND'!G181)</f>
        <v>544384.66</v>
      </c>
      <c r="H184" s="92">
        <f t="shared" si="18"/>
        <v>1.0954654313692581E-3</v>
      </c>
      <c r="J184" s="111">
        <f t="shared" si="19"/>
        <v>0.29174571104570529</v>
      </c>
      <c r="L184" s="90"/>
      <c r="M184" s="90"/>
      <c r="N184" s="90"/>
      <c r="O184" s="112"/>
      <c r="P184" s="113"/>
      <c r="Q184" s="112"/>
      <c r="R184" s="58"/>
    </row>
    <row r="185" spans="1:18" s="25" customFormat="1" ht="15.5">
      <c r="A185" s="32" t="s">
        <v>132</v>
      </c>
      <c r="B185" s="2" t="s">
        <v>118</v>
      </c>
      <c r="C185" s="14">
        <f>SUM('ALPINE VALLEY:WOODLAND'!C182)</f>
        <v>136216.96000000002</v>
      </c>
      <c r="D185" s="14">
        <f>SUM('ALPINE VALLEY:WOODLAND'!D182)</f>
        <v>-3891</v>
      </c>
      <c r="E185" s="14">
        <f>SUM('ALPINE VALLEY:WOODLAND'!E182)</f>
        <v>132325.96000000002</v>
      </c>
      <c r="F185" s="14">
        <f>SUM('ALPINE VALLEY:WOODLAND'!F182)</f>
        <v>0</v>
      </c>
      <c r="G185" s="14">
        <f>SUM('ALPINE VALLEY:WOODLAND'!G182)</f>
        <v>132325.96000000002</v>
      </c>
      <c r="H185" s="92">
        <f t="shared" si="18"/>
        <v>2.6627957307384669E-4</v>
      </c>
      <c r="J185" s="111">
        <f t="shared" si="19"/>
        <v>7.0915905841295299E-2</v>
      </c>
      <c r="L185" s="90"/>
      <c r="M185" s="90"/>
      <c r="N185" s="90"/>
      <c r="O185" s="112"/>
      <c r="P185" s="113"/>
      <c r="Q185" s="112"/>
      <c r="R185" s="58"/>
    </row>
    <row r="186" spans="1:18" s="25" customFormat="1" ht="15.5">
      <c r="A186" s="32" t="s">
        <v>133</v>
      </c>
      <c r="B186" s="2" t="s">
        <v>119</v>
      </c>
      <c r="C186" s="14">
        <f>SUM('ALPINE VALLEY:WOODLAND'!C183)</f>
        <v>12925697.90391387</v>
      </c>
      <c r="D186" s="14">
        <f>SUM('ALPINE VALLEY:WOODLAND'!D183)</f>
        <v>-307520.21000000002</v>
      </c>
      <c r="E186" s="14">
        <f>SUM('ALPINE VALLEY:WOODLAND'!E183)</f>
        <v>12618177.69391387</v>
      </c>
      <c r="F186" s="14">
        <f>SUM('ALPINE VALLEY:WOODLAND'!F183)</f>
        <v>962394.98</v>
      </c>
      <c r="G186" s="14">
        <f>SUM('ALPINE VALLEY:WOODLAND'!G183)</f>
        <v>13580572.673913872</v>
      </c>
      <c r="H186" s="92">
        <f t="shared" si="18"/>
        <v>2.7328190883392299E-2</v>
      </c>
      <c r="J186" s="111">
        <f t="shared" si="19"/>
        <v>7.2780776577335544</v>
      </c>
      <c r="L186" s="90"/>
      <c r="M186" s="90"/>
      <c r="N186" s="90"/>
      <c r="O186" s="112"/>
      <c r="P186" s="113"/>
      <c r="Q186" s="112"/>
      <c r="R186" s="58"/>
    </row>
    <row r="187" spans="1:18" s="25" customFormat="1" ht="15.5">
      <c r="A187" s="32" t="s">
        <v>134</v>
      </c>
      <c r="B187" s="2" t="s">
        <v>120</v>
      </c>
      <c r="C187" s="14">
        <f>SUM('ALPINE VALLEY:WOODLAND'!C184)</f>
        <v>3006140.2402161709</v>
      </c>
      <c r="D187" s="14">
        <f>SUM('ALPINE VALLEY:WOODLAND'!D184)</f>
        <v>-13341.229999999998</v>
      </c>
      <c r="E187" s="14">
        <f>SUM('ALPINE VALLEY:WOODLAND'!E184)</f>
        <v>2992799.0102161705</v>
      </c>
      <c r="F187" s="14">
        <f>SUM('ALPINE VALLEY:WOODLAND'!F184)</f>
        <v>267296.46000000002</v>
      </c>
      <c r="G187" s="14">
        <f>SUM('ALPINE VALLEY:WOODLAND'!G184)</f>
        <v>3260095.4702161704</v>
      </c>
      <c r="H187" s="92">
        <f t="shared" si="18"/>
        <v>6.5602911929688121E-3</v>
      </c>
      <c r="J187" s="111">
        <f t="shared" si="19"/>
        <v>1.7471448792019588</v>
      </c>
      <c r="L187" s="90"/>
      <c r="M187" s="90"/>
      <c r="N187" s="90"/>
      <c r="O187" s="112"/>
      <c r="P187" s="113"/>
      <c r="Q187" s="112"/>
      <c r="R187" s="58"/>
    </row>
    <row r="188" spans="1:18" s="25" customFormat="1" ht="15.5">
      <c r="A188" s="32" t="s">
        <v>135</v>
      </c>
      <c r="B188" s="2" t="s">
        <v>131</v>
      </c>
      <c r="C188" s="14">
        <f>SUM('ALPINE VALLEY:WOODLAND'!C185)</f>
        <v>189872</v>
      </c>
      <c r="D188" s="14">
        <f>SUM('ALPINE VALLEY:WOODLAND'!D185)</f>
        <v>496</v>
      </c>
      <c r="E188" s="14">
        <f>SUM('ALPINE VALLEY:WOODLAND'!E185)</f>
        <v>190368</v>
      </c>
      <c r="F188" s="14">
        <f>SUM('ALPINE VALLEY:WOODLAND'!F185)</f>
        <v>0</v>
      </c>
      <c r="G188" s="14">
        <f>SUM('ALPINE VALLEY:WOODLAND'!G185)</f>
        <v>190368</v>
      </c>
      <c r="H188" s="92">
        <f t="shared" si="18"/>
        <v>3.8307758936282829E-4</v>
      </c>
      <c r="J188" s="111">
        <f t="shared" si="19"/>
        <v>0.10202169826083787</v>
      </c>
      <c r="L188" s="90"/>
      <c r="M188" s="90"/>
      <c r="N188" s="90"/>
      <c r="O188" s="112"/>
      <c r="P188" s="113"/>
      <c r="Q188" s="112"/>
      <c r="R188" s="58"/>
    </row>
    <row r="189" spans="1:18" s="25" customFormat="1" ht="15.5">
      <c r="A189" s="32" t="s">
        <v>136</v>
      </c>
      <c r="B189" s="2" t="s">
        <v>121</v>
      </c>
      <c r="C189" s="14">
        <f>SUM('ALPINE VALLEY:WOODLAND'!C186)</f>
        <v>8678321.4258699585</v>
      </c>
      <c r="D189" s="14">
        <f>SUM('ALPINE VALLEY:WOODLAND'!D186)</f>
        <v>-171724.30000000002</v>
      </c>
      <c r="E189" s="14">
        <f>SUM('ALPINE VALLEY:WOODLAND'!E186)</f>
        <v>8506597.1258699577</v>
      </c>
      <c r="F189" s="14">
        <f>SUM('ALPINE VALLEY:WOODLAND'!F186)</f>
        <v>853912.16</v>
      </c>
      <c r="G189" s="14">
        <f>SUM('ALPINE VALLEY:WOODLAND'!G186)</f>
        <v>9360509.2858699579</v>
      </c>
      <c r="H189" s="92">
        <f t="shared" si="18"/>
        <v>1.883615593187633E-2</v>
      </c>
      <c r="J189" s="111">
        <f t="shared" si="19"/>
        <v>5.0164683871805966</v>
      </c>
      <c r="L189" s="90"/>
      <c r="M189" s="90"/>
      <c r="N189" s="90"/>
      <c r="O189" s="112"/>
      <c r="P189" s="113"/>
      <c r="Q189" s="112"/>
      <c r="R189" s="58"/>
    </row>
    <row r="190" spans="1:18" s="25" customFormat="1" ht="15.5">
      <c r="A190" s="32" t="s">
        <v>137</v>
      </c>
      <c r="B190" s="2" t="s">
        <v>122</v>
      </c>
      <c r="C190" s="14">
        <f>SUM('ALPINE VALLEY:WOODLAND'!C187)</f>
        <v>2543808.06</v>
      </c>
      <c r="D190" s="14">
        <f>SUM('ALPINE VALLEY:WOODLAND'!D187)</f>
        <v>-744</v>
      </c>
      <c r="E190" s="14">
        <f>SUM('ALPINE VALLEY:WOODLAND'!E187)</f>
        <v>2543064.06</v>
      </c>
      <c r="F190" s="14">
        <f>SUM('ALPINE VALLEY:WOODLAND'!F187)</f>
        <v>211524.49</v>
      </c>
      <c r="G190" s="14">
        <f>SUM('ALPINE VALLEY:WOODLAND'!G187)</f>
        <v>2754588.55</v>
      </c>
      <c r="H190" s="92">
        <f t="shared" si="18"/>
        <v>5.5430594502250824E-3</v>
      </c>
      <c r="J190" s="111">
        <f t="shared" si="19"/>
        <v>1.4762344610483848</v>
      </c>
      <c r="L190" s="90"/>
      <c r="M190" s="90"/>
      <c r="N190" s="90"/>
      <c r="O190" s="112"/>
      <c r="P190" s="113"/>
      <c r="Q190" s="112"/>
      <c r="R190" s="58"/>
    </row>
    <row r="191" spans="1:18" s="25" customFormat="1" ht="15.5">
      <c r="A191" s="37" t="s">
        <v>275</v>
      </c>
      <c r="B191" s="38" t="s">
        <v>276</v>
      </c>
      <c r="C191" s="14">
        <f>SUM('ALPINE VALLEY:WOODLAND'!C188)</f>
        <v>601008</v>
      </c>
      <c r="D191" s="14">
        <f>SUM('ALPINE VALLEY:WOODLAND'!D188)</f>
        <v>0</v>
      </c>
      <c r="E191" s="14">
        <f>SUM('ALPINE VALLEY:WOODLAND'!E188)</f>
        <v>601008</v>
      </c>
      <c r="F191" s="14">
        <f>SUM('ALPINE VALLEY:WOODLAND'!F188)</f>
        <v>92992</v>
      </c>
      <c r="G191" s="14">
        <f>SUM('ALPINE VALLEY:WOODLAND'!G188)</f>
        <v>694000</v>
      </c>
      <c r="H191" s="92">
        <f t="shared" ref="H191:H200" si="20">IF($G$211=0,0,G191/$G$211)</f>
        <v>1.3965364295354409E-3</v>
      </c>
      <c r="J191" s="111">
        <f t="shared" si="19"/>
        <v>0.3719273123267644</v>
      </c>
      <c r="L191" s="90"/>
      <c r="M191" s="90"/>
      <c r="N191" s="90"/>
      <c r="O191" s="112"/>
      <c r="P191" s="113"/>
      <c r="Q191" s="112"/>
      <c r="R191" s="58"/>
    </row>
    <row r="192" spans="1:18" s="25" customFormat="1" ht="15.5">
      <c r="A192" s="37" t="s">
        <v>277</v>
      </c>
      <c r="B192" s="38" t="s">
        <v>278</v>
      </c>
      <c r="C192" s="14">
        <f>SUM('ALPINE VALLEY:WOODLAND'!C189)</f>
        <v>2084</v>
      </c>
      <c r="D192" s="14">
        <f>SUM('ALPINE VALLEY:WOODLAND'!D189)</f>
        <v>0</v>
      </c>
      <c r="E192" s="14">
        <f>SUM('ALPINE VALLEY:WOODLAND'!E189)</f>
        <v>2084</v>
      </c>
      <c r="F192" s="14">
        <f>SUM('ALPINE VALLEY:WOODLAND'!F189)</f>
        <v>0</v>
      </c>
      <c r="G192" s="14">
        <f>SUM('ALPINE VALLEY:WOODLAND'!G189)</f>
        <v>2084</v>
      </c>
      <c r="H192" s="92">
        <f t="shared" si="20"/>
        <v>4.1936338892678085E-6</v>
      </c>
      <c r="J192" s="111">
        <f t="shared" si="19"/>
        <v>1.1168537736152406E-3</v>
      </c>
      <c r="L192" s="90"/>
      <c r="M192" s="90"/>
      <c r="N192" s="90"/>
      <c r="O192" s="112"/>
      <c r="P192" s="113"/>
      <c r="Q192" s="112"/>
      <c r="R192" s="58"/>
    </row>
    <row r="193" spans="1:18" s="25" customFormat="1" ht="15.5">
      <c r="A193" s="37" t="s">
        <v>279</v>
      </c>
      <c r="B193" s="38" t="s">
        <v>280</v>
      </c>
      <c r="C193" s="14">
        <f>SUM('ALPINE VALLEY:WOODLAND'!C190)</f>
        <v>15498</v>
      </c>
      <c r="D193" s="14">
        <f>SUM('ALPINE VALLEY:WOODLAND'!D190)</f>
        <v>0</v>
      </c>
      <c r="E193" s="14">
        <f>SUM('ALPINE VALLEY:WOODLAND'!E190)</f>
        <v>15498</v>
      </c>
      <c r="F193" s="14">
        <f>SUM('ALPINE VALLEY:WOODLAND'!F190)</f>
        <v>2212.08</v>
      </c>
      <c r="G193" s="14">
        <f>SUM('ALPINE VALLEY:WOODLAND'!G190)</f>
        <v>17710.080000000002</v>
      </c>
      <c r="H193" s="92">
        <f t="shared" si="20"/>
        <v>3.5637999841479864E-5</v>
      </c>
      <c r="J193" s="111">
        <f t="shared" si="19"/>
        <v>9.491156275925049E-3</v>
      </c>
      <c r="L193" s="90"/>
      <c r="M193" s="90"/>
      <c r="N193" s="90"/>
      <c r="O193" s="112"/>
      <c r="P193" s="113"/>
      <c r="Q193" s="112"/>
      <c r="R193" s="58"/>
    </row>
    <row r="194" spans="1:18" s="25" customFormat="1" ht="15.5">
      <c r="A194" s="37" t="s">
        <v>281</v>
      </c>
      <c r="B194" s="38" t="s">
        <v>282</v>
      </c>
      <c r="C194" s="14">
        <f>SUM('ALPINE VALLEY:WOODLAND'!C191)</f>
        <v>234.54</v>
      </c>
      <c r="D194" s="14">
        <f>SUM('ALPINE VALLEY:WOODLAND'!D191)</f>
        <v>0</v>
      </c>
      <c r="E194" s="14">
        <f>SUM('ALPINE VALLEY:WOODLAND'!E191)</f>
        <v>234.54</v>
      </c>
      <c r="F194" s="14">
        <f>SUM('ALPINE VALLEY:WOODLAND'!F191)</f>
        <v>0</v>
      </c>
      <c r="G194" s="14">
        <f>SUM('ALPINE VALLEY:WOODLAND'!G191)</f>
        <v>234.54</v>
      </c>
      <c r="H194" s="92">
        <f t="shared" si="20"/>
        <v>4.7196491957239527E-7</v>
      </c>
      <c r="J194" s="111">
        <f t="shared" si="19"/>
        <v>1.256942821802872E-4</v>
      </c>
      <c r="L194" s="90"/>
      <c r="M194" s="90"/>
      <c r="N194" s="90"/>
      <c r="O194" s="112"/>
      <c r="P194" s="113"/>
      <c r="Q194" s="112"/>
      <c r="R194" s="58"/>
    </row>
    <row r="195" spans="1:18" s="25" customFormat="1" ht="15.5">
      <c r="A195" s="37" t="s">
        <v>283</v>
      </c>
      <c r="B195" s="38" t="s">
        <v>284</v>
      </c>
      <c r="C195" s="14">
        <f>SUM('ALPINE VALLEY:WOODLAND'!C192)</f>
        <v>117621.22999999998</v>
      </c>
      <c r="D195" s="14">
        <f>SUM('ALPINE VALLEY:WOODLAND'!D192)</f>
        <v>0</v>
      </c>
      <c r="E195" s="14">
        <f>SUM('ALPINE VALLEY:WOODLAND'!E192)</f>
        <v>117621.22999999998</v>
      </c>
      <c r="F195" s="14">
        <f>SUM('ALPINE VALLEY:WOODLAND'!F192)</f>
        <v>1511.14</v>
      </c>
      <c r="G195" s="14">
        <f>SUM('ALPINE VALLEY:WOODLAND'!G192)</f>
        <v>119132.37</v>
      </c>
      <c r="H195" s="92">
        <f t="shared" si="20"/>
        <v>2.3973010755316295E-4</v>
      </c>
      <c r="J195" s="111">
        <f t="shared" si="19"/>
        <v>6.3845219287057137E-2</v>
      </c>
      <c r="L195" s="90"/>
      <c r="M195" s="90"/>
      <c r="N195" s="90"/>
      <c r="O195" s="112"/>
      <c r="P195" s="113"/>
      <c r="Q195" s="112"/>
      <c r="R195" s="58"/>
    </row>
    <row r="196" spans="1:18" s="25" customFormat="1" ht="15.5">
      <c r="A196" s="37" t="s">
        <v>285</v>
      </c>
      <c r="B196" s="38" t="s">
        <v>286</v>
      </c>
      <c r="C196" s="14">
        <f>SUM('ALPINE VALLEY:WOODLAND'!C193)</f>
        <v>0</v>
      </c>
      <c r="D196" s="14">
        <f>SUM('ALPINE VALLEY:WOODLAND'!D193)</f>
        <v>0</v>
      </c>
      <c r="E196" s="14">
        <f>SUM('ALPINE VALLEY:WOODLAND'!E193)</f>
        <v>0</v>
      </c>
      <c r="F196" s="14">
        <f>SUM('ALPINE VALLEY:WOODLAND'!F193)</f>
        <v>0</v>
      </c>
      <c r="G196" s="14">
        <f>SUM('ALPINE VALLEY:WOODLAND'!G193)</f>
        <v>0</v>
      </c>
      <c r="H196" s="92">
        <f t="shared" si="20"/>
        <v>0</v>
      </c>
      <c r="J196" s="111">
        <f t="shared" si="19"/>
        <v>0</v>
      </c>
      <c r="L196" s="90"/>
      <c r="M196" s="90"/>
      <c r="N196" s="90"/>
      <c r="O196" s="112"/>
      <c r="P196" s="113"/>
      <c r="Q196" s="112"/>
      <c r="R196" s="58"/>
    </row>
    <row r="197" spans="1:18" s="25" customFormat="1" ht="15.5">
      <c r="A197" s="37" t="s">
        <v>138</v>
      </c>
      <c r="B197" s="38" t="s">
        <v>287</v>
      </c>
      <c r="C197" s="14">
        <f>SUM('ALPINE VALLEY:WOODLAND'!C194)</f>
        <v>16710044.440000001</v>
      </c>
      <c r="D197" s="14">
        <f>SUM('ALPINE VALLEY:WOODLAND'!D194)</f>
        <v>-575532.66999999993</v>
      </c>
      <c r="E197" s="14">
        <f>SUM('ALPINE VALLEY:WOODLAND'!E194)</f>
        <v>16134511.770000001</v>
      </c>
      <c r="F197" s="14">
        <f>SUM('ALPINE VALLEY:WOODLAND'!F194)</f>
        <v>1431335.4300000002</v>
      </c>
      <c r="G197" s="14">
        <f>SUM('ALPINE VALLEY:WOODLAND'!G194)</f>
        <v>17565847.199999999</v>
      </c>
      <c r="H197" s="92">
        <f t="shared" si="20"/>
        <v>3.5347760130335915E-2</v>
      </c>
      <c r="J197" s="111">
        <f t="shared" si="19"/>
        <v>9.4138592764245246</v>
      </c>
      <c r="L197" s="90"/>
      <c r="M197" s="90"/>
      <c r="N197" s="90"/>
      <c r="O197" s="112"/>
      <c r="P197" s="113"/>
      <c r="Q197" s="112"/>
      <c r="R197" s="58"/>
    </row>
    <row r="198" spans="1:18" s="25" customFormat="1" ht="15.5">
      <c r="A198" s="37" t="s">
        <v>139</v>
      </c>
      <c r="B198" s="38" t="s">
        <v>67</v>
      </c>
      <c r="C198" s="14">
        <f>SUM('ALPINE VALLEY:WOODLAND'!C195)</f>
        <v>854843.90000000014</v>
      </c>
      <c r="D198" s="14">
        <f>SUM('ALPINE VALLEY:WOODLAND'!D195)</f>
        <v>0</v>
      </c>
      <c r="E198" s="14">
        <f>SUM('ALPINE VALLEY:WOODLAND'!E195)</f>
        <v>854843.90000000014</v>
      </c>
      <c r="F198" s="14">
        <f>SUM('ALPINE VALLEY:WOODLAND'!F195)</f>
        <v>83789.3</v>
      </c>
      <c r="G198" s="14">
        <f>SUM('ALPINE VALLEY:WOODLAND'!G195)</f>
        <v>938633.20000000019</v>
      </c>
      <c r="H198" s="92">
        <f t="shared" si="20"/>
        <v>1.888811898806089E-3</v>
      </c>
      <c r="J198" s="111">
        <f t="shared" si="19"/>
        <v>0.50303072526897752</v>
      </c>
      <c r="L198" s="90"/>
      <c r="M198" s="90"/>
      <c r="N198" s="90"/>
      <c r="O198" s="112"/>
      <c r="P198" s="113"/>
      <c r="Q198" s="112"/>
      <c r="R198" s="58"/>
    </row>
    <row r="199" spans="1:18" s="25" customFormat="1" ht="15.5">
      <c r="A199" s="37" t="s">
        <v>143</v>
      </c>
      <c r="B199" s="39" t="s">
        <v>266</v>
      </c>
      <c r="C199" s="14">
        <f>SUM('ALPINE VALLEY:WOODLAND'!C196)</f>
        <v>909636.47000000009</v>
      </c>
      <c r="D199" s="14">
        <f>SUM('ALPINE VALLEY:WOODLAND'!D196)</f>
        <v>-183729.61666666667</v>
      </c>
      <c r="E199" s="14">
        <f>SUM('ALPINE VALLEY:WOODLAND'!E196)</f>
        <v>725906.85333333327</v>
      </c>
      <c r="F199" s="14">
        <f>SUM('ALPINE VALLEY:WOODLAND'!F196)</f>
        <v>-27652.33</v>
      </c>
      <c r="G199" s="14">
        <f>SUM('ALPINE VALLEY:WOODLAND'!G196)</f>
        <v>698254.52333333343</v>
      </c>
      <c r="H199" s="92">
        <f t="shared" si="20"/>
        <v>1.4050978082462604E-3</v>
      </c>
      <c r="J199" s="111">
        <f t="shared" si="19"/>
        <v>0.37420738931321718</v>
      </c>
      <c r="L199" s="90"/>
      <c r="M199" s="90"/>
      <c r="N199" s="90"/>
      <c r="O199" s="112"/>
      <c r="P199" s="113"/>
      <c r="Q199" s="112"/>
      <c r="R199" s="58"/>
    </row>
    <row r="200" spans="1:18" s="25" customFormat="1" ht="15.5">
      <c r="A200" s="35"/>
      <c r="B200" s="40" t="s">
        <v>130</v>
      </c>
      <c r="C200" s="14">
        <f>SUM('ALPINE VALLEY:WOODLAND'!C197)</f>
        <v>62442338.130000003</v>
      </c>
      <c r="D200" s="14">
        <f>SUM('ALPINE VALLEY:WOODLAND'!D197)</f>
        <v>1320745.3709169468</v>
      </c>
      <c r="E200" s="14">
        <f>SUM('ALPINE VALLEY:WOODLAND'!E197)</f>
        <v>63763083.50091695</v>
      </c>
      <c r="F200" s="14">
        <f>SUM('ALPINE VALLEY:WOODLAND'!F197)</f>
        <v>6036331.3700000001</v>
      </c>
      <c r="G200" s="14">
        <f>SUM('ALPINE VALLEY:WOODLAND'!G197)</f>
        <v>69799414.870916963</v>
      </c>
      <c r="H200" s="92">
        <f t="shared" si="20"/>
        <v>0.14045738563039387</v>
      </c>
      <c r="J200" s="111">
        <f t="shared" si="19"/>
        <v>37.406784978272242</v>
      </c>
      <c r="L200" s="90"/>
      <c r="M200" s="90"/>
      <c r="N200" s="90"/>
      <c r="O200" s="112"/>
      <c r="P200" s="113"/>
      <c r="Q200" s="112"/>
      <c r="R200" s="58"/>
    </row>
    <row r="201" spans="1:18" s="25" customFormat="1" ht="15.5">
      <c r="A201" s="35"/>
      <c r="C201" s="17"/>
      <c r="D201" s="17"/>
      <c r="E201" s="17"/>
      <c r="F201" s="17"/>
      <c r="G201" s="17"/>
      <c r="H201" s="94"/>
      <c r="J201" s="123"/>
      <c r="L201" s="93"/>
      <c r="M201" s="93"/>
      <c r="N201" s="93"/>
      <c r="O201" s="93"/>
      <c r="P201" s="93"/>
      <c r="Q201" s="93"/>
    </row>
    <row r="202" spans="1:18" s="25" customFormat="1" ht="15.5">
      <c r="A202" s="32" t="s">
        <v>169</v>
      </c>
      <c r="B202" s="24" t="s">
        <v>68</v>
      </c>
      <c r="C202" s="64"/>
      <c r="D202" s="64"/>
      <c r="E202" s="64"/>
      <c r="F202" s="65"/>
      <c r="G202" s="65"/>
      <c r="H202" s="94"/>
      <c r="J202" s="123"/>
      <c r="L202" s="93"/>
      <c r="M202" s="93"/>
      <c r="N202" s="93"/>
      <c r="O202" s="93"/>
      <c r="P202" s="93"/>
      <c r="Q202" s="93"/>
    </row>
    <row r="203" spans="1:18" s="25" customFormat="1" ht="15.5">
      <c r="A203" s="32" t="s">
        <v>85</v>
      </c>
      <c r="B203" s="24" t="s">
        <v>69</v>
      </c>
      <c r="C203" s="14">
        <f>SUM('ALPINE VALLEY:WOODLAND'!C200)</f>
        <v>8463354.8000000007</v>
      </c>
      <c r="D203" s="14">
        <f>SUM('ALPINE VALLEY:WOODLAND'!D200)</f>
        <v>156540.05352179694</v>
      </c>
      <c r="E203" s="14">
        <f>SUM('ALPINE VALLEY:WOODLAND'!E200)</f>
        <v>8619894.8535217978</v>
      </c>
      <c r="F203" s="14">
        <f>SUM('ALPINE VALLEY:WOODLAND'!F200)</f>
        <v>1195351.07</v>
      </c>
      <c r="G203" s="14">
        <f>SUM('ALPINE VALLEY:WOODLAND'!G200)</f>
        <v>9815245.9235217981</v>
      </c>
      <c r="H203" s="92">
        <f t="shared" ref="H203:H209" si="21">IF($G$211=0,0,G203/$G$211)</f>
        <v>1.9751222618223954E-2</v>
      </c>
      <c r="J203" s="111">
        <f t="shared" ref="J203:J208" si="22">IF(G203=0,0,G203/$G$231)</f>
        <v>5.2601700809246292</v>
      </c>
      <c r="K203" s="25">
        <v>3997.91</v>
      </c>
      <c r="L203" s="118">
        <f>SUM('ALPINE VALLEY:WOODLAND'!J200)</f>
        <v>557812.18857142865</v>
      </c>
      <c r="M203" s="118">
        <f>SUM('ALPINE VALLEY:WOODLAND'!K200)</f>
        <v>596030.54714285722</v>
      </c>
      <c r="N203" s="119"/>
      <c r="O203" s="120">
        <f>IF(L203=0,0,G203/M203)</f>
        <v>16.467689400438179</v>
      </c>
      <c r="P203" s="59"/>
      <c r="Q203" s="121">
        <f>M203/$G$231</f>
        <v>0.31942368798774312</v>
      </c>
      <c r="R203" s="58"/>
    </row>
    <row r="204" spans="1:18" s="25" customFormat="1" ht="15.5">
      <c r="A204" s="32" t="s">
        <v>86</v>
      </c>
      <c r="B204" s="24" t="s">
        <v>45</v>
      </c>
      <c r="C204" s="14">
        <f>SUM('ALPINE VALLEY:WOODLAND'!C201)</f>
        <v>1355327.0899999999</v>
      </c>
      <c r="D204" s="14">
        <f>SUM('ALPINE VALLEY:WOODLAND'!D201)</f>
        <v>447251.92180240888</v>
      </c>
      <c r="E204" s="14">
        <f>SUM('ALPINE VALLEY:WOODLAND'!E201)</f>
        <v>1802579.0118024091</v>
      </c>
      <c r="F204" s="14">
        <f>SUM('ALPINE VALLEY:WOODLAND'!F201)</f>
        <v>192581.51</v>
      </c>
      <c r="G204" s="14">
        <f>SUM('ALPINE VALLEY:WOODLAND'!G201)</f>
        <v>1995160.5218024091</v>
      </c>
      <c r="H204" s="92">
        <f t="shared" si="21"/>
        <v>4.0148621779077867E-3</v>
      </c>
      <c r="J204" s="111">
        <f t="shared" si="22"/>
        <v>1.0692430699343443</v>
      </c>
      <c r="L204" s="90"/>
      <c r="M204" s="90"/>
      <c r="N204" s="90"/>
      <c r="O204" s="112"/>
      <c r="P204" s="113"/>
      <c r="Q204" s="125"/>
      <c r="R204" s="58"/>
    </row>
    <row r="205" spans="1:18" s="25" customFormat="1" ht="15.5">
      <c r="A205" s="32" t="s">
        <v>140</v>
      </c>
      <c r="B205" s="24" t="s">
        <v>54</v>
      </c>
      <c r="C205" s="14">
        <f>SUM('ALPINE VALLEY:WOODLAND'!C202)</f>
        <v>748965.52999999991</v>
      </c>
      <c r="D205" s="14">
        <f>SUM('ALPINE VALLEY:WOODLAND'!D202)</f>
        <v>16154.5</v>
      </c>
      <c r="E205" s="14">
        <f>SUM('ALPINE VALLEY:WOODLAND'!E202)</f>
        <v>765120.02999999991</v>
      </c>
      <c r="F205" s="14">
        <f>SUM('ALPINE VALLEY:WOODLAND'!F202)</f>
        <v>80651.649999999994</v>
      </c>
      <c r="G205" s="14">
        <f>SUM('ALPINE VALLEY:WOODLAND'!G202)</f>
        <v>845771.67999999982</v>
      </c>
      <c r="H205" s="92">
        <f t="shared" si="21"/>
        <v>1.7019466313968174E-3</v>
      </c>
      <c r="J205" s="111">
        <f t="shared" si="22"/>
        <v>0.45326453571252473</v>
      </c>
      <c r="L205" s="90"/>
      <c r="M205" s="90"/>
      <c r="N205" s="90"/>
      <c r="O205" s="112"/>
      <c r="P205" s="113"/>
      <c r="Q205" s="125"/>
      <c r="R205" s="58"/>
    </row>
    <row r="206" spans="1:18" s="25" customFormat="1" ht="15.5">
      <c r="A206" s="32" t="s">
        <v>141</v>
      </c>
      <c r="B206" s="24" t="s">
        <v>70</v>
      </c>
      <c r="C206" s="14">
        <f>SUM('ALPINE VALLEY:WOODLAND'!C203)</f>
        <v>11647.33</v>
      </c>
      <c r="D206" s="14">
        <f>SUM('ALPINE VALLEY:WOODLAND'!D203)</f>
        <v>0</v>
      </c>
      <c r="E206" s="14">
        <f>SUM('ALPINE VALLEY:WOODLAND'!E203)</f>
        <v>11647.33</v>
      </c>
      <c r="F206" s="14">
        <f>SUM('ALPINE VALLEY:WOODLAND'!F203)</f>
        <v>293</v>
      </c>
      <c r="G206" s="14">
        <f>SUM('ALPINE VALLEY:WOODLAND'!G203)</f>
        <v>11940.33</v>
      </c>
      <c r="H206" s="92">
        <f t="shared" si="21"/>
        <v>2.4027530008177109E-5</v>
      </c>
      <c r="J206" s="111">
        <f t="shared" si="22"/>
        <v>6.3990415636810301E-3</v>
      </c>
      <c r="L206" s="90"/>
      <c r="M206" s="90"/>
      <c r="N206" s="90"/>
      <c r="O206" s="112"/>
      <c r="P206" s="113"/>
      <c r="Q206" s="125"/>
      <c r="R206" s="58"/>
    </row>
    <row r="207" spans="1:18" s="25" customFormat="1" ht="15.5">
      <c r="A207" s="32" t="s">
        <v>142</v>
      </c>
      <c r="B207" s="2" t="s">
        <v>71</v>
      </c>
      <c r="C207" s="14">
        <f>SUM('ALPINE VALLEY:WOODLAND'!C204)</f>
        <v>0</v>
      </c>
      <c r="D207" s="14">
        <f>SUM('ALPINE VALLEY:WOODLAND'!D204)</f>
        <v>0</v>
      </c>
      <c r="E207" s="14">
        <f>SUM('ALPINE VALLEY:WOODLAND'!E204)</f>
        <v>0</v>
      </c>
      <c r="F207" s="14">
        <f>SUM('ALPINE VALLEY:WOODLAND'!F204)</f>
        <v>0</v>
      </c>
      <c r="G207" s="14">
        <f>SUM('ALPINE VALLEY:WOODLAND'!G204)</f>
        <v>0</v>
      </c>
      <c r="H207" s="92">
        <f t="shared" si="21"/>
        <v>0</v>
      </c>
      <c r="J207" s="111">
        <f t="shared" si="22"/>
        <v>0</v>
      </c>
      <c r="L207" s="90"/>
      <c r="M207" s="90"/>
      <c r="N207" s="90"/>
      <c r="O207" s="112"/>
      <c r="P207" s="113"/>
      <c r="Q207" s="125"/>
      <c r="R207" s="58"/>
    </row>
    <row r="208" spans="1:18" s="25" customFormat="1" ht="15.5">
      <c r="A208" s="32" t="s">
        <v>143</v>
      </c>
      <c r="B208" s="24" t="s">
        <v>266</v>
      </c>
      <c r="C208" s="14">
        <f>SUM('ALPINE VALLEY:WOODLAND'!C205)</f>
        <v>914044.06000000029</v>
      </c>
      <c r="D208" s="14">
        <f>SUM('ALPINE VALLEY:WOODLAND'!D205)</f>
        <v>-246652.25</v>
      </c>
      <c r="E208" s="14">
        <f>SUM('ALPINE VALLEY:WOODLAND'!E205)</f>
        <v>667391.80999999994</v>
      </c>
      <c r="F208" s="14">
        <f>SUM('ALPINE VALLEY:WOODLAND'!F205)</f>
        <v>8891.9800000001596</v>
      </c>
      <c r="G208" s="14">
        <f>SUM('ALPINE VALLEY:WOODLAND'!G205)</f>
        <v>676283.79</v>
      </c>
      <c r="H208" s="92">
        <f t="shared" si="21"/>
        <v>1.3608860942929339E-3</v>
      </c>
      <c r="J208" s="111">
        <f t="shared" si="22"/>
        <v>0.36243287087155324</v>
      </c>
      <c r="L208" s="90"/>
      <c r="M208" s="90"/>
      <c r="N208" s="90"/>
      <c r="O208" s="112"/>
      <c r="P208" s="113"/>
      <c r="Q208" s="125"/>
      <c r="R208" s="58"/>
    </row>
    <row r="209" spans="1:18" s="25" customFormat="1" ht="15.5">
      <c r="A209" s="35"/>
      <c r="B209" s="3" t="s">
        <v>144</v>
      </c>
      <c r="C209" s="14">
        <f>SUM('ALPINE VALLEY:WOODLAND'!C206)</f>
        <v>11493338.809999999</v>
      </c>
      <c r="D209" s="14">
        <f>SUM('ALPINE VALLEY:WOODLAND'!D206)</f>
        <v>373294.2253242057</v>
      </c>
      <c r="E209" s="14">
        <f>SUM('ALPINE VALLEY:WOODLAND'!E206)</f>
        <v>11866633.035324205</v>
      </c>
      <c r="F209" s="14">
        <f>SUM('ALPINE VALLEY:WOODLAND'!F206)</f>
        <v>1477769.2100000004</v>
      </c>
      <c r="G209" s="14">
        <f>SUM('ALPINE VALLEY:WOODLAND'!G206)</f>
        <v>13344402.245324209</v>
      </c>
      <c r="H209" s="92">
        <f t="shared" si="21"/>
        <v>2.6852945051829676E-2</v>
      </c>
      <c r="J209" s="111">
        <f>IF(G209=0,0,G209/$G$231)</f>
        <v>7.1515095990067339</v>
      </c>
      <c r="L209" s="97"/>
      <c r="M209" s="90"/>
      <c r="N209" s="90"/>
      <c r="O209" s="112"/>
      <c r="P209" s="113"/>
      <c r="Q209" s="125"/>
      <c r="R209" s="58"/>
    </row>
    <row r="210" spans="1:18" s="25" customFormat="1" ht="15.5">
      <c r="A210" s="35"/>
      <c r="C210" s="17"/>
      <c r="D210" s="17"/>
      <c r="E210" s="17"/>
      <c r="F210" s="17"/>
      <c r="G210" s="17"/>
      <c r="H210" s="94"/>
      <c r="J210" s="123"/>
      <c r="L210" s="137"/>
      <c r="M210" s="137"/>
      <c r="N210" s="93"/>
      <c r="O210" s="93"/>
      <c r="P210" s="93"/>
      <c r="Q210" s="126"/>
    </row>
    <row r="211" spans="1:18" s="25" customFormat="1" ht="16" thickBot="1">
      <c r="A211" s="41" t="s">
        <v>146</v>
      </c>
      <c r="B211" s="3" t="s">
        <v>145</v>
      </c>
      <c r="C211" s="18">
        <f>SUM('ALPINE VALLEY:WOODLAND'!C208)</f>
        <v>478423010.36435694</v>
      </c>
      <c r="D211" s="18">
        <f>SUM('ALPINE VALLEY:WOODLAND'!D208)</f>
        <v>-25021730.045581855</v>
      </c>
      <c r="E211" s="18">
        <f>SUM('ALPINE VALLEY:WOODLAND'!E208)</f>
        <v>453401280.31877506</v>
      </c>
      <c r="F211" s="18">
        <f>SUM('ALPINE VALLEY:WOODLAND'!F208)</f>
        <v>43541366.659999996</v>
      </c>
      <c r="G211" s="18">
        <f>SUM('ALPINE VALLEY:WOODLAND'!G208)</f>
        <v>496943713.97877508</v>
      </c>
      <c r="H211" s="131">
        <f>IF($G$211=0,0,G211/$G$211)</f>
        <v>1</v>
      </c>
      <c r="J211" s="111">
        <f>IF(G211=0,0,G211/$G$231)</f>
        <v>266.32123907464864</v>
      </c>
      <c r="L211" s="132">
        <f>SUM('ALPINE VALLEY:WOODLAND'!J208)</f>
        <v>12094662.205169212</v>
      </c>
      <c r="M211" s="118">
        <f>SUM('ALPINE VALLEY:WOODLAND'!K208)</f>
        <v>12885068.212929975</v>
      </c>
      <c r="N211" s="119"/>
      <c r="O211" s="120">
        <f>IF(L211=0,0,G211/M211)</f>
        <v>38.567410413869553</v>
      </c>
      <c r="P211" s="59"/>
      <c r="Q211" s="121">
        <f>M211/$G$231</f>
        <v>6.9053440772075954</v>
      </c>
      <c r="R211" s="58"/>
    </row>
    <row r="212" spans="1:18" s="25" customFormat="1" ht="16" thickTop="1">
      <c r="A212" s="35"/>
      <c r="B212" s="24"/>
      <c r="C212" s="64"/>
      <c r="D212" s="64"/>
      <c r="E212" s="64"/>
      <c r="F212" s="64"/>
      <c r="G212" s="64"/>
      <c r="H212" s="70"/>
      <c r="J212" s="123"/>
      <c r="N212" s="68"/>
    </row>
    <row r="213" spans="1:18" s="25" customFormat="1" ht="15.5">
      <c r="A213" s="35"/>
      <c r="B213" s="24"/>
      <c r="C213" s="9"/>
      <c r="D213" s="9"/>
      <c r="E213" s="9"/>
      <c r="F213" s="9"/>
      <c r="G213" s="9"/>
      <c r="H213" s="70"/>
      <c r="J213" s="123"/>
      <c r="N213" s="68"/>
    </row>
    <row r="214" spans="1:18" s="25" customFormat="1" ht="15.5">
      <c r="A214" s="35"/>
      <c r="B214" s="3" t="s">
        <v>181</v>
      </c>
      <c r="C214" s="14">
        <f>SUM('ALPINE VALLEY:WOODLAND'!C211)</f>
        <v>478423003.09000003</v>
      </c>
      <c r="D214" s="67"/>
      <c r="E214" s="67"/>
      <c r="F214" s="64"/>
      <c r="G214" s="64"/>
      <c r="H214" s="70"/>
      <c r="J214" s="123"/>
      <c r="L214" s="86"/>
      <c r="M214" s="86"/>
      <c r="N214" s="106"/>
      <c r="O214" s="77"/>
      <c r="P214" s="58"/>
      <c r="Q214" s="87"/>
      <c r="R214" s="59"/>
    </row>
    <row r="215" spans="1:18" s="25" customFormat="1" ht="15.5">
      <c r="A215" s="35"/>
      <c r="B215" s="24" t="s">
        <v>147</v>
      </c>
      <c r="C215" s="14">
        <f>SUM('ALPINE VALLEY:WOODLAND'!C212)</f>
        <v>7.2743569347076118</v>
      </c>
      <c r="D215" s="78"/>
      <c r="E215" s="78"/>
      <c r="F215" s="64"/>
      <c r="G215" s="64"/>
      <c r="H215" s="98"/>
      <c r="J215" s="98"/>
      <c r="L215" s="27"/>
      <c r="M215" s="27"/>
      <c r="N215" s="27"/>
      <c r="O215" s="8"/>
      <c r="P215" s="113"/>
      <c r="Q215" s="133"/>
      <c r="R215" s="113"/>
    </row>
    <row r="216" spans="1:18" s="25" customFormat="1" ht="15.5">
      <c r="A216" s="35"/>
      <c r="B216" s="4"/>
      <c r="C216" s="79"/>
      <c r="D216" s="80"/>
      <c r="E216" s="80"/>
      <c r="F216" s="81"/>
      <c r="G216" s="81"/>
      <c r="H216" s="98"/>
      <c r="J216" s="98"/>
      <c r="L216" s="99"/>
      <c r="M216" s="99"/>
      <c r="N216" s="99"/>
      <c r="O216" s="133"/>
      <c r="P216" s="113"/>
      <c r="Q216" s="133"/>
      <c r="R216" s="113"/>
    </row>
    <row r="217" spans="1:18" s="25" customFormat="1" ht="15.5">
      <c r="A217" s="35"/>
      <c r="B217" s="4"/>
      <c r="C217" s="19"/>
      <c r="D217" s="19"/>
      <c r="E217" s="19"/>
      <c r="F217" s="19"/>
      <c r="G217" s="19"/>
      <c r="H217" s="98"/>
      <c r="J217" s="98"/>
      <c r="L217" s="99"/>
      <c r="M217" s="99"/>
      <c r="N217" s="99"/>
      <c r="O217" s="133"/>
      <c r="P217" s="113"/>
      <c r="Q217" s="133"/>
      <c r="R217" s="113"/>
    </row>
    <row r="218" spans="1:18" s="25" customFormat="1" ht="15.5">
      <c r="A218" s="35"/>
      <c r="B218" s="3" t="s">
        <v>78</v>
      </c>
      <c r="C218" s="14">
        <f>SUM('ALPINE VALLEY:WOODLAND'!C215)</f>
        <v>-13657712.667356944</v>
      </c>
      <c r="D218" s="14">
        <f>SUM('ALPINE VALLEY:WOODLAND'!D215)</f>
        <v>21728812.765581854</v>
      </c>
      <c r="E218" s="14">
        <f>SUM('ALPINE VALLEY:WOODLAND'!E215)</f>
        <v>8070228.0982249193</v>
      </c>
      <c r="F218" s="14">
        <f>SUM('ALPINE VALLEY:WOODLAND'!F215)</f>
        <v>14429015.57</v>
      </c>
      <c r="G218" s="14">
        <f>SUM('ALPINE VALLEY:WOODLAND'!G215)</f>
        <v>22498176.668224931</v>
      </c>
      <c r="H218" s="70"/>
      <c r="J218" s="361"/>
      <c r="N218" s="68"/>
    </row>
    <row r="219" spans="1:18" s="25" customFormat="1" ht="15.5">
      <c r="A219" s="35"/>
      <c r="B219" s="3"/>
      <c r="C219" s="67"/>
      <c r="D219" s="67" t="s">
        <v>82</v>
      </c>
      <c r="E219" s="67" t="s">
        <v>82</v>
      </c>
      <c r="F219" s="67"/>
      <c r="G219" s="67"/>
      <c r="H219" s="70" t="s">
        <v>81</v>
      </c>
      <c r="J219" s="134"/>
      <c r="N219" s="68"/>
    </row>
    <row r="220" spans="1:18" s="25" customFormat="1" ht="15.5">
      <c r="A220" s="35"/>
      <c r="D220" s="25" t="s">
        <v>234</v>
      </c>
      <c r="E220" s="25" t="s">
        <v>234</v>
      </c>
      <c r="H220" s="70" t="s">
        <v>199</v>
      </c>
      <c r="J220" s="134"/>
      <c r="N220" s="68"/>
    </row>
    <row r="221" spans="1:18" s="25" customFormat="1" ht="15.5">
      <c r="A221" s="35"/>
      <c r="B221" s="5" t="s">
        <v>159</v>
      </c>
      <c r="C221" s="64"/>
      <c r="D221" s="64"/>
      <c r="E221" s="64"/>
      <c r="F221" s="64"/>
      <c r="G221" s="64"/>
      <c r="H221" s="100"/>
      <c r="J221" s="134"/>
      <c r="N221" s="68"/>
    </row>
    <row r="222" spans="1:18" s="25" customFormat="1" ht="15.5">
      <c r="A222" s="35"/>
      <c r="B222" s="24" t="s">
        <v>218</v>
      </c>
      <c r="C222" s="15">
        <f>SUM('ALPINE VALLEY:WOODLAND'!C219)</f>
        <v>880487</v>
      </c>
      <c r="D222" s="15">
        <f>SUM('ALPINE VALLEY:WOODLAND'!D219)</f>
        <v>0</v>
      </c>
      <c r="E222" s="15">
        <f>SUM('ALPINE VALLEY:WOODLAND'!E219)</f>
        <v>880487</v>
      </c>
      <c r="F222" s="15">
        <f>SUM('ALPINE VALLEY:WOODLAND'!F219)</f>
        <v>122038</v>
      </c>
      <c r="G222" s="15">
        <f>SUM('ALPINE VALLEY:WOODLAND'!G219)</f>
        <v>1002525</v>
      </c>
      <c r="H222" s="26">
        <f t="shared" ref="H222:H231" si="23">G222/$G$231</f>
        <v>0.53727151122534511</v>
      </c>
      <c r="M222" s="68"/>
    </row>
    <row r="223" spans="1:18" s="25" customFormat="1" ht="15.5">
      <c r="A223" s="35"/>
      <c r="B223" s="24" t="s">
        <v>217</v>
      </c>
      <c r="C223" s="15">
        <f>SUM('ALPINE VALLEY:WOODLAND'!C220)</f>
        <v>10338</v>
      </c>
      <c r="D223" s="15">
        <f>SUM('ALPINE VALLEY:WOODLAND'!D220)</f>
        <v>0</v>
      </c>
      <c r="E223" s="15">
        <f>SUM('ALPINE VALLEY:WOODLAND'!E220)</f>
        <v>10338</v>
      </c>
      <c r="F223" s="15">
        <f>SUM('ALPINE VALLEY:WOODLAND'!F220)</f>
        <v>3842</v>
      </c>
      <c r="G223" s="15">
        <f>SUM('ALPINE VALLEY:WOODLAND'!G220)</f>
        <v>14180</v>
      </c>
      <c r="H223" s="26">
        <f t="shared" si="23"/>
        <v>7.5993217417774052E-3</v>
      </c>
      <c r="M223" s="68"/>
    </row>
    <row r="224" spans="1:18" s="25" customFormat="1" ht="15.5">
      <c r="A224" s="35"/>
      <c r="B224" s="24" t="s">
        <v>72</v>
      </c>
      <c r="C224" s="15">
        <f>SUM('ALPINE VALLEY:WOODLAND'!C221)</f>
        <v>227795</v>
      </c>
      <c r="D224" s="15">
        <f>SUM('ALPINE VALLEY:WOODLAND'!D221)</f>
        <v>0</v>
      </c>
      <c r="E224" s="15">
        <f>SUM('ALPINE VALLEY:WOODLAND'!E221)</f>
        <v>227795</v>
      </c>
      <c r="F224" s="15">
        <f>SUM('ALPINE VALLEY:WOODLAND'!F221)</f>
        <v>23664</v>
      </c>
      <c r="G224" s="15">
        <f>SUM('ALPINE VALLEY:WOODLAND'!G221)</f>
        <v>251459</v>
      </c>
      <c r="H224" s="26">
        <f t="shared" si="23"/>
        <v>0.13476148419362513</v>
      </c>
      <c r="M224" s="68"/>
    </row>
    <row r="225" spans="1:14" s="25" customFormat="1" ht="15.5">
      <c r="A225" s="35"/>
      <c r="B225" s="24" t="s">
        <v>289</v>
      </c>
      <c r="C225" s="15">
        <f>SUM('ALPINE VALLEY:WOODLAND'!C222)</f>
        <v>111364</v>
      </c>
      <c r="D225" s="15">
        <f>SUM('ALPINE VALLEY:WOODLAND'!D222)</f>
        <v>0</v>
      </c>
      <c r="E225" s="15">
        <f>SUM('ALPINE VALLEY:WOODLAND'!E222)</f>
        <v>111364</v>
      </c>
      <c r="F225" s="15">
        <f>SUM('ALPINE VALLEY:WOODLAND'!F222)</f>
        <v>9987</v>
      </c>
      <c r="G225" s="15">
        <f>SUM('ALPINE VALLEY:WOODLAND'!G222)</f>
        <v>121351</v>
      </c>
      <c r="H225" s="26">
        <f t="shared" si="23"/>
        <v>6.5034223743753866E-2</v>
      </c>
      <c r="M225" s="68"/>
    </row>
    <row r="226" spans="1:14" s="25" customFormat="1" ht="15.5">
      <c r="A226" s="35"/>
      <c r="B226" s="24" t="s">
        <v>73</v>
      </c>
      <c r="C226" s="15">
        <f>SUM('ALPINE VALLEY:WOODLAND'!C223)</f>
        <v>56238</v>
      </c>
      <c r="D226" s="15">
        <f>SUM('ALPINE VALLEY:WOODLAND'!D223)</f>
        <v>0</v>
      </c>
      <c r="E226" s="15">
        <f>SUM('ALPINE VALLEY:WOODLAND'!E223)</f>
        <v>56238</v>
      </c>
      <c r="F226" s="15">
        <f>SUM('ALPINE VALLEY:WOODLAND'!F223)</f>
        <v>745</v>
      </c>
      <c r="G226" s="15">
        <f>SUM('ALPINE VALLEY:WOODLAND'!G223)</f>
        <v>56983</v>
      </c>
      <c r="H226" s="26">
        <f t="shared" si="23"/>
        <v>3.0538233484605212E-2</v>
      </c>
      <c r="M226" s="68"/>
    </row>
    <row r="227" spans="1:14" s="25" customFormat="1" ht="15.5">
      <c r="A227" s="35"/>
      <c r="B227" s="24" t="s">
        <v>74</v>
      </c>
      <c r="C227" s="15">
        <f>SUM('ALPINE VALLEY:WOODLAND'!C224)</f>
        <v>267662</v>
      </c>
      <c r="D227" s="15">
        <f>SUM('ALPINE VALLEY:WOODLAND'!D224)</f>
        <v>0</v>
      </c>
      <c r="E227" s="15">
        <f>SUM('ALPINE VALLEY:WOODLAND'!E224)</f>
        <v>267662</v>
      </c>
      <c r="F227" s="15">
        <f>SUM('ALPINE VALLEY:WOODLAND'!F224)</f>
        <v>15651</v>
      </c>
      <c r="G227" s="15">
        <f>SUM('ALPINE VALLEY:WOODLAND'!G224)</f>
        <v>283313</v>
      </c>
      <c r="H227" s="26">
        <f t="shared" si="23"/>
        <v>0.15183262627843314</v>
      </c>
      <c r="M227" s="68"/>
    </row>
    <row r="228" spans="1:14" s="25" customFormat="1" ht="15.5">
      <c r="A228" s="35"/>
      <c r="B228" s="24" t="s">
        <v>236</v>
      </c>
      <c r="C228" s="15">
        <f>SUM('ALPINE VALLEY:WOODLAND'!C225)</f>
        <v>78989</v>
      </c>
      <c r="D228" s="15">
        <f>SUM('ALPINE VALLEY:WOODLAND'!D225)</f>
        <v>0</v>
      </c>
      <c r="E228" s="15">
        <f>SUM('ALPINE VALLEY:WOODLAND'!E225)</f>
        <v>78989</v>
      </c>
      <c r="F228" s="15">
        <f>SUM('ALPINE VALLEY:WOODLAND'!F225)</f>
        <v>7164</v>
      </c>
      <c r="G228" s="15">
        <f>SUM('ALPINE VALLEY:WOODLAND'!G225)</f>
        <v>86153</v>
      </c>
      <c r="H228" s="26">
        <f t="shared" si="23"/>
        <v>4.6170970805313738E-2</v>
      </c>
      <c r="M228" s="68"/>
    </row>
    <row r="229" spans="1:14" s="25" customFormat="1" ht="15.5">
      <c r="A229" s="35"/>
      <c r="B229" s="24" t="s">
        <v>235</v>
      </c>
      <c r="C229" s="15">
        <f>SUM('ALPINE VALLEY:WOODLAND'!C226)</f>
        <v>31944</v>
      </c>
      <c r="D229" s="15">
        <f>SUM('ALPINE VALLEY:WOODLAND'!D226)</f>
        <v>0</v>
      </c>
      <c r="E229" s="15">
        <f>SUM('ALPINE VALLEY:WOODLAND'!E226)</f>
        <v>31944</v>
      </c>
      <c r="F229" s="15">
        <f>SUM('ALPINE VALLEY:WOODLAND'!F226)</f>
        <v>4095</v>
      </c>
      <c r="G229" s="15">
        <f>SUM('ALPINE VALLEY:WOODLAND'!G226)</f>
        <v>36039</v>
      </c>
      <c r="H229" s="26">
        <f t="shared" si="23"/>
        <v>1.9313960243435537E-2</v>
      </c>
      <c r="M229" s="68"/>
    </row>
    <row r="230" spans="1:14" s="25" customFormat="1" ht="15.5">
      <c r="A230" s="35"/>
      <c r="B230" s="24" t="s">
        <v>179</v>
      </c>
      <c r="C230" s="15">
        <f>SUM('ALPINE VALLEY:WOODLAND'!C227)</f>
        <v>13750</v>
      </c>
      <c r="D230" s="15">
        <f>SUM('ALPINE VALLEY:WOODLAND'!D227)</f>
        <v>0</v>
      </c>
      <c r="E230" s="15">
        <f>SUM('ALPINE VALLEY:WOODLAND'!E227)</f>
        <v>13750</v>
      </c>
      <c r="F230" s="15">
        <f>SUM('ALPINE VALLEY:WOODLAND'!F227)</f>
        <v>203</v>
      </c>
      <c r="G230" s="15">
        <f>SUM('ALPINE VALLEY:WOODLAND'!G227)</f>
        <v>13953</v>
      </c>
      <c r="H230" s="26">
        <f t="shared" si="23"/>
        <v>7.4776682837108697E-3</v>
      </c>
      <c r="M230" s="68"/>
    </row>
    <row r="231" spans="1:14" s="25" customFormat="1" ht="15.5">
      <c r="A231" s="35"/>
      <c r="B231" s="6" t="s">
        <v>75</v>
      </c>
      <c r="C231" s="15">
        <f>SUM('ALPINE VALLEY:WOODLAND'!C228)</f>
        <v>1678567</v>
      </c>
      <c r="D231" s="15">
        <f>SUM('ALPINE VALLEY:WOODLAND'!D228)</f>
        <v>0</v>
      </c>
      <c r="E231" s="15">
        <f>SUM('ALPINE VALLEY:WOODLAND'!E228)</f>
        <v>1678567</v>
      </c>
      <c r="F231" s="15">
        <f>SUM('ALPINE VALLEY:WOODLAND'!F228)</f>
        <v>187389</v>
      </c>
      <c r="G231" s="15">
        <f>SUM('ALPINE VALLEY:WOODLAND'!G228)</f>
        <v>1865956</v>
      </c>
      <c r="H231" s="26">
        <f t="shared" si="23"/>
        <v>1</v>
      </c>
      <c r="M231" s="68"/>
    </row>
    <row r="232" spans="1:14" s="25" customFormat="1" ht="15.5">
      <c r="A232" s="35"/>
      <c r="C232" s="16"/>
      <c r="D232" s="16"/>
      <c r="E232" s="16"/>
      <c r="F232" s="16"/>
      <c r="G232" s="16"/>
      <c r="H232" s="70"/>
      <c r="J232" s="135"/>
      <c r="N232" s="68"/>
    </row>
    <row r="233" spans="1:14" s="25" customFormat="1" ht="15.5">
      <c r="A233" s="35"/>
      <c r="B233" s="5" t="s">
        <v>160</v>
      </c>
      <c r="C233" s="79"/>
      <c r="D233" s="80"/>
      <c r="E233" s="80"/>
      <c r="F233" s="81"/>
      <c r="G233" s="81"/>
      <c r="H233" s="70"/>
      <c r="J233" s="135"/>
      <c r="N233" s="68"/>
    </row>
    <row r="234" spans="1:14" s="25" customFormat="1" ht="15.5">
      <c r="A234" s="35"/>
      <c r="B234" s="2" t="s">
        <v>220</v>
      </c>
      <c r="C234" s="15">
        <f>SUM('ALPINE VALLEY:WOODLAND'!C231)</f>
        <v>8002</v>
      </c>
      <c r="D234" s="15">
        <f>SUM('ALPINE VALLEY:WOODLAND'!D231)</f>
        <v>0</v>
      </c>
      <c r="E234" s="15">
        <f>SUM('ALPINE VALLEY:WOODLAND'!E231)</f>
        <v>8002</v>
      </c>
      <c r="F234" s="15">
        <f>SUM('ALPINE VALLEY:WOODLAND'!F231)</f>
        <v>14</v>
      </c>
      <c r="G234" s="15">
        <f>SUM('ALPINE VALLEY:WOODLAND'!G231)</f>
        <v>8016</v>
      </c>
      <c r="H234" s="70"/>
      <c r="J234" s="135"/>
      <c r="N234" s="68"/>
    </row>
    <row r="235" spans="1:14" s="25" customFormat="1" ht="15.5">
      <c r="A235" s="35"/>
      <c r="B235" s="23" t="s">
        <v>290</v>
      </c>
      <c r="C235" s="15">
        <f>SUM('ALPINE VALLEY:WOODLAND'!C232)</f>
        <v>7670</v>
      </c>
      <c r="D235" s="15">
        <f>SUM('ALPINE VALLEY:WOODLAND'!D232)</f>
        <v>0</v>
      </c>
      <c r="E235" s="15">
        <f>SUM('ALPINE VALLEY:WOODLAND'!E232)</f>
        <v>7670</v>
      </c>
      <c r="F235" s="15">
        <f>SUM('ALPINE VALLEY:WOODLAND'!F232)</f>
        <v>-408</v>
      </c>
      <c r="G235" s="15">
        <f>SUM('ALPINE VALLEY:WOODLAND'!G232)</f>
        <v>7262</v>
      </c>
      <c r="H235" s="70"/>
      <c r="J235" s="135"/>
      <c r="N235" s="68"/>
    </row>
    <row r="236" spans="1:14" s="25" customFormat="1" ht="15.5">
      <c r="A236" s="35"/>
      <c r="B236" s="2" t="s">
        <v>76</v>
      </c>
      <c r="C236" s="28">
        <v>365</v>
      </c>
      <c r="D236" s="82"/>
      <c r="E236" s="28">
        <f>C236</f>
        <v>365</v>
      </c>
      <c r="F236" s="83"/>
      <c r="G236" s="28">
        <f>C236</f>
        <v>365</v>
      </c>
      <c r="H236" s="70"/>
      <c r="J236" s="135"/>
      <c r="N236" s="68"/>
    </row>
    <row r="237" spans="1:14" s="68" customFormat="1" ht="15.5">
      <c r="A237" s="42"/>
      <c r="B237" s="11"/>
      <c r="C237" s="84"/>
      <c r="D237" s="82"/>
      <c r="E237" s="101"/>
      <c r="F237" s="83"/>
      <c r="G237" s="101"/>
      <c r="H237" s="70"/>
      <c r="J237" s="136"/>
    </row>
    <row r="238" spans="1:14" s="25" customFormat="1" ht="26.5">
      <c r="A238" s="35"/>
      <c r="B238" s="10" t="s">
        <v>241</v>
      </c>
      <c r="C238" s="15">
        <f>SUM('ALPINE VALLEY:WOODLAND'!C235)</f>
        <v>2620192</v>
      </c>
      <c r="D238" s="82"/>
      <c r="E238" s="15">
        <f>SUM('ALPINE VALLEY:WOODLAND'!E235)</f>
        <v>2623852</v>
      </c>
      <c r="F238" s="83"/>
      <c r="G238" s="15">
        <f>SUM('ALPINE VALLEY:WOODLAND'!G235)</f>
        <v>2915436</v>
      </c>
      <c r="H238" s="70"/>
      <c r="J238" s="135"/>
      <c r="N238" s="68"/>
    </row>
    <row r="239" spans="1:14" s="25" customFormat="1" ht="26.5">
      <c r="A239" s="35"/>
      <c r="B239" s="10" t="s">
        <v>242</v>
      </c>
      <c r="C239" s="20">
        <f>C231/C238</f>
        <v>0.64062748073423625</v>
      </c>
      <c r="D239" s="89"/>
      <c r="E239" s="20">
        <f>E231/E238</f>
        <v>0.63973387218486411</v>
      </c>
      <c r="F239" s="85"/>
      <c r="G239" s="20">
        <f>G231/G238</f>
        <v>0.64002639742391876</v>
      </c>
      <c r="H239" s="70"/>
      <c r="J239" s="135"/>
      <c r="N239" s="68"/>
    </row>
    <row r="240" spans="1:14" s="25" customFormat="1" ht="26.5">
      <c r="A240" s="35"/>
      <c r="B240" s="10" t="s">
        <v>243</v>
      </c>
      <c r="C240" s="20">
        <f>C222/C238</f>
        <v>0.33603911469083181</v>
      </c>
      <c r="D240" s="89"/>
      <c r="E240" s="20">
        <f>E222/E238</f>
        <v>0.33557037515835497</v>
      </c>
      <c r="F240" s="85"/>
      <c r="G240" s="20">
        <f>G222/G238</f>
        <v>0.34386794976806212</v>
      </c>
      <c r="H240" s="70"/>
      <c r="J240" s="135"/>
      <c r="N240" s="68"/>
    </row>
    <row r="241" spans="1:14" s="25" customFormat="1" ht="26.5">
      <c r="A241" s="35"/>
      <c r="B241" s="10" t="s">
        <v>244</v>
      </c>
      <c r="C241" s="20">
        <f>C240/C239</f>
        <v>0.52454683071929809</v>
      </c>
      <c r="D241" s="89"/>
      <c r="E241" s="20">
        <f>E240/E239</f>
        <v>0.52454683071929809</v>
      </c>
      <c r="F241" s="85"/>
      <c r="G241" s="20">
        <f>G240/G239</f>
        <v>0.537271511225345</v>
      </c>
      <c r="H241" s="70"/>
      <c r="J241" s="135"/>
      <c r="N241" s="68"/>
    </row>
    <row r="242" spans="1:14" s="25" customFormat="1" ht="15.5">
      <c r="A242" s="35"/>
      <c r="C242" s="64"/>
      <c r="D242" s="64"/>
      <c r="E242" s="102"/>
      <c r="F242" s="65"/>
      <c r="G242" s="64"/>
      <c r="H242" s="68"/>
      <c r="J242" s="135"/>
      <c r="N242" s="68"/>
    </row>
    <row r="243" spans="1:14" ht="15.5">
      <c r="A243" s="54"/>
      <c r="E243" s="59"/>
    </row>
    <row r="244" spans="1:14" ht="15.5">
      <c r="A244" s="54"/>
      <c r="E244" s="59"/>
    </row>
    <row r="245" spans="1:14" ht="15.5">
      <c r="A245" s="54"/>
      <c r="E245" s="59"/>
    </row>
    <row r="246" spans="1:14" ht="15.5">
      <c r="A246" s="54"/>
      <c r="E246" s="59"/>
    </row>
    <row r="247" spans="1:14" ht="15.5">
      <c r="A247" s="54"/>
      <c r="E247" s="59"/>
    </row>
    <row r="248" spans="1:14" ht="15.5">
      <c r="A248" s="54"/>
      <c r="E248" s="59"/>
    </row>
    <row r="249" spans="1:14" ht="15.5">
      <c r="A249" s="54"/>
      <c r="E249" s="59"/>
    </row>
    <row r="250" spans="1:14" ht="15.5">
      <c r="A250" s="54"/>
      <c r="E250" s="59"/>
    </row>
    <row r="251" spans="1:14" ht="15.5">
      <c r="A251" s="54"/>
      <c r="E251" s="59"/>
    </row>
    <row r="252" spans="1:14" ht="15.5">
      <c r="A252" s="54"/>
      <c r="E252" s="59"/>
    </row>
    <row r="253" spans="1:14" ht="15.5">
      <c r="A253" s="54"/>
      <c r="E253" s="59"/>
    </row>
    <row r="254" spans="1:14" ht="15.5">
      <c r="A254" s="54"/>
      <c r="E254" s="59"/>
    </row>
    <row r="255" spans="1:14" ht="15.5">
      <c r="A255" s="54"/>
      <c r="E255" s="59"/>
    </row>
    <row r="256" spans="1:14" ht="15.5">
      <c r="A256" s="54"/>
      <c r="E256" s="59"/>
    </row>
    <row r="257" spans="1:5" ht="15.5">
      <c r="A257" s="54"/>
      <c r="E257" s="59"/>
    </row>
    <row r="258" spans="1:5" ht="15.5">
      <c r="A258" s="54"/>
      <c r="E258" s="59"/>
    </row>
    <row r="259" spans="1:5" ht="15.5">
      <c r="A259" s="54"/>
      <c r="E259" s="59"/>
    </row>
    <row r="260" spans="1:5" ht="15.5">
      <c r="A260" s="54"/>
      <c r="E260" s="59"/>
    </row>
    <row r="261" spans="1:5" ht="15.5">
      <c r="A261" s="54"/>
      <c r="E261" s="59"/>
    </row>
    <row r="262" spans="1:5" ht="15.5">
      <c r="A262" s="54"/>
      <c r="E262" s="59"/>
    </row>
    <row r="263" spans="1:5" ht="15.5">
      <c r="A263" s="54"/>
      <c r="E263" s="59"/>
    </row>
    <row r="264" spans="1:5" ht="15.5">
      <c r="A264" s="54"/>
      <c r="E264" s="59"/>
    </row>
    <row r="265" spans="1:5" ht="15.5">
      <c r="A265" s="54"/>
      <c r="E265" s="59"/>
    </row>
    <row r="266" spans="1:5" ht="15.5">
      <c r="A266" s="54"/>
      <c r="E266" s="59"/>
    </row>
    <row r="267" spans="1:5" ht="15.5">
      <c r="A267" s="54"/>
      <c r="E267" s="59"/>
    </row>
    <row r="268" spans="1:5" ht="15.5">
      <c r="A268" s="54"/>
      <c r="E268" s="59"/>
    </row>
    <row r="269" spans="1:5" ht="15.5">
      <c r="A269" s="54"/>
      <c r="E269" s="59"/>
    </row>
    <row r="270" spans="1:5" ht="15.5">
      <c r="A270" s="54"/>
      <c r="E270" s="59"/>
    </row>
    <row r="271" spans="1:5" ht="15.5">
      <c r="A271" s="54"/>
      <c r="E271" s="59"/>
    </row>
    <row r="272" spans="1:5" ht="15.5">
      <c r="A272" s="54"/>
      <c r="E272" s="59"/>
    </row>
    <row r="273" spans="1:5" ht="15.5">
      <c r="A273" s="54"/>
      <c r="E273" s="59"/>
    </row>
    <row r="274" spans="1:5" ht="15.5">
      <c r="A274" s="54"/>
      <c r="E274" s="59"/>
    </row>
    <row r="275" spans="1:5" ht="15.5">
      <c r="A275" s="54"/>
      <c r="E275" s="59"/>
    </row>
    <row r="276" spans="1:5" ht="15.5">
      <c r="A276" s="54"/>
      <c r="E276" s="59"/>
    </row>
    <row r="277" spans="1:5" ht="15.5">
      <c r="A277" s="54"/>
      <c r="E277" s="59"/>
    </row>
    <row r="278" spans="1:5" ht="15.5">
      <c r="A278" s="54"/>
      <c r="E278" s="59"/>
    </row>
    <row r="279" spans="1:5" ht="15.5">
      <c r="A279" s="54"/>
      <c r="E279" s="59"/>
    </row>
    <row r="280" spans="1:5" ht="15.5">
      <c r="A280" s="54"/>
      <c r="E280" s="59"/>
    </row>
    <row r="281" spans="1:5" ht="15.5">
      <c r="A281" s="54"/>
      <c r="E281" s="59"/>
    </row>
    <row r="282" spans="1:5" ht="15.5">
      <c r="A282" s="54"/>
      <c r="E282" s="59"/>
    </row>
    <row r="283" spans="1:5" ht="15.5">
      <c r="A283" s="54"/>
      <c r="E283" s="59"/>
    </row>
    <row r="284" spans="1:5" ht="15.5">
      <c r="A284" s="54"/>
      <c r="E284" s="59"/>
    </row>
    <row r="285" spans="1:5" ht="15.5">
      <c r="A285" s="54"/>
      <c r="E285" s="59"/>
    </row>
    <row r="286" spans="1:5" ht="15.5">
      <c r="A286" s="54"/>
      <c r="E286" s="59"/>
    </row>
    <row r="287" spans="1:5" ht="15.5">
      <c r="A287" s="54"/>
      <c r="E287" s="59"/>
    </row>
    <row r="288" spans="1:5" ht="15.5">
      <c r="A288" s="54"/>
      <c r="E288" s="59"/>
    </row>
    <row r="289" spans="1:5" ht="15.5">
      <c r="A289" s="54"/>
      <c r="E289" s="59"/>
    </row>
    <row r="290" spans="1:5" ht="15.5">
      <c r="A290" s="54"/>
      <c r="E290" s="59"/>
    </row>
    <row r="291" spans="1:5" ht="15.5">
      <c r="A291" s="54"/>
      <c r="E291" s="59"/>
    </row>
    <row r="292" spans="1:5" ht="15.5">
      <c r="A292" s="54"/>
      <c r="E292" s="59"/>
    </row>
    <row r="293" spans="1:5" ht="15.5">
      <c r="A293" s="54"/>
      <c r="E293" s="59"/>
    </row>
    <row r="294" spans="1:5" ht="15.5">
      <c r="A294" s="54"/>
      <c r="E294" s="59"/>
    </row>
    <row r="295" spans="1:5" ht="15.5">
      <c r="A295" s="54"/>
      <c r="E295" s="59"/>
    </row>
    <row r="296" spans="1:5" ht="15.5">
      <c r="A296" s="54"/>
      <c r="E296" s="59"/>
    </row>
    <row r="297" spans="1:5" ht="15.5">
      <c r="A297" s="54"/>
      <c r="E297" s="59"/>
    </row>
    <row r="298" spans="1:5" ht="15.5">
      <c r="A298" s="54"/>
      <c r="E298" s="59"/>
    </row>
    <row r="299" spans="1:5" ht="15.5">
      <c r="A299" s="54"/>
      <c r="E299" s="59"/>
    </row>
    <row r="300" spans="1:5" ht="15.5">
      <c r="A300" s="54"/>
      <c r="E300" s="59"/>
    </row>
    <row r="301" spans="1:5" ht="15.5">
      <c r="A301" s="54"/>
      <c r="E301" s="59"/>
    </row>
    <row r="302" spans="1:5" ht="15.5">
      <c r="A302" s="54"/>
      <c r="E302" s="59"/>
    </row>
    <row r="303" spans="1:5" ht="15.5">
      <c r="A303" s="54"/>
      <c r="E303" s="59"/>
    </row>
    <row r="304" spans="1:5" ht="15.5">
      <c r="A304" s="54"/>
      <c r="E304" s="59"/>
    </row>
    <row r="305" spans="1:5" ht="15.5">
      <c r="A305" s="54"/>
      <c r="E305" s="59"/>
    </row>
    <row r="306" spans="1:5" ht="15.5">
      <c r="A306" s="54"/>
      <c r="E306" s="59"/>
    </row>
    <row r="307" spans="1:5" ht="15.5">
      <c r="A307" s="54"/>
      <c r="E307" s="59"/>
    </row>
    <row r="308" spans="1:5" ht="15.5">
      <c r="A308" s="54"/>
      <c r="E308" s="59"/>
    </row>
    <row r="309" spans="1:5" ht="15.5">
      <c r="A309" s="54"/>
      <c r="E309" s="59"/>
    </row>
    <row r="310" spans="1:5" ht="15.5">
      <c r="A310" s="54"/>
      <c r="E310" s="59"/>
    </row>
    <row r="311" spans="1:5" ht="15.5">
      <c r="A311" s="54"/>
      <c r="E311" s="59"/>
    </row>
    <row r="312" spans="1:5" ht="15.5">
      <c r="A312" s="54"/>
      <c r="E312" s="59"/>
    </row>
    <row r="313" spans="1:5" ht="15.5">
      <c r="A313" s="54"/>
      <c r="E313" s="59"/>
    </row>
    <row r="314" spans="1:5" ht="15.5">
      <c r="A314" s="54"/>
      <c r="E314" s="59"/>
    </row>
    <row r="315" spans="1:5" ht="15.5">
      <c r="A315" s="54"/>
      <c r="E315" s="59"/>
    </row>
    <row r="316" spans="1:5" ht="15.5">
      <c r="A316" s="54"/>
      <c r="E316" s="59"/>
    </row>
    <row r="317" spans="1:5" ht="15.5">
      <c r="A317" s="54"/>
      <c r="E317" s="59"/>
    </row>
    <row r="318" spans="1:5" ht="15.5">
      <c r="E318" s="59"/>
    </row>
    <row r="319" spans="1:5" ht="15.5">
      <c r="E319" s="59"/>
    </row>
    <row r="320" spans="1:5" ht="15.5">
      <c r="E320" s="59"/>
    </row>
    <row r="321" spans="5:5" ht="15.5">
      <c r="E321" s="59"/>
    </row>
    <row r="322" spans="5:5" ht="15.5">
      <c r="E322" s="59"/>
    </row>
    <row r="323" spans="5:5" ht="15.5">
      <c r="E323" s="59"/>
    </row>
    <row r="324" spans="5:5" ht="15.5">
      <c r="E324" s="59"/>
    </row>
    <row r="325" spans="5:5" ht="15.5">
      <c r="E325" s="59"/>
    </row>
    <row r="326" spans="5:5" ht="15.5">
      <c r="E326" s="59"/>
    </row>
    <row r="327" spans="5:5" ht="15.5">
      <c r="E327" s="59"/>
    </row>
    <row r="328" spans="5:5" ht="15.5">
      <c r="E328" s="59"/>
    </row>
    <row r="329" spans="5:5" ht="15.5">
      <c r="E329" s="59"/>
    </row>
    <row r="330" spans="5:5" ht="15.5">
      <c r="E330" s="59"/>
    </row>
    <row r="331" spans="5:5" ht="15.5">
      <c r="E331" s="59"/>
    </row>
    <row r="332" spans="5:5" ht="15.5">
      <c r="E332" s="59"/>
    </row>
  </sheetData>
  <customSheetViews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8B6AA640-12E9-11D5-ABB1-E7A21A3D4A14}" showGridLines="0" showRuler="0" topLeftCell="A142">
      <selection activeCell="A161" sqref="A161"/>
      <pageMargins left="0" right="0" top="0" bottom="0" header="0.5" footer="0.5"/>
      <printOptions horizontalCentered="1"/>
      <pageSetup scale="50" orientation="portrait" r:id="rId2"/>
      <headerFooter alignWithMargins="0">
        <oddFooter>&amp;RLVT
&amp;D
&amp;T
&amp;F</oddFooter>
      </headerFooter>
    </customSheetView>
  </customSheetViews>
  <mergeCells count="4">
    <mergeCell ref="C1:E1"/>
    <mergeCell ref="L10:L12"/>
    <mergeCell ref="M10:M12"/>
    <mergeCell ref="D2:H8"/>
  </mergeCells>
  <phoneticPr fontId="0" type="noConversion"/>
  <printOptions horizontalCentered="1" headings="1"/>
  <pageMargins left="0" right="0" top="0" bottom="1" header="0.5" footer="0.5"/>
  <pageSetup scale="45" fitToHeight="4" orientation="landscape" r:id="rId3"/>
  <headerFooter alignWithMargins="0">
    <oddFooter>&amp;RDJ
&amp;D
&amp;T
&amp;F</oddFooter>
  </headerFooter>
  <ignoredErrors>
    <ignoredError sqref="G223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E28CAB"/>
  </sheetPr>
  <dimension ref="A1:T245"/>
  <sheetViews>
    <sheetView showGridLines="0" zoomScale="125" zoomScaleNormal="125" workbookViewId="0">
      <pane xSplit="2" ySplit="10" topLeftCell="C231" activePane="bottomRight" state="frozen"/>
      <selection activeCell="C1" sqref="C1"/>
      <selection pane="topRight" activeCell="C1" sqref="C1"/>
      <selection pane="bottomLeft" activeCell="C1" sqref="C1"/>
      <selection pane="bottomRight" activeCell="C1" sqref="C1"/>
    </sheetView>
  </sheetViews>
  <sheetFormatPr defaultColWidth="8.6640625" defaultRowHeight="15.5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2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5" width="12.1640625" style="140" customWidth="1"/>
    <col min="16" max="16" width="16.1640625" customWidth="1"/>
    <col min="17" max="17" width="12.6640625" customWidth="1"/>
    <col min="18" max="16384" width="8.6640625" style="140"/>
  </cols>
  <sheetData>
    <row r="1" spans="1:17" ht="36.75" customHeight="1">
      <c r="A1" s="138" t="str">
        <f>'ALPINE VALLEY'!A1</f>
        <v>schedules revised 7/2016</v>
      </c>
      <c r="B1" s="139" t="s">
        <v>304</v>
      </c>
      <c r="C1" s="556" t="s">
        <v>485</v>
      </c>
      <c r="D1" s="472"/>
      <c r="E1" s="472"/>
      <c r="F1" s="472"/>
      <c r="G1" s="472"/>
      <c r="H1" s="472"/>
      <c r="I1" s="473"/>
    </row>
    <row r="2" spans="1:17" ht="23">
      <c r="B2" s="143" t="s">
        <v>189</v>
      </c>
      <c r="C2" s="479" t="s">
        <v>581</v>
      </c>
      <c r="D2"/>
      <c r="F2"/>
    </row>
    <row r="3" spans="1:17">
      <c r="A3" s="145"/>
      <c r="B3" s="140" t="s">
        <v>79</v>
      </c>
      <c r="C3" s="489">
        <v>42186</v>
      </c>
      <c r="D3" s="144"/>
      <c r="E3" s="147"/>
      <c r="F3" s="459" t="s">
        <v>482</v>
      </c>
    </row>
    <row r="4" spans="1:17">
      <c r="A4" s="145"/>
      <c r="B4" s="148" t="s">
        <v>80</v>
      </c>
      <c r="C4" s="489">
        <v>42551</v>
      </c>
      <c r="D4" s="144"/>
      <c r="E4" s="149"/>
      <c r="F4" s="459" t="s">
        <v>478</v>
      </c>
      <c r="G4" s="150"/>
    </row>
    <row r="5" spans="1:17">
      <c r="A5" s="145"/>
      <c r="B5" s="148"/>
      <c r="C5" s="151"/>
      <c r="D5" s="144"/>
      <c r="F5" s="596" t="s">
        <v>481</v>
      </c>
    </row>
    <row r="6" spans="1:17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3"/>
      <c r="J6" s="155">
        <v>7</v>
      </c>
      <c r="K6" s="155">
        <v>8</v>
      </c>
      <c r="M6" s="147">
        <v>9</v>
      </c>
      <c r="N6" s="147">
        <v>10</v>
      </c>
      <c r="O6" s="147">
        <v>11</v>
      </c>
    </row>
    <row r="7" spans="1:17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4"/>
      <c r="J7" s="158" t="s">
        <v>291</v>
      </c>
      <c r="K7" s="159" t="s">
        <v>292</v>
      </c>
      <c r="M7" s="159" t="s">
        <v>351</v>
      </c>
      <c r="N7" s="159" t="s">
        <v>353</v>
      </c>
      <c r="O7" s="159" t="s">
        <v>354</v>
      </c>
    </row>
    <row r="8" spans="1:17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4"/>
      <c r="J8" s="162"/>
      <c r="K8" s="162"/>
      <c r="M8" s="162" t="s">
        <v>352</v>
      </c>
      <c r="N8" s="162" t="s">
        <v>351</v>
      </c>
      <c r="O8" s="162" t="s">
        <v>467</v>
      </c>
    </row>
    <row r="9" spans="1:17">
      <c r="A9" s="145"/>
      <c r="C9" s="597" t="s">
        <v>476</v>
      </c>
      <c r="D9" s="144"/>
      <c r="F9" s="685" t="s">
        <v>479</v>
      </c>
      <c r="G9" s="144"/>
    </row>
    <row r="10" spans="1:17" s="167" customFormat="1" ht="16" thickBot="1">
      <c r="A10" s="163" t="s">
        <v>245</v>
      </c>
      <c r="B10" s="164" t="s">
        <v>246</v>
      </c>
      <c r="C10" s="598" t="s">
        <v>477</v>
      </c>
      <c r="D10" s="165"/>
      <c r="E10" s="165"/>
      <c r="F10" s="686" t="s">
        <v>480</v>
      </c>
      <c r="G10" s="165"/>
      <c r="H10" s="166"/>
      <c r="I10" s="335"/>
      <c r="J10" s="168"/>
      <c r="K10" s="168"/>
      <c r="P10"/>
      <c r="Q10"/>
    </row>
    <row r="11" spans="1:17" s="167" customFormat="1">
      <c r="A11" s="169" t="s">
        <v>13</v>
      </c>
      <c r="B11" s="170" t="s">
        <v>213</v>
      </c>
      <c r="C11" s="558">
        <f>'[9]Sch B'!E10</f>
        <v>2584138</v>
      </c>
      <c r="D11" s="558">
        <f>'[9]Sch B'!G10</f>
        <v>0</v>
      </c>
      <c r="E11" s="171">
        <f>C11+D11</f>
        <v>2584138</v>
      </c>
      <c r="F11" s="563">
        <f>628719.57-63667</f>
        <v>565052.56999999995</v>
      </c>
      <c r="G11" s="171">
        <f t="shared" ref="G11:G20" si="0">E11+F11</f>
        <v>3149190.57</v>
      </c>
      <c r="H11" s="172">
        <f t="shared" ref="H11:H21" si="1">IF($G$21=0,0,G11/$G$21)</f>
        <v>0.56297432856547303</v>
      </c>
      <c r="I11" s="336"/>
      <c r="J11" s="368" t="s">
        <v>344</v>
      </c>
      <c r="K11" s="369">
        <f>G21</f>
        <v>5593844</v>
      </c>
      <c r="M11" s="359">
        <f>IFERROR(G11/G219,0)</f>
        <v>193.9395596748368</v>
      </c>
      <c r="N11" s="359">
        <f>SUMMARY!J14</f>
        <v>222.18858354654498</v>
      </c>
      <c r="P11"/>
      <c r="Q11"/>
    </row>
    <row r="12" spans="1:17" s="167" customFormat="1">
      <c r="A12" s="169" t="s">
        <v>15</v>
      </c>
      <c r="B12" s="170" t="s">
        <v>212</v>
      </c>
      <c r="C12" s="558">
        <f>'[9]Sch B'!E15</f>
        <v>0</v>
      </c>
      <c r="D12" s="558">
        <f>'[9]Sch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6"/>
      <c r="J12" s="370" t="s">
        <v>345</v>
      </c>
      <c r="K12" s="371">
        <f>G208</f>
        <v>5195589</v>
      </c>
      <c r="M12" s="359">
        <f t="shared" ref="M12:M19" si="3">IFERROR(G12/G220,0)</f>
        <v>0</v>
      </c>
      <c r="N12" s="359">
        <f>SUMMARY!J15</f>
        <v>207.2175599435825</v>
      </c>
      <c r="P12"/>
      <c r="Q12"/>
    </row>
    <row r="13" spans="1:17" s="167" customFormat="1">
      <c r="A13" s="169" t="s">
        <v>16</v>
      </c>
      <c r="B13" s="170" t="s">
        <v>170</v>
      </c>
      <c r="C13" s="558">
        <f>'[9]Sch B'!E21</f>
        <v>873189</v>
      </c>
      <c r="D13" s="558">
        <f>'[9]Sch B'!G21</f>
        <v>0</v>
      </c>
      <c r="E13" s="171">
        <f t="shared" si="2"/>
        <v>873189</v>
      </c>
      <c r="F13" s="171">
        <v>161860</v>
      </c>
      <c r="G13" s="171">
        <f t="shared" si="0"/>
        <v>1035049</v>
      </c>
      <c r="H13" s="172">
        <f t="shared" si="1"/>
        <v>0.18503358334626421</v>
      </c>
      <c r="I13" s="336"/>
      <c r="J13" s="370" t="s">
        <v>346</v>
      </c>
      <c r="K13" s="371">
        <f>G228</f>
        <v>23330</v>
      </c>
      <c r="M13" s="359">
        <f t="shared" si="3"/>
        <v>476.98110599078342</v>
      </c>
      <c r="N13" s="359">
        <f>SUMMARY!J16</f>
        <v>537.49113199368492</v>
      </c>
      <c r="P13"/>
      <c r="Q13"/>
    </row>
    <row r="14" spans="1:17" s="167" customFormat="1">
      <c r="A14" s="173" t="s">
        <v>18</v>
      </c>
      <c r="B14" s="174" t="s">
        <v>306</v>
      </c>
      <c r="C14" s="558">
        <f>'[9]Sch B'!E27</f>
        <v>717399</v>
      </c>
      <c r="D14" s="558">
        <f>'[9]Sch B'!G27</f>
        <v>0</v>
      </c>
      <c r="E14" s="171">
        <f t="shared" si="2"/>
        <v>717399</v>
      </c>
      <c r="F14" s="175">
        <v>87481</v>
      </c>
      <c r="G14" s="175">
        <f>E14+F14</f>
        <v>804880</v>
      </c>
      <c r="H14" s="176">
        <f t="shared" si="1"/>
        <v>0.14388674407080354</v>
      </c>
      <c r="I14" s="337"/>
      <c r="J14" s="370" t="s">
        <v>347</v>
      </c>
      <c r="K14" s="371">
        <f>G231</f>
        <v>108</v>
      </c>
      <c r="M14" s="359">
        <f t="shared" si="3"/>
        <v>370.7415937356057</v>
      </c>
      <c r="N14" s="359">
        <f>SUMMARY!J17</f>
        <v>403.86361337438132</v>
      </c>
      <c r="P14"/>
      <c r="Q14"/>
    </row>
    <row r="15" spans="1:17" s="167" customFormat="1">
      <c r="A15" s="169" t="s">
        <v>19</v>
      </c>
      <c r="B15" s="170" t="s">
        <v>171</v>
      </c>
      <c r="C15" s="558">
        <f>'[9]Sch B'!E32</f>
        <v>0</v>
      </c>
      <c r="D15" s="558">
        <f>'[9]Sch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6"/>
      <c r="J15" s="370" t="s">
        <v>348</v>
      </c>
      <c r="K15" s="371">
        <f>G235</f>
        <v>39528</v>
      </c>
      <c r="M15" s="359">
        <f t="shared" si="3"/>
        <v>0</v>
      </c>
      <c r="N15" s="359">
        <f>SUMMARY!J18</f>
        <v>332.02055718372145</v>
      </c>
      <c r="P15"/>
      <c r="Q15"/>
    </row>
    <row r="16" spans="1:17" s="167" customFormat="1">
      <c r="A16" s="169" t="s">
        <v>21</v>
      </c>
      <c r="B16" s="170" t="s">
        <v>172</v>
      </c>
      <c r="C16" s="558">
        <f>'[9]Sch B'!E37</f>
        <v>44394</v>
      </c>
      <c r="D16" s="558">
        <f>'[9]Sch B'!G37</f>
        <v>0</v>
      </c>
      <c r="E16" s="171">
        <f t="shared" si="2"/>
        <v>44394</v>
      </c>
      <c r="F16" s="171">
        <v>6490</v>
      </c>
      <c r="G16" s="171">
        <f t="shared" si="0"/>
        <v>50884</v>
      </c>
      <c r="H16" s="172">
        <f t="shared" si="1"/>
        <v>9.0964281449393298E-3</v>
      </c>
      <c r="I16" s="336"/>
      <c r="J16" s="372"/>
      <c r="K16" s="371"/>
      <c r="M16" s="359">
        <f t="shared" si="3"/>
        <v>250.66009852216749</v>
      </c>
      <c r="N16" s="359">
        <f>SUMMARY!J19</f>
        <v>209.32685676266178</v>
      </c>
      <c r="P16"/>
      <c r="Q16"/>
    </row>
    <row r="17" spans="1:17" s="167" customFormat="1">
      <c r="A17" s="169" t="s">
        <v>215</v>
      </c>
      <c r="B17" s="170" t="s">
        <v>228</v>
      </c>
      <c r="C17" s="558">
        <f>'[9]Sch B'!E42</f>
        <v>0</v>
      </c>
      <c r="D17" s="558">
        <f>'[9]Sch B'!G42</f>
        <v>0</v>
      </c>
      <c r="E17" s="171">
        <f t="shared" si="2"/>
        <v>0</v>
      </c>
      <c r="F17" s="171">
        <v>0</v>
      </c>
      <c r="G17" s="171">
        <f>E17+F17</f>
        <v>0</v>
      </c>
      <c r="H17" s="172">
        <f t="shared" si="1"/>
        <v>0</v>
      </c>
      <c r="I17" s="336"/>
      <c r="J17" s="370" t="s">
        <v>156</v>
      </c>
      <c r="K17" s="371">
        <f>J208</f>
        <v>131616.33333333331</v>
      </c>
      <c r="M17" s="359">
        <f t="shared" si="3"/>
        <v>0</v>
      </c>
      <c r="N17" s="359">
        <f>SUMMARY!J20</f>
        <v>177.55325692366318</v>
      </c>
      <c r="P17"/>
      <c r="Q17"/>
    </row>
    <row r="18" spans="1:17" s="167" customFormat="1" ht="16" thickBot="1">
      <c r="A18" s="169" t="s">
        <v>216</v>
      </c>
      <c r="B18" s="170" t="s">
        <v>229</v>
      </c>
      <c r="C18" s="558">
        <f>'[9]Sch B'!E47</f>
        <v>390819</v>
      </c>
      <c r="D18" s="558">
        <f>'[9]Sch B'!G47</f>
        <v>0</v>
      </c>
      <c r="E18" s="171">
        <f t="shared" si="2"/>
        <v>390819</v>
      </c>
      <c r="F18" s="171">
        <v>97007</v>
      </c>
      <c r="G18" s="171">
        <f>E18+F18</f>
        <v>487826</v>
      </c>
      <c r="H18" s="172">
        <f t="shared" si="1"/>
        <v>8.7207651840129977E-2</v>
      </c>
      <c r="I18" s="336"/>
      <c r="J18" s="373" t="s">
        <v>252</v>
      </c>
      <c r="K18" s="374">
        <f>K208</f>
        <v>139082</v>
      </c>
      <c r="M18" s="359">
        <f t="shared" si="3"/>
        <v>191.45447409733123</v>
      </c>
      <c r="N18" s="359">
        <f>SUMMARY!J21</f>
        <v>189.23177326776752</v>
      </c>
      <c r="P18"/>
      <c r="Q18"/>
    </row>
    <row r="19" spans="1:17" s="167" customFormat="1">
      <c r="A19" s="169" t="s">
        <v>227</v>
      </c>
      <c r="B19" s="177" t="s">
        <v>173</v>
      </c>
      <c r="C19" s="558">
        <f>'[9]Sch B'!E52</f>
        <v>0</v>
      </c>
      <c r="D19" s="558">
        <f>'[9]Sch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6"/>
      <c r="J19" s="168"/>
      <c r="K19" s="168"/>
      <c r="M19" s="359">
        <f t="shared" si="3"/>
        <v>0</v>
      </c>
      <c r="N19" s="359">
        <f>SUMMARY!J22</f>
        <v>340.93117536472568</v>
      </c>
      <c r="P19"/>
      <c r="Q19"/>
    </row>
    <row r="20" spans="1:17" s="167" customFormat="1">
      <c r="A20" s="169" t="s">
        <v>183</v>
      </c>
      <c r="B20" s="23" t="s">
        <v>180</v>
      </c>
      <c r="C20" s="558">
        <f>'[9]Sch B'!E67</f>
        <v>2135</v>
      </c>
      <c r="D20" s="558">
        <f>'[9]Sch B'!G67</f>
        <v>0</v>
      </c>
      <c r="E20" s="171">
        <f t="shared" si="2"/>
        <v>2135</v>
      </c>
      <c r="F20" s="563">
        <f>212.430000000051+63667</f>
        <v>63879.430000000051</v>
      </c>
      <c r="G20" s="171">
        <f t="shared" si="0"/>
        <v>66014.430000000051</v>
      </c>
      <c r="H20" s="172">
        <f t="shared" si="1"/>
        <v>1.18012640323899E-2</v>
      </c>
      <c r="I20" s="336"/>
      <c r="J20" s="168"/>
      <c r="K20" s="168"/>
      <c r="M20" s="362" t="s">
        <v>200</v>
      </c>
      <c r="N20" s="362" t="s">
        <v>200</v>
      </c>
      <c r="P20"/>
      <c r="Q20"/>
    </row>
    <row r="21" spans="1:17" s="167" customFormat="1">
      <c r="A21" s="169"/>
      <c r="B21" s="178" t="s">
        <v>77</v>
      </c>
      <c r="C21" s="558">
        <f>SUM(C11:C20)</f>
        <v>4612074</v>
      </c>
      <c r="D21" s="558">
        <f>SUM(D11:D20)</f>
        <v>0</v>
      </c>
      <c r="E21" s="171">
        <f>SUM(E11:E20)</f>
        <v>4612074</v>
      </c>
      <c r="F21" s="171">
        <f>SUM(F11:F20)</f>
        <v>981770</v>
      </c>
      <c r="G21" s="171">
        <f>SUM(G11:G20)</f>
        <v>5593844</v>
      </c>
      <c r="H21" s="172">
        <f t="shared" si="1"/>
        <v>1</v>
      </c>
      <c r="I21" s="336"/>
      <c r="J21" s="168"/>
      <c r="K21" s="168"/>
      <c r="M21" s="359">
        <f>IFERROR(G21/G228,0)</f>
        <v>239.7704243463352</v>
      </c>
      <c r="N21" s="359">
        <f>SUMMARY!J24</f>
        <v>278.37842406091033</v>
      </c>
      <c r="P21"/>
      <c r="Q21"/>
    </row>
    <row r="22" spans="1:17">
      <c r="A22" s="145"/>
      <c r="B22" s="179"/>
      <c r="C22" s="151"/>
      <c r="D22" s="144"/>
      <c r="F22" s="144"/>
      <c r="G22" s="144"/>
      <c r="M22" s="363"/>
      <c r="N22" s="363"/>
    </row>
    <row r="23" spans="1:17" ht="26.5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7">
      <c r="A24" s="181" t="s">
        <v>161</v>
      </c>
      <c r="B24" s="148" t="s">
        <v>12</v>
      </c>
      <c r="M24" s="363"/>
      <c r="N24" s="363"/>
    </row>
    <row r="25" spans="1:17" s="167" customFormat="1">
      <c r="A25" s="169" t="s">
        <v>83</v>
      </c>
      <c r="B25" s="170" t="s">
        <v>14</v>
      </c>
      <c r="C25" s="558">
        <f>'[9]Sch C'!D10</f>
        <v>120135</v>
      </c>
      <c r="D25" s="558">
        <f>'[9]Sch C'!F10</f>
        <v>7265</v>
      </c>
      <c r="E25" s="171">
        <f t="shared" ref="E25:E60" si="4">C25+D25</f>
        <v>127400</v>
      </c>
      <c r="F25" s="563">
        <f>34123+1658</f>
        <v>35781</v>
      </c>
      <c r="G25" s="182">
        <f>E25+F25</f>
        <v>163181</v>
      </c>
      <c r="H25" s="172">
        <f>IF($G$208=0,0,G25/$G$208)</f>
        <v>3.1407603642243452E-2</v>
      </c>
      <c r="I25" s="336"/>
      <c r="J25" s="183">
        <f>2843+775</f>
        <v>3618</v>
      </c>
      <c r="K25" s="183">
        <f>3015+807</f>
        <v>3822</v>
      </c>
      <c r="M25" s="359">
        <f>G25/G$228</f>
        <v>6.9944706386626665</v>
      </c>
      <c r="N25" s="359">
        <f>SUMMARY!J28</f>
        <v>5.2871017912533844</v>
      </c>
      <c r="P25"/>
      <c r="Q25"/>
    </row>
    <row r="26" spans="1:17" s="167" customFormat="1">
      <c r="A26" s="169" t="s">
        <v>84</v>
      </c>
      <c r="B26" s="170" t="s">
        <v>176</v>
      </c>
      <c r="C26" s="558">
        <f>'[9]Sch C'!D11</f>
        <v>0</v>
      </c>
      <c r="D26" s="558">
        <f>'[9]Sch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6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5.5405379333703472E-2</v>
      </c>
      <c r="P26"/>
      <c r="Q26"/>
    </row>
    <row r="27" spans="1:17" s="167" customFormat="1">
      <c r="A27" s="169" t="s">
        <v>85</v>
      </c>
      <c r="B27" s="170" t="s">
        <v>17</v>
      </c>
      <c r="C27" s="558">
        <f>'[9]Sch C'!D12</f>
        <v>155274</v>
      </c>
      <c r="D27" s="558">
        <f>'[9]Sch C'!F12</f>
        <v>9387</v>
      </c>
      <c r="E27" s="171">
        <f t="shared" si="4"/>
        <v>164661</v>
      </c>
      <c r="F27" s="171">
        <v>33126</v>
      </c>
      <c r="G27" s="171">
        <f t="shared" si="5"/>
        <v>197787</v>
      </c>
      <c r="H27" s="172">
        <f t="shared" si="6"/>
        <v>3.806825366671613E-2</v>
      </c>
      <c r="I27" s="336"/>
      <c r="J27" s="185">
        <f>7842+1606</f>
        <v>9448</v>
      </c>
      <c r="K27" s="185">
        <f>8316+1673</f>
        <v>9989</v>
      </c>
      <c r="M27" s="359">
        <f t="shared" si="7"/>
        <v>8.4777968281183025</v>
      </c>
      <c r="N27" s="359">
        <f>SUMMARY!J30</f>
        <v>6.7296464607712929</v>
      </c>
      <c r="P27"/>
      <c r="Q27"/>
    </row>
    <row r="28" spans="1:17" s="167" customFormat="1">
      <c r="A28" s="169" t="s">
        <v>86</v>
      </c>
      <c r="B28" s="170" t="s">
        <v>45</v>
      </c>
      <c r="C28" s="558">
        <f>'[9]Sch C'!D13</f>
        <v>444617</v>
      </c>
      <c r="D28" s="558">
        <f>'[9]Sch C'!F13</f>
        <v>-406666</v>
      </c>
      <c r="E28" s="171">
        <f t="shared" si="4"/>
        <v>37951</v>
      </c>
      <c r="F28" s="171">
        <v>9481</v>
      </c>
      <c r="G28" s="171">
        <f t="shared" si="5"/>
        <v>47432</v>
      </c>
      <c r="H28" s="172">
        <f t="shared" si="6"/>
        <v>9.129282551025495E-3</v>
      </c>
      <c r="I28" s="336"/>
      <c r="J28" s="168"/>
      <c r="K28" s="168"/>
      <c r="M28" s="359">
        <f t="shared" si="7"/>
        <v>2.0330904414916415</v>
      </c>
      <c r="N28" s="359">
        <f>SUMMARY!J31</f>
        <v>2.2098304126852</v>
      </c>
      <c r="P28"/>
      <c r="Q28"/>
    </row>
    <row r="29" spans="1:17" s="167" customFormat="1">
      <c r="A29" s="169" t="s">
        <v>175</v>
      </c>
      <c r="B29" s="170" t="s">
        <v>20</v>
      </c>
      <c r="C29" s="558">
        <f>'[9]Sch C'!D14</f>
        <v>0</v>
      </c>
      <c r="D29" s="558">
        <f>'[9]Sch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6"/>
      <c r="J29" s="168"/>
      <c r="K29" s="168"/>
      <c r="M29" s="359">
        <f t="shared" si="7"/>
        <v>0</v>
      </c>
      <c r="N29" s="359">
        <f>SUMMARY!J32</f>
        <v>7.2347686654990794E-3</v>
      </c>
      <c r="P29"/>
      <c r="Q29"/>
    </row>
    <row r="30" spans="1:17" s="167" customFormat="1">
      <c r="A30" s="169" t="s">
        <v>88</v>
      </c>
      <c r="B30" s="170" t="s">
        <v>22</v>
      </c>
      <c r="C30" s="558">
        <f>'[9]Sch C'!D15</f>
        <v>0</v>
      </c>
      <c r="D30" s="558">
        <f>'[9]Sch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6"/>
      <c r="J30" s="168"/>
      <c r="K30" s="168"/>
      <c r="M30" s="359">
        <f t="shared" si="7"/>
        <v>0</v>
      </c>
      <c r="N30" s="359">
        <f>SUMMARY!J33</f>
        <v>2.3289615556872723</v>
      </c>
      <c r="P30"/>
      <c r="Q30"/>
    </row>
    <row r="31" spans="1:17" s="167" customFormat="1">
      <c r="A31" s="169" t="s">
        <v>89</v>
      </c>
      <c r="B31" s="170" t="s">
        <v>148</v>
      </c>
      <c r="C31" s="558">
        <f>'[9]Sch C'!D16</f>
        <v>230213</v>
      </c>
      <c r="D31" s="558">
        <f>'[9]Sch C'!F16</f>
        <v>107083</v>
      </c>
      <c r="E31" s="171">
        <f t="shared" si="4"/>
        <v>337296</v>
      </c>
      <c r="F31" s="171">
        <v>37766</v>
      </c>
      <c r="G31" s="171">
        <f t="shared" si="5"/>
        <v>375062</v>
      </c>
      <c r="H31" s="172">
        <f t="shared" si="6"/>
        <v>7.2188543012158962E-2</v>
      </c>
      <c r="I31" s="336"/>
      <c r="J31" s="168"/>
      <c r="K31" s="168"/>
      <c r="M31" s="359">
        <f t="shared" si="7"/>
        <v>16.076382340334334</v>
      </c>
      <c r="N31" s="359">
        <f>SUMMARY!J34</f>
        <v>9.228688439287323</v>
      </c>
      <c r="P31"/>
      <c r="Q31"/>
    </row>
    <row r="32" spans="1:17" s="167" customFormat="1">
      <c r="A32" s="169" t="s">
        <v>90</v>
      </c>
      <c r="B32" s="170" t="s">
        <v>23</v>
      </c>
      <c r="C32" s="558">
        <f>'[9]Sch C'!D17</f>
        <v>0</v>
      </c>
      <c r="D32" s="558">
        <f>'[9]Sch C'!F17</f>
        <v>0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6"/>
      <c r="J32" s="168"/>
      <c r="K32" s="168"/>
      <c r="M32" s="359">
        <f t="shared" si="7"/>
        <v>0</v>
      </c>
      <c r="N32" s="359">
        <f>SUMMARY!J35</f>
        <v>7.8323818996803851E-3</v>
      </c>
      <c r="P32"/>
      <c r="Q32"/>
    </row>
    <row r="33" spans="1:17" s="167" customFormat="1">
      <c r="A33" s="169" t="s">
        <v>91</v>
      </c>
      <c r="B33" s="170" t="s">
        <v>24</v>
      </c>
      <c r="C33" s="558">
        <f>'[9]Sch C'!D18</f>
        <v>11045</v>
      </c>
      <c r="D33" s="558">
        <f>'[9]Sch C'!F18</f>
        <v>0</v>
      </c>
      <c r="E33" s="171">
        <f t="shared" si="4"/>
        <v>11045</v>
      </c>
      <c r="F33" s="171">
        <v>1676</v>
      </c>
      <c r="G33" s="171">
        <f t="shared" si="5"/>
        <v>12721</v>
      </c>
      <c r="H33" s="172">
        <f t="shared" si="6"/>
        <v>2.4484230758052648E-3</v>
      </c>
      <c r="I33" s="336"/>
      <c r="J33" s="168"/>
      <c r="K33" s="168"/>
      <c r="M33" s="359">
        <f t="shared" si="7"/>
        <v>0.54526360908701244</v>
      </c>
      <c r="N33" s="359">
        <f>SUMMARY!J36</f>
        <v>0.84523554145971291</v>
      </c>
      <c r="P33"/>
      <c r="Q33"/>
    </row>
    <row r="34" spans="1:17" s="167" customFormat="1">
      <c r="A34" s="169" t="s">
        <v>92</v>
      </c>
      <c r="B34" s="170" t="s">
        <v>25</v>
      </c>
      <c r="C34" s="558">
        <f>'[9]Sch C'!D19</f>
        <v>14405</v>
      </c>
      <c r="D34" s="558">
        <f>'[9]Sch C'!F19</f>
        <v>-2073</v>
      </c>
      <c r="E34" s="171">
        <f t="shared" si="4"/>
        <v>12332</v>
      </c>
      <c r="F34" s="171">
        <v>1867</v>
      </c>
      <c r="G34" s="171">
        <f t="shared" si="5"/>
        <v>14199</v>
      </c>
      <c r="H34" s="172">
        <f t="shared" si="6"/>
        <v>2.7328951539469346E-3</v>
      </c>
      <c r="I34" s="336"/>
      <c r="J34" s="168"/>
      <c r="K34" s="168"/>
      <c r="M34" s="359">
        <f t="shared" si="7"/>
        <v>0.60861551650235746</v>
      </c>
      <c r="N34" s="359">
        <f>SUMMARY!J37</f>
        <v>0.66565591578793926</v>
      </c>
      <c r="P34"/>
      <c r="Q34"/>
    </row>
    <row r="35" spans="1:17" s="167" customFormat="1">
      <c r="A35" s="169" t="s">
        <v>93</v>
      </c>
      <c r="B35" s="170" t="s">
        <v>26</v>
      </c>
      <c r="C35" s="558">
        <f>'[9]Sch C'!D20</f>
        <v>19841</v>
      </c>
      <c r="D35" s="558">
        <f>'[9]Sch C'!F20</f>
        <v>0</v>
      </c>
      <c r="E35" s="171">
        <f t="shared" si="4"/>
        <v>19841</v>
      </c>
      <c r="F35" s="563">
        <f>8010-1658</f>
        <v>6352</v>
      </c>
      <c r="G35" s="171">
        <f t="shared" si="5"/>
        <v>26193</v>
      </c>
      <c r="H35" s="172">
        <f t="shared" si="6"/>
        <v>5.04139184219537E-3</v>
      </c>
      <c r="I35" s="336"/>
      <c r="J35" s="168"/>
      <c r="K35" s="168"/>
      <c r="M35" s="359">
        <f t="shared" si="7"/>
        <v>1.1227175310758679</v>
      </c>
      <c r="N35" s="359">
        <f>SUMMARY!J38</f>
        <v>0.8424592434119561</v>
      </c>
      <c r="P35"/>
      <c r="Q35"/>
    </row>
    <row r="36" spans="1:17" s="167" customFormat="1">
      <c r="A36" s="169" t="s">
        <v>94</v>
      </c>
      <c r="B36" s="170" t="s">
        <v>27</v>
      </c>
      <c r="C36" s="558">
        <f>'[9]Sch C'!D21</f>
        <v>2084</v>
      </c>
      <c r="D36" s="558">
        <f>'[9]Sch C'!F21</f>
        <v>0</v>
      </c>
      <c r="E36" s="171">
        <f t="shared" si="4"/>
        <v>2084</v>
      </c>
      <c r="F36" s="171">
        <v>1897</v>
      </c>
      <c r="G36" s="171">
        <f t="shared" si="5"/>
        <v>3981</v>
      </c>
      <c r="H36" s="172">
        <f t="shared" si="6"/>
        <v>7.6622688977130411E-4</v>
      </c>
      <c r="I36" s="336"/>
      <c r="J36" s="168"/>
      <c r="K36" s="168"/>
      <c r="M36" s="359">
        <f t="shared" si="7"/>
        <v>0.17063866266609515</v>
      </c>
      <c r="N36" s="359">
        <f>SUMMARY!J39</f>
        <v>1.3169235823352747</v>
      </c>
      <c r="P36"/>
      <c r="Q36"/>
    </row>
    <row r="37" spans="1:17" s="167" customFormat="1">
      <c r="A37" s="163">
        <v>130</v>
      </c>
      <c r="B37" s="170" t="s">
        <v>28</v>
      </c>
      <c r="C37" s="558">
        <f>'[9]Sch C'!D22</f>
        <v>0</v>
      </c>
      <c r="D37" s="558">
        <f>'[9]Sch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6"/>
      <c r="J37" s="168"/>
      <c r="K37" s="168"/>
      <c r="M37" s="359">
        <f t="shared" si="7"/>
        <v>0</v>
      </c>
      <c r="N37" s="359">
        <f>SUMMARY!J40</f>
        <v>1.6613467841685443E-2</v>
      </c>
      <c r="P37"/>
      <c r="Q37"/>
    </row>
    <row r="38" spans="1:17" s="167" customFormat="1">
      <c r="A38" s="163">
        <v>140</v>
      </c>
      <c r="B38" s="170" t="s">
        <v>149</v>
      </c>
      <c r="C38" s="558">
        <f>'[9]Sch C'!D23</f>
        <v>5249</v>
      </c>
      <c r="D38" s="558">
        <f>'[9]Sch C'!F23</f>
        <v>0</v>
      </c>
      <c r="E38" s="171">
        <f t="shared" si="4"/>
        <v>5249</v>
      </c>
      <c r="F38" s="171">
        <v>1558</v>
      </c>
      <c r="G38" s="171">
        <f t="shared" si="5"/>
        <v>6807</v>
      </c>
      <c r="H38" s="172">
        <f t="shared" si="6"/>
        <v>1.3101498213195846E-3</v>
      </c>
      <c r="I38" s="336"/>
      <c r="J38" s="168"/>
      <c r="K38" s="168"/>
      <c r="M38" s="359">
        <f t="shared" si="7"/>
        <v>0.29177025289327047</v>
      </c>
      <c r="N38" s="359">
        <f>SUMMARY!J41</f>
        <v>0.78350447706162407</v>
      </c>
      <c r="P38"/>
      <c r="Q38"/>
    </row>
    <row r="39" spans="1:17" s="167" customFormat="1">
      <c r="A39" s="163">
        <v>150</v>
      </c>
      <c r="B39" s="170" t="s">
        <v>29</v>
      </c>
      <c r="C39" s="558">
        <f>'[9]Sch C'!D24</f>
        <v>38564</v>
      </c>
      <c r="D39" s="558">
        <f>'[9]Sch C'!F24</f>
        <v>-8000</v>
      </c>
      <c r="E39" s="171">
        <f t="shared" si="4"/>
        <v>30564</v>
      </c>
      <c r="F39" s="171">
        <v>5710</v>
      </c>
      <c r="G39" s="171">
        <f t="shared" si="5"/>
        <v>36274</v>
      </c>
      <c r="H39" s="172">
        <f t="shared" si="6"/>
        <v>6.9816915849194383E-3</v>
      </c>
      <c r="I39" s="336"/>
      <c r="J39" s="168"/>
      <c r="K39" s="168"/>
      <c r="M39" s="359">
        <f t="shared" si="7"/>
        <v>1.5548221174453494</v>
      </c>
      <c r="N39" s="359">
        <f>SUMMARY!J42</f>
        <v>1.2663707557948845</v>
      </c>
      <c r="P39"/>
      <c r="Q39"/>
    </row>
    <row r="40" spans="1:17" s="167" customFormat="1">
      <c r="A40" s="163">
        <v>160</v>
      </c>
      <c r="B40" s="170" t="s">
        <v>30</v>
      </c>
      <c r="C40" s="558">
        <f>'[9]Sch C'!D25</f>
        <v>0</v>
      </c>
      <c r="D40" s="558">
        <f>'[9]Sch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6"/>
      <c r="J40" s="168"/>
      <c r="K40" s="168"/>
      <c r="M40" s="359">
        <f t="shared" si="7"/>
        <v>0</v>
      </c>
      <c r="N40" s="359">
        <f>SUMMARY!J43</f>
        <v>3.9859996698743162E-2</v>
      </c>
      <c r="P40"/>
      <c r="Q40"/>
    </row>
    <row r="41" spans="1:17" s="167" customFormat="1">
      <c r="A41" s="163">
        <v>170</v>
      </c>
      <c r="B41" s="170" t="s">
        <v>31</v>
      </c>
      <c r="C41" s="558">
        <f>'[9]Sch C'!D26</f>
        <v>288540</v>
      </c>
      <c r="D41" s="558">
        <f>'[9]Sch C'!F26</f>
        <v>0</v>
      </c>
      <c r="E41" s="171">
        <f t="shared" si="4"/>
        <v>288540</v>
      </c>
      <c r="F41" s="171">
        <v>59338</v>
      </c>
      <c r="G41" s="171">
        <f t="shared" si="5"/>
        <v>347878</v>
      </c>
      <c r="H41" s="172">
        <f t="shared" si="6"/>
        <v>6.6956412449098654E-2</v>
      </c>
      <c r="I41" s="336"/>
      <c r="J41" s="168"/>
      <c r="K41" s="168"/>
      <c r="M41" s="359">
        <f t="shared" si="7"/>
        <v>14.91118731247321</v>
      </c>
      <c r="N41" s="359">
        <f>SUMMARY!J44</f>
        <v>13.276275078297671</v>
      </c>
      <c r="P41"/>
      <c r="Q41"/>
    </row>
    <row r="42" spans="1:17" s="167" customFormat="1">
      <c r="A42" s="163">
        <v>180</v>
      </c>
      <c r="B42" s="170" t="s">
        <v>32</v>
      </c>
      <c r="C42" s="558">
        <f>'[9]Sch C'!D27</f>
        <v>0</v>
      </c>
      <c r="D42" s="558">
        <f>'[9]Sch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6"/>
      <c r="J42" s="168"/>
      <c r="K42" s="168"/>
      <c r="M42" s="359">
        <f t="shared" si="7"/>
        <v>0</v>
      </c>
      <c r="N42" s="359">
        <f>SUMMARY!J45</f>
        <v>0.53704966247864372</v>
      </c>
      <c r="P42"/>
      <c r="Q42"/>
    </row>
    <row r="43" spans="1:17" s="167" customFormat="1">
      <c r="A43" s="163">
        <v>190</v>
      </c>
      <c r="B43" s="170" t="s">
        <v>33</v>
      </c>
      <c r="C43" s="558">
        <f>'[9]Sch C'!D28</f>
        <v>0</v>
      </c>
      <c r="D43" s="558">
        <f>'[9]Sch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6"/>
      <c r="J43" s="168"/>
      <c r="K43" s="168"/>
      <c r="M43" s="359">
        <f t="shared" si="7"/>
        <v>0</v>
      </c>
      <c r="N43" s="359">
        <f>SUMMARY!J46</f>
        <v>0</v>
      </c>
      <c r="P43"/>
      <c r="Q43"/>
    </row>
    <row r="44" spans="1:17" s="167" customFormat="1">
      <c r="A44" s="163">
        <v>200</v>
      </c>
      <c r="B44" s="170" t="s">
        <v>34</v>
      </c>
      <c r="C44" s="558">
        <f>'[9]Sch C'!D29</f>
        <v>108603</v>
      </c>
      <c r="D44" s="558">
        <f>'[9]Sch C'!F29</f>
        <v>-108603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6"/>
      <c r="J44" s="168"/>
      <c r="K44" s="168"/>
      <c r="M44" s="359">
        <f t="shared" si="7"/>
        <v>0</v>
      </c>
      <c r="N44" s="359">
        <f>SUMMARY!J47</f>
        <v>0</v>
      </c>
      <c r="P44"/>
      <c r="Q44"/>
    </row>
    <row r="45" spans="1:17" s="167" customFormat="1">
      <c r="A45" s="163">
        <v>210</v>
      </c>
      <c r="B45" s="170" t="s">
        <v>35</v>
      </c>
      <c r="C45" s="558">
        <f>'[9]Sch C'!D30</f>
        <v>0</v>
      </c>
      <c r="D45" s="558">
        <f>'[9]Sch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6"/>
      <c r="J45" s="168"/>
      <c r="K45" s="168"/>
      <c r="M45" s="359">
        <f t="shared" si="7"/>
        <v>0</v>
      </c>
      <c r="N45" s="359">
        <f>SUMMARY!J48</f>
        <v>0</v>
      </c>
      <c r="P45"/>
      <c r="Q45"/>
    </row>
    <row r="46" spans="1:17" s="167" customFormat="1">
      <c r="A46" s="163">
        <v>220</v>
      </c>
      <c r="B46" s="170" t="s">
        <v>190</v>
      </c>
      <c r="C46" s="558">
        <f>'[9]Sch C'!D31</f>
        <v>31867</v>
      </c>
      <c r="D46" s="558">
        <f>'[9]Sch C'!F31</f>
        <v>0</v>
      </c>
      <c r="E46" s="171">
        <f t="shared" si="4"/>
        <v>31867</v>
      </c>
      <c r="F46" s="563">
        <f>10258-12062-3883</f>
        <v>-5687</v>
      </c>
      <c r="G46" s="171">
        <f t="shared" si="5"/>
        <v>26180</v>
      </c>
      <c r="H46" s="172">
        <f t="shared" si="6"/>
        <v>5.0388897197218641E-3</v>
      </c>
      <c r="I46" s="336"/>
      <c r="J46" s="168"/>
      <c r="K46" s="168"/>
      <c r="M46" s="359">
        <f t="shared" si="7"/>
        <v>1.1221603086155165</v>
      </c>
      <c r="N46" s="359">
        <f>SUMMARY!J49</f>
        <v>1.2423066513894216</v>
      </c>
      <c r="P46"/>
      <c r="Q46"/>
    </row>
    <row r="47" spans="1:17" s="167" customFormat="1">
      <c r="A47" s="163">
        <v>230</v>
      </c>
      <c r="B47" s="170" t="s">
        <v>191</v>
      </c>
      <c r="C47" s="558">
        <f>'[9]Sch C'!D32</f>
        <v>71133</v>
      </c>
      <c r="D47" s="558">
        <f>'[9]Sch C'!F32</f>
        <v>-24313</v>
      </c>
      <c r="E47" s="171">
        <f t="shared" si="4"/>
        <v>46820</v>
      </c>
      <c r="F47" s="171">
        <v>9364</v>
      </c>
      <c r="G47" s="171">
        <f t="shared" si="5"/>
        <v>56184</v>
      </c>
      <c r="H47" s="172">
        <f t="shared" si="6"/>
        <v>1.0813788388573461E-2</v>
      </c>
      <c r="I47" s="336"/>
      <c r="J47" s="168"/>
      <c r="K47" s="168"/>
      <c r="M47" s="359">
        <f t="shared" si="7"/>
        <v>2.4082297471067293</v>
      </c>
      <c r="N47" s="359">
        <f>SUMMARY!J50</f>
        <v>2.4834328319281553</v>
      </c>
      <c r="P47"/>
      <c r="Q47"/>
    </row>
    <row r="48" spans="1:17" s="167" customFormat="1">
      <c r="A48" s="163">
        <v>240</v>
      </c>
      <c r="B48" s="170" t="s">
        <v>201</v>
      </c>
      <c r="C48" s="558">
        <f>'[9]Sch C'!D33</f>
        <v>0</v>
      </c>
      <c r="D48" s="558">
        <f>'[9]Sch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6"/>
      <c r="J48" s="168"/>
      <c r="K48" s="168"/>
      <c r="M48" s="359">
        <f t="shared" si="7"/>
        <v>0</v>
      </c>
      <c r="N48" s="359">
        <f>SUMMARY!J51</f>
        <v>0</v>
      </c>
      <c r="P48"/>
      <c r="Q48"/>
    </row>
    <row r="49" spans="1:17" s="167" customFormat="1">
      <c r="A49" s="163">
        <v>250</v>
      </c>
      <c r="B49" s="170" t="s">
        <v>202</v>
      </c>
      <c r="C49" s="558">
        <f>'[9]Sch C'!D34</f>
        <v>0</v>
      </c>
      <c r="D49" s="558">
        <f>'[9]Sch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6"/>
      <c r="J49" s="168"/>
      <c r="K49" s="168"/>
      <c r="M49" s="359">
        <f t="shared" si="7"/>
        <v>0</v>
      </c>
      <c r="N49" s="359">
        <f>SUMMARY!J52</f>
        <v>1.9989597825457835E-2</v>
      </c>
      <c r="P49"/>
      <c r="Q49"/>
    </row>
    <row r="50" spans="1:17" s="167" customFormat="1">
      <c r="A50" s="163">
        <v>270</v>
      </c>
      <c r="B50" s="170" t="s">
        <v>203</v>
      </c>
      <c r="C50" s="558">
        <f>'[9]Sch C'!D35</f>
        <v>5000</v>
      </c>
      <c r="D50" s="558">
        <f>'[9]Sch C'!F35</f>
        <v>-5000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6"/>
      <c r="J50" s="168"/>
      <c r="K50" s="168"/>
      <c r="M50" s="359">
        <f t="shared" si="7"/>
        <v>0</v>
      </c>
      <c r="N50" s="359">
        <f>SUMMARY!J53</f>
        <v>0</v>
      </c>
      <c r="P50"/>
      <c r="Q50"/>
    </row>
    <row r="51" spans="1:17" s="167" customFormat="1">
      <c r="A51" s="163">
        <v>280</v>
      </c>
      <c r="B51" s="170" t="s">
        <v>204</v>
      </c>
      <c r="C51" s="558">
        <f>'[9]Sch C'!D36</f>
        <v>0</v>
      </c>
      <c r="D51" s="558">
        <f>'[9]Sch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6"/>
      <c r="J51" s="183">
        <v>0</v>
      </c>
      <c r="K51" s="183">
        <v>0</v>
      </c>
      <c r="M51" s="359">
        <f t="shared" si="7"/>
        <v>0</v>
      </c>
      <c r="N51" s="359">
        <f>SUMMARY!J54</f>
        <v>0.71016556619157756</v>
      </c>
      <c r="P51"/>
      <c r="Q51"/>
    </row>
    <row r="52" spans="1:17" s="167" customFormat="1">
      <c r="A52" s="163">
        <v>290</v>
      </c>
      <c r="B52" s="170" t="s">
        <v>205</v>
      </c>
      <c r="C52" s="558">
        <f>'[9]Sch C'!D37</f>
        <v>0</v>
      </c>
      <c r="D52" s="558">
        <f>'[9]Sch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6"/>
      <c r="J52" s="168"/>
      <c r="K52" s="168"/>
      <c r="M52" s="359">
        <f t="shared" si="7"/>
        <v>0</v>
      </c>
      <c r="N52" s="359">
        <f>SUMMARY!J55</f>
        <v>0.1226645084196832</v>
      </c>
      <c r="P52"/>
      <c r="Q52"/>
    </row>
    <row r="53" spans="1:17" s="167" customFormat="1">
      <c r="A53" s="163">
        <v>300</v>
      </c>
      <c r="B53" s="170" t="s">
        <v>206</v>
      </c>
      <c r="C53" s="558">
        <f>'[9]Sch C'!D38</f>
        <v>300</v>
      </c>
      <c r="D53" s="558">
        <f>'[9]Sch C'!F38</f>
        <v>-300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6"/>
      <c r="J53" s="168"/>
      <c r="K53" s="168"/>
      <c r="M53" s="359">
        <f t="shared" si="7"/>
        <v>0</v>
      </c>
      <c r="N53" s="359">
        <f>SUMMARY!J56</f>
        <v>2.2357065225546585E-3</v>
      </c>
      <c r="P53"/>
      <c r="Q53"/>
    </row>
    <row r="54" spans="1:17" s="167" customFormat="1">
      <c r="A54" s="163">
        <v>310</v>
      </c>
      <c r="B54" s="170" t="s">
        <v>207</v>
      </c>
      <c r="C54" s="558">
        <f>'[9]Sch C'!D39</f>
        <v>6590</v>
      </c>
      <c r="D54" s="558">
        <f>'[9]Sch C'!F39</f>
        <v>0</v>
      </c>
      <c r="E54" s="171">
        <f t="shared" si="4"/>
        <v>6590</v>
      </c>
      <c r="F54" s="171">
        <v>1329</v>
      </c>
      <c r="G54" s="171">
        <f t="shared" si="5"/>
        <v>7919</v>
      </c>
      <c r="H54" s="172">
        <f t="shared" si="6"/>
        <v>1.5241775282840886E-3</v>
      </c>
      <c r="I54" s="336"/>
      <c r="J54" s="168"/>
      <c r="K54" s="168"/>
      <c r="M54" s="359">
        <f t="shared" si="7"/>
        <v>0.33943420488641235</v>
      </c>
      <c r="N54" s="359">
        <f>SUMMARY!J57</f>
        <v>0.27779592873572578</v>
      </c>
      <c r="P54"/>
      <c r="Q54"/>
    </row>
    <row r="55" spans="1:17" s="167" customFormat="1">
      <c r="A55" s="163">
        <v>320</v>
      </c>
      <c r="B55" s="170" t="s">
        <v>208</v>
      </c>
      <c r="C55" s="558">
        <f>'[9]Sch C'!D40</f>
        <v>14671</v>
      </c>
      <c r="D55" s="558">
        <f>'[9]Sch C'!F40</f>
        <v>0</v>
      </c>
      <c r="E55" s="171">
        <f t="shared" si="4"/>
        <v>14671</v>
      </c>
      <c r="F55" s="171">
        <v>3863</v>
      </c>
      <c r="G55" s="171">
        <f t="shared" si="5"/>
        <v>18534</v>
      </c>
      <c r="H55" s="172">
        <f t="shared" si="6"/>
        <v>3.5672567633813993E-3</v>
      </c>
      <c r="I55" s="336"/>
      <c r="J55" s="168"/>
      <c r="K55" s="168"/>
      <c r="M55" s="359">
        <f t="shared" si="7"/>
        <v>0.79442777539648524</v>
      </c>
      <c r="N55" s="359">
        <f>SUMMARY!J58</f>
        <v>0.16653887337107628</v>
      </c>
      <c r="P55"/>
      <c r="Q55"/>
    </row>
    <row r="56" spans="1:17" s="167" customFormat="1">
      <c r="A56" s="163">
        <v>330</v>
      </c>
      <c r="B56" s="170" t="s">
        <v>48</v>
      </c>
      <c r="C56" s="558">
        <f>'[9]Sch C'!D41</f>
        <v>16333</v>
      </c>
      <c r="D56" s="558">
        <f>'[9]Sch C'!F41</f>
        <v>0</v>
      </c>
      <c r="E56" s="171">
        <f t="shared" si="4"/>
        <v>16333</v>
      </c>
      <c r="F56" s="171">
        <v>-507</v>
      </c>
      <c r="G56" s="171">
        <f t="shared" si="5"/>
        <v>15826</v>
      </c>
      <c r="H56" s="172">
        <f t="shared" si="6"/>
        <v>3.0460454050541719E-3</v>
      </c>
      <c r="I56" s="336"/>
      <c r="J56" s="168"/>
      <c r="K56" s="168"/>
      <c r="M56" s="359">
        <f t="shared" si="7"/>
        <v>0.67835405057865406</v>
      </c>
      <c r="N56" s="359">
        <f>SUMMARY!J59</f>
        <v>2.14994424305825</v>
      </c>
      <c r="P56"/>
      <c r="Q56"/>
    </row>
    <row r="57" spans="1:17" s="167" customFormat="1">
      <c r="A57" s="163">
        <v>340</v>
      </c>
      <c r="B57" s="170" t="s">
        <v>209</v>
      </c>
      <c r="C57" s="558">
        <f>'[9]Sch C'!D42</f>
        <v>4561</v>
      </c>
      <c r="D57" s="558">
        <f>'[9]Sch C'!F42</f>
        <v>0</v>
      </c>
      <c r="E57" s="171">
        <f t="shared" si="4"/>
        <v>4561</v>
      </c>
      <c r="F57" s="171">
        <v>1320</v>
      </c>
      <c r="G57" s="171">
        <f t="shared" si="5"/>
        <v>5881</v>
      </c>
      <c r="H57" s="172">
        <f t="shared" si="6"/>
        <v>1.1319217128221652E-3</v>
      </c>
      <c r="I57" s="336"/>
      <c r="J57" s="168"/>
      <c r="K57" s="168"/>
      <c r="M57" s="359">
        <f t="shared" si="7"/>
        <v>0.25207886840977284</v>
      </c>
      <c r="N57" s="359">
        <f>SUMMARY!J60</f>
        <v>0.23079784303595582</v>
      </c>
      <c r="P57"/>
      <c r="Q57"/>
    </row>
    <row r="58" spans="1:17" s="167" customFormat="1">
      <c r="A58" s="163">
        <v>350</v>
      </c>
      <c r="B58" s="170" t="s">
        <v>210</v>
      </c>
      <c r="C58" s="558">
        <f>'[9]Sch C'!D43</f>
        <v>3697</v>
      </c>
      <c r="D58" s="558">
        <f>'[9]Sch C'!F43</f>
        <v>0</v>
      </c>
      <c r="E58" s="171">
        <f t="shared" si="4"/>
        <v>3697</v>
      </c>
      <c r="F58" s="171">
        <v>892</v>
      </c>
      <c r="G58" s="171">
        <f t="shared" si="5"/>
        <v>4589</v>
      </c>
      <c r="H58" s="172">
        <f t="shared" si="6"/>
        <v>8.832492331475796E-4</v>
      </c>
      <c r="I58" s="336"/>
      <c r="J58" s="168"/>
      <c r="K58" s="168"/>
      <c r="M58" s="359">
        <f t="shared" si="7"/>
        <v>0.19669952850407202</v>
      </c>
      <c r="N58" s="359">
        <f>SUMMARY!J61</f>
        <v>0.17688029085358925</v>
      </c>
      <c r="P58"/>
      <c r="Q58"/>
    </row>
    <row r="59" spans="1:17" s="167" customFormat="1">
      <c r="A59" s="163">
        <v>360</v>
      </c>
      <c r="B59" s="170" t="s">
        <v>211</v>
      </c>
      <c r="C59" s="558">
        <f>'[9]Sch C'!D44</f>
        <v>0</v>
      </c>
      <c r="D59" s="558">
        <f>'[9]Sch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6"/>
      <c r="J59" s="168"/>
      <c r="K59" s="168"/>
      <c r="M59" s="359">
        <f t="shared" si="7"/>
        <v>0</v>
      </c>
      <c r="N59" s="359">
        <f>SUMMARY!J62</f>
        <v>6.0661826966981001E-3</v>
      </c>
      <c r="P59"/>
      <c r="Q59"/>
    </row>
    <row r="60" spans="1:17" s="167" customFormat="1">
      <c r="A60" s="163">
        <v>490</v>
      </c>
      <c r="B60" s="170" t="s">
        <v>36</v>
      </c>
      <c r="C60" s="558">
        <f>'[9]Sch C'!D45</f>
        <v>19922</v>
      </c>
      <c r="D60" s="558">
        <f>'[9]Sch C'!F45</f>
        <v>-1857</v>
      </c>
      <c r="E60" s="171">
        <f t="shared" si="4"/>
        <v>18065</v>
      </c>
      <c r="F60" s="171">
        <v>3677</v>
      </c>
      <c r="G60" s="171">
        <f t="shared" si="5"/>
        <v>21742</v>
      </c>
      <c r="H60" s="172">
        <f t="shared" si="6"/>
        <v>4.1847036014588529E-3</v>
      </c>
      <c r="I60" s="336"/>
      <c r="J60" s="168"/>
      <c r="K60" s="168"/>
      <c r="M60" s="359">
        <f t="shared" si="7"/>
        <v>0.9319331333047578</v>
      </c>
      <c r="N60" s="359">
        <f>SUMMARY!J63</f>
        <v>0.69532317482298633</v>
      </c>
      <c r="P60"/>
      <c r="Q60"/>
    </row>
    <row r="61" spans="1:17" s="167" customFormat="1">
      <c r="A61" s="163"/>
      <c r="B61" s="170" t="s">
        <v>177</v>
      </c>
      <c r="C61" s="558">
        <f>SUM(C25:C60)</f>
        <v>1612644</v>
      </c>
      <c r="D61" s="558">
        <f>SUM(D25:D60)</f>
        <v>-433077</v>
      </c>
      <c r="E61" s="171">
        <f t="shared" ref="E61:F61" si="8">SUM(E25:E60)</f>
        <v>1179567</v>
      </c>
      <c r="F61" s="171">
        <f t="shared" si="8"/>
        <v>208803</v>
      </c>
      <c r="G61" s="171">
        <f>SUM(G25:G60)</f>
        <v>1388370</v>
      </c>
      <c r="H61" s="186">
        <f t="shared" si="6"/>
        <v>0.26722090604164417</v>
      </c>
      <c r="I61" s="338"/>
      <c r="J61" s="168"/>
      <c r="K61" s="168"/>
      <c r="M61" s="364">
        <f>G61/G$228</f>
        <v>59.510072867552509</v>
      </c>
      <c r="N61" s="359">
        <f>SUMMARY!J64</f>
        <v>53.728790309602623</v>
      </c>
      <c r="O61" s="354">
        <f>M61/N61-1</f>
        <v>0.10760120458019373</v>
      </c>
      <c r="P61"/>
      <c r="Q61"/>
    </row>
    <row r="62" spans="1:17" s="167" customFormat="1">
      <c r="A62" s="163"/>
      <c r="C62" s="165"/>
      <c r="D62" s="165"/>
      <c r="E62" s="165"/>
      <c r="F62" s="165"/>
      <c r="G62" s="165"/>
      <c r="H62" s="187"/>
      <c r="I62" s="339"/>
      <c r="J62" s="168"/>
      <c r="K62" s="168"/>
      <c r="M62" s="359"/>
      <c r="N62" s="359"/>
      <c r="P62"/>
      <c r="Q62"/>
    </row>
    <row r="63" spans="1:17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39"/>
      <c r="J63" s="168"/>
      <c r="K63" s="168"/>
      <c r="M63" s="359"/>
      <c r="N63" s="359"/>
      <c r="P63"/>
      <c r="Q63"/>
    </row>
    <row r="64" spans="1:17" s="167" customFormat="1">
      <c r="A64" s="188">
        <v>230</v>
      </c>
      <c r="B64" s="189" t="s">
        <v>253</v>
      </c>
      <c r="C64" s="558">
        <f>'[9]Sch C'!D57</f>
        <v>450000</v>
      </c>
      <c r="D64" s="558">
        <f>'[9]Sch C'!F57</f>
        <v>0</v>
      </c>
      <c r="E64" s="171">
        <f t="shared" ref="E64:E78" si="9">C64+D64</f>
        <v>450000</v>
      </c>
      <c r="F64" s="563">
        <f>60373.02-450000-60373</f>
        <v>-449999.98</v>
      </c>
      <c r="G64" s="171">
        <f t="shared" ref="G64:G78" si="10">E64+F64</f>
        <v>2.0000000018626451E-2</v>
      </c>
      <c r="H64" s="172">
        <f t="shared" ref="H64:H79" si="11">IF($G$208=0,0,G64/$G$208)</f>
        <v>3.8494191935941147E-9</v>
      </c>
      <c r="I64" s="336"/>
      <c r="J64" s="190"/>
      <c r="K64" s="168"/>
      <c r="M64" s="359">
        <f t="shared" ref="M64:M79" si="12">G64/G$228</f>
        <v>8.5726532441605023E-7</v>
      </c>
      <c r="N64" s="359">
        <f>SUMMARY!J67</f>
        <v>5.7390436698400178</v>
      </c>
      <c r="P64"/>
      <c r="Q64"/>
    </row>
    <row r="65" spans="1:17" s="167" customFormat="1">
      <c r="A65" s="191">
        <v>240</v>
      </c>
      <c r="B65" s="189" t="s">
        <v>254</v>
      </c>
      <c r="C65" s="558">
        <f>'[9]Sch C'!D58</f>
        <v>1977</v>
      </c>
      <c r="D65" s="558">
        <f>'[9]Sch C'!F58</f>
        <v>0</v>
      </c>
      <c r="E65" s="171">
        <f t="shared" si="9"/>
        <v>1977</v>
      </c>
      <c r="F65" s="563">
        <f>452+253302+50660</f>
        <v>304414</v>
      </c>
      <c r="G65" s="171">
        <f t="shared" si="10"/>
        <v>306391</v>
      </c>
      <c r="H65" s="172">
        <f t="shared" si="11"/>
        <v>5.8971369752303347E-2</v>
      </c>
      <c r="I65" s="336"/>
      <c r="J65" s="190"/>
      <c r="K65" s="168"/>
      <c r="M65" s="359">
        <f t="shared" si="12"/>
        <v>13.132918988426917</v>
      </c>
      <c r="N65" s="359">
        <f>SUMMARY!J68</f>
        <v>5.746156082994454</v>
      </c>
      <c r="P65"/>
      <c r="Q65"/>
    </row>
    <row r="66" spans="1:17" s="167" customFormat="1">
      <c r="A66" s="142">
        <v>250</v>
      </c>
      <c r="B66" s="189" t="s">
        <v>307</v>
      </c>
      <c r="C66" s="558">
        <f>'[9]Sch C'!D59</f>
        <v>0</v>
      </c>
      <c r="D66" s="558">
        <f>'[9]Sch C'!F59</f>
        <v>0</v>
      </c>
      <c r="E66" s="171">
        <f t="shared" si="9"/>
        <v>0</v>
      </c>
      <c r="F66" s="563">
        <f>0+29982+5996</f>
        <v>35978</v>
      </c>
      <c r="G66" s="171">
        <f t="shared" si="10"/>
        <v>35978</v>
      </c>
      <c r="H66" s="172">
        <f t="shared" si="11"/>
        <v>6.9247201809073044E-3</v>
      </c>
      <c r="I66" s="336"/>
      <c r="J66" s="190"/>
      <c r="K66" s="168"/>
      <c r="M66" s="359">
        <f t="shared" si="12"/>
        <v>1.5421345906558079</v>
      </c>
      <c r="N66" s="359">
        <f>SUMMARY!J69</f>
        <v>4.7427204071264262</v>
      </c>
      <c r="P66"/>
      <c r="Q66"/>
    </row>
    <row r="67" spans="1:17" s="167" customFormat="1">
      <c r="A67" s="142">
        <v>260</v>
      </c>
      <c r="B67" s="192" t="s">
        <v>308</v>
      </c>
      <c r="C67" s="558">
        <f>'[9]Sch C'!D60</f>
        <v>33725</v>
      </c>
      <c r="D67" s="558">
        <f>'[9]Sch C'!F60</f>
        <v>0</v>
      </c>
      <c r="E67" s="171">
        <f t="shared" si="9"/>
        <v>33725</v>
      </c>
      <c r="F67" s="171">
        <v>6789</v>
      </c>
      <c r="G67" s="171">
        <f t="shared" si="10"/>
        <v>40514</v>
      </c>
      <c r="H67" s="172">
        <f t="shared" si="11"/>
        <v>7.7977684532013602E-3</v>
      </c>
      <c r="I67" s="336"/>
      <c r="J67" s="193"/>
      <c r="K67" s="168"/>
      <c r="M67" s="359">
        <f t="shared" si="12"/>
        <v>1.7365623660522931</v>
      </c>
      <c r="N67" s="359">
        <f>SUMMARY!J70</f>
        <v>1.3209605424779576</v>
      </c>
      <c r="P67"/>
      <c r="Q67"/>
    </row>
    <row r="68" spans="1:17" s="167" customFormat="1">
      <c r="A68" s="142">
        <v>270</v>
      </c>
      <c r="B68" s="192" t="s">
        <v>309</v>
      </c>
      <c r="C68" s="558">
        <f>'[9]Sch C'!D61</f>
        <v>5437</v>
      </c>
      <c r="D68" s="558">
        <f>'[9]Sch C'!F61</f>
        <v>0</v>
      </c>
      <c r="E68" s="171">
        <f t="shared" si="9"/>
        <v>5437</v>
      </c>
      <c r="F68" s="171">
        <v>1019</v>
      </c>
      <c r="G68" s="171">
        <f t="shared" si="10"/>
        <v>6456</v>
      </c>
      <c r="H68" s="172">
        <f t="shared" si="11"/>
        <v>1.2425925145349258E-3</v>
      </c>
      <c r="I68" s="336"/>
      <c r="J68" s="193"/>
      <c r="K68" s="168"/>
      <c r="M68" s="359">
        <f t="shared" si="12"/>
        <v>0.27672524646378055</v>
      </c>
      <c r="N68" s="359">
        <f>SUMMARY!J71</f>
        <v>0.53904014885667173</v>
      </c>
      <c r="P68"/>
      <c r="Q68"/>
    </row>
    <row r="69" spans="1:17" s="167" customFormat="1">
      <c r="A69" s="142">
        <v>280</v>
      </c>
      <c r="B69" s="194" t="s">
        <v>258</v>
      </c>
      <c r="C69" s="558">
        <f>'[9]Sch C'!D62</f>
        <v>1033</v>
      </c>
      <c r="D69" s="558">
        <f>'[9]Sch C'!F62</f>
        <v>0</v>
      </c>
      <c r="E69" s="171">
        <f t="shared" si="9"/>
        <v>1033</v>
      </c>
      <c r="F69" s="171">
        <v>207</v>
      </c>
      <c r="G69" s="171">
        <f t="shared" si="10"/>
        <v>1240</v>
      </c>
      <c r="H69" s="172">
        <f t="shared" si="11"/>
        <v>2.3866398978056194E-4</v>
      </c>
      <c r="I69" s="336"/>
      <c r="J69" s="195"/>
      <c r="K69" s="168"/>
      <c r="M69" s="359">
        <f t="shared" si="12"/>
        <v>5.3150450064294898E-2</v>
      </c>
      <c r="N69" s="359">
        <f>SUMMARY!J72</f>
        <v>0.16713696357256011</v>
      </c>
      <c r="P69"/>
      <c r="Q69"/>
    </row>
    <row r="70" spans="1:17" s="167" customFormat="1">
      <c r="A70" s="142">
        <v>290</v>
      </c>
      <c r="B70" s="194" t="s">
        <v>259</v>
      </c>
      <c r="C70" s="558">
        <f>'[9]Sch C'!D63</f>
        <v>0</v>
      </c>
      <c r="D70" s="558">
        <f>'[9]Sch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6"/>
      <c r="J70" s="195"/>
      <c r="K70" s="168"/>
      <c r="M70" s="359">
        <f t="shared" si="12"/>
        <v>0</v>
      </c>
      <c r="N70" s="359">
        <f>SUMMARY!J73</f>
        <v>1.8777613191307831E-3</v>
      </c>
      <c r="P70"/>
      <c r="Q70"/>
    </row>
    <row r="71" spans="1:17" s="167" customFormat="1">
      <c r="A71" s="142">
        <v>300</v>
      </c>
      <c r="B71" s="194" t="s">
        <v>260</v>
      </c>
      <c r="C71" s="558">
        <f>'[9]Sch C'!D64</f>
        <v>0</v>
      </c>
      <c r="D71" s="558">
        <f>'[9]Sch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6"/>
      <c r="J71" s="195"/>
      <c r="K71" s="168"/>
      <c r="M71" s="359">
        <f t="shared" si="12"/>
        <v>0</v>
      </c>
      <c r="N71" s="359">
        <f>SUMMARY!J74</f>
        <v>4.8232648572635154E-4</v>
      </c>
      <c r="P71"/>
      <c r="Q71"/>
    </row>
    <row r="72" spans="1:17" s="167" customFormat="1">
      <c r="A72" s="142">
        <v>310</v>
      </c>
      <c r="B72" s="194" t="s">
        <v>310</v>
      </c>
      <c r="C72" s="558">
        <f>'[9]Sch C'!D65</f>
        <v>3610</v>
      </c>
      <c r="D72" s="558">
        <f>'[9]Sch C'!F65</f>
        <v>0</v>
      </c>
      <c r="E72" s="171">
        <f t="shared" si="9"/>
        <v>3610</v>
      </c>
      <c r="F72" s="171">
        <v>709</v>
      </c>
      <c r="G72" s="171">
        <f t="shared" si="10"/>
        <v>4319</v>
      </c>
      <c r="H72" s="172">
        <f t="shared" si="11"/>
        <v>8.3128207408245721E-4</v>
      </c>
      <c r="I72" s="336"/>
      <c r="J72" s="195"/>
      <c r="K72" s="168"/>
      <c r="M72" s="359">
        <f t="shared" si="12"/>
        <v>0.18512644663523362</v>
      </c>
      <c r="N72" s="359">
        <f>SUMMARY!J75</f>
        <v>0.16263825084835873</v>
      </c>
      <c r="P72"/>
      <c r="Q72"/>
    </row>
    <row r="73" spans="1:17" s="167" customFormat="1">
      <c r="A73" s="142">
        <v>320</v>
      </c>
      <c r="B73" s="194" t="s">
        <v>262</v>
      </c>
      <c r="C73" s="558">
        <f>'[9]Sch C'!D66</f>
        <v>6219</v>
      </c>
      <c r="D73" s="558">
        <f>'[9]Sch C'!F66</f>
        <v>0</v>
      </c>
      <c r="E73" s="171">
        <f t="shared" si="9"/>
        <v>6219</v>
      </c>
      <c r="F73" s="563">
        <f>2628-642</f>
        <v>1986</v>
      </c>
      <c r="G73" s="171">
        <f t="shared" si="10"/>
        <v>8205</v>
      </c>
      <c r="H73" s="172">
        <f t="shared" si="11"/>
        <v>1.5792242227012183E-3</v>
      </c>
      <c r="I73" s="336"/>
      <c r="J73" s="195"/>
      <c r="K73" s="168"/>
      <c r="M73" s="359">
        <f t="shared" si="12"/>
        <v>0.35169309901414486</v>
      </c>
      <c r="N73" s="359">
        <f>SUMMARY!J76</f>
        <v>0.81830256983551586</v>
      </c>
      <c r="P73"/>
      <c r="Q73"/>
    </row>
    <row r="74" spans="1:17" s="167" customFormat="1">
      <c r="A74" s="142">
        <v>330</v>
      </c>
      <c r="B74" s="194" t="s">
        <v>263</v>
      </c>
      <c r="C74" s="558">
        <f>'[9]Sch C'!D67</f>
        <v>47283</v>
      </c>
      <c r="D74" s="558">
        <f>'[9]Sch C'!F67</f>
        <v>0</v>
      </c>
      <c r="E74" s="171">
        <f t="shared" si="9"/>
        <v>47283</v>
      </c>
      <c r="F74" s="171">
        <v>12096</v>
      </c>
      <c r="G74" s="171">
        <f t="shared" si="10"/>
        <v>59379</v>
      </c>
      <c r="H74" s="172">
        <f t="shared" si="11"/>
        <v>1.142873310417741E-2</v>
      </c>
      <c r="I74" s="336"/>
      <c r="J74" s="195"/>
      <c r="K74" s="168"/>
      <c r="M74" s="359">
        <f t="shared" si="12"/>
        <v>2.5451778825546505</v>
      </c>
      <c r="N74" s="359">
        <f>SUMMARY!J77</f>
        <v>3.2132948973832529</v>
      </c>
      <c r="P74"/>
      <c r="Q74"/>
    </row>
    <row r="75" spans="1:17" s="167" customFormat="1">
      <c r="A75" s="142">
        <v>340</v>
      </c>
      <c r="B75" s="194" t="s">
        <v>264</v>
      </c>
      <c r="C75" s="558">
        <f>'[9]Sch C'!D68</f>
        <v>0</v>
      </c>
      <c r="D75" s="558">
        <f>'[9]Sch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6"/>
      <c r="J75" s="195"/>
      <c r="K75" s="168"/>
      <c r="M75" s="359">
        <f t="shared" si="12"/>
        <v>0</v>
      </c>
      <c r="N75" s="359">
        <f>SUMMARY!J78</f>
        <v>7.1389679070674769E-2</v>
      </c>
      <c r="P75"/>
      <c r="Q75"/>
    </row>
    <row r="76" spans="1:17" s="167" customFormat="1">
      <c r="A76" s="167">
        <v>350</v>
      </c>
      <c r="B76" s="194" t="s">
        <v>311</v>
      </c>
      <c r="C76" s="558">
        <f>'[9]Sch C'!D69</f>
        <v>9039</v>
      </c>
      <c r="D76" s="558">
        <f>'[9]Sch C'!F69</f>
        <v>0</v>
      </c>
      <c r="E76" s="171">
        <f t="shared" si="9"/>
        <v>9039</v>
      </c>
      <c r="F76" s="171">
        <v>1503</v>
      </c>
      <c r="G76" s="171">
        <f t="shared" si="10"/>
        <v>10542</v>
      </c>
      <c r="H76" s="172">
        <f t="shared" si="11"/>
        <v>2.0290288550537773E-3</v>
      </c>
      <c r="I76" s="336"/>
      <c r="J76" s="195"/>
      <c r="K76" s="168"/>
      <c r="M76" s="359">
        <f t="shared" si="12"/>
        <v>0.45186455207886839</v>
      </c>
      <c r="N76" s="359">
        <f>SUMMARY!J79</f>
        <v>0.13243591488759648</v>
      </c>
      <c r="P76"/>
      <c r="Q76"/>
    </row>
    <row r="77" spans="1:17" s="167" customFormat="1">
      <c r="A77" s="142">
        <v>360</v>
      </c>
      <c r="B77" s="194" t="s">
        <v>192</v>
      </c>
      <c r="C77" s="558">
        <f>'[9]Sch C'!D70</f>
        <v>0</v>
      </c>
      <c r="D77" s="558">
        <f>'[9]Sch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6"/>
      <c r="J77" s="195"/>
      <c r="K77" s="168"/>
      <c r="M77" s="359">
        <f t="shared" si="12"/>
        <v>0</v>
      </c>
      <c r="N77" s="359">
        <f>SUMMARY!J80</f>
        <v>-5.8147137445899047E-4</v>
      </c>
      <c r="P77"/>
      <c r="Q77"/>
    </row>
    <row r="78" spans="1:17" s="167" customFormat="1">
      <c r="A78" s="142">
        <v>490</v>
      </c>
      <c r="B78" s="194" t="s">
        <v>312</v>
      </c>
      <c r="C78" s="558">
        <f>'[9]Sch C'!D71</f>
        <v>0</v>
      </c>
      <c r="D78" s="558">
        <f>'[9]Sch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6"/>
      <c r="J78" s="195"/>
      <c r="K78" s="168"/>
      <c r="M78" s="359">
        <f t="shared" si="12"/>
        <v>0</v>
      </c>
      <c r="N78" s="359">
        <f>SUMMARY!J81</f>
        <v>1.4464221021288819E-3</v>
      </c>
      <c r="P78"/>
      <c r="Q78"/>
    </row>
    <row r="79" spans="1:17" s="167" customFormat="1">
      <c r="A79" s="163"/>
      <c r="B79" s="170" t="s">
        <v>150</v>
      </c>
      <c r="C79" s="558">
        <f>SUM(C64:C78)</f>
        <v>558323</v>
      </c>
      <c r="D79" s="558">
        <f>SUM(D64:D78)</f>
        <v>0</v>
      </c>
      <c r="E79" s="171">
        <f t="shared" ref="E79:F79" si="13">SUM(E64:E78)</f>
        <v>558323</v>
      </c>
      <c r="F79" s="171">
        <f t="shared" si="13"/>
        <v>-85298.979999999981</v>
      </c>
      <c r="G79" s="171">
        <f>SUM(G64:G78)</f>
        <v>473024.02</v>
      </c>
      <c r="H79" s="172">
        <f t="shared" si="11"/>
        <v>9.104338699616156E-2</v>
      </c>
      <c r="I79" s="336"/>
      <c r="J79" s="195"/>
      <c r="K79" s="168"/>
      <c r="M79" s="359">
        <f t="shared" si="12"/>
        <v>20.275354479211316</v>
      </c>
      <c r="N79" s="359">
        <f>SUMMARY!J82</f>
        <v>22.656344165426013</v>
      </c>
      <c r="P79"/>
      <c r="Q79"/>
    </row>
    <row r="80" spans="1:17" s="167" customFormat="1">
      <c r="A80" s="163"/>
      <c r="B80" s="170"/>
      <c r="C80" s="196"/>
      <c r="D80" s="196"/>
      <c r="E80" s="196"/>
      <c r="F80" s="196"/>
      <c r="G80" s="196"/>
      <c r="H80" s="197"/>
      <c r="I80" s="336"/>
      <c r="J80" s="168"/>
      <c r="K80" s="168"/>
      <c r="M80" s="359"/>
      <c r="N80" s="359"/>
      <c r="P80"/>
      <c r="Q80"/>
    </row>
    <row r="81" spans="1:17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0"/>
      <c r="J81" s="168"/>
      <c r="K81" s="168"/>
      <c r="M81" s="359"/>
      <c r="N81" s="359"/>
      <c r="P81"/>
      <c r="Q81"/>
    </row>
    <row r="82" spans="1:17" s="167" customFormat="1">
      <c r="A82" s="169" t="s">
        <v>85</v>
      </c>
      <c r="B82" s="148" t="s">
        <v>44</v>
      </c>
      <c r="C82" s="558">
        <f>'[9]Sch C'!D75</f>
        <v>30451</v>
      </c>
      <c r="D82" s="558">
        <f>'[9]Sch C'!F75</f>
        <v>1841</v>
      </c>
      <c r="E82" s="171">
        <f t="shared" ref="E82:E92" si="14">C82+D82</f>
        <v>32292</v>
      </c>
      <c r="F82" s="171">
        <v>7984</v>
      </c>
      <c r="G82" s="171">
        <f t="shared" ref="G82:G92" si="15">E82+F82</f>
        <v>40276</v>
      </c>
      <c r="H82" s="172">
        <f t="shared" ref="H82:H93" si="16">IF($G$208=0,0,G82/$G$208)</f>
        <v>7.7519603648402522E-3</v>
      </c>
      <c r="I82" s="336"/>
      <c r="J82" s="183">
        <f>2662+670</f>
        <v>3332</v>
      </c>
      <c r="K82" s="183">
        <f>2823+698</f>
        <v>3521</v>
      </c>
      <c r="M82" s="359">
        <f t="shared" ref="M82:M92" si="17">G82/G$228</f>
        <v>1.726360908701243</v>
      </c>
      <c r="N82" s="359">
        <f>SUMMARY!J85</f>
        <v>2.536968118505103</v>
      </c>
      <c r="P82"/>
      <c r="Q82"/>
    </row>
    <row r="83" spans="1:17" s="167" customFormat="1">
      <c r="A83" s="169" t="s">
        <v>86</v>
      </c>
      <c r="B83" s="199" t="s">
        <v>45</v>
      </c>
      <c r="C83" s="558">
        <f>'[9]Sch C'!D76</f>
        <v>0</v>
      </c>
      <c r="D83" s="558">
        <f>'[9]Sch C'!F76</f>
        <v>4185</v>
      </c>
      <c r="E83" s="171">
        <f t="shared" si="14"/>
        <v>4185</v>
      </c>
      <c r="F83" s="171">
        <v>1125</v>
      </c>
      <c r="G83" s="171">
        <f t="shared" si="15"/>
        <v>5310</v>
      </c>
      <c r="H83" s="172">
        <f t="shared" si="16"/>
        <v>1.0220207949474063E-3</v>
      </c>
      <c r="I83" s="336"/>
      <c r="J83" s="168"/>
      <c r="K83" s="168"/>
      <c r="M83" s="359">
        <f t="shared" si="17"/>
        <v>0.22760394342048865</v>
      </c>
      <c r="N83" s="359">
        <f>SUMMARY!J86</f>
        <v>0.51085058065727817</v>
      </c>
      <c r="P83"/>
      <c r="Q83"/>
    </row>
    <row r="84" spans="1:17" s="167" customFormat="1">
      <c r="A84" s="169" t="s">
        <v>93</v>
      </c>
      <c r="B84" s="199" t="s">
        <v>47</v>
      </c>
      <c r="C84" s="558">
        <f>'[9]Sch C'!D77</f>
        <v>8312</v>
      </c>
      <c r="D84" s="558">
        <f>'[9]Sch C'!F77</f>
        <v>0</v>
      </c>
      <c r="E84" s="171">
        <f t="shared" si="14"/>
        <v>8312</v>
      </c>
      <c r="F84" s="171">
        <v>2189</v>
      </c>
      <c r="G84" s="171">
        <f t="shared" si="15"/>
        <v>10501</v>
      </c>
      <c r="H84" s="172">
        <f t="shared" si="16"/>
        <v>2.0211375457142586E-3</v>
      </c>
      <c r="I84" s="336"/>
      <c r="J84" s="168"/>
      <c r="K84" s="168"/>
      <c r="M84" s="359">
        <f t="shared" si="17"/>
        <v>0.45010715816545221</v>
      </c>
      <c r="N84" s="359">
        <f>SUMMARY!J87</f>
        <v>0.62330034041531523</v>
      </c>
      <c r="P84"/>
      <c r="Q84"/>
    </row>
    <row r="85" spans="1:17" s="167" customFormat="1">
      <c r="A85" s="169">
        <v>230</v>
      </c>
      <c r="B85" s="199" t="s">
        <v>46</v>
      </c>
      <c r="C85" s="558">
        <f>'[9]Sch C'!D78</f>
        <v>0</v>
      </c>
      <c r="D85" s="558">
        <f>'[9]Sch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336"/>
      <c r="J85" s="168"/>
      <c r="K85" s="168"/>
      <c r="M85" s="359">
        <f t="shared" si="17"/>
        <v>0</v>
      </c>
      <c r="N85" s="359">
        <f>SUMMARY!J88</f>
        <v>0.23395364628104837</v>
      </c>
      <c r="P85"/>
      <c r="Q85"/>
    </row>
    <row r="86" spans="1:17" s="167" customFormat="1">
      <c r="A86" s="169">
        <v>240</v>
      </c>
      <c r="B86" s="200" t="s">
        <v>267</v>
      </c>
      <c r="C86" s="558">
        <f>'[9]Sch C'!D79</f>
        <v>6983</v>
      </c>
      <c r="D86" s="558">
        <f>'[9]Sch C'!F79</f>
        <v>0</v>
      </c>
      <c r="E86" s="171">
        <f t="shared" si="14"/>
        <v>6983</v>
      </c>
      <c r="F86" s="171">
        <v>800</v>
      </c>
      <c r="G86" s="171">
        <f>E86+F86</f>
        <v>7783</v>
      </c>
      <c r="H86" s="172">
        <f t="shared" si="16"/>
        <v>1.498001477792027E-3</v>
      </c>
      <c r="I86" s="336"/>
      <c r="J86" s="168"/>
      <c r="K86" s="168"/>
      <c r="M86" s="359">
        <f t="shared" si="17"/>
        <v>0.33360480068581227</v>
      </c>
      <c r="N86" s="359">
        <f>SUMMARY!J89</f>
        <v>0.42480855389944888</v>
      </c>
      <c r="P86"/>
      <c r="Q86"/>
    </row>
    <row r="87" spans="1:17" s="167" customFormat="1">
      <c r="A87" s="169">
        <v>310</v>
      </c>
      <c r="B87" s="199" t="s">
        <v>54</v>
      </c>
      <c r="C87" s="558">
        <f>'[9]Sch C'!D80</f>
        <v>14548</v>
      </c>
      <c r="D87" s="558">
        <f>'[9]Sch C'!F80</f>
        <v>0</v>
      </c>
      <c r="E87" s="171">
        <f t="shared" si="14"/>
        <v>14548</v>
      </c>
      <c r="F87" s="171">
        <v>2297</v>
      </c>
      <c r="G87" s="171">
        <f t="shared" si="15"/>
        <v>16845</v>
      </c>
      <c r="H87" s="172">
        <f t="shared" si="16"/>
        <v>3.2421733127851338E-3</v>
      </c>
      <c r="I87" s="336"/>
      <c r="J87" s="168"/>
      <c r="K87" s="168"/>
      <c r="M87" s="359">
        <f t="shared" si="17"/>
        <v>0.72203171881697381</v>
      </c>
      <c r="N87" s="359">
        <f>SUMMARY!J90</f>
        <v>1.0101009938069276</v>
      </c>
      <c r="P87"/>
      <c r="Q87"/>
    </row>
    <row r="88" spans="1:17" s="167" customFormat="1">
      <c r="A88" s="169">
        <v>320</v>
      </c>
      <c r="B88" s="201" t="s">
        <v>313</v>
      </c>
      <c r="C88" s="558">
        <f>'[9]Sch C'!D81</f>
        <v>6982</v>
      </c>
      <c r="D88" s="558">
        <f>'[9]Sch C'!F81</f>
        <v>0</v>
      </c>
      <c r="E88" s="171">
        <f t="shared" si="14"/>
        <v>6982</v>
      </c>
      <c r="F88" s="171">
        <v>4631</v>
      </c>
      <c r="G88" s="171">
        <f t="shared" si="15"/>
        <v>11613</v>
      </c>
      <c r="H88" s="172">
        <f t="shared" si="16"/>
        <v>2.2351652526787628E-3</v>
      </c>
      <c r="I88" s="336"/>
      <c r="J88" s="168"/>
      <c r="K88" s="168"/>
      <c r="M88" s="359">
        <f t="shared" si="17"/>
        <v>0.4977711101585941</v>
      </c>
      <c r="N88" s="359">
        <f>SUMMARY!J91</f>
        <v>0.64997885266319244</v>
      </c>
      <c r="P88"/>
      <c r="Q88"/>
    </row>
    <row r="89" spans="1:17" s="167" customFormat="1">
      <c r="A89" s="169">
        <v>330</v>
      </c>
      <c r="B89" s="201" t="s">
        <v>314</v>
      </c>
      <c r="C89" s="558">
        <f>'[9]Sch C'!D82</f>
        <v>2461</v>
      </c>
      <c r="D89" s="558">
        <f>'[9]Sch C'!F82</f>
        <v>0</v>
      </c>
      <c r="E89" s="171">
        <f t="shared" si="14"/>
        <v>2461</v>
      </c>
      <c r="F89" s="171">
        <v>-80</v>
      </c>
      <c r="G89" s="171">
        <f t="shared" si="15"/>
        <v>2381</v>
      </c>
      <c r="H89" s="172">
        <f t="shared" si="16"/>
        <v>4.5827335457057899E-4</v>
      </c>
      <c r="I89" s="336"/>
      <c r="J89" s="168"/>
      <c r="K89" s="168"/>
      <c r="M89" s="359">
        <f t="shared" si="17"/>
        <v>0.10205743677668239</v>
      </c>
      <c r="N89" s="359">
        <f>SUMMARY!J92</f>
        <v>0.42366280341015539</v>
      </c>
      <c r="P89"/>
      <c r="Q89"/>
    </row>
    <row r="90" spans="1:17" s="167" customFormat="1">
      <c r="A90" s="163">
        <v>340</v>
      </c>
      <c r="B90" s="201" t="s">
        <v>300</v>
      </c>
      <c r="C90" s="558">
        <f>'[9]Sch C'!D83</f>
        <v>0</v>
      </c>
      <c r="D90" s="558">
        <f>'[9]Sch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6"/>
      <c r="J90" s="168"/>
      <c r="K90" s="168"/>
      <c r="M90" s="359">
        <f t="shared" si="17"/>
        <v>0</v>
      </c>
      <c r="N90" s="359">
        <f>SUMMARY!J93</f>
        <v>0.18635465144944469</v>
      </c>
      <c r="P90"/>
      <c r="Q90"/>
    </row>
    <row r="91" spans="1:17" s="167" customFormat="1">
      <c r="A91" s="163">
        <v>350</v>
      </c>
      <c r="B91" s="199" t="s">
        <v>49</v>
      </c>
      <c r="C91" s="558">
        <f>'[9]Sch C'!D84</f>
        <v>91238</v>
      </c>
      <c r="D91" s="558">
        <f>'[9]Sch C'!F84</f>
        <v>0</v>
      </c>
      <c r="E91" s="171">
        <f t="shared" si="14"/>
        <v>91238</v>
      </c>
      <c r="F91" s="171">
        <v>20579</v>
      </c>
      <c r="G91" s="171">
        <f t="shared" si="15"/>
        <v>111817</v>
      </c>
      <c r="H91" s="172">
        <f t="shared" si="16"/>
        <v>2.1521525278462173E-2</v>
      </c>
      <c r="I91" s="336"/>
      <c r="J91" s="168"/>
      <c r="K91" s="168"/>
      <c r="M91" s="359">
        <f t="shared" si="17"/>
        <v>4.7928418345477928</v>
      </c>
      <c r="N91" s="359">
        <f>SUMMARY!J94</f>
        <v>4.7538617738038829</v>
      </c>
      <c r="P91"/>
      <c r="Q91"/>
    </row>
    <row r="92" spans="1:17" s="167" customFormat="1">
      <c r="A92" s="163">
        <v>490</v>
      </c>
      <c r="B92" s="148" t="s">
        <v>312</v>
      </c>
      <c r="C92" s="558">
        <f>'[9]Sch C'!D85</f>
        <v>0</v>
      </c>
      <c r="D92" s="558">
        <f>'[9]Sch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6"/>
      <c r="J92" s="168"/>
      <c r="K92" s="168"/>
      <c r="M92" s="359">
        <f t="shared" si="17"/>
        <v>0</v>
      </c>
      <c r="N92" s="359">
        <f>SUMMARY!J95</f>
        <v>0.10488413981894537</v>
      </c>
      <c r="P92"/>
      <c r="Q92"/>
    </row>
    <row r="93" spans="1:17" s="167" customFormat="1">
      <c r="A93" s="163"/>
      <c r="B93" s="170" t="s">
        <v>50</v>
      </c>
      <c r="C93" s="558">
        <f>SUM(C82:C92)</f>
        <v>160975</v>
      </c>
      <c r="D93" s="558">
        <f>SUM(D82:D92)</f>
        <v>6026</v>
      </c>
      <c r="E93" s="171">
        <f t="shared" ref="E93:F93" si="18">SUM(E82:E92)</f>
        <v>167001</v>
      </c>
      <c r="F93" s="171">
        <f t="shared" si="18"/>
        <v>39525</v>
      </c>
      <c r="G93" s="171">
        <f>SUM(G82:G92)</f>
        <v>206526</v>
      </c>
      <c r="H93" s="172">
        <f t="shared" si="16"/>
        <v>3.9750257381790589E-2</v>
      </c>
      <c r="I93" s="336"/>
      <c r="J93" s="168"/>
      <c r="K93" s="168"/>
      <c r="M93" s="364">
        <f>G93/G$228</f>
        <v>8.8523789112730391</v>
      </c>
      <c r="N93" s="359">
        <f>SUMMARY!J96</f>
        <v>11.458724454710746</v>
      </c>
      <c r="O93" s="354">
        <f>M93/N93-1</f>
        <v>-0.22745511978571253</v>
      </c>
      <c r="P93"/>
      <c r="Q93"/>
    </row>
    <row r="94" spans="1:17" s="167" customFormat="1">
      <c r="A94" s="163"/>
      <c r="C94" s="165"/>
      <c r="D94" s="165"/>
      <c r="E94" s="165"/>
      <c r="F94" s="165"/>
      <c r="G94" s="165"/>
      <c r="H94" s="198"/>
      <c r="I94" s="340"/>
      <c r="J94" s="168"/>
      <c r="K94" s="168"/>
      <c r="M94" s="359"/>
      <c r="N94" s="359"/>
      <c r="P94"/>
      <c r="Q94"/>
    </row>
    <row r="95" spans="1:17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0"/>
      <c r="J95" s="168"/>
      <c r="K95" s="168"/>
      <c r="M95" s="359"/>
      <c r="N95" s="359"/>
      <c r="P95"/>
      <c r="Q95"/>
    </row>
    <row r="96" spans="1:17" s="167" customFormat="1">
      <c r="A96" s="169" t="s">
        <v>85</v>
      </c>
      <c r="B96" s="170" t="s">
        <v>44</v>
      </c>
      <c r="C96" s="558">
        <f>'[9]Sch C'!D89</f>
        <v>126241</v>
      </c>
      <c r="D96" s="558">
        <f>'[9]Sch C'!F89</f>
        <v>7634</v>
      </c>
      <c r="E96" s="171">
        <f t="shared" ref="E96:E101" si="19">C96+D96</f>
        <v>133875</v>
      </c>
      <c r="F96" s="171">
        <v>29542</v>
      </c>
      <c r="G96" s="171">
        <f t="shared" ref="G96:G101" si="20">E96+F96</f>
        <v>163417</v>
      </c>
      <c r="H96" s="172">
        <f t="shared" ref="H96:H102" si="21">IF($G$208=0,0,G96/$G$208)</f>
        <v>3.1453026788685556E-2</v>
      </c>
      <c r="I96" s="336"/>
      <c r="J96" s="183">
        <f>9696+2178</f>
        <v>11874</v>
      </c>
      <c r="K96" s="183">
        <f>10282+2269</f>
        <v>12551</v>
      </c>
      <c r="M96" s="364">
        <f t="shared" ref="M96:M101" si="22">G96/G$228</f>
        <v>7.0045863694813546</v>
      </c>
      <c r="N96" s="359">
        <f>SUMMARY!J99</f>
        <v>8.3100610477681069</v>
      </c>
      <c r="P96"/>
      <c r="Q96"/>
    </row>
    <row r="97" spans="1:17" s="167" customFormat="1">
      <c r="A97" s="169" t="s">
        <v>86</v>
      </c>
      <c r="B97" s="170" t="s">
        <v>45</v>
      </c>
      <c r="C97" s="558">
        <f>'[9]Sch C'!D90</f>
        <v>0</v>
      </c>
      <c r="D97" s="558">
        <f>'[9]Sch C'!F90</f>
        <v>17351</v>
      </c>
      <c r="E97" s="171">
        <f t="shared" si="19"/>
        <v>17351</v>
      </c>
      <c r="F97" s="171">
        <v>4164</v>
      </c>
      <c r="G97" s="171">
        <f t="shared" si="20"/>
        <v>21515</v>
      </c>
      <c r="H97" s="172">
        <f t="shared" si="21"/>
        <v>4.1410126936522497E-3</v>
      </c>
      <c r="I97" s="336"/>
      <c r="J97" s="168"/>
      <c r="K97" s="168"/>
      <c r="M97" s="364">
        <f t="shared" si="22"/>
        <v>0.92220317188169743</v>
      </c>
      <c r="N97" s="359">
        <f>SUMMARY!J100</f>
        <v>1.5162882954735211</v>
      </c>
      <c r="P97"/>
      <c r="Q97"/>
    </row>
    <row r="98" spans="1:17" s="167" customFormat="1">
      <c r="A98" s="169">
        <v>310</v>
      </c>
      <c r="B98" s="170" t="s">
        <v>54</v>
      </c>
      <c r="C98" s="558">
        <f>'[9]Sch C'!D91</f>
        <v>8598</v>
      </c>
      <c r="D98" s="558">
        <f>'[9]Sch C'!F91</f>
        <v>0</v>
      </c>
      <c r="E98" s="171">
        <f t="shared" si="19"/>
        <v>8598</v>
      </c>
      <c r="F98" s="171">
        <v>4322</v>
      </c>
      <c r="G98" s="171">
        <f t="shared" si="20"/>
        <v>12920</v>
      </c>
      <c r="H98" s="172">
        <f t="shared" si="21"/>
        <v>2.4867247967458551E-3</v>
      </c>
      <c r="I98" s="336"/>
      <c r="J98" s="168"/>
      <c r="K98" s="168"/>
      <c r="M98" s="364">
        <f t="shared" si="22"/>
        <v>0.5537933990570082</v>
      </c>
      <c r="N98" s="359">
        <f>SUMMARY!J101</f>
        <v>2.5247120350104719</v>
      </c>
      <c r="P98"/>
      <c r="Q98"/>
    </row>
    <row r="99" spans="1:17" s="167" customFormat="1">
      <c r="A99" s="169">
        <v>380</v>
      </c>
      <c r="B99" s="170" t="s">
        <v>52</v>
      </c>
      <c r="C99" s="558">
        <f>'[9]Sch C'!D92</f>
        <v>140279</v>
      </c>
      <c r="D99" s="558">
        <f>'[9]Sch C'!F92</f>
        <v>0</v>
      </c>
      <c r="E99" s="171">
        <f t="shared" si="19"/>
        <v>140279</v>
      </c>
      <c r="F99" s="171">
        <v>27138</v>
      </c>
      <c r="G99" s="171">
        <f t="shared" si="20"/>
        <v>167417</v>
      </c>
      <c r="H99" s="172">
        <f t="shared" si="21"/>
        <v>3.2222910626687369E-2</v>
      </c>
      <c r="I99" s="336"/>
      <c r="J99" s="168"/>
      <c r="K99" s="168"/>
      <c r="M99" s="364">
        <f t="shared" si="22"/>
        <v>7.1760394342048865</v>
      </c>
      <c r="N99" s="359">
        <f>SUMMARY!J102</f>
        <v>6.7604047844643738</v>
      </c>
      <c r="P99"/>
      <c r="Q99"/>
    </row>
    <row r="100" spans="1:17" s="167" customFormat="1">
      <c r="A100" s="169">
        <v>390</v>
      </c>
      <c r="B100" s="170" t="s">
        <v>53</v>
      </c>
      <c r="C100" s="558">
        <f>'[9]Sch C'!D93</f>
        <v>11790</v>
      </c>
      <c r="D100" s="558">
        <f>'[9]Sch C'!F93</f>
        <v>0</v>
      </c>
      <c r="E100" s="171">
        <f t="shared" si="19"/>
        <v>11790</v>
      </c>
      <c r="F100" s="171">
        <v>1939</v>
      </c>
      <c r="G100" s="171">
        <f t="shared" si="20"/>
        <v>13729</v>
      </c>
      <c r="H100" s="172">
        <f t="shared" si="21"/>
        <v>2.6424338029817215E-3</v>
      </c>
      <c r="I100" s="336"/>
      <c r="J100" s="168"/>
      <c r="K100" s="168"/>
      <c r="M100" s="364">
        <f t="shared" si="22"/>
        <v>0.58846978139734252</v>
      </c>
      <c r="N100" s="359">
        <f>SUMMARY!J103</f>
        <v>0.72385493548615287</v>
      </c>
      <c r="P100"/>
      <c r="Q100"/>
    </row>
    <row r="101" spans="1:17" s="167" customFormat="1">
      <c r="A101" s="169">
        <v>490</v>
      </c>
      <c r="B101" s="202" t="s">
        <v>312</v>
      </c>
      <c r="C101" s="558">
        <f>'[9]Sch C'!D94</f>
        <v>109</v>
      </c>
      <c r="D101" s="558">
        <f>'[9]Sch C'!F94</f>
        <v>0</v>
      </c>
      <c r="E101" s="171">
        <f t="shared" si="19"/>
        <v>109</v>
      </c>
      <c r="F101" s="171">
        <v>0</v>
      </c>
      <c r="G101" s="171">
        <f t="shared" si="20"/>
        <v>109</v>
      </c>
      <c r="H101" s="172">
        <f t="shared" si="21"/>
        <v>2.0979334585549394E-5</v>
      </c>
      <c r="I101" s="336"/>
      <c r="J101" s="168"/>
      <c r="K101" s="168"/>
      <c r="M101" s="364">
        <f t="shared" si="22"/>
        <v>4.6720960137162449E-3</v>
      </c>
      <c r="N101" s="359">
        <f>SUMMARY!J104</f>
        <v>6.5755939582712558E-2</v>
      </c>
      <c r="P101"/>
      <c r="Q101"/>
    </row>
    <row r="102" spans="1:17" s="167" customFormat="1">
      <c r="A102" s="169"/>
      <c r="B102" s="170" t="s">
        <v>55</v>
      </c>
      <c r="C102" s="558">
        <f>SUM(C96:C101)</f>
        <v>287017</v>
      </c>
      <c r="D102" s="558">
        <f>SUM(D96:D101)</f>
        <v>24985</v>
      </c>
      <c r="E102" s="171">
        <f t="shared" ref="E102:F102" si="23">SUM(E96:E101)</f>
        <v>312002</v>
      </c>
      <c r="F102" s="171">
        <f t="shared" si="23"/>
        <v>67105</v>
      </c>
      <c r="G102" s="171">
        <f>SUM(G96:G101)</f>
        <v>379107</v>
      </c>
      <c r="H102" s="172">
        <f t="shared" si="21"/>
        <v>7.2967088043338305E-2</v>
      </c>
      <c r="I102" s="336"/>
      <c r="J102" s="168"/>
      <c r="K102" s="168"/>
      <c r="M102" s="364">
        <f>G102/G$228</f>
        <v>16.249764252036005</v>
      </c>
      <c r="N102" s="359">
        <f>SUMMARY!J105</f>
        <v>19.901077037785338</v>
      </c>
      <c r="O102" s="354">
        <f>M102/N102-1</f>
        <v>-0.18347312453575948</v>
      </c>
      <c r="P102"/>
      <c r="Q102"/>
    </row>
    <row r="103" spans="1:17" s="167" customFormat="1">
      <c r="A103" s="163"/>
      <c r="C103" s="165"/>
      <c r="D103" s="165"/>
      <c r="E103" s="165"/>
      <c r="F103" s="165"/>
      <c r="G103" s="165"/>
      <c r="H103" s="198"/>
      <c r="I103" s="340"/>
      <c r="J103" s="168"/>
      <c r="K103" s="168"/>
      <c r="M103" s="359"/>
      <c r="N103" s="359"/>
      <c r="P103"/>
      <c r="Q103"/>
    </row>
    <row r="104" spans="1:17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0"/>
      <c r="J104" s="168"/>
      <c r="K104" s="168"/>
      <c r="M104" s="359"/>
      <c r="N104" s="359"/>
      <c r="P104"/>
      <c r="Q104"/>
    </row>
    <row r="105" spans="1:17" s="167" customFormat="1">
      <c r="A105" s="169" t="s">
        <v>85</v>
      </c>
      <c r="B105" s="170" t="s">
        <v>44</v>
      </c>
      <c r="C105" s="558">
        <f>'[9]Sch C'!D98</f>
        <v>15931</v>
      </c>
      <c r="D105" s="558">
        <f>'[9]Sch C'!F98</f>
        <v>963</v>
      </c>
      <c r="E105" s="171">
        <f t="shared" ref="E105:E110" si="24">C105+D105</f>
        <v>16894</v>
      </c>
      <c r="F105" s="171">
        <v>3468</v>
      </c>
      <c r="G105" s="171">
        <f t="shared" ref="G105:G110" si="25">E105+F105</f>
        <v>20362</v>
      </c>
      <c r="H105" s="172">
        <f t="shared" ref="H105:H111" si="26">IF($G$208=0,0,G105/$G$208)</f>
        <v>3.9190936773482272E-3</v>
      </c>
      <c r="I105" s="336"/>
      <c r="J105" s="183">
        <f>1768+369</f>
        <v>2137</v>
      </c>
      <c r="K105" s="183">
        <f>1875+385</f>
        <v>2260</v>
      </c>
      <c r="M105" s="364">
        <f t="shared" ref="M105:M110" si="27">G105/G$228</f>
        <v>0.87278182597513931</v>
      </c>
      <c r="N105" s="359">
        <f>SUMMARY!J108</f>
        <v>1.037156498380404</v>
      </c>
      <c r="P105"/>
      <c r="Q105"/>
    </row>
    <row r="106" spans="1:17" s="167" customFormat="1">
      <c r="A106" s="169" t="s">
        <v>86</v>
      </c>
      <c r="B106" s="170" t="s">
        <v>45</v>
      </c>
      <c r="C106" s="558">
        <f>'[9]Sch C'!D99</f>
        <v>0</v>
      </c>
      <c r="D106" s="558">
        <f>'[9]Sch C'!F99</f>
        <v>2189</v>
      </c>
      <c r="E106" s="171">
        <f t="shared" si="24"/>
        <v>2189</v>
      </c>
      <c r="F106" s="171">
        <v>489</v>
      </c>
      <c r="G106" s="171">
        <f t="shared" si="25"/>
        <v>2678</v>
      </c>
      <c r="H106" s="172">
        <f t="shared" si="26"/>
        <v>5.1543722954221357E-4</v>
      </c>
      <c r="I106" s="336"/>
      <c r="J106" s="168"/>
      <c r="K106" s="168"/>
      <c r="M106" s="364">
        <f t="shared" si="27"/>
        <v>0.11478782683240463</v>
      </c>
      <c r="N106" s="359">
        <f>SUMMARY!J109</f>
        <v>0.20576729906268329</v>
      </c>
      <c r="P106"/>
      <c r="Q106"/>
    </row>
    <row r="107" spans="1:17" s="167" customFormat="1">
      <c r="A107" s="169">
        <v>110</v>
      </c>
      <c r="B107" s="170" t="s">
        <v>47</v>
      </c>
      <c r="C107" s="558">
        <f>'[9]Sch C'!D100</f>
        <v>3820</v>
      </c>
      <c r="D107" s="558">
        <f>'[9]Sch C'!F100</f>
        <v>0</v>
      </c>
      <c r="E107" s="171">
        <f t="shared" si="24"/>
        <v>3820</v>
      </c>
      <c r="F107" s="171">
        <v>0</v>
      </c>
      <c r="G107" s="171">
        <f t="shared" si="25"/>
        <v>3820</v>
      </c>
      <c r="H107" s="172">
        <f t="shared" si="26"/>
        <v>7.3523906529173117E-4</v>
      </c>
      <c r="I107" s="336"/>
      <c r="J107" s="168"/>
      <c r="K107" s="168"/>
      <c r="M107" s="364">
        <f t="shared" si="27"/>
        <v>0.16373767681097301</v>
      </c>
      <c r="N107" s="359">
        <f>SUMMARY!J110</f>
        <v>0.1677349841046627</v>
      </c>
      <c r="P107"/>
      <c r="Q107"/>
    </row>
    <row r="108" spans="1:17" s="167" customFormat="1">
      <c r="A108" s="169">
        <v>310</v>
      </c>
      <c r="B108" s="170" t="s">
        <v>54</v>
      </c>
      <c r="C108" s="558">
        <f>'[9]Sch C'!D101</f>
        <v>508</v>
      </c>
      <c r="D108" s="558">
        <f>'[9]Sch C'!F101</f>
        <v>0</v>
      </c>
      <c r="E108" s="171">
        <f t="shared" si="24"/>
        <v>508</v>
      </c>
      <c r="F108" s="563">
        <f>546+642</f>
        <v>1188</v>
      </c>
      <c r="G108" s="171">
        <f t="shared" si="25"/>
        <v>1696</v>
      </c>
      <c r="H108" s="172">
        <f t="shared" si="26"/>
        <v>3.2643074731276858E-4</v>
      </c>
      <c r="I108" s="336"/>
      <c r="J108" s="168"/>
      <c r="K108" s="168"/>
      <c r="M108" s="364">
        <f t="shared" si="27"/>
        <v>7.2696099442777537E-2</v>
      </c>
      <c r="N108" s="359">
        <f>SUMMARY!J111</f>
        <v>0.75134712715626728</v>
      </c>
      <c r="P108"/>
      <c r="Q108"/>
    </row>
    <row r="109" spans="1:17" s="167" customFormat="1">
      <c r="A109" s="169">
        <v>410</v>
      </c>
      <c r="B109" s="170" t="s">
        <v>57</v>
      </c>
      <c r="C109" s="558">
        <f>'[9]Sch C'!D102</f>
        <v>2704</v>
      </c>
      <c r="D109" s="558">
        <f>'[9]Sch C'!F102</f>
        <v>0</v>
      </c>
      <c r="E109" s="171">
        <f t="shared" si="24"/>
        <v>2704</v>
      </c>
      <c r="F109" s="171">
        <v>387</v>
      </c>
      <c r="G109" s="171">
        <f t="shared" si="25"/>
        <v>3091</v>
      </c>
      <c r="H109" s="172">
        <f t="shared" si="26"/>
        <v>5.9492773581590081E-4</v>
      </c>
      <c r="I109" s="336"/>
      <c r="J109" s="168"/>
      <c r="K109" s="168"/>
      <c r="M109" s="364">
        <f t="shared" si="27"/>
        <v>0.13249035576510931</v>
      </c>
      <c r="N109" s="359">
        <f>SUMMARY!J112</f>
        <v>0.24781104699146178</v>
      </c>
      <c r="P109"/>
      <c r="Q109"/>
    </row>
    <row r="110" spans="1:17" s="167" customFormat="1">
      <c r="A110" s="169">
        <v>490</v>
      </c>
      <c r="B110" s="202" t="s">
        <v>312</v>
      </c>
      <c r="C110" s="558">
        <f>'[9]Sch C'!D103</f>
        <v>0</v>
      </c>
      <c r="D110" s="558">
        <f>'[9]Sch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336"/>
      <c r="J110" s="168"/>
      <c r="K110" s="168"/>
      <c r="M110" s="364">
        <f t="shared" si="27"/>
        <v>0</v>
      </c>
      <c r="N110" s="359">
        <f>SUMMARY!J113</f>
        <v>1.442148153547029E-2</v>
      </c>
      <c r="P110"/>
      <c r="Q110"/>
    </row>
    <row r="111" spans="1:17" s="167" customFormat="1">
      <c r="A111" s="163"/>
      <c r="B111" s="170" t="s">
        <v>58</v>
      </c>
      <c r="C111" s="558">
        <f>SUM(C105:C110)</f>
        <v>22963</v>
      </c>
      <c r="D111" s="558">
        <f>SUM(D105:D110)</f>
        <v>3152</v>
      </c>
      <c r="E111" s="171">
        <f t="shared" ref="E111:F111" si="28">SUM(E105:E110)</f>
        <v>26115</v>
      </c>
      <c r="F111" s="171">
        <f t="shared" si="28"/>
        <v>5532</v>
      </c>
      <c r="G111" s="171">
        <f>SUM(G105:G110)</f>
        <v>31647</v>
      </c>
      <c r="H111" s="172">
        <f t="shared" si="26"/>
        <v>6.0911284553108415E-3</v>
      </c>
      <c r="I111" s="336"/>
      <c r="J111" s="168"/>
      <c r="K111" s="168"/>
      <c r="M111" s="364">
        <f>G111/G$228</f>
        <v>1.3564937848264038</v>
      </c>
      <c r="N111" s="359">
        <f>SUMMARY!J114</f>
        <v>2.4242384372309496</v>
      </c>
      <c r="O111" s="354">
        <f>M111/N111-1</f>
        <v>-0.44044539349197076</v>
      </c>
      <c r="P111"/>
      <c r="Q111"/>
    </row>
    <row r="112" spans="1:17" s="167" customFormat="1">
      <c r="A112" s="163"/>
      <c r="C112" s="165"/>
      <c r="D112" s="165"/>
      <c r="E112" s="165"/>
      <c r="F112" s="165"/>
      <c r="G112" s="165"/>
      <c r="H112" s="198"/>
      <c r="I112" s="340"/>
      <c r="J112" s="168"/>
      <c r="K112" s="168"/>
      <c r="M112" s="359"/>
      <c r="N112" s="359"/>
      <c r="P112"/>
      <c r="Q112"/>
    </row>
    <row r="113" spans="1:17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0"/>
      <c r="J113" s="168"/>
      <c r="K113" s="168"/>
      <c r="M113" s="359"/>
      <c r="N113" s="359"/>
      <c r="P113"/>
      <c r="Q113"/>
    </row>
    <row r="114" spans="1:17" s="167" customFormat="1">
      <c r="A114" s="169" t="s">
        <v>85</v>
      </c>
      <c r="B114" s="170" t="s">
        <v>44</v>
      </c>
      <c r="C114" s="558">
        <f>'[9]Sch C'!D115</f>
        <v>48045</v>
      </c>
      <c r="D114" s="558">
        <f>'[9]Sch C'!F115</f>
        <v>2905</v>
      </c>
      <c r="E114" s="171">
        <f t="shared" ref="E114:E118" si="29">C114+D114</f>
        <v>50950</v>
      </c>
      <c r="F114" s="171">
        <v>11525</v>
      </c>
      <c r="G114" s="171">
        <f>E114+F114</f>
        <v>62475</v>
      </c>
      <c r="H114" s="172">
        <f t="shared" ref="H114:H119" si="30">IF($G$208=0,0,G114/$G$208)</f>
        <v>1.2024623194790812E-2</v>
      </c>
      <c r="I114" s="336"/>
      <c r="J114" s="183">
        <f>4888+1125</f>
        <v>6013</v>
      </c>
      <c r="K114" s="183">
        <f>5184+1172</f>
        <v>6356</v>
      </c>
      <c r="M114" s="364">
        <f t="shared" ref="M114:M119" si="31">G114/G$228</f>
        <v>2.6778825546506644</v>
      </c>
      <c r="N114" s="359">
        <f>SUMMARY!J117</f>
        <v>3.2429359621060407</v>
      </c>
      <c r="P114"/>
      <c r="Q114"/>
    </row>
    <row r="115" spans="1:17" s="167" customFormat="1">
      <c r="A115" s="169" t="s">
        <v>86</v>
      </c>
      <c r="B115" s="170" t="s">
        <v>151</v>
      </c>
      <c r="C115" s="558">
        <f>'[9]Sch C'!D116</f>
        <v>0</v>
      </c>
      <c r="D115" s="558">
        <f>'[9]Sch C'!F116</f>
        <v>6604</v>
      </c>
      <c r="E115" s="171">
        <f t="shared" si="29"/>
        <v>6604</v>
      </c>
      <c r="F115" s="171">
        <v>1625</v>
      </c>
      <c r="G115" s="171">
        <f>E115+F115</f>
        <v>8229</v>
      </c>
      <c r="H115" s="172">
        <f t="shared" si="30"/>
        <v>1.5838435257292292E-3</v>
      </c>
      <c r="I115" s="336"/>
      <c r="J115" s="168"/>
      <c r="K115" s="168"/>
      <c r="M115" s="364">
        <f t="shared" si="31"/>
        <v>0.35272181740248609</v>
      </c>
      <c r="N115" s="359">
        <f>SUMMARY!J118</f>
        <v>0.64416765619740102</v>
      </c>
      <c r="P115"/>
      <c r="Q115"/>
    </row>
    <row r="116" spans="1:17" s="167" customFormat="1">
      <c r="A116" s="169" t="s">
        <v>93</v>
      </c>
      <c r="B116" s="170" t="s">
        <v>47</v>
      </c>
      <c r="C116" s="558">
        <f>'[9]Sch C'!D117</f>
        <v>9705</v>
      </c>
      <c r="D116" s="558">
        <f>'[9]Sch C'!F117</f>
        <v>0</v>
      </c>
      <c r="E116" s="171">
        <f t="shared" si="29"/>
        <v>9705</v>
      </c>
      <c r="F116" s="171">
        <v>3346</v>
      </c>
      <c r="G116" s="171">
        <f>E116+F116</f>
        <v>13051</v>
      </c>
      <c r="H116" s="172">
        <f t="shared" si="30"/>
        <v>2.5119384924404144E-3</v>
      </c>
      <c r="I116" s="336"/>
      <c r="J116" s="168"/>
      <c r="K116" s="168"/>
      <c r="M116" s="364">
        <f t="shared" si="31"/>
        <v>0.55940848692670386</v>
      </c>
      <c r="N116" s="359">
        <f>SUMMARY!J119</f>
        <v>0.86820957192988468</v>
      </c>
      <c r="P116"/>
      <c r="Q116"/>
    </row>
    <row r="117" spans="1:17" s="167" customFormat="1">
      <c r="A117" s="169">
        <v>310</v>
      </c>
      <c r="B117" s="170" t="s">
        <v>60</v>
      </c>
      <c r="C117" s="558">
        <f>'[9]Sch C'!D118</f>
        <v>1751</v>
      </c>
      <c r="D117" s="558">
        <f>'[9]Sch C'!F118</f>
        <v>0</v>
      </c>
      <c r="E117" s="171">
        <f t="shared" si="29"/>
        <v>1751</v>
      </c>
      <c r="F117" s="171">
        <v>224</v>
      </c>
      <c r="G117" s="171">
        <f>E117+F117</f>
        <v>1975</v>
      </c>
      <c r="H117" s="172">
        <f t="shared" si="30"/>
        <v>3.8013014501339502E-4</v>
      </c>
      <c r="I117" s="336"/>
      <c r="J117" s="168"/>
      <c r="K117" s="168"/>
      <c r="M117" s="364">
        <f t="shared" si="31"/>
        <v>8.4654950707243895E-2</v>
      </c>
      <c r="N117" s="359">
        <f>SUMMARY!J120</f>
        <v>1.260502321598151</v>
      </c>
      <c r="P117"/>
      <c r="Q117"/>
    </row>
    <row r="118" spans="1:17" s="167" customFormat="1">
      <c r="A118" s="169">
        <v>490</v>
      </c>
      <c r="B118" s="202" t="s">
        <v>312</v>
      </c>
      <c r="C118" s="558">
        <f>'[9]Sch C'!D119</f>
        <v>107</v>
      </c>
      <c r="D118" s="558">
        <f>'[9]Sch C'!F119</f>
        <v>0</v>
      </c>
      <c r="E118" s="171">
        <f t="shared" si="29"/>
        <v>107</v>
      </c>
      <c r="F118" s="171">
        <v>0</v>
      </c>
      <c r="G118" s="171">
        <f>E118+F118</f>
        <v>107</v>
      </c>
      <c r="H118" s="172">
        <f t="shared" si="30"/>
        <v>2.059439266654849E-5</v>
      </c>
      <c r="I118" s="336"/>
      <c r="J118" s="168"/>
      <c r="K118" s="168"/>
      <c r="M118" s="364">
        <f t="shared" si="31"/>
        <v>4.5863694813544796E-3</v>
      </c>
      <c r="N118" s="359">
        <f>SUMMARY!J121</f>
        <v>8.9442087594777155E-3</v>
      </c>
      <c r="P118"/>
      <c r="Q118"/>
    </row>
    <row r="119" spans="1:17" s="167" customFormat="1">
      <c r="A119" s="163"/>
      <c r="B119" s="170" t="s">
        <v>61</v>
      </c>
      <c r="C119" s="558">
        <f>SUM(C114:C118)</f>
        <v>59608</v>
      </c>
      <c r="D119" s="558">
        <f>SUM(D114:D118)</f>
        <v>9509</v>
      </c>
      <c r="E119" s="171">
        <f t="shared" ref="E119:F119" si="32">SUM(E114:E118)</f>
        <v>69117</v>
      </c>
      <c r="F119" s="171">
        <f t="shared" si="32"/>
        <v>16720</v>
      </c>
      <c r="G119" s="171">
        <f>SUM(G114:G118)</f>
        <v>85837</v>
      </c>
      <c r="H119" s="172">
        <f t="shared" si="30"/>
        <v>1.65211297506404E-2</v>
      </c>
      <c r="I119" s="336"/>
      <c r="J119" s="168"/>
      <c r="K119" s="168"/>
      <c r="M119" s="364">
        <f t="shared" si="31"/>
        <v>3.6792541791684528</v>
      </c>
      <c r="N119" s="359">
        <f>SUMMARY!J122</f>
        <v>6.0247597205909562</v>
      </c>
      <c r="O119" s="354">
        <f>M119/N119-1</f>
        <v>-0.38931105142769706</v>
      </c>
      <c r="P119"/>
      <c r="Q119"/>
    </row>
    <row r="120" spans="1:17" s="167" customFormat="1">
      <c r="A120" s="163"/>
      <c r="B120" s="170"/>
      <c r="C120" s="196"/>
      <c r="D120" s="196"/>
      <c r="E120" s="196"/>
      <c r="F120" s="196"/>
      <c r="G120" s="196"/>
      <c r="H120" s="197"/>
      <c r="I120" s="336"/>
      <c r="J120" s="203"/>
      <c r="K120" s="203"/>
      <c r="M120" s="359"/>
      <c r="N120" s="359"/>
      <c r="P120"/>
      <c r="Q120"/>
    </row>
    <row r="121" spans="1:17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0"/>
      <c r="J121" s="204"/>
      <c r="K121" s="204"/>
      <c r="M121" s="359"/>
      <c r="N121" s="359"/>
      <c r="P121"/>
      <c r="Q121"/>
    </row>
    <row r="122" spans="1:17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0"/>
      <c r="J122" s="204"/>
      <c r="K122" s="204"/>
      <c r="M122" s="359"/>
      <c r="N122" s="359"/>
      <c r="P122"/>
      <c r="Q122"/>
    </row>
    <row r="123" spans="1:17" s="167" customFormat="1">
      <c r="B123" s="163" t="s">
        <v>232</v>
      </c>
      <c r="C123" s="558">
        <f>'[9]Sch C'!D124</f>
        <v>0</v>
      </c>
      <c r="D123" s="558">
        <f>'[9]Sch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6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0.56496190692599402</v>
      </c>
      <c r="P123"/>
      <c r="Q123"/>
    </row>
    <row r="124" spans="1:17" s="167" customFormat="1">
      <c r="B124" s="163" t="s">
        <v>194</v>
      </c>
      <c r="C124" s="558">
        <f>'[9]Sch C'!D125</f>
        <v>110736</v>
      </c>
      <c r="D124" s="558">
        <f>'[9]Sch C'!F125</f>
        <v>6697</v>
      </c>
      <c r="E124" s="171">
        <f t="shared" si="33"/>
        <v>117433</v>
      </c>
      <c r="F124" s="171">
        <v>13712</v>
      </c>
      <c r="G124" s="171">
        <f>E124+F124</f>
        <v>131145</v>
      </c>
      <c r="H124" s="172">
        <f>IF($G$208=0,0,G124/$G$208)</f>
        <v>2.5241603983686932E-2</v>
      </c>
      <c r="I124" s="336"/>
      <c r="J124" s="183">
        <f>2812+334</f>
        <v>3146</v>
      </c>
      <c r="K124" s="183">
        <f>2982+348</f>
        <v>3330</v>
      </c>
      <c r="M124" s="364">
        <f t="shared" si="34"/>
        <v>5.6213030432918991</v>
      </c>
      <c r="N124" s="359">
        <f>SUMMARY!J127</f>
        <v>7.6528583695016472</v>
      </c>
      <c r="P124"/>
      <c r="Q124"/>
    </row>
    <row r="125" spans="1:17" s="167" customFormat="1">
      <c r="A125" s="163" t="s">
        <v>198</v>
      </c>
      <c r="B125" s="163" t="s">
        <v>195</v>
      </c>
      <c r="C125" s="558">
        <f>'[9]Sch C'!D126</f>
        <v>25847</v>
      </c>
      <c r="D125" s="558">
        <f>'[9]Sch C'!F126</f>
        <v>1563</v>
      </c>
      <c r="E125" s="171">
        <f t="shared" si="33"/>
        <v>27410</v>
      </c>
      <c r="F125" s="171">
        <v>0</v>
      </c>
      <c r="G125" s="171">
        <f>E125+F125</f>
        <v>27410</v>
      </c>
      <c r="H125" s="172">
        <f>IF($G$208=0,0,G125/$G$208)</f>
        <v>5.2756289999074217E-3</v>
      </c>
      <c r="I125" s="336"/>
      <c r="J125" s="183">
        <v>862</v>
      </c>
      <c r="K125" s="183">
        <v>914</v>
      </c>
      <c r="M125" s="364">
        <f t="shared" si="34"/>
        <v>1.1748821260180027</v>
      </c>
      <c r="N125" s="359">
        <f>SUMMARY!J128</f>
        <v>0.56709274435895785</v>
      </c>
      <c r="P125"/>
      <c r="Q125"/>
    </row>
    <row r="126" spans="1:17" s="167" customFormat="1">
      <c r="A126" s="169"/>
      <c r="B126" s="163" t="s">
        <v>196</v>
      </c>
      <c r="C126" s="558">
        <f>'[9]Sch C'!D127</f>
        <v>0</v>
      </c>
      <c r="D126" s="558">
        <f>'[9]Sch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6"/>
      <c r="J126" s="183">
        <v>0</v>
      </c>
      <c r="K126" s="183">
        <v>0</v>
      </c>
      <c r="M126" s="364">
        <f t="shared" si="34"/>
        <v>0</v>
      </c>
      <c r="N126" s="359">
        <f>SUMMARY!J129</f>
        <v>1.0158975245767685E-2</v>
      </c>
      <c r="P126"/>
      <c r="Q126"/>
    </row>
    <row r="127" spans="1:17" s="167" customFormat="1">
      <c r="A127" s="169"/>
      <c r="B127" s="163" t="s">
        <v>197</v>
      </c>
      <c r="C127" s="558">
        <f>'[9]Sch C'!D128</f>
        <v>25358</v>
      </c>
      <c r="D127" s="558">
        <f>'[9]Sch C'!F128</f>
        <v>1533</v>
      </c>
      <c r="E127" s="171">
        <f t="shared" si="33"/>
        <v>26891</v>
      </c>
      <c r="F127" s="171">
        <v>4793</v>
      </c>
      <c r="G127" s="171">
        <f>E127+F127</f>
        <v>31684</v>
      </c>
      <c r="H127" s="172">
        <f>IF($G$208=0,0,G127/$G$208)</f>
        <v>6.098249880812358E-3</v>
      </c>
      <c r="I127" s="336"/>
      <c r="J127" s="183">
        <f>1691+307</f>
        <v>1998</v>
      </c>
      <c r="K127" s="183">
        <f>1793+320</f>
        <v>2113</v>
      </c>
      <c r="M127" s="364">
        <f t="shared" si="34"/>
        <v>1.3580797256750965</v>
      </c>
      <c r="N127" s="359">
        <f>SUMMARY!J130</f>
        <v>3.5158276990454227</v>
      </c>
      <c r="P127"/>
      <c r="Q127"/>
    </row>
    <row r="128" spans="1:17" s="167" customFormat="1">
      <c r="A128" s="169" t="s">
        <v>95</v>
      </c>
      <c r="B128" s="170" t="s">
        <v>152</v>
      </c>
      <c r="C128" s="562"/>
      <c r="D128" s="562"/>
      <c r="E128" s="205"/>
      <c r="F128" s="205"/>
      <c r="G128" s="205"/>
      <c r="H128" s="206"/>
      <c r="I128" s="341"/>
      <c r="J128" s="207"/>
      <c r="K128" s="207"/>
      <c r="M128" s="364"/>
      <c r="N128" s="359"/>
      <c r="P128"/>
      <c r="Q128"/>
    </row>
    <row r="129" spans="1:17" s="167" customFormat="1">
      <c r="A129" s="169"/>
      <c r="B129" s="163" t="s">
        <v>232</v>
      </c>
      <c r="C129" s="558">
        <f>'[9]Sch C'!D130</f>
        <v>0</v>
      </c>
      <c r="D129" s="558">
        <f>'[9]Sch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6"/>
      <c r="J129" s="204"/>
      <c r="K129" s="204"/>
      <c r="M129" s="364">
        <f t="shared" si="34"/>
        <v>0</v>
      </c>
      <c r="N129" s="359">
        <f>SUMMARY!J132</f>
        <v>0.13432903677023547</v>
      </c>
      <c r="P129"/>
      <c r="Q129"/>
    </row>
    <row r="130" spans="1:17" s="167" customFormat="1">
      <c r="A130" s="169"/>
      <c r="B130" s="163" t="s">
        <v>194</v>
      </c>
      <c r="C130" s="558">
        <f>'[9]Sch C'!D131</f>
        <v>0</v>
      </c>
      <c r="D130" s="558">
        <f>'[9]Sch C'!F131</f>
        <v>15219</v>
      </c>
      <c r="E130" s="171">
        <f t="shared" si="35"/>
        <v>15219</v>
      </c>
      <c r="F130" s="171">
        <v>1933</v>
      </c>
      <c r="G130" s="171">
        <f>E130+F130</f>
        <v>17152</v>
      </c>
      <c r="H130" s="172">
        <f>IF($G$208=0,0,G130/$G$208)</f>
        <v>3.301261897351773E-3</v>
      </c>
      <c r="I130" s="336"/>
      <c r="J130" s="204"/>
      <c r="K130" s="204"/>
      <c r="M130" s="364">
        <f t="shared" si="34"/>
        <v>0.73519074153450492</v>
      </c>
      <c r="N130" s="359">
        <f>SUMMARY!J133</f>
        <v>1.2770660565872531</v>
      </c>
      <c r="P130"/>
      <c r="Q130"/>
    </row>
    <row r="131" spans="1:17" s="167" customFormat="1">
      <c r="B131" s="163" t="s">
        <v>195</v>
      </c>
      <c r="C131" s="558">
        <f>'[9]Sch C'!D132</f>
        <v>0</v>
      </c>
      <c r="D131" s="558">
        <f>'[9]Sch C'!F132</f>
        <v>3552</v>
      </c>
      <c r="E131" s="171">
        <f t="shared" si="35"/>
        <v>3552</v>
      </c>
      <c r="F131" s="171">
        <v>0</v>
      </c>
      <c r="G131" s="171">
        <f>E131+F131</f>
        <v>3552</v>
      </c>
      <c r="H131" s="172">
        <f>IF($G$208=0,0,G131/$G$208)</f>
        <v>6.8365684814560967E-4</v>
      </c>
      <c r="I131" s="336"/>
      <c r="J131" s="168"/>
      <c r="K131" s="168"/>
      <c r="M131" s="364">
        <f t="shared" si="34"/>
        <v>0.15225032147449635</v>
      </c>
      <c r="N131" s="359">
        <f>SUMMARY!J134</f>
        <v>7.5896927014028476E-2</v>
      </c>
      <c r="P131"/>
      <c r="Q131"/>
    </row>
    <row r="132" spans="1:17" s="167" customFormat="1">
      <c r="B132" s="163" t="s">
        <v>196</v>
      </c>
      <c r="C132" s="558">
        <f>'[9]Sch C'!D133</f>
        <v>0</v>
      </c>
      <c r="D132" s="558">
        <f>'[9]Sch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6"/>
      <c r="J132" s="168"/>
      <c r="K132" s="168"/>
      <c r="M132" s="364">
        <f t="shared" si="34"/>
        <v>0</v>
      </c>
      <c r="N132" s="359">
        <f>SUMMARY!J135</f>
        <v>1.8821090394045043E-3</v>
      </c>
      <c r="P132"/>
      <c r="Q132"/>
    </row>
    <row r="133" spans="1:17" s="167" customFormat="1">
      <c r="B133" s="163" t="s">
        <v>197</v>
      </c>
      <c r="C133" s="558">
        <f>'[9]Sch C'!D134</f>
        <v>0</v>
      </c>
      <c r="D133" s="558">
        <f>'[9]Sch C'!F134</f>
        <v>3485</v>
      </c>
      <c r="E133" s="171">
        <f t="shared" si="35"/>
        <v>3485</v>
      </c>
      <c r="F133" s="171">
        <v>675</v>
      </c>
      <c r="G133" s="171">
        <f>E133+F133</f>
        <v>4160</v>
      </c>
      <c r="H133" s="172">
        <f>IF($G$208=0,0,G133/$G$208)</f>
        <v>8.0067919152188515E-4</v>
      </c>
      <c r="I133" s="336"/>
      <c r="J133" s="168"/>
      <c r="K133" s="168"/>
      <c r="M133" s="364">
        <f t="shared" si="34"/>
        <v>0.17831118731247322</v>
      </c>
      <c r="N133" s="359">
        <f>SUMMARY!J136</f>
        <v>0.68147708722106659</v>
      </c>
      <c r="P133"/>
      <c r="Q133"/>
    </row>
    <row r="134" spans="1:17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6"/>
      <c r="J134" s="204"/>
      <c r="K134" s="204"/>
      <c r="M134" s="364"/>
      <c r="N134" s="359"/>
      <c r="P134"/>
      <c r="Q134"/>
    </row>
    <row r="135" spans="1:17" s="167" customFormat="1">
      <c r="A135" s="169"/>
      <c r="B135" s="163" t="s">
        <v>194</v>
      </c>
      <c r="C135" s="558">
        <f>'[9]Sch C'!D136</f>
        <v>317208</v>
      </c>
      <c r="D135" s="558">
        <f>'[9]Sch C'!F136</f>
        <v>19183</v>
      </c>
      <c r="E135" s="171">
        <f t="shared" ref="E135:E138" si="36">C135+D135</f>
        <v>336391</v>
      </c>
      <c r="F135" s="171">
        <v>66629</v>
      </c>
      <c r="G135" s="171">
        <f>E135+F135</f>
        <v>403020</v>
      </c>
      <c r="H135" s="172">
        <f>IF($G$208=0,0,G135/$G$208)</f>
        <v>7.7569646097872633E-2</v>
      </c>
      <c r="I135" s="336"/>
      <c r="J135" s="183">
        <f>10203+2057</f>
        <v>12260</v>
      </c>
      <c r="K135" s="183">
        <f>10820+2143</f>
        <v>12963</v>
      </c>
      <c r="M135" s="364">
        <f t="shared" si="34"/>
        <v>17.27475353621946</v>
      </c>
      <c r="N135" s="359">
        <f>SUMMARY!J138</f>
        <v>22.831883555057285</v>
      </c>
      <c r="P135"/>
      <c r="Q135"/>
    </row>
    <row r="136" spans="1:17" s="167" customFormat="1">
      <c r="A136" s="169"/>
      <c r="B136" s="163" t="s">
        <v>195</v>
      </c>
      <c r="C136" s="558">
        <f>'[9]Sch C'!D137</f>
        <v>264053</v>
      </c>
      <c r="D136" s="558">
        <f>'[9]Sch C'!F137</f>
        <v>15968</v>
      </c>
      <c r="E136" s="171">
        <f t="shared" si="36"/>
        <v>280021</v>
      </c>
      <c r="F136" s="171">
        <v>53465</v>
      </c>
      <c r="G136" s="171">
        <f>E136+F136</f>
        <v>333486</v>
      </c>
      <c r="H136" s="172">
        <f>IF($G$208=0,0,G136/$G$208)</f>
        <v>6.4186370399968121E-2</v>
      </c>
      <c r="I136" s="336"/>
      <c r="J136" s="183">
        <f>10351+2012</f>
        <v>12363</v>
      </c>
      <c r="K136" s="183">
        <f>10977+2096</f>
        <v>13073</v>
      </c>
      <c r="M136" s="364">
        <f t="shared" si="34"/>
        <v>14.294299185597943</v>
      </c>
      <c r="N136" s="359">
        <f>SUMMARY!J139</f>
        <v>12.148107264801752</v>
      </c>
      <c r="P136"/>
      <c r="Q136"/>
    </row>
    <row r="137" spans="1:17" s="167" customFormat="1">
      <c r="A137" s="169"/>
      <c r="B137" s="163" t="s">
        <v>196</v>
      </c>
      <c r="C137" s="558">
        <f>'[9]Sch C'!D138</f>
        <v>437907</v>
      </c>
      <c r="D137" s="558">
        <f>'[9]Sch C'!F138</f>
        <v>26482</v>
      </c>
      <c r="E137" s="171">
        <f t="shared" si="36"/>
        <v>464389</v>
      </c>
      <c r="F137" s="171">
        <v>97498</v>
      </c>
      <c r="G137" s="171">
        <f>E137+F137</f>
        <v>561887</v>
      </c>
      <c r="H137" s="172">
        <f>IF($G$208=0,0,G137/$G$208)</f>
        <v>0.10814693002083113</v>
      </c>
      <c r="I137" s="336"/>
      <c r="J137" s="183">
        <f>34292+7328</f>
        <v>41620</v>
      </c>
      <c r="K137" s="183">
        <f>36366+7635</f>
        <v>44001</v>
      </c>
      <c r="M137" s="364">
        <f t="shared" si="34"/>
        <v>24.084312044577796</v>
      </c>
      <c r="N137" s="359">
        <f>SUMMARY!J140</f>
        <v>29.755103028612584</v>
      </c>
      <c r="P137"/>
      <c r="Q137"/>
    </row>
    <row r="138" spans="1:17" s="167" customFormat="1">
      <c r="A138" s="169"/>
      <c r="B138" s="163" t="s">
        <v>197</v>
      </c>
      <c r="C138" s="558">
        <f>'[9]Sch C'!D139</f>
        <v>77310</v>
      </c>
      <c r="D138" s="558">
        <f>'[9]Sch C'!F139</f>
        <v>4675</v>
      </c>
      <c r="E138" s="171">
        <f t="shared" si="36"/>
        <v>81985</v>
      </c>
      <c r="F138" s="171">
        <v>12201</v>
      </c>
      <c r="G138" s="171">
        <f>E138+F138</f>
        <v>94186</v>
      </c>
      <c r="H138" s="172">
        <f>IF($G$208=0,0,G138/$G$208)</f>
        <v>1.8128069791509681E-2</v>
      </c>
      <c r="I138" s="336"/>
      <c r="J138" s="183">
        <f>5979+906</f>
        <v>6885</v>
      </c>
      <c r="K138" s="183">
        <f>6341+944</f>
        <v>7285</v>
      </c>
      <c r="M138" s="364">
        <f t="shared" si="34"/>
        <v>4.0371195885126445</v>
      </c>
      <c r="N138" s="359">
        <f>SUMMARY!J141</f>
        <v>2.6137536270315449</v>
      </c>
      <c r="P138"/>
      <c r="Q138"/>
    </row>
    <row r="139" spans="1:17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6"/>
      <c r="J139" s="404"/>
      <c r="K139" s="404"/>
      <c r="M139" s="364"/>
      <c r="N139" s="359"/>
      <c r="P139"/>
      <c r="Q139"/>
    </row>
    <row r="140" spans="1:17" s="167" customFormat="1">
      <c r="A140" s="169"/>
      <c r="B140" s="163" t="s">
        <v>194</v>
      </c>
      <c r="C140" s="558">
        <f>'[9]Sch C'!D141</f>
        <v>0</v>
      </c>
      <c r="D140" s="558">
        <f>'[9]Sch C'!F141</f>
        <v>43598</v>
      </c>
      <c r="E140" s="171">
        <f t="shared" ref="E140:E143" si="37">C140+D140</f>
        <v>43598</v>
      </c>
      <c r="F140" s="171">
        <v>9390</v>
      </c>
      <c r="G140" s="171">
        <f>E140+F140</f>
        <v>52988</v>
      </c>
      <c r="H140" s="172">
        <f>IF($G$208=0,0,G140/$G$208)</f>
        <v>1.0198651202010012E-2</v>
      </c>
      <c r="I140" s="336"/>
      <c r="J140" s="168"/>
      <c r="K140" s="168"/>
      <c r="M140" s="364">
        <f t="shared" si="34"/>
        <v>2.2712387483926277</v>
      </c>
      <c r="N140" s="359">
        <f>SUMMARY!J143</f>
        <v>4.2102596407658526</v>
      </c>
      <c r="P140"/>
      <c r="Q140"/>
    </row>
    <row r="141" spans="1:17" s="167" customFormat="1">
      <c r="A141" s="169"/>
      <c r="B141" s="163" t="s">
        <v>195</v>
      </c>
      <c r="C141" s="558">
        <f>'[9]Sch C'!D142</f>
        <v>0</v>
      </c>
      <c r="D141" s="558">
        <f>'[9]Sch C'!F142</f>
        <v>36293</v>
      </c>
      <c r="E141" s="171">
        <f t="shared" si="37"/>
        <v>36293</v>
      </c>
      <c r="F141" s="171">
        <v>7535</v>
      </c>
      <c r="G141" s="171">
        <f>E141+F141</f>
        <v>43828</v>
      </c>
      <c r="H141" s="172">
        <f>IF($G$208=0,0,G141/$G$208)</f>
        <v>8.435617212985861E-3</v>
      </c>
      <c r="I141" s="336"/>
      <c r="J141" s="168"/>
      <c r="K141" s="168"/>
      <c r="M141" s="364">
        <f t="shared" si="34"/>
        <v>1.8786112301757394</v>
      </c>
      <c r="N141" s="359">
        <f>SUMMARY!J144</f>
        <v>2.2256603513522144</v>
      </c>
      <c r="P141"/>
      <c r="Q141"/>
    </row>
    <row r="142" spans="1:17" s="167" customFormat="1">
      <c r="A142" s="169"/>
      <c r="B142" s="163" t="s">
        <v>196</v>
      </c>
      <c r="C142" s="558">
        <f>'[9]Sch C'!D143</f>
        <v>0</v>
      </c>
      <c r="D142" s="558">
        <f>'[9]Sch C'!F143</f>
        <v>60188</v>
      </c>
      <c r="E142" s="171">
        <f t="shared" si="37"/>
        <v>60188</v>
      </c>
      <c r="F142" s="171">
        <v>13741</v>
      </c>
      <c r="G142" s="171">
        <f>E142+F142</f>
        <v>73929</v>
      </c>
      <c r="H142" s="172">
        <f>IF($G$208=0,0,G142/$G$208)</f>
        <v>1.4229185564909003E-2</v>
      </c>
      <c r="I142" s="336"/>
      <c r="J142" s="168"/>
      <c r="K142" s="168"/>
      <c r="M142" s="364">
        <f t="shared" si="34"/>
        <v>3.1688384054864982</v>
      </c>
      <c r="N142" s="359">
        <f>SUMMARY!J145</f>
        <v>5.5063490246705751</v>
      </c>
      <c r="P142"/>
      <c r="Q142"/>
    </row>
    <row r="143" spans="1:17" s="167" customFormat="1">
      <c r="A143" s="169"/>
      <c r="B143" s="163" t="s">
        <v>197</v>
      </c>
      <c r="C143" s="558">
        <f>'[9]Sch C'!D144</f>
        <v>0</v>
      </c>
      <c r="D143" s="558">
        <f>'[9]Sch C'!F144</f>
        <v>10626</v>
      </c>
      <c r="E143" s="171">
        <f t="shared" si="37"/>
        <v>10626</v>
      </c>
      <c r="F143" s="171">
        <v>1720</v>
      </c>
      <c r="G143" s="171">
        <f>E143+F143</f>
        <v>12346</v>
      </c>
      <c r="H143" s="172">
        <f>IF($G$208=0,0,G143/$G$208)</f>
        <v>2.376246465992595E-3</v>
      </c>
      <c r="I143" s="336"/>
      <c r="J143" s="168"/>
      <c r="K143" s="168"/>
      <c r="M143" s="364">
        <f t="shared" si="34"/>
        <v>0.52918988426918134</v>
      </c>
      <c r="N143" s="359">
        <f>SUMMARY!J146</f>
        <v>0.55064368222190041</v>
      </c>
      <c r="P143"/>
      <c r="Q143"/>
    </row>
    <row r="144" spans="1:17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6"/>
      <c r="J144" s="204"/>
      <c r="K144" s="204"/>
      <c r="M144" s="364"/>
      <c r="N144" s="359"/>
      <c r="P144"/>
      <c r="Q144"/>
    </row>
    <row r="145" spans="1:17" s="167" customFormat="1">
      <c r="A145" s="169"/>
      <c r="B145" s="163" t="s">
        <v>232</v>
      </c>
      <c r="C145" s="558">
        <f>'[9]Sch C'!D146</f>
        <v>23000</v>
      </c>
      <c r="D145" s="558">
        <f>'[9]Sch C'!F146</f>
        <v>0</v>
      </c>
      <c r="E145" s="171">
        <f t="shared" ref="E145:E153" si="38">C145+D145</f>
        <v>23000</v>
      </c>
      <c r="F145" s="171">
        <v>4000</v>
      </c>
      <c r="G145" s="171">
        <f t="shared" ref="G145:G153" si="39">E145+F145</f>
        <v>27000</v>
      </c>
      <c r="H145" s="172">
        <f t="shared" ref="H145:H153" si="40">IF($G$208=0,0,G145/$G$208)</f>
        <v>5.1967159065122353E-3</v>
      </c>
      <c r="I145" s="336"/>
      <c r="J145" s="183">
        <v>0</v>
      </c>
      <c r="K145" s="183">
        <v>0</v>
      </c>
      <c r="M145" s="364">
        <f t="shared" si="34"/>
        <v>1.1573081868838406</v>
      </c>
      <c r="N145" s="359">
        <f>SUMMARY!J148</f>
        <v>1.6451259729597054</v>
      </c>
      <c r="P145"/>
      <c r="Q145"/>
    </row>
    <row r="146" spans="1:17" s="167" customFormat="1">
      <c r="A146" s="169"/>
      <c r="B146" s="163" t="s">
        <v>194</v>
      </c>
      <c r="C146" s="558">
        <f>'[9]Sch C'!D147</f>
        <v>0</v>
      </c>
      <c r="D146" s="558">
        <f>'[9]Sch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6"/>
      <c r="J146" s="183">
        <v>0</v>
      </c>
      <c r="K146" s="183">
        <v>0</v>
      </c>
      <c r="M146" s="364">
        <f t="shared" si="34"/>
        <v>0</v>
      </c>
      <c r="N146" s="359">
        <f>SUMMARY!J149</f>
        <v>0.46540336428082985</v>
      </c>
      <c r="P146"/>
      <c r="Q146"/>
    </row>
    <row r="147" spans="1:17" s="167" customFormat="1">
      <c r="A147" s="169"/>
      <c r="B147" s="163" t="s">
        <v>195</v>
      </c>
      <c r="C147" s="558">
        <f>'[9]Sch C'!D148</f>
        <v>0</v>
      </c>
      <c r="D147" s="558">
        <f>'[9]Sch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6"/>
      <c r="J147" s="183">
        <v>0</v>
      </c>
      <c r="K147" s="183">
        <v>0</v>
      </c>
      <c r="M147" s="364">
        <f t="shared" si="34"/>
        <v>0</v>
      </c>
      <c r="N147" s="359">
        <f>SUMMARY!J150</f>
        <v>0.21006426087323665</v>
      </c>
      <c r="P147"/>
      <c r="Q147"/>
    </row>
    <row r="148" spans="1:17" s="167" customFormat="1">
      <c r="A148" s="169"/>
      <c r="B148" s="163" t="s">
        <v>196</v>
      </c>
      <c r="C148" s="558">
        <f>'[9]Sch C'!D149</f>
        <v>755</v>
      </c>
      <c r="D148" s="558">
        <f>'[9]Sch C'!F149</f>
        <v>0</v>
      </c>
      <c r="E148" s="171">
        <f t="shared" si="38"/>
        <v>755</v>
      </c>
      <c r="F148" s="171">
        <v>5600</v>
      </c>
      <c r="G148" s="171">
        <f t="shared" si="39"/>
        <v>6355</v>
      </c>
      <c r="H148" s="172">
        <f t="shared" si="40"/>
        <v>1.22315294762538E-3</v>
      </c>
      <c r="I148" s="336"/>
      <c r="J148" s="183">
        <f>50.3333333333333+329</f>
        <v>379.33333333333331</v>
      </c>
      <c r="K148" s="183">
        <v>329</v>
      </c>
      <c r="M148" s="364">
        <f t="shared" si="34"/>
        <v>0.27239605657951138</v>
      </c>
      <c r="N148" s="359">
        <f>SUMMARY!J151</f>
        <v>0.30946371189888716</v>
      </c>
      <c r="P148"/>
      <c r="Q148"/>
    </row>
    <row r="149" spans="1:17" s="167" customFormat="1">
      <c r="A149" s="169"/>
      <c r="B149" s="163" t="s">
        <v>197</v>
      </c>
      <c r="C149" s="558">
        <f>'[9]Sch C'!D150</f>
        <v>6977</v>
      </c>
      <c r="D149" s="558">
        <f>'[9]Sch C'!F150</f>
        <v>0</v>
      </c>
      <c r="E149" s="171">
        <f t="shared" si="38"/>
        <v>6977</v>
      </c>
      <c r="F149" s="171">
        <v>1196</v>
      </c>
      <c r="G149" s="171">
        <f t="shared" si="39"/>
        <v>8173</v>
      </c>
      <c r="H149" s="172">
        <f t="shared" si="40"/>
        <v>1.5730651519972037E-3</v>
      </c>
      <c r="I149" s="336"/>
      <c r="J149" s="183">
        <v>0</v>
      </c>
      <c r="K149" s="183">
        <v>0</v>
      </c>
      <c r="M149" s="364">
        <f t="shared" si="34"/>
        <v>0.35032147449635664</v>
      </c>
      <c r="N149" s="359">
        <f>SUMMARY!J152</f>
        <v>0.63962211863516594</v>
      </c>
      <c r="P149"/>
      <c r="Q149"/>
    </row>
    <row r="150" spans="1:17" s="167" customFormat="1">
      <c r="A150" s="169">
        <v>110</v>
      </c>
      <c r="B150" s="167" t="s">
        <v>65</v>
      </c>
      <c r="C150" s="558">
        <f>'[9]Sch C'!D151</f>
        <v>73105</v>
      </c>
      <c r="D150" s="558">
        <f>'[9]Sch C'!F151</f>
        <v>0</v>
      </c>
      <c r="E150" s="171">
        <f t="shared" si="38"/>
        <v>73105</v>
      </c>
      <c r="F150" s="171">
        <v>14119</v>
      </c>
      <c r="G150" s="171">
        <f t="shared" si="39"/>
        <v>87224</v>
      </c>
      <c r="H150" s="172">
        <f t="shared" si="40"/>
        <v>1.6788086971467529E-2</v>
      </c>
      <c r="I150" s="336"/>
      <c r="J150" s="168"/>
      <c r="K150" s="168"/>
      <c r="M150" s="364">
        <f t="shared" si="34"/>
        <v>3.7387055293613374</v>
      </c>
      <c r="N150" s="359">
        <f>SUMMARY!J153</f>
        <v>5.6321022575023187</v>
      </c>
      <c r="P150"/>
      <c r="Q150"/>
    </row>
    <row r="151" spans="1:17" s="167" customFormat="1">
      <c r="A151" s="169">
        <v>111</v>
      </c>
      <c r="B151" s="170" t="s">
        <v>97</v>
      </c>
      <c r="C151" s="558">
        <f>'[9]Sch C'!D152</f>
        <v>2896</v>
      </c>
      <c r="D151" s="558">
        <f>'[9]Sch C'!F152</f>
        <v>0</v>
      </c>
      <c r="E151" s="171">
        <f t="shared" si="38"/>
        <v>2896</v>
      </c>
      <c r="F151" s="171">
        <v>638</v>
      </c>
      <c r="G151" s="171">
        <f t="shared" si="39"/>
        <v>3534</v>
      </c>
      <c r="H151" s="172">
        <f t="shared" si="40"/>
        <v>6.8019237087460147E-4</v>
      </c>
      <c r="I151" s="336"/>
      <c r="J151" s="168"/>
      <c r="K151" s="168"/>
      <c r="M151" s="364">
        <f t="shared" si="34"/>
        <v>0.15147878268324047</v>
      </c>
      <c r="N151" s="359">
        <f>SUMMARY!J154</f>
        <v>0.34937544615199928</v>
      </c>
      <c r="P151"/>
      <c r="Q151"/>
    </row>
    <row r="152" spans="1:17" s="167" customFormat="1">
      <c r="A152" s="169">
        <v>230</v>
      </c>
      <c r="B152" s="170" t="s">
        <v>66</v>
      </c>
      <c r="C152" s="558">
        <f>'[9]Sch C'!D153</f>
        <v>0</v>
      </c>
      <c r="D152" s="558">
        <f>'[9]Sch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6"/>
      <c r="J152" s="168"/>
      <c r="K152" s="168"/>
      <c r="M152" s="364">
        <f t="shared" si="34"/>
        <v>0</v>
      </c>
      <c r="N152" s="359">
        <f>SUMMARY!J155</f>
        <v>0.16440170079037233</v>
      </c>
      <c r="P152"/>
      <c r="Q152"/>
    </row>
    <row r="153" spans="1:17" s="167" customFormat="1">
      <c r="A153" s="169">
        <v>430</v>
      </c>
      <c r="B153" s="170" t="s">
        <v>99</v>
      </c>
      <c r="C153" s="558">
        <f>'[9]Sch C'!D154</f>
        <v>0</v>
      </c>
      <c r="D153" s="558">
        <f>'[9]Sch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6"/>
      <c r="J153" s="168"/>
      <c r="K153" s="168"/>
      <c r="M153" s="364">
        <f t="shared" si="34"/>
        <v>0</v>
      </c>
      <c r="N153" s="359">
        <f>SUMMARY!J156</f>
        <v>0.93843811429637136</v>
      </c>
      <c r="P153"/>
      <c r="Q153"/>
    </row>
    <row r="154" spans="1:17" s="167" customFormat="1">
      <c r="A154" s="169"/>
      <c r="B154" s="209" t="s">
        <v>101</v>
      </c>
      <c r="C154" s="557"/>
      <c r="D154" s="557"/>
      <c r="E154" s="210"/>
      <c r="F154" s="210"/>
      <c r="G154" s="210"/>
      <c r="H154" s="211"/>
      <c r="I154" s="336"/>
      <c r="J154" s="168"/>
      <c r="K154" s="168"/>
      <c r="M154" s="364"/>
      <c r="N154" s="359"/>
      <c r="P154"/>
      <c r="Q154"/>
    </row>
    <row r="155" spans="1:17" s="167" customFormat="1">
      <c r="A155" s="169">
        <v>440.1</v>
      </c>
      <c r="B155" s="163" t="s">
        <v>223</v>
      </c>
      <c r="C155" s="558">
        <f>'[9]Sch C'!D156</f>
        <v>0</v>
      </c>
      <c r="D155" s="558">
        <f>'[9]Sch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6"/>
      <c r="J155" s="168"/>
      <c r="K155" s="168"/>
      <c r="M155" s="364">
        <f t="shared" si="34"/>
        <v>0</v>
      </c>
      <c r="N155" s="359">
        <f>SUMMARY!J158</f>
        <v>4.8822158721856251E-4</v>
      </c>
      <c r="P155"/>
      <c r="Q155"/>
    </row>
    <row r="156" spans="1:17" s="167" customFormat="1">
      <c r="A156" s="169">
        <v>440.2</v>
      </c>
      <c r="B156" s="163" t="s">
        <v>224</v>
      </c>
      <c r="C156" s="558">
        <f>'[9]Sch C'!D157</f>
        <v>0</v>
      </c>
      <c r="D156" s="558">
        <f>'[9]Sch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6"/>
      <c r="J156" s="168"/>
      <c r="K156" s="168"/>
      <c r="M156" s="364">
        <f t="shared" si="34"/>
        <v>0</v>
      </c>
      <c r="N156" s="359">
        <f>SUMMARY!J159</f>
        <v>1.2467276061937458E-2</v>
      </c>
      <c r="P156"/>
      <c r="Q156"/>
    </row>
    <row r="157" spans="1:17" s="167" customFormat="1">
      <c r="A157" s="169">
        <v>440.3</v>
      </c>
      <c r="B157" s="163" t="s">
        <v>225</v>
      </c>
      <c r="C157" s="558">
        <f>'[9]Sch C'!D158</f>
        <v>0</v>
      </c>
      <c r="D157" s="558">
        <f>'[9]Sch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6"/>
      <c r="J157" s="168"/>
      <c r="K157" s="168"/>
      <c r="M157" s="364">
        <f t="shared" si="34"/>
        <v>0</v>
      </c>
      <c r="N157" s="359">
        <f>SUMMARY!J160</f>
        <v>8.8924926418415019E-3</v>
      </c>
      <c r="P157"/>
      <c r="Q157"/>
    </row>
    <row r="158" spans="1:17" s="167" customFormat="1">
      <c r="A158" s="169">
        <v>440.4</v>
      </c>
      <c r="B158" s="163" t="s">
        <v>226</v>
      </c>
      <c r="C158" s="558">
        <f>'[9]Sch C'!D159</f>
        <v>0</v>
      </c>
      <c r="D158" s="558">
        <f>'[9]Sch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6"/>
      <c r="J158" s="168"/>
      <c r="K158" s="168"/>
      <c r="M158" s="364">
        <f t="shared" si="34"/>
        <v>0</v>
      </c>
      <c r="N158" s="359">
        <f>SUMMARY!J161</f>
        <v>5.6176565792548166E-4</v>
      </c>
      <c r="P158"/>
      <c r="Q158"/>
    </row>
    <row r="159" spans="1:17" s="167" customFormat="1">
      <c r="A159" s="169">
        <v>440.5</v>
      </c>
      <c r="B159" s="163" t="s">
        <v>301</v>
      </c>
      <c r="C159" s="558">
        <f>'[9]Sch C'!D160</f>
        <v>0</v>
      </c>
      <c r="D159" s="558">
        <f>'[9]Sch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6"/>
      <c r="J159" s="168"/>
      <c r="K159" s="168"/>
      <c r="M159" s="364">
        <f t="shared" si="34"/>
        <v>0</v>
      </c>
      <c r="N159" s="359">
        <f>SUMMARY!J162</f>
        <v>1.6643468549097623E-2</v>
      </c>
      <c r="P159"/>
      <c r="Q159"/>
    </row>
    <row r="160" spans="1:17" s="167" customFormat="1">
      <c r="A160" s="169">
        <v>490</v>
      </c>
      <c r="B160" s="202" t="s">
        <v>315</v>
      </c>
      <c r="C160" s="558">
        <f>'[9]Sch C'!D161</f>
        <v>-127</v>
      </c>
      <c r="D160" s="558">
        <f>'[9]Sch C'!F161</f>
        <v>0</v>
      </c>
      <c r="E160" s="171">
        <f t="shared" si="41"/>
        <v>-127</v>
      </c>
      <c r="F160" s="171">
        <v>200</v>
      </c>
      <c r="G160" s="171">
        <f t="shared" si="42"/>
        <v>73</v>
      </c>
      <c r="H160" s="172">
        <f t="shared" si="43"/>
        <v>1.4050380043533081E-5</v>
      </c>
      <c r="I160" s="336"/>
      <c r="J160" s="168"/>
      <c r="K160" s="168"/>
      <c r="M160" s="364">
        <f t="shared" si="34"/>
        <v>3.1290184312044579E-3</v>
      </c>
      <c r="N160" s="359">
        <f>SUMMARY!J163</f>
        <v>0.85264911391265397</v>
      </c>
      <c r="P160"/>
      <c r="Q160"/>
    </row>
    <row r="161" spans="1:20" s="167" customFormat="1">
      <c r="A161" s="169"/>
      <c r="B161" s="170" t="s">
        <v>233</v>
      </c>
      <c r="C161" s="558">
        <f>SUM(C123:C160)</f>
        <v>1365025</v>
      </c>
      <c r="D161" s="558">
        <f>SUM(D123:D160)</f>
        <v>249062</v>
      </c>
      <c r="E161" s="171">
        <f t="shared" ref="E161:F161" si="44">SUM(E123:E160)</f>
        <v>1614087</v>
      </c>
      <c r="F161" s="171">
        <f t="shared" si="44"/>
        <v>309045</v>
      </c>
      <c r="G161" s="171">
        <f>SUM(G123:G160)</f>
        <v>1923132</v>
      </c>
      <c r="H161" s="172">
        <f t="shared" si="43"/>
        <v>0.37014706128602554</v>
      </c>
      <c r="I161" s="336"/>
      <c r="J161" s="168"/>
      <c r="K161" s="168"/>
      <c r="M161" s="364">
        <f>G161/G$228</f>
        <v>82.431718816973856</v>
      </c>
      <c r="N161" s="359">
        <f>SUMMARY!J164</f>
        <v>105.56901037202306</v>
      </c>
      <c r="O161" s="354">
        <f>M161/N161-1</f>
        <v>-0.21916745713077967</v>
      </c>
      <c r="P161"/>
      <c r="Q161"/>
    </row>
    <row r="162" spans="1:20" s="167" customFormat="1">
      <c r="A162" s="169"/>
      <c r="B162" s="170"/>
      <c r="C162" s="196"/>
      <c r="D162" s="196"/>
      <c r="E162" s="196"/>
      <c r="F162" s="196"/>
      <c r="G162" s="196"/>
      <c r="H162" s="197"/>
      <c r="I162" s="336"/>
      <c r="J162" s="168"/>
      <c r="K162" s="168"/>
      <c r="M162" s="359"/>
      <c r="N162" s="359"/>
      <c r="P162"/>
      <c r="Q162"/>
    </row>
    <row r="163" spans="1:20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6"/>
      <c r="J163" s="168"/>
      <c r="K163" s="168"/>
      <c r="M163" s="359"/>
      <c r="N163" s="359"/>
      <c r="P163"/>
      <c r="Q163"/>
    </row>
    <row r="164" spans="1:20" s="221" customFormat="1">
      <c r="A164" s="215" t="s">
        <v>95</v>
      </c>
      <c r="B164" s="148" t="s">
        <v>102</v>
      </c>
      <c r="C164" s="558">
        <f>'[9]Sch C'!D175</f>
        <v>0</v>
      </c>
      <c r="D164" s="558">
        <f>'[9]Sch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2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/>
      <c r="Q164"/>
      <c r="R164" s="220"/>
      <c r="S164" s="220"/>
      <c r="T164" s="220"/>
    </row>
    <row r="165" spans="1:20" s="221" customFormat="1">
      <c r="A165" s="215" t="s">
        <v>123</v>
      </c>
      <c r="B165" s="148" t="s">
        <v>103</v>
      </c>
      <c r="C165" s="558">
        <f>'[9]Sch C'!D176</f>
        <v>0</v>
      </c>
      <c r="D165" s="558">
        <f>'[9]Sch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3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/>
      <c r="Q165"/>
      <c r="R165" s="220"/>
      <c r="S165" s="220"/>
      <c r="T165" s="220"/>
    </row>
    <row r="166" spans="1:20" s="221" customFormat="1">
      <c r="A166" s="215" t="s">
        <v>124</v>
      </c>
      <c r="B166" s="148" t="s">
        <v>104</v>
      </c>
      <c r="C166" s="558">
        <f>'[9]Sch C'!D177</f>
        <v>149237</v>
      </c>
      <c r="D166" s="558">
        <f>'[9]Sch C'!F177</f>
        <v>9025</v>
      </c>
      <c r="E166" s="171">
        <f t="shared" si="45"/>
        <v>158262</v>
      </c>
      <c r="F166" s="216">
        <v>30013</v>
      </c>
      <c r="G166" s="171">
        <f t="shared" si="46"/>
        <v>188275</v>
      </c>
      <c r="H166" s="172">
        <f t="shared" si="47"/>
        <v>3.6237469899947819E-2</v>
      </c>
      <c r="I166" s="342"/>
      <c r="J166" s="217">
        <f>5073+979</f>
        <v>6052</v>
      </c>
      <c r="K166" s="217">
        <f>5380+1020</f>
        <v>6400</v>
      </c>
      <c r="L166" s="218"/>
      <c r="M166" s="364">
        <f t="shared" si="48"/>
        <v>8.0700814402057439</v>
      </c>
      <c r="N166" s="359">
        <f>SUMMARY!J169</f>
        <v>4.9060338253170936</v>
      </c>
      <c r="O166" s="220"/>
      <c r="P166"/>
      <c r="Q166"/>
      <c r="R166" s="220"/>
      <c r="S166" s="220"/>
      <c r="T166" s="220"/>
    </row>
    <row r="167" spans="1:20" s="221" customFormat="1">
      <c r="A167" s="215" t="s">
        <v>157</v>
      </c>
      <c r="B167" s="148" t="s">
        <v>105</v>
      </c>
      <c r="C167" s="558">
        <f>'[9]Sch C'!D178</f>
        <v>0</v>
      </c>
      <c r="D167" s="558">
        <f>'[9]Sch C'!F178</f>
        <v>20511</v>
      </c>
      <c r="E167" s="171">
        <f t="shared" si="45"/>
        <v>20511</v>
      </c>
      <c r="F167" s="216">
        <v>4230</v>
      </c>
      <c r="G167" s="171">
        <f t="shared" si="46"/>
        <v>24741</v>
      </c>
      <c r="H167" s="172">
        <f t="shared" si="47"/>
        <v>4.7619240090007123E-3</v>
      </c>
      <c r="I167" s="343"/>
      <c r="J167" s="222"/>
      <c r="K167" s="222"/>
      <c r="L167" s="218"/>
      <c r="M167" s="364">
        <f t="shared" si="48"/>
        <v>1.0604800685812259</v>
      </c>
      <c r="N167" s="359">
        <f>SUMMARY!J170</f>
        <v>0.8546059303297695</v>
      </c>
      <c r="O167" s="220"/>
      <c r="P167"/>
      <c r="Q167"/>
      <c r="R167" s="220"/>
      <c r="S167" s="220"/>
      <c r="T167" s="220"/>
    </row>
    <row r="168" spans="1:20" s="221" customFormat="1">
      <c r="A168" s="215" t="s">
        <v>158</v>
      </c>
      <c r="B168" s="148" t="s">
        <v>316</v>
      </c>
      <c r="C168" s="558">
        <f>'[9]Sch C'!D179</f>
        <v>26335</v>
      </c>
      <c r="D168" s="558">
        <f>'[9]Sch C'!F179</f>
        <v>1593</v>
      </c>
      <c r="E168" s="171">
        <f t="shared" si="45"/>
        <v>27928</v>
      </c>
      <c r="F168" s="216">
        <v>2859</v>
      </c>
      <c r="G168" s="171">
        <f t="shared" si="46"/>
        <v>30787</v>
      </c>
      <c r="H168" s="172">
        <f t="shared" si="47"/>
        <v>5.9256034301404517E-3</v>
      </c>
      <c r="I168" s="342"/>
      <c r="J168" s="217">
        <f>642+67</f>
        <v>709</v>
      </c>
      <c r="K168" s="217">
        <f>681+70</f>
        <v>751</v>
      </c>
      <c r="L168" s="218"/>
      <c r="M168" s="364">
        <f t="shared" si="48"/>
        <v>1.3196313759108445</v>
      </c>
      <c r="N168" s="359">
        <f>SUMMARY!J171</f>
        <v>0.79511806658504303</v>
      </c>
      <c r="O168" s="220"/>
      <c r="P168"/>
      <c r="Q168"/>
      <c r="R168" s="220"/>
      <c r="S168" s="220"/>
      <c r="T168" s="220"/>
    </row>
    <row r="169" spans="1:20" s="221" customFormat="1">
      <c r="A169" s="215" t="s">
        <v>86</v>
      </c>
      <c r="B169" s="148" t="s">
        <v>317</v>
      </c>
      <c r="C169" s="558">
        <f>'[9]Sch C'!D180</f>
        <v>0</v>
      </c>
      <c r="D169" s="558">
        <f>'[9]Sch C'!F180</f>
        <v>3620</v>
      </c>
      <c r="E169" s="171">
        <f t="shared" si="45"/>
        <v>3620</v>
      </c>
      <c r="F169" s="216">
        <v>403</v>
      </c>
      <c r="G169" s="171">
        <f t="shared" si="46"/>
        <v>4023</v>
      </c>
      <c r="H169" s="172">
        <f t="shared" si="47"/>
        <v>7.7431067007032307E-4</v>
      </c>
      <c r="I169" s="343"/>
      <c r="J169" s="222"/>
      <c r="K169" s="222"/>
      <c r="L169" s="218"/>
      <c r="M169" s="364">
        <f t="shared" si="48"/>
        <v>0.17243891984569223</v>
      </c>
      <c r="N169" s="359">
        <f>SUMMARY!J172</f>
        <v>0.1405217057636943</v>
      </c>
      <c r="O169" s="220"/>
      <c r="P169"/>
      <c r="Q169"/>
      <c r="R169" s="220"/>
      <c r="S169" s="220"/>
      <c r="T169" s="220"/>
    </row>
    <row r="170" spans="1:20" s="221" customFormat="1">
      <c r="A170" s="215" t="s">
        <v>96</v>
      </c>
      <c r="B170" s="148" t="s">
        <v>318</v>
      </c>
      <c r="C170" s="558">
        <f>'[9]Sch C'!D181</f>
        <v>0</v>
      </c>
      <c r="D170" s="558">
        <f>'[9]Sch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2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0.14856138086857354</v>
      </c>
      <c r="O170" s="220"/>
      <c r="P170"/>
      <c r="Q170"/>
      <c r="R170" s="220"/>
      <c r="S170" s="220"/>
      <c r="T170" s="220"/>
    </row>
    <row r="171" spans="1:20" s="221" customFormat="1">
      <c r="A171" s="215" t="s">
        <v>125</v>
      </c>
      <c r="B171" s="148" t="s">
        <v>109</v>
      </c>
      <c r="C171" s="558">
        <f>'[9]Sch C'!D182</f>
        <v>0</v>
      </c>
      <c r="D171" s="558">
        <f>'[9]Sch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3"/>
      <c r="J171" s="222"/>
      <c r="K171" s="222"/>
      <c r="L171" s="218"/>
      <c r="M171" s="364">
        <f t="shared" si="48"/>
        <v>0</v>
      </c>
      <c r="N171" s="359">
        <f>SUMMARY!J174</f>
        <v>2.2545547697802093E-2</v>
      </c>
      <c r="O171" s="220"/>
      <c r="P171"/>
      <c r="Q171"/>
      <c r="R171" s="220"/>
      <c r="S171" s="220"/>
      <c r="T171" s="220"/>
    </row>
    <row r="172" spans="1:20" s="221" customFormat="1">
      <c r="A172" s="215" t="s">
        <v>126</v>
      </c>
      <c r="B172" s="148" t="s">
        <v>319</v>
      </c>
      <c r="C172" s="558">
        <f>'[9]Sch C'!D183</f>
        <v>91470</v>
      </c>
      <c r="D172" s="558">
        <f>'[9]Sch C'!F183</f>
        <v>5532</v>
      </c>
      <c r="E172" s="171">
        <f t="shared" si="45"/>
        <v>97002</v>
      </c>
      <c r="F172" s="216">
        <v>20094</v>
      </c>
      <c r="G172" s="171">
        <f t="shared" si="46"/>
        <v>117096</v>
      </c>
      <c r="H172" s="172">
        <f t="shared" si="47"/>
        <v>2.2537579473665064E-2</v>
      </c>
      <c r="I172" s="342"/>
      <c r="J172" s="217">
        <f>3343+705</f>
        <v>4048</v>
      </c>
      <c r="K172" s="217">
        <f>3545+734</f>
        <v>4279</v>
      </c>
      <c r="L172" s="218"/>
      <c r="M172" s="364">
        <f t="shared" si="48"/>
        <v>5.0191170167166739</v>
      </c>
      <c r="N172" s="359">
        <f>SUMMARY!J175</f>
        <v>2.8660001223726335</v>
      </c>
      <c r="O172" s="220"/>
      <c r="P172"/>
      <c r="Q172"/>
      <c r="R172" s="220"/>
      <c r="S172" s="220"/>
      <c r="T172" s="220"/>
    </row>
    <row r="173" spans="1:20" s="221" customFormat="1">
      <c r="A173" s="215" t="s">
        <v>127</v>
      </c>
      <c r="B173" s="148" t="s">
        <v>111</v>
      </c>
      <c r="C173" s="558">
        <f>'[9]Sch C'!D184</f>
        <v>0</v>
      </c>
      <c r="D173" s="558">
        <f>'[9]Sch C'!F184</f>
        <v>12572</v>
      </c>
      <c r="E173" s="171">
        <f t="shared" si="45"/>
        <v>12572</v>
      </c>
      <c r="F173" s="216">
        <v>2832</v>
      </c>
      <c r="G173" s="171">
        <f t="shared" si="46"/>
        <v>15404</v>
      </c>
      <c r="H173" s="172">
        <f t="shared" si="47"/>
        <v>2.9648226601449806E-3</v>
      </c>
      <c r="I173" s="343"/>
      <c r="J173" s="222"/>
      <c r="K173" s="222"/>
      <c r="L173" s="218"/>
      <c r="M173" s="364">
        <f t="shared" si="48"/>
        <v>0.66026575225032147</v>
      </c>
      <c r="N173" s="359">
        <f>SUMMARY!J176</f>
        <v>0.45922325087038773</v>
      </c>
      <c r="O173" s="220"/>
      <c r="P173"/>
      <c r="Q173"/>
      <c r="R173" s="220"/>
      <c r="S173" s="220"/>
      <c r="T173" s="220"/>
    </row>
    <row r="174" spans="1:20" s="221" customFormat="1">
      <c r="A174" s="215" t="s">
        <v>128</v>
      </c>
      <c r="B174" s="148" t="s">
        <v>320</v>
      </c>
      <c r="C174" s="558">
        <f>'[9]Sch C'!D185</f>
        <v>0</v>
      </c>
      <c r="D174" s="558">
        <f>'[9]Sch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2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0</v>
      </c>
      <c r="O174" s="220"/>
      <c r="P174"/>
      <c r="Q174"/>
      <c r="R174" s="220"/>
      <c r="S174" s="220"/>
      <c r="T174" s="220"/>
    </row>
    <row r="175" spans="1:20" s="221" customFormat="1">
      <c r="A175" s="215" t="s">
        <v>129</v>
      </c>
      <c r="B175" s="148" t="s">
        <v>321</v>
      </c>
      <c r="C175" s="558">
        <f>'[9]Sch C'!D186</f>
        <v>0</v>
      </c>
      <c r="D175" s="558">
        <f>'[9]Sch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6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/>
      <c r="Q175"/>
      <c r="R175" s="220"/>
      <c r="S175" s="220"/>
    </row>
    <row r="176" spans="1:20" s="221" customFormat="1">
      <c r="A176" s="224" t="s">
        <v>293</v>
      </c>
      <c r="B176" s="148" t="s">
        <v>154</v>
      </c>
      <c r="C176" s="558">
        <f>'[9]Sch C'!D187</f>
        <v>0</v>
      </c>
      <c r="D176" s="558">
        <f>'[9]Sch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6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/>
      <c r="Q176"/>
      <c r="R176" s="220"/>
      <c r="S176" s="220"/>
    </row>
    <row r="177" spans="1:19" s="221" customFormat="1">
      <c r="A177" s="224" t="s">
        <v>294</v>
      </c>
      <c r="B177" s="148" t="s">
        <v>322</v>
      </c>
      <c r="C177" s="558">
        <f>'[9]Sch C'!D188</f>
        <v>82</v>
      </c>
      <c r="D177" s="558">
        <f>'[9]Sch C'!F188</f>
        <v>0</v>
      </c>
      <c r="E177" s="171">
        <f t="shared" si="45"/>
        <v>82</v>
      </c>
      <c r="F177" s="216">
        <v>0</v>
      </c>
      <c r="G177" s="171">
        <f t="shared" si="46"/>
        <v>82</v>
      </c>
      <c r="H177" s="172">
        <f t="shared" si="47"/>
        <v>1.5782618679037162E-5</v>
      </c>
      <c r="I177" s="336"/>
      <c r="J177" s="223"/>
      <c r="K177" s="218"/>
      <c r="L177" s="220"/>
      <c r="M177" s="364">
        <f t="shared" si="48"/>
        <v>3.5147878268324047E-3</v>
      </c>
      <c r="N177" s="359">
        <f>SUMMARY!J180</f>
        <v>0.30705480193530821</v>
      </c>
      <c r="O177" s="220"/>
      <c r="P177"/>
      <c r="Q177"/>
      <c r="R177" s="220"/>
      <c r="S177" s="220"/>
    </row>
    <row r="178" spans="1:19" s="221" customFormat="1">
      <c r="A178" s="224" t="s">
        <v>295</v>
      </c>
      <c r="B178" s="148" t="s">
        <v>323</v>
      </c>
      <c r="C178" s="558">
        <f>'[9]Sch C'!D189</f>
        <v>0</v>
      </c>
      <c r="D178" s="558">
        <f>'[9]Sch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6"/>
      <c r="J178" s="223"/>
      <c r="K178" s="218"/>
      <c r="L178" s="220"/>
      <c r="M178" s="364">
        <f t="shared" si="48"/>
        <v>0</v>
      </c>
      <c r="N178" s="359">
        <f>SUMMARY!J181</f>
        <v>5.3584457511323957E-2</v>
      </c>
      <c r="O178" s="220"/>
      <c r="P178"/>
      <c r="Q178"/>
      <c r="R178" s="220"/>
      <c r="S178" s="220"/>
    </row>
    <row r="179" spans="1:19" s="221" customFormat="1">
      <c r="A179" s="224" t="s">
        <v>296</v>
      </c>
      <c r="B179" s="148" t="s">
        <v>324</v>
      </c>
      <c r="C179" s="558">
        <f>'[9]Sch C'!D190</f>
        <v>0</v>
      </c>
      <c r="D179" s="558">
        <f>'[9]Sch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6"/>
      <c r="J179" s="223"/>
      <c r="K179" s="218"/>
      <c r="L179" s="220"/>
      <c r="M179" s="364">
        <f t="shared" si="48"/>
        <v>0</v>
      </c>
      <c r="N179" s="359">
        <f>SUMMARY!J182</f>
        <v>0</v>
      </c>
      <c r="O179" s="220"/>
      <c r="P179"/>
      <c r="Q179"/>
      <c r="R179" s="220"/>
      <c r="S179" s="220"/>
    </row>
    <row r="180" spans="1:19" s="221" customFormat="1">
      <c r="A180" s="224" t="s">
        <v>297</v>
      </c>
      <c r="B180" s="148" t="s">
        <v>325</v>
      </c>
      <c r="C180" s="558">
        <f>'[9]Sch C'!D191</f>
        <v>0</v>
      </c>
      <c r="D180" s="558">
        <f>'[9]Sch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6"/>
      <c r="J180" s="223"/>
      <c r="K180" s="218"/>
      <c r="L180" s="220"/>
      <c r="M180" s="364">
        <f t="shared" si="48"/>
        <v>0</v>
      </c>
      <c r="N180" s="359">
        <f>SUMMARY!J183</f>
        <v>0.1333235617560114</v>
      </c>
      <c r="O180" s="220"/>
      <c r="P180"/>
      <c r="Q180"/>
      <c r="R180" s="220"/>
      <c r="S180" s="220"/>
    </row>
    <row r="181" spans="1:19" s="221" customFormat="1">
      <c r="A181" s="224" t="s">
        <v>298</v>
      </c>
      <c r="B181" s="148" t="s">
        <v>117</v>
      </c>
      <c r="C181" s="558">
        <f>'[9]Sch C'!D192</f>
        <v>0</v>
      </c>
      <c r="D181" s="558">
        <f>'[9]Sch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6"/>
      <c r="J181" s="223"/>
      <c r="K181" s="218"/>
      <c r="L181" s="220"/>
      <c r="M181" s="364">
        <f t="shared" si="48"/>
        <v>0</v>
      </c>
      <c r="N181" s="359">
        <f>SUMMARY!J184</f>
        <v>0.29174571104570529</v>
      </c>
      <c r="O181" s="220"/>
      <c r="P181"/>
      <c r="Q181"/>
      <c r="R181" s="220"/>
      <c r="S181" s="220"/>
    </row>
    <row r="182" spans="1:19" s="221" customFormat="1">
      <c r="A182" s="224" t="s">
        <v>132</v>
      </c>
      <c r="B182" s="148" t="s">
        <v>118</v>
      </c>
      <c r="C182" s="558">
        <f>'[9]Sch C'!D193</f>
        <v>0</v>
      </c>
      <c r="D182" s="558">
        <f>'[9]Sch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6"/>
      <c r="J182" s="223"/>
      <c r="K182" s="218"/>
      <c r="L182" s="220"/>
      <c r="M182" s="364">
        <f t="shared" si="48"/>
        <v>0</v>
      </c>
      <c r="N182" s="359">
        <f>SUMMARY!J185</f>
        <v>7.0915905841295299E-2</v>
      </c>
      <c r="O182" s="220"/>
      <c r="P182"/>
      <c r="Q182"/>
      <c r="R182" s="220"/>
      <c r="S182" s="220"/>
    </row>
    <row r="183" spans="1:19" s="221" customFormat="1">
      <c r="A183" s="224" t="s">
        <v>133</v>
      </c>
      <c r="B183" s="148" t="s">
        <v>119</v>
      </c>
      <c r="C183" s="558">
        <f>'[9]Sch C'!D194</f>
        <v>630</v>
      </c>
      <c r="D183" s="558">
        <f>'[9]Sch C'!F194</f>
        <v>0</v>
      </c>
      <c r="E183" s="171">
        <f t="shared" si="45"/>
        <v>630</v>
      </c>
      <c r="F183" s="216">
        <v>0</v>
      </c>
      <c r="G183" s="171">
        <f t="shared" si="46"/>
        <v>630</v>
      </c>
      <c r="H183" s="172">
        <f t="shared" si="47"/>
        <v>1.212567044852855E-4</v>
      </c>
      <c r="I183" s="336"/>
      <c r="J183" s="223"/>
      <c r="K183" s="218"/>
      <c r="M183" s="364">
        <f t="shared" si="48"/>
        <v>2.700385769395628E-2</v>
      </c>
      <c r="N183" s="359">
        <f>SUMMARY!J186</f>
        <v>7.2780776577335544</v>
      </c>
      <c r="O183" s="220"/>
      <c r="P183"/>
      <c r="Q183"/>
      <c r="R183" s="220"/>
      <c r="S183" s="220"/>
    </row>
    <row r="184" spans="1:19" s="221" customFormat="1">
      <c r="A184" s="224" t="s">
        <v>134</v>
      </c>
      <c r="B184" s="148" t="s">
        <v>326</v>
      </c>
      <c r="C184" s="558">
        <f>'[9]Sch C'!D195</f>
        <v>0</v>
      </c>
      <c r="D184" s="558">
        <f>'[9]Sch C'!F195</f>
        <v>0</v>
      </c>
      <c r="E184" s="171">
        <f t="shared" si="45"/>
        <v>0</v>
      </c>
      <c r="F184" s="216">
        <v>0</v>
      </c>
      <c r="G184" s="171">
        <f t="shared" si="46"/>
        <v>0</v>
      </c>
      <c r="H184" s="172">
        <f t="shared" si="47"/>
        <v>0</v>
      </c>
      <c r="I184" s="336"/>
      <c r="J184" s="223"/>
      <c r="K184" s="218"/>
      <c r="M184" s="364">
        <f t="shared" si="48"/>
        <v>0</v>
      </c>
      <c r="N184" s="359">
        <f>SUMMARY!J187</f>
        <v>1.7471448792019588</v>
      </c>
      <c r="O184" s="220"/>
      <c r="P184"/>
      <c r="Q184"/>
      <c r="R184" s="220"/>
      <c r="S184" s="220"/>
    </row>
    <row r="185" spans="1:19" s="221" customFormat="1">
      <c r="A185" s="224" t="s">
        <v>135</v>
      </c>
      <c r="B185" s="148" t="s">
        <v>327</v>
      </c>
      <c r="C185" s="558">
        <f>'[9]Sch C'!D196</f>
        <v>0</v>
      </c>
      <c r="D185" s="558">
        <f>'[9]Sch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6"/>
      <c r="J185" s="223"/>
      <c r="K185" s="218"/>
      <c r="M185" s="364">
        <f t="shared" si="48"/>
        <v>0</v>
      </c>
      <c r="N185" s="359">
        <f>SUMMARY!J188</f>
        <v>0.10202169826083787</v>
      </c>
      <c r="O185" s="220"/>
      <c r="P185"/>
      <c r="Q185"/>
      <c r="R185" s="220"/>
      <c r="S185" s="220"/>
    </row>
    <row r="186" spans="1:19" s="221" customFormat="1">
      <c r="A186" s="224" t="s">
        <v>136</v>
      </c>
      <c r="B186" s="148" t="s">
        <v>328</v>
      </c>
      <c r="C186" s="558">
        <f>'[9]Sch C'!D197</f>
        <v>0</v>
      </c>
      <c r="D186" s="558">
        <f>'[9]Sch C'!F197</f>
        <v>0</v>
      </c>
      <c r="E186" s="171">
        <f t="shared" si="45"/>
        <v>0</v>
      </c>
      <c r="F186" s="216">
        <v>0</v>
      </c>
      <c r="G186" s="171">
        <f t="shared" si="46"/>
        <v>0</v>
      </c>
      <c r="H186" s="172">
        <f t="shared" si="47"/>
        <v>0</v>
      </c>
      <c r="I186" s="336"/>
      <c r="J186" s="223"/>
      <c r="K186" s="218"/>
      <c r="M186" s="364">
        <f t="shared" si="48"/>
        <v>0</v>
      </c>
      <c r="N186" s="359">
        <f>SUMMARY!J189</f>
        <v>5.0164683871805966</v>
      </c>
      <c r="O186" s="220"/>
      <c r="P186"/>
      <c r="Q186"/>
      <c r="R186" s="220"/>
      <c r="S186" s="220"/>
    </row>
    <row r="187" spans="1:19" s="221" customFormat="1">
      <c r="A187" s="224" t="s">
        <v>137</v>
      </c>
      <c r="B187" s="148" t="s">
        <v>122</v>
      </c>
      <c r="C187" s="558">
        <f>'[9]Sch C'!D198</f>
        <v>22921</v>
      </c>
      <c r="D187" s="558">
        <f>'[9]Sch C'!F198</f>
        <v>0</v>
      </c>
      <c r="E187" s="171">
        <f t="shared" si="45"/>
        <v>22921</v>
      </c>
      <c r="F187" s="216">
        <v>6529</v>
      </c>
      <c r="G187" s="171">
        <f t="shared" si="46"/>
        <v>29450</v>
      </c>
      <c r="H187" s="172">
        <f t="shared" si="47"/>
        <v>5.6682697572883458E-3</v>
      </c>
      <c r="I187" s="336"/>
      <c r="J187" s="223"/>
      <c r="K187" s="218"/>
      <c r="M187" s="364">
        <f t="shared" si="48"/>
        <v>1.2623231890270039</v>
      </c>
      <c r="N187" s="359">
        <f>SUMMARY!J190</f>
        <v>1.4762344610483848</v>
      </c>
      <c r="O187" s="220"/>
      <c r="P187"/>
      <c r="Q187"/>
      <c r="R187" s="220"/>
      <c r="S187" s="220"/>
    </row>
    <row r="188" spans="1:19" s="221" customFormat="1">
      <c r="A188" s="224" t="s">
        <v>275</v>
      </c>
      <c r="B188" s="148" t="s">
        <v>329</v>
      </c>
      <c r="C188" s="558">
        <f>'[9]Sch C'!D199</f>
        <v>0</v>
      </c>
      <c r="D188" s="558">
        <f>'[9]Sch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6"/>
      <c r="J188" s="223"/>
      <c r="K188" s="218"/>
      <c r="M188" s="364">
        <f t="shared" si="48"/>
        <v>0</v>
      </c>
      <c r="N188" s="359">
        <f>SUMMARY!J191</f>
        <v>0.3719273123267644</v>
      </c>
      <c r="O188" s="220"/>
      <c r="P188"/>
      <c r="Q188"/>
      <c r="R188" s="220"/>
      <c r="S188" s="220"/>
    </row>
    <row r="189" spans="1:19" s="221" customFormat="1">
      <c r="A189" s="224" t="s">
        <v>277</v>
      </c>
      <c r="B189" s="148" t="s">
        <v>278</v>
      </c>
      <c r="C189" s="558">
        <f>'[9]Sch C'!D200</f>
        <v>0</v>
      </c>
      <c r="D189" s="558">
        <f>'[9]Sch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6"/>
      <c r="J189" s="223"/>
      <c r="K189" s="218"/>
      <c r="M189" s="364">
        <f t="shared" si="48"/>
        <v>0</v>
      </c>
      <c r="N189" s="359">
        <f>SUMMARY!J192</f>
        <v>1.1168537736152406E-3</v>
      </c>
      <c r="O189" s="220"/>
      <c r="P189"/>
      <c r="Q189"/>
      <c r="R189" s="220"/>
      <c r="S189" s="220"/>
    </row>
    <row r="190" spans="1:19" s="221" customFormat="1">
      <c r="A190" s="225" t="s">
        <v>279</v>
      </c>
      <c r="B190" s="226" t="s">
        <v>280</v>
      </c>
      <c r="C190" s="558">
        <f>'[9]Sch C'!D201</f>
        <v>0</v>
      </c>
      <c r="D190" s="558">
        <f>'[9]Sch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6"/>
      <c r="J190" s="223"/>
      <c r="K190" s="218"/>
      <c r="M190" s="364">
        <f t="shared" si="48"/>
        <v>0</v>
      </c>
      <c r="N190" s="359">
        <f>SUMMARY!J193</f>
        <v>9.491156275925049E-3</v>
      </c>
      <c r="O190" s="220"/>
      <c r="P190"/>
      <c r="Q190"/>
      <c r="R190" s="220"/>
      <c r="S190" s="220"/>
    </row>
    <row r="191" spans="1:19" s="221" customFormat="1">
      <c r="A191" s="225" t="s">
        <v>281</v>
      </c>
      <c r="B191" s="226" t="s">
        <v>282</v>
      </c>
      <c r="C191" s="558">
        <f>'[9]Sch C'!D202</f>
        <v>0</v>
      </c>
      <c r="D191" s="558">
        <f>'[9]Sch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6"/>
      <c r="J191" s="223"/>
      <c r="K191" s="218"/>
      <c r="M191" s="364">
        <f t="shared" si="48"/>
        <v>0</v>
      </c>
      <c r="N191" s="359">
        <f>SUMMARY!J194</f>
        <v>1.256942821802872E-4</v>
      </c>
      <c r="O191" s="220"/>
      <c r="P191"/>
      <c r="Q191"/>
      <c r="R191" s="220"/>
      <c r="S191" s="220"/>
    </row>
    <row r="192" spans="1:19" s="221" customFormat="1">
      <c r="A192" s="225" t="s">
        <v>283</v>
      </c>
      <c r="B192" s="226" t="s">
        <v>330</v>
      </c>
      <c r="C192" s="558">
        <f>'[9]Sch C'!D203</f>
        <v>0</v>
      </c>
      <c r="D192" s="558">
        <f>'[9]Sch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6"/>
      <c r="J192" s="223"/>
      <c r="K192" s="218"/>
      <c r="M192" s="364">
        <f t="shared" si="48"/>
        <v>0</v>
      </c>
      <c r="N192" s="359">
        <f>SUMMARY!J195</f>
        <v>6.3845219287057137E-2</v>
      </c>
      <c r="O192" s="220"/>
      <c r="P192"/>
      <c r="Q192"/>
      <c r="R192" s="220"/>
      <c r="S192" s="220"/>
    </row>
    <row r="193" spans="1:19" s="221" customFormat="1">
      <c r="A193" s="225" t="s">
        <v>285</v>
      </c>
      <c r="B193" s="226" t="s">
        <v>331</v>
      </c>
      <c r="C193" s="558">
        <f>'[9]Sch C'!D204</f>
        <v>0</v>
      </c>
      <c r="D193" s="558">
        <f>'[9]Sch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6"/>
      <c r="J193" s="223"/>
      <c r="K193" s="218"/>
      <c r="M193" s="364">
        <f t="shared" si="48"/>
        <v>0</v>
      </c>
      <c r="N193" s="359">
        <f>SUMMARY!J196</f>
        <v>0</v>
      </c>
      <c r="O193" s="220"/>
      <c r="P193"/>
      <c r="Q193"/>
      <c r="R193" s="220"/>
      <c r="S193" s="220"/>
    </row>
    <row r="194" spans="1:19" s="221" customFormat="1">
      <c r="A194" s="224" t="s">
        <v>138</v>
      </c>
      <c r="B194" s="148" t="s">
        <v>332</v>
      </c>
      <c r="C194" s="558">
        <f>'[9]Sch C'!D205</f>
        <v>127759</v>
      </c>
      <c r="D194" s="558">
        <f>'[9]Sch C'!F205</f>
        <v>-16</v>
      </c>
      <c r="E194" s="171">
        <f t="shared" si="45"/>
        <v>127743</v>
      </c>
      <c r="F194" s="216">
        <v>15821</v>
      </c>
      <c r="G194" s="171">
        <f t="shared" si="46"/>
        <v>143564</v>
      </c>
      <c r="H194" s="172">
        <f t="shared" si="47"/>
        <v>2.7631900829723059E-2</v>
      </c>
      <c r="I194" s="336"/>
      <c r="J194" s="223"/>
      <c r="K194" s="218"/>
      <c r="M194" s="364">
        <f t="shared" si="48"/>
        <v>6.1536219459922847</v>
      </c>
      <c r="N194" s="359">
        <f>SUMMARY!J197</f>
        <v>9.4138592764245246</v>
      </c>
      <c r="O194" s="220"/>
      <c r="P194"/>
      <c r="Q194"/>
      <c r="R194" s="220"/>
      <c r="S194" s="220"/>
    </row>
    <row r="195" spans="1:19" s="221" customFormat="1">
      <c r="A195" s="224" t="s">
        <v>139</v>
      </c>
      <c r="B195" s="148" t="s">
        <v>67</v>
      </c>
      <c r="C195" s="558">
        <f>'[9]Sch C'!D206</f>
        <v>9016</v>
      </c>
      <c r="D195" s="558">
        <f>'[9]Sch C'!F206</f>
        <v>0</v>
      </c>
      <c r="E195" s="171">
        <f t="shared" si="45"/>
        <v>9016</v>
      </c>
      <c r="F195" s="216">
        <v>1672</v>
      </c>
      <c r="G195" s="171">
        <f t="shared" si="46"/>
        <v>10688</v>
      </c>
      <c r="H195" s="172">
        <f t="shared" si="47"/>
        <v>2.0571296151408436E-3</v>
      </c>
      <c r="I195" s="336"/>
      <c r="J195" s="223"/>
      <c r="K195" s="218"/>
      <c r="M195" s="364">
        <f t="shared" si="48"/>
        <v>0.45812258894127733</v>
      </c>
      <c r="N195" s="359">
        <f>SUMMARY!J198</f>
        <v>0.50303072526897752</v>
      </c>
      <c r="O195" s="220"/>
      <c r="P195"/>
      <c r="Q195"/>
      <c r="R195" s="220"/>
      <c r="S195" s="220"/>
    </row>
    <row r="196" spans="1:19" s="221" customFormat="1">
      <c r="A196" s="225" t="s">
        <v>143</v>
      </c>
      <c r="B196" s="194" t="s">
        <v>333</v>
      </c>
      <c r="C196" s="558">
        <f>'[9]Sch C'!D207</f>
        <v>62928</v>
      </c>
      <c r="D196" s="558">
        <f>'[9]Sch C'!F207</f>
        <v>-1562</v>
      </c>
      <c r="E196" s="171">
        <f t="shared" si="45"/>
        <v>61366</v>
      </c>
      <c r="F196" s="216">
        <v>634</v>
      </c>
      <c r="G196" s="171">
        <f t="shared" si="46"/>
        <v>62000</v>
      </c>
      <c r="H196" s="172">
        <f t="shared" si="47"/>
        <v>1.1933199489028096E-2</v>
      </c>
      <c r="I196" s="336"/>
      <c r="J196" s="223"/>
      <c r="K196" s="218"/>
      <c r="M196" s="364">
        <f t="shared" si="48"/>
        <v>2.6575225032147451</v>
      </c>
      <c r="N196" s="359">
        <f>SUMMARY!J199</f>
        <v>0.37420738931321718</v>
      </c>
      <c r="O196" s="220"/>
      <c r="P196"/>
      <c r="Q196"/>
      <c r="R196" s="220"/>
      <c r="S196" s="220"/>
    </row>
    <row r="197" spans="1:19" s="167" customFormat="1">
      <c r="A197" s="163"/>
      <c r="B197" s="212" t="s">
        <v>130</v>
      </c>
      <c r="C197" s="558">
        <f>SUM(C164:C196)</f>
        <v>490378</v>
      </c>
      <c r="D197" s="558">
        <f>SUM(D164:D196)</f>
        <v>51275</v>
      </c>
      <c r="E197" s="171">
        <f t="shared" ref="E197:F197" si="49">SUM(E164:E196)</f>
        <v>541653</v>
      </c>
      <c r="F197" s="171">
        <f t="shared" si="49"/>
        <v>85087</v>
      </c>
      <c r="G197" s="171">
        <f>SUM(G164:G196)</f>
        <v>626740</v>
      </c>
      <c r="H197" s="172">
        <f>IF($G$208=0,0,G197/$G$208)</f>
        <v>0.12062924915731402</v>
      </c>
      <c r="I197" s="336"/>
      <c r="J197" s="168"/>
      <c r="K197" s="168"/>
      <c r="M197" s="364">
        <f>G197/G$228</f>
        <v>26.864123446206602</v>
      </c>
      <c r="N197" s="359">
        <f>SUMMARY!J200</f>
        <v>37.406784978272242</v>
      </c>
      <c r="O197" s="354"/>
      <c r="P197"/>
      <c r="Q197"/>
    </row>
    <row r="198" spans="1:19" s="167" customFormat="1">
      <c r="A198" s="163"/>
      <c r="C198" s="165"/>
      <c r="D198" s="165"/>
      <c r="E198" s="165"/>
      <c r="F198" s="165"/>
      <c r="G198" s="165"/>
      <c r="H198" s="198"/>
      <c r="I198" s="340"/>
      <c r="J198" s="168"/>
      <c r="K198" s="168"/>
      <c r="M198" s="359"/>
      <c r="N198" s="359"/>
      <c r="P198"/>
      <c r="Q198"/>
    </row>
    <row r="199" spans="1:19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0"/>
      <c r="J199" s="168"/>
      <c r="K199" s="168"/>
      <c r="M199" s="359"/>
      <c r="N199" s="359"/>
      <c r="P199"/>
      <c r="Q199"/>
    </row>
    <row r="200" spans="1:19" s="167" customFormat="1">
      <c r="A200" s="169" t="s">
        <v>85</v>
      </c>
      <c r="B200" s="170" t="s">
        <v>69</v>
      </c>
      <c r="C200" s="558">
        <f>'[9]Sch C'!D211</f>
        <v>48104</v>
      </c>
      <c r="D200" s="558">
        <f>'[9]Sch C'!F211</f>
        <v>2909</v>
      </c>
      <c r="E200" s="171">
        <f t="shared" ref="E200:E205" si="50">C200+D200</f>
        <v>51013</v>
      </c>
      <c r="F200" s="171">
        <v>15465</v>
      </c>
      <c r="G200" s="171">
        <f t="shared" ref="G200:G205" si="51">E200+F200</f>
        <v>66478</v>
      </c>
      <c r="H200" s="172">
        <f t="shared" ref="H200:H206" si="52">IF($G$208=0,0,G200/$G$208)</f>
        <v>1.2795084445671127E-2</v>
      </c>
      <c r="I200" s="336"/>
      <c r="J200" s="183">
        <f>3723+1149</f>
        <v>4872</v>
      </c>
      <c r="K200" s="183">
        <f>3948+1197</f>
        <v>5145</v>
      </c>
      <c r="M200" s="364">
        <f t="shared" ref="M200:M205" si="53">G200/G$228</f>
        <v>2.8494642091727389</v>
      </c>
      <c r="N200" s="359">
        <f>SUMMARY!J203</f>
        <v>5.2601700809246292</v>
      </c>
      <c r="P200"/>
      <c r="Q200"/>
    </row>
    <row r="201" spans="1:19" s="167" customFormat="1">
      <c r="A201" s="169" t="s">
        <v>86</v>
      </c>
      <c r="B201" s="170" t="s">
        <v>45</v>
      </c>
      <c r="C201" s="558">
        <f>'[9]Sch C'!D212</f>
        <v>0</v>
      </c>
      <c r="D201" s="558">
        <f>'[9]Sch C'!F212</f>
        <v>6612</v>
      </c>
      <c r="E201" s="171">
        <f t="shared" si="50"/>
        <v>6612</v>
      </c>
      <c r="F201" s="171">
        <v>2180</v>
      </c>
      <c r="G201" s="171">
        <f t="shared" si="51"/>
        <v>8792</v>
      </c>
      <c r="H201" s="172">
        <f t="shared" si="52"/>
        <v>1.6922046759279843E-3</v>
      </c>
      <c r="I201" s="336"/>
      <c r="J201" s="168"/>
      <c r="K201" s="168"/>
      <c r="M201" s="364">
        <f t="shared" si="53"/>
        <v>0.37685383626232322</v>
      </c>
      <c r="N201" s="359">
        <f>SUMMARY!J204</f>
        <v>1.0692430699343443</v>
      </c>
      <c r="P201"/>
      <c r="Q201"/>
    </row>
    <row r="202" spans="1:19" s="167" customFormat="1">
      <c r="A202" s="169" t="s">
        <v>140</v>
      </c>
      <c r="B202" s="170" t="s">
        <v>54</v>
      </c>
      <c r="C202" s="558">
        <f>'[9]Sch C'!D213</f>
        <v>1663</v>
      </c>
      <c r="D202" s="558">
        <f>'[9]Sch C'!F213</f>
        <v>0</v>
      </c>
      <c r="E202" s="171">
        <f t="shared" si="50"/>
        <v>1663</v>
      </c>
      <c r="F202" s="171">
        <v>955</v>
      </c>
      <c r="G202" s="171">
        <f t="shared" si="51"/>
        <v>2618</v>
      </c>
      <c r="H202" s="172">
        <f t="shared" si="52"/>
        <v>5.0388897197218641E-4</v>
      </c>
      <c r="I202" s="336"/>
      <c r="J202" s="168"/>
      <c r="K202" s="168"/>
      <c r="M202" s="364">
        <f t="shared" si="53"/>
        <v>0.11221603086155164</v>
      </c>
      <c r="N202" s="359">
        <f>SUMMARY!J205</f>
        <v>0.45326453571252473</v>
      </c>
      <c r="P202"/>
      <c r="Q202"/>
    </row>
    <row r="203" spans="1:19" s="167" customFormat="1">
      <c r="A203" s="169" t="s">
        <v>141</v>
      </c>
      <c r="B203" s="170" t="s">
        <v>70</v>
      </c>
      <c r="C203" s="558">
        <f>'[9]Sch C'!D214</f>
        <v>0</v>
      </c>
      <c r="D203" s="558">
        <f>'[9]Sch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6"/>
      <c r="J203" s="168"/>
      <c r="K203" s="168"/>
      <c r="M203" s="364">
        <f t="shared" si="53"/>
        <v>0</v>
      </c>
      <c r="N203" s="359">
        <f>SUMMARY!J206</f>
        <v>6.3990415636810301E-3</v>
      </c>
      <c r="P203"/>
      <c r="Q203"/>
    </row>
    <row r="204" spans="1:19" s="167" customFormat="1">
      <c r="A204" s="169" t="s">
        <v>142</v>
      </c>
      <c r="B204" s="202" t="s">
        <v>71</v>
      </c>
      <c r="C204" s="558">
        <f>'[9]Sch C'!D215</f>
        <v>0</v>
      </c>
      <c r="D204" s="558">
        <f>'[9]Sch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6"/>
      <c r="J204" s="168"/>
      <c r="K204" s="168"/>
      <c r="M204" s="364">
        <f t="shared" si="53"/>
        <v>0</v>
      </c>
      <c r="N204" s="359">
        <f>SUMMARY!J207</f>
        <v>0</v>
      </c>
      <c r="P204"/>
      <c r="Q204"/>
    </row>
    <row r="205" spans="1:19" s="167" customFormat="1">
      <c r="A205" s="169" t="s">
        <v>143</v>
      </c>
      <c r="B205" s="170" t="s">
        <v>312</v>
      </c>
      <c r="C205" s="558">
        <f>'[9]Sch C'!D216</f>
        <v>1699</v>
      </c>
      <c r="D205" s="558">
        <f>'[9]Sch C'!F216</f>
        <v>0</v>
      </c>
      <c r="E205" s="171">
        <f t="shared" si="50"/>
        <v>1699</v>
      </c>
      <c r="F205" s="171">
        <v>1618.9799999999814</v>
      </c>
      <c r="G205" s="171">
        <f t="shared" si="51"/>
        <v>3317.9799999999814</v>
      </c>
      <c r="H205" s="172">
        <f t="shared" si="52"/>
        <v>6.3861479420331002E-4</v>
      </c>
      <c r="I205" s="336"/>
      <c r="J205" s="168"/>
      <c r="K205" s="168"/>
      <c r="M205" s="364">
        <f t="shared" si="53"/>
        <v>0.14221945992284532</v>
      </c>
      <c r="N205" s="359">
        <f>SUMMARY!J208</f>
        <v>0.36243287087155324</v>
      </c>
      <c r="P205"/>
      <c r="Q205"/>
    </row>
    <row r="206" spans="1:19" s="167" customFormat="1">
      <c r="A206" s="163"/>
      <c r="B206" s="170" t="s">
        <v>144</v>
      </c>
      <c r="C206" s="558">
        <f>SUM(C200:C205)</f>
        <v>51466</v>
      </c>
      <c r="D206" s="558">
        <f>SUM(D200:D205)</f>
        <v>9521</v>
      </c>
      <c r="E206" s="171">
        <f t="shared" ref="E206:F206" si="54">SUM(E200:E205)</f>
        <v>60987</v>
      </c>
      <c r="F206" s="171">
        <f t="shared" si="54"/>
        <v>20218.979999999981</v>
      </c>
      <c r="G206" s="171">
        <f>SUM(G200:G205)</f>
        <v>81205.979999999981</v>
      </c>
      <c r="H206" s="172">
        <f t="shared" si="52"/>
        <v>1.5629792887774607E-2</v>
      </c>
      <c r="I206" s="336"/>
      <c r="J206" s="168"/>
      <c r="K206" s="168"/>
      <c r="M206" s="364">
        <f>G206/G$228</f>
        <v>3.480753536219459</v>
      </c>
      <c r="N206" s="359">
        <f>SUMMARY!J209</f>
        <v>7.1515095990067339</v>
      </c>
      <c r="O206" s="354">
        <f>M206/N206-1</f>
        <v>-0.51328408526461355</v>
      </c>
      <c r="P206"/>
      <c r="Q206"/>
    </row>
    <row r="207" spans="1:19" s="167" customFormat="1">
      <c r="A207" s="163"/>
      <c r="C207" s="165"/>
      <c r="D207" s="165"/>
      <c r="E207" s="165"/>
      <c r="F207" s="165"/>
      <c r="G207" s="165"/>
      <c r="H207" s="198"/>
      <c r="I207" s="340"/>
      <c r="J207" s="168"/>
      <c r="K207" s="168"/>
      <c r="M207" s="359"/>
      <c r="N207" s="359"/>
      <c r="P207"/>
      <c r="Q207"/>
    </row>
    <row r="208" spans="1:19" s="167" customFormat="1">
      <c r="A208" s="227"/>
      <c r="B208" s="228" t="s">
        <v>145</v>
      </c>
      <c r="C208" s="558">
        <f>SUM(C25:C206)/2</f>
        <v>4608399</v>
      </c>
      <c r="D208" s="558">
        <f>SUM(D25:D206)/2</f>
        <v>-79547</v>
      </c>
      <c r="E208" s="171">
        <f t="shared" ref="E208:F208" si="55">SUM(E25:E206)/2</f>
        <v>4528852</v>
      </c>
      <c r="F208" s="171">
        <f t="shared" si="55"/>
        <v>666737</v>
      </c>
      <c r="G208" s="171">
        <f>SUM(G25:G206)/2</f>
        <v>5195589</v>
      </c>
      <c r="H208" s="172">
        <f>IF($G$208=0,0,G208/$G$208)</f>
        <v>1</v>
      </c>
      <c r="I208" s="336"/>
      <c r="J208" s="183">
        <f>SUM(J25:J200)</f>
        <v>131616.33333333331</v>
      </c>
      <c r="K208" s="183">
        <f>SUM(K25:K200)</f>
        <v>139082</v>
      </c>
      <c r="M208" s="364">
        <f>G208/G$228</f>
        <v>222.69991427346764</v>
      </c>
      <c r="N208" s="359">
        <f>SUMMARY!J211</f>
        <v>266.32123907464864</v>
      </c>
      <c r="O208" s="358" t="s">
        <v>466</v>
      </c>
      <c r="P208"/>
      <c r="Q208"/>
    </row>
    <row r="209" spans="1:17" s="167" customFormat="1">
      <c r="A209" s="163"/>
      <c r="B209" s="170"/>
      <c r="C209" s="165"/>
      <c r="D209" s="165"/>
      <c r="E209" s="165"/>
      <c r="F209"/>
      <c r="G209"/>
      <c r="I209" s="332"/>
      <c r="J209" s="168"/>
      <c r="K209" s="168"/>
      <c r="O209" s="553">
        <f>SUM(O61:O206)</f>
        <v>-1.8655350270563393</v>
      </c>
      <c r="P209"/>
      <c r="Q209"/>
    </row>
    <row r="210" spans="1:17" s="167" customFormat="1">
      <c r="A210" s="163"/>
      <c r="B210" s="170"/>
      <c r="C210" s="165"/>
      <c r="D210" s="165"/>
      <c r="E210" s="165"/>
      <c r="F210"/>
      <c r="G210"/>
      <c r="I210" s="332"/>
      <c r="J210" s="168"/>
      <c r="K210" s="168"/>
      <c r="P210"/>
      <c r="Q210"/>
    </row>
    <row r="211" spans="1:17" s="167" customFormat="1">
      <c r="A211" s="163"/>
      <c r="B211" s="228" t="s">
        <v>181</v>
      </c>
      <c r="C211" s="558">
        <f>'[9]Sch C'!D221</f>
        <v>4608399</v>
      </c>
      <c r="D211" s="196"/>
      <c r="E211" s="165"/>
      <c r="F211" s="459" t="s">
        <v>482</v>
      </c>
      <c r="G211"/>
      <c r="I211" s="332"/>
      <c r="J211" s="168"/>
      <c r="K211" s="168"/>
      <c r="P211"/>
      <c r="Q211"/>
    </row>
    <row r="212" spans="1:17" s="167" customFormat="1">
      <c r="A212" s="163"/>
      <c r="B212" s="170" t="s">
        <v>147</v>
      </c>
      <c r="C212" s="558">
        <f>C208-C211</f>
        <v>0</v>
      </c>
      <c r="D212" s="229"/>
      <c r="E212" s="165"/>
      <c r="F212" s="459" t="s">
        <v>478</v>
      </c>
      <c r="G212"/>
      <c r="I212" s="332"/>
      <c r="J212" s="168"/>
      <c r="K212" s="168"/>
      <c r="P212"/>
      <c r="Q212"/>
    </row>
    <row r="213" spans="1:17" s="167" customFormat="1">
      <c r="A213" s="163"/>
      <c r="B213" s="230"/>
      <c r="C213" s="576"/>
      <c r="D213" s="232"/>
      <c r="E213" s="232"/>
      <c r="F213" s="596" t="s">
        <v>481</v>
      </c>
      <c r="G213" s="232"/>
      <c r="H213" s="166"/>
      <c r="I213" s="335"/>
      <c r="J213" s="168"/>
      <c r="K213" s="168"/>
      <c r="P213"/>
      <c r="Q213"/>
    </row>
    <row r="214" spans="1:17" s="167" customFormat="1">
      <c r="A214" s="169"/>
      <c r="B214" s="228"/>
      <c r="C214" s="165"/>
      <c r="D214" s="165"/>
      <c r="E214" s="165"/>
      <c r="F214" s="165"/>
      <c r="G214" s="165"/>
      <c r="I214" s="332"/>
      <c r="J214" s="168"/>
      <c r="K214" s="168"/>
      <c r="P214"/>
      <c r="Q214"/>
    </row>
    <row r="215" spans="1:17" s="167" customFormat="1">
      <c r="A215" s="163"/>
      <c r="B215" s="228" t="s">
        <v>78</v>
      </c>
      <c r="C215" s="558">
        <f>C21-C208</f>
        <v>3675</v>
      </c>
      <c r="D215" s="558">
        <f>D21-D208</f>
        <v>79547</v>
      </c>
      <c r="E215" s="171">
        <f t="shared" ref="E215:F215" si="56">E21-E208</f>
        <v>83222</v>
      </c>
      <c r="F215" s="171">
        <f t="shared" si="56"/>
        <v>315033</v>
      </c>
      <c r="G215" s="171">
        <f>G21-G208</f>
        <v>398255</v>
      </c>
      <c r="I215" s="332"/>
      <c r="J215" s="168"/>
      <c r="K215" s="168"/>
      <c r="M215" s="356"/>
      <c r="N215" s="359"/>
      <c r="P215"/>
      <c r="Q215"/>
    </row>
    <row r="216" spans="1:17" s="167" customFormat="1">
      <c r="A216" s="163"/>
      <c r="B216" s="228"/>
      <c r="C216" s="196"/>
      <c r="D216" s="196"/>
      <c r="E216" s="196"/>
      <c r="F216" s="196"/>
      <c r="G216" s="196"/>
      <c r="I216" s="332"/>
      <c r="J216" s="168"/>
      <c r="K216" s="168"/>
      <c r="P216"/>
      <c r="Q216"/>
    </row>
    <row r="217" spans="1:17" s="167" customFormat="1">
      <c r="A217" s="163"/>
      <c r="B217" s="228"/>
      <c r="C217" s="196"/>
      <c r="D217" s="196"/>
      <c r="E217" s="196"/>
      <c r="F217" s="196"/>
      <c r="G217" s="196"/>
      <c r="I217" s="332"/>
      <c r="J217" s="168"/>
      <c r="K217" s="168"/>
      <c r="P217"/>
      <c r="Q217"/>
    </row>
    <row r="218" spans="1:17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5"/>
      <c r="J218" s="168"/>
      <c r="K218" s="168"/>
    </row>
    <row r="219" spans="1:17">
      <c r="A219" s="163"/>
      <c r="B219" s="170" t="s">
        <v>218</v>
      </c>
      <c r="C219" s="592">
        <f>'[9]Sch D'!C9</f>
        <v>13499</v>
      </c>
      <c r="D219" s="592"/>
      <c r="E219" s="235">
        <f t="shared" ref="E219:G227" si="57">C219+D219</f>
        <v>13499</v>
      </c>
      <c r="F219" s="234">
        <v>2739</v>
      </c>
      <c r="G219" s="235">
        <f t="shared" si="57"/>
        <v>16238</v>
      </c>
      <c r="H219" s="172">
        <f t="shared" ref="H219:H228" si="58">IF($G$228=0,0,G219/$G$228)</f>
        <v>0.69601371624517794</v>
      </c>
      <c r="I219" s="336"/>
      <c r="J219" s="168"/>
      <c r="K219" s="168"/>
    </row>
    <row r="220" spans="1:17">
      <c r="A220" s="163"/>
      <c r="B220" s="170" t="s">
        <v>217</v>
      </c>
      <c r="C220" s="592">
        <f>'[9]Sch D'!D9</f>
        <v>0</v>
      </c>
      <c r="D220" s="592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6"/>
      <c r="J220" s="168"/>
      <c r="K220" s="168"/>
    </row>
    <row r="221" spans="1:17">
      <c r="A221" s="163"/>
      <c r="B221" s="170" t="s">
        <v>72</v>
      </c>
      <c r="C221" s="592">
        <f>'[9]Sch D'!E9</f>
        <v>1815</v>
      </c>
      <c r="D221" s="592"/>
      <c r="E221" s="235">
        <f t="shared" si="59"/>
        <v>1815</v>
      </c>
      <c r="F221" s="234">
        <v>355</v>
      </c>
      <c r="G221" s="235">
        <f t="shared" si="57"/>
        <v>2170</v>
      </c>
      <c r="H221" s="172">
        <f t="shared" si="58"/>
        <v>9.301328761251608E-2</v>
      </c>
      <c r="I221" s="336"/>
      <c r="J221" s="168"/>
      <c r="K221" s="168"/>
    </row>
    <row r="222" spans="1:17">
      <c r="A222" s="163"/>
      <c r="B222" s="202" t="s">
        <v>334</v>
      </c>
      <c r="C222" s="592">
        <f>'[9]Sch D'!F9</f>
        <v>1897</v>
      </c>
      <c r="D222" s="592"/>
      <c r="E222" s="235">
        <f>C222+D222</f>
        <v>1897</v>
      </c>
      <c r="F222" s="234">
        <v>274</v>
      </c>
      <c r="G222" s="235">
        <f>E222+F222</f>
        <v>2171</v>
      </c>
      <c r="H222" s="172">
        <f t="shared" si="58"/>
        <v>9.3056150878696953E-2</v>
      </c>
      <c r="I222" s="336"/>
      <c r="J222" s="168"/>
      <c r="K222" s="168"/>
    </row>
    <row r="223" spans="1:17">
      <c r="A223" s="163"/>
      <c r="B223" s="170" t="s">
        <v>73</v>
      </c>
      <c r="C223" s="592">
        <f>'[9]Sch D'!G9</f>
        <v>0</v>
      </c>
      <c r="D223" s="592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6"/>
      <c r="J223" s="168"/>
      <c r="K223" s="168"/>
    </row>
    <row r="224" spans="1:17">
      <c r="A224" s="163"/>
      <c r="B224" s="170" t="s">
        <v>74</v>
      </c>
      <c r="C224" s="592">
        <f>'[9]Sch D'!H9</f>
        <v>171</v>
      </c>
      <c r="D224" s="592"/>
      <c r="E224" s="235">
        <f t="shared" si="59"/>
        <v>171</v>
      </c>
      <c r="F224" s="234">
        <v>32</v>
      </c>
      <c r="G224" s="235">
        <f t="shared" si="57"/>
        <v>203</v>
      </c>
      <c r="H224" s="172">
        <f t="shared" si="58"/>
        <v>8.7012430347192457E-3</v>
      </c>
      <c r="I224" s="336"/>
      <c r="J224" s="168"/>
      <c r="K224" s="168"/>
    </row>
    <row r="225" spans="1:11">
      <c r="A225" s="163"/>
      <c r="B225" s="170" t="s">
        <v>236</v>
      </c>
      <c r="C225" s="592">
        <f>'[9]Sch D'!I9</f>
        <v>0</v>
      </c>
      <c r="D225" s="592"/>
      <c r="E225" s="235">
        <f t="shared" si="59"/>
        <v>0</v>
      </c>
      <c r="F225" s="234">
        <v>0</v>
      </c>
      <c r="G225" s="235">
        <f t="shared" si="57"/>
        <v>0</v>
      </c>
      <c r="H225" s="172">
        <f t="shared" si="58"/>
        <v>0</v>
      </c>
      <c r="I225" s="336"/>
      <c r="J225" s="168"/>
      <c r="K225" s="168"/>
    </row>
    <row r="226" spans="1:11">
      <c r="A226" s="163"/>
      <c r="B226" s="170" t="s">
        <v>235</v>
      </c>
      <c r="C226" s="592">
        <f>'[9]Sch D'!J9</f>
        <v>2080</v>
      </c>
      <c r="D226" s="592"/>
      <c r="E226" s="235">
        <f>C226+D226</f>
        <v>2080</v>
      </c>
      <c r="F226" s="234">
        <v>468</v>
      </c>
      <c r="G226" s="235">
        <f>E226+F226</f>
        <v>2548</v>
      </c>
      <c r="H226" s="172">
        <f t="shared" si="58"/>
        <v>0.10921560222888985</v>
      </c>
      <c r="I226" s="336"/>
      <c r="J226" s="168"/>
      <c r="K226" s="168"/>
    </row>
    <row r="227" spans="1:11">
      <c r="A227" s="163"/>
      <c r="B227" s="170" t="s">
        <v>179</v>
      </c>
      <c r="C227" s="592">
        <f>'[9]Sch D'!K9</f>
        <v>0</v>
      </c>
      <c r="D227" s="592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6"/>
      <c r="J227" s="168"/>
      <c r="K227" s="168"/>
    </row>
    <row r="228" spans="1:11" ht="16" thickBot="1">
      <c r="A228" s="163"/>
      <c r="B228" s="236" t="s">
        <v>75</v>
      </c>
      <c r="C228" s="592">
        <f>SUM(C219:C227)</f>
        <v>19462</v>
      </c>
      <c r="D228" s="592">
        <f>SUM(D219:D227)</f>
        <v>0</v>
      </c>
      <c r="E228" s="237">
        <f>SUM(E219:E227)</f>
        <v>19462</v>
      </c>
      <c r="F228" s="237">
        <f>SUM(F219:F227)</f>
        <v>3868</v>
      </c>
      <c r="G228" s="237">
        <f>SUM(G219:G227)</f>
        <v>23330</v>
      </c>
      <c r="H228" s="172">
        <f t="shared" si="58"/>
        <v>1</v>
      </c>
      <c r="I228" s="336"/>
      <c r="J228" s="168"/>
      <c r="K228" s="168"/>
    </row>
    <row r="229" spans="1:11" ht="16" thickTop="1">
      <c r="A229" s="163"/>
      <c r="B229" s="167"/>
      <c r="C229" s="577"/>
      <c r="D229" s="238"/>
      <c r="E229" s="232"/>
      <c r="F229" s="238"/>
      <c r="G229" s="232"/>
      <c r="H229" s="167"/>
      <c r="J229" s="168"/>
      <c r="K229" s="168"/>
    </row>
    <row r="230" spans="1:11">
      <c r="A230" s="163"/>
      <c r="B230" s="233" t="s">
        <v>160</v>
      </c>
      <c r="C230" s="576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593">
        <f>'[9]Sch D'!N22</f>
        <v>108</v>
      </c>
      <c r="D231" s="559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593">
        <f>'[9]Sch D'!N24</f>
        <v>108</v>
      </c>
      <c r="D232" s="559"/>
      <c r="E232" s="235">
        <f>C232+D232</f>
        <v>108</v>
      </c>
      <c r="F232" s="235"/>
      <c r="G232" s="235">
        <f>E232+F232</f>
        <v>108</v>
      </c>
      <c r="H232" s="167"/>
      <c r="J232" s="168"/>
      <c r="K232" s="168"/>
    </row>
    <row r="233" spans="1:11">
      <c r="A233" s="163"/>
      <c r="B233" s="202" t="s">
        <v>483</v>
      </c>
      <c r="C233" s="593">
        <f>$C$4-$C$3+1-61</f>
        <v>305</v>
      </c>
      <c r="D233" s="483"/>
      <c r="E233" s="235">
        <f>C233+D233</f>
        <v>305</v>
      </c>
      <c r="F233" s="239">
        <v>61</v>
      </c>
      <c r="G233" s="235">
        <f>E233+F233</f>
        <v>366</v>
      </c>
      <c r="H233" s="167"/>
      <c r="J233" s="168"/>
      <c r="K233" s="168"/>
    </row>
    <row r="234" spans="1:11">
      <c r="A234" s="163"/>
      <c r="B234" s="599" t="s">
        <v>484</v>
      </c>
      <c r="C234" s="578"/>
      <c r="D234" s="239"/>
      <c r="E234" s="242"/>
      <c r="F234" s="239"/>
      <c r="G234" s="242"/>
      <c r="H234" s="167"/>
      <c r="J234" s="168"/>
      <c r="K234" s="168"/>
    </row>
    <row r="235" spans="1:11" ht="26.5">
      <c r="A235" s="163"/>
      <c r="B235" s="243" t="s">
        <v>335</v>
      </c>
      <c r="C235" s="593">
        <f>'[9]Sch D'!N28</f>
        <v>32940</v>
      </c>
      <c r="D235" s="483"/>
      <c r="E235" s="234">
        <f>E231*E233</f>
        <v>32940</v>
      </c>
      <c r="F235" s="239"/>
      <c r="G235" s="234">
        <f>G231*G233</f>
        <v>39528</v>
      </c>
      <c r="H235" s="167"/>
      <c r="J235" s="168"/>
      <c r="K235" s="168"/>
    </row>
    <row r="236" spans="1:11" ht="26.5">
      <c r="A236" s="163"/>
      <c r="B236" s="243" t="s">
        <v>336</v>
      </c>
      <c r="C236" s="594">
        <f>'[9]Sch D'!N30</f>
        <v>0.59083181542197938</v>
      </c>
      <c r="D236" s="239"/>
      <c r="E236" s="244">
        <f>E228/E235</f>
        <v>0.59083181542197938</v>
      </c>
      <c r="F236" s="245"/>
      <c r="G236" s="244">
        <f>G228/G235</f>
        <v>0.59021453147136205</v>
      </c>
      <c r="H236" s="167"/>
      <c r="J236" s="168"/>
      <c r="K236" s="168"/>
    </row>
    <row r="237" spans="1:11" ht="26.5">
      <c r="A237" s="163"/>
      <c r="B237" s="243" t="s">
        <v>337</v>
      </c>
      <c r="C237" s="594">
        <f>'[9]Sch D'!N32</f>
        <v>0.40980570734669097</v>
      </c>
      <c r="D237" s="239"/>
      <c r="E237" s="244">
        <f>(E219+E220)/E235</f>
        <v>0.40980570734669097</v>
      </c>
      <c r="F237" s="245"/>
      <c r="G237" s="244">
        <f>(G219+G220)/G235</f>
        <v>0.41079740943128923</v>
      </c>
      <c r="H237" s="167"/>
      <c r="J237" s="168"/>
      <c r="K237" s="168"/>
    </row>
    <row r="238" spans="1:11" ht="26.5">
      <c r="A238" s="163"/>
      <c r="B238" s="243" t="s">
        <v>338</v>
      </c>
      <c r="C238" s="594">
        <f>'[9]Sch D'!N34</f>
        <v>0.6936080567259274</v>
      </c>
      <c r="D238" s="239"/>
      <c r="E238" s="244">
        <f>(E237/E236)</f>
        <v>0.6936080567259274</v>
      </c>
      <c r="F238" s="245"/>
      <c r="G238" s="244">
        <f>(G237/G236)</f>
        <v>0.69601371624517794</v>
      </c>
      <c r="H238" s="167"/>
      <c r="J238" s="168"/>
      <c r="K238" s="168"/>
    </row>
    <row r="241" spans="2:8">
      <c r="B241" s="148" t="s">
        <v>339</v>
      </c>
      <c r="E241"/>
      <c r="F241" s="142" t="s">
        <v>340</v>
      </c>
      <c r="G241" s="558">
        <v>268.52307692307693</v>
      </c>
    </row>
    <row r="242" spans="2:8">
      <c r="E242"/>
      <c r="F242" s="142" t="s">
        <v>341</v>
      </c>
      <c r="G242" s="558">
        <v>211.53846153846155</v>
      </c>
    </row>
    <row r="243" spans="2:8">
      <c r="E243"/>
      <c r="F243" s="142" t="s">
        <v>342</v>
      </c>
      <c r="G243" s="558">
        <v>292.20338983050846</v>
      </c>
    </row>
    <row r="244" spans="2:8">
      <c r="E244"/>
      <c r="F244" s="142" t="s">
        <v>343</v>
      </c>
      <c r="G244" s="558">
        <f>200*1/3+203*2/3</f>
        <v>202</v>
      </c>
      <c r="H244"/>
    </row>
    <row r="245" spans="2:8">
      <c r="E245"/>
      <c r="F245" s="142"/>
    </row>
  </sheetData>
  <customSheetViews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horizontalDpi="300" verticalDpi="300" r:id="rId3"/>
  <headerFooter alignWithMargins="0"/>
  <ignoredErrors>
    <ignoredError sqref="F35 F25 F73 F108 F64:F66 F4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86</vt:i4>
      </vt:variant>
      <vt:variant>
        <vt:lpstr>Named Ranges</vt:lpstr>
      </vt:variant>
      <vt:variant>
        <vt:i4>30</vt:i4>
      </vt:variant>
    </vt:vector>
  </HeadingPairs>
  <TitlesOfParts>
    <vt:vector size="116" baseType="lpstr">
      <vt:lpstr>ALPINE VALLEY</vt:lpstr>
      <vt:lpstr>AVALON BOUNTIFUL</vt:lpstr>
      <vt:lpstr>AVALON VALLEY</vt:lpstr>
      <vt:lpstr>BENNION dba AV West</vt:lpstr>
      <vt:lpstr>CANYON RIM</vt:lpstr>
      <vt:lpstr>CANYONLANDS</vt:lpstr>
      <vt:lpstr>CASCADES at RIVERWALK</vt:lpstr>
      <vt:lpstr>CENTRAL UT VH -PAYSON</vt:lpstr>
      <vt:lpstr>CITY CREEK &amp;CC-BV</vt:lpstr>
      <vt:lpstr>COPPER RIDGE &amp;Cop Ridg-BV</vt:lpstr>
      <vt:lpstr>CORAL DESERT -BV</vt:lpstr>
      <vt:lpstr>COUNTRY LIFE</vt:lpstr>
      <vt:lpstr>CRESTWOOD</vt:lpstr>
      <vt:lpstr>DRAPER &amp; DRAPER-BV</vt:lpstr>
      <vt:lpstr>EMERY COUNTY</vt:lpstr>
      <vt:lpstr>FAIRVIEW</vt:lpstr>
      <vt:lpstr>FOUR CORNERS -BV</vt:lpstr>
      <vt:lpstr>HARRISON POINTE En</vt:lpstr>
      <vt:lpstr>HAZEN</vt:lpstr>
      <vt:lpstr>HERITAGE CARE</vt:lpstr>
      <vt:lpstr>HERITAGE HILLS</vt:lpstr>
      <vt:lpstr>HERITAGE PARK </vt:lpstr>
      <vt:lpstr>HIGHLAND</vt:lpstr>
      <vt:lpstr>HILLSIDE</vt:lpstr>
      <vt:lpstr>HOLLADAY, HOLLADAY -BV En</vt:lpstr>
      <vt:lpstr>HURRICANE, HURRICANE -BV En</vt:lpstr>
      <vt:lpstr>IRON COUNTY</vt:lpstr>
      <vt:lpstr>KOLOB, BELLA TERRA C C</vt:lpstr>
      <vt:lpstr>KOLOB, BELLA TERRA S G</vt:lpstr>
      <vt:lpstr>LIFE CARE BOUNTIFUL</vt:lpstr>
      <vt:lpstr>LIFE CARE OF SLC</vt:lpstr>
      <vt:lpstr>Little Cottonwood &amp; BV</vt:lpstr>
      <vt:lpstr>LOMOND PEAK, LOM PK -BV</vt:lpstr>
      <vt:lpstr>MANOR CARE &amp; So Odgen -BV</vt:lpstr>
      <vt:lpstr>MEADOW BROOK, MEADOW BROOK -BV</vt:lpstr>
      <vt:lpstr>MIDTOWN</vt:lpstr>
      <vt:lpstr>MILLARD COUNTY</vt:lpstr>
      <vt:lpstr>MILLCREEK&amp; MILLCREEK -BV</vt:lpstr>
      <vt:lpstr>Mission at Bear River- GVH</vt:lpstr>
      <vt:lpstr>MISSION at Comm Lvng -GVH</vt:lpstr>
      <vt:lpstr>MTN VIEW</vt:lpstr>
      <vt:lpstr>MT OGDEN &amp; MT OGDEN -BV</vt:lpstr>
      <vt:lpstr>MT. OLYMPUS -BV</vt:lpstr>
      <vt:lpstr>NORTH CANYON</vt:lpstr>
      <vt:lpstr>OGDEN VA, George E. Wahlen</vt:lpstr>
      <vt:lpstr>ORCHARD PARK, Cascades at OP</vt:lpstr>
      <vt:lpstr>OREM &amp; OREM -BV</vt:lpstr>
      <vt:lpstr>PARAMOUNT&amp; PARAMOUNT -BV</vt:lpstr>
      <vt:lpstr>PARKDALE -BV</vt:lpstr>
      <vt:lpstr>PARKWAY</vt:lpstr>
      <vt:lpstr>PINE CREEK, PINE CREEK -BV</vt:lpstr>
      <vt:lpstr>PINNACLE &amp; PINNACLE -BV</vt:lpstr>
      <vt:lpstr>PIONEER</vt:lpstr>
      <vt:lpstr>PROVO REHAB &amp; PROVO -BV</vt:lpstr>
      <vt:lpstr>RED CLIFFS -BV</vt:lpstr>
      <vt:lpstr>RICHFIELD</vt:lpstr>
      <vt:lpstr>RMC CLEARFIELD -BVH</vt:lpstr>
      <vt:lpstr>RMC Cottage on Vine -BVH</vt:lpstr>
      <vt:lpstr>RMC HUNTER HOLLOW&amp;BVH</vt:lpstr>
      <vt:lpstr>RMC Logan -BVH</vt:lpstr>
      <vt:lpstr>RMC Mountain View -BVH</vt:lpstr>
      <vt:lpstr>RMC RIVERTON</vt:lpstr>
      <vt:lpstr>RMC Willow Springs -BVH</vt:lpstr>
      <vt:lpstr>SANDY HLTH &amp; REHAB -BV</vt:lpstr>
      <vt:lpstr>SEASONS</vt:lpstr>
      <vt:lpstr>SOUTH DAVIS, SOUTH DAVIS -BV</vt:lpstr>
      <vt:lpstr>Southern UT VH-IVINS</vt:lpstr>
      <vt:lpstr>SPANISH FORK, SPANISH FORK -BV</vt:lpstr>
      <vt:lpstr>SPRING CREEK -BV</vt:lpstr>
      <vt:lpstr>ST GEORGE</vt:lpstr>
      <vt:lpstr>ST JOSEPH VILLA, ST JOSEPH -BV</vt:lpstr>
      <vt:lpstr>STONEHENGE of AM FORK</vt:lpstr>
      <vt:lpstr>STONEHENGE, OGDEN</vt:lpstr>
      <vt:lpstr>STONEHENGE, OREM</vt:lpstr>
      <vt:lpstr>STONEHENGE, RICHFIELD</vt:lpstr>
      <vt:lpstr>STONEHENGE SPRINGVILLE</vt:lpstr>
      <vt:lpstr>SUNSHINE TERRACE</vt:lpstr>
      <vt:lpstr>UINTAH BASIN REHAB</vt:lpstr>
      <vt:lpstr>UINTAH CARE</vt:lpstr>
      <vt:lpstr>Utah Valley R&amp;H</vt:lpstr>
      <vt:lpstr>VA Salt Lake (W.E.C. SLVH)</vt:lpstr>
      <vt:lpstr>WASHINGTON TERRACE</vt:lpstr>
      <vt:lpstr>WILLOW GLEN</vt:lpstr>
      <vt:lpstr>WILLOW WOOD</vt:lpstr>
      <vt:lpstr>WOODLAND</vt:lpstr>
      <vt:lpstr>SUMMARY</vt:lpstr>
      <vt:lpstr>'LIFE CARE OF SLC'!Print_Area</vt:lpstr>
      <vt:lpstr>'Little Cottonwood &amp; BV'!Print_Area</vt:lpstr>
      <vt:lpstr>'LOMOND PEAK, LOM PK -BV'!Print_Area</vt:lpstr>
      <vt:lpstr>'PARAMOUNT&amp; PARAMOUNT -BV'!Print_Area</vt:lpstr>
      <vt:lpstr>SUMMARY!Print_Area</vt:lpstr>
      <vt:lpstr>CRESTWOOD!Print_Titles</vt:lpstr>
      <vt:lpstr>FAIRVIEW!Print_Titles</vt:lpstr>
      <vt:lpstr>'FOUR CORNERS -BV'!Print_Titles</vt:lpstr>
      <vt:lpstr>'HERITAGE CARE'!Print_Titles</vt:lpstr>
      <vt:lpstr>'HERITAGE HILLS'!Print_Titles</vt:lpstr>
      <vt:lpstr>'HERITAGE PARK '!Print_Titles</vt:lpstr>
      <vt:lpstr>HIGHLAND!Print_Titles</vt:lpstr>
      <vt:lpstr>HILLSIDE!Print_Titles</vt:lpstr>
      <vt:lpstr>'HOLLADAY, HOLLADAY -BV En'!Print_Titles</vt:lpstr>
      <vt:lpstr>'KOLOB, BELLA TERRA C C'!Print_Titles</vt:lpstr>
      <vt:lpstr>'KOLOB, BELLA TERRA S G'!Print_Titles</vt:lpstr>
      <vt:lpstr>'LIFE CARE OF SLC'!Print_Titles</vt:lpstr>
      <vt:lpstr>'Little Cottonwood &amp; BV'!Print_Titles</vt:lpstr>
      <vt:lpstr>'LOMOND PEAK, LOM PK -BV'!Print_Titles</vt:lpstr>
      <vt:lpstr>MIDTOWN!Print_Titles</vt:lpstr>
      <vt:lpstr>'MILLCREEK&amp; MILLCREEK -BV'!Print_Titles</vt:lpstr>
      <vt:lpstr>'PARAMOUNT&amp; PARAMOUNT -BV'!Print_Titles</vt:lpstr>
      <vt:lpstr>'PINE CREEK, PINE CREEK -BV'!Print_Titles</vt:lpstr>
      <vt:lpstr>'PROVO REHAB &amp; PROVO -BV'!Print_Titles</vt:lpstr>
      <vt:lpstr>'RMC Logan -BVH'!Print_Titles</vt:lpstr>
      <vt:lpstr>'SPANISH FORK, SPANISH FORK -BV'!Print_Titles</vt:lpstr>
      <vt:lpstr>SUMMARY!Print_Titles</vt:lpstr>
      <vt:lpstr>'WASHINGTON TERRACE'!Print_Titles</vt:lpstr>
      <vt:lpstr>'WILLOW WOOD'!Print_Titles</vt:lpstr>
      <vt:lpstr>WOODLAND!Print_Titles</vt:lpstr>
    </vt:vector>
  </TitlesOfParts>
  <Company>UTAH DEPT of HEALTH - HCF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Price</dc:creator>
  <cp:lastModifiedBy>Cody Simonsen</cp:lastModifiedBy>
  <cp:lastPrinted>2016-10-03T22:21:00Z</cp:lastPrinted>
  <dcterms:created xsi:type="dcterms:W3CDTF">1999-03-26T16:15:21Z</dcterms:created>
  <dcterms:modified xsi:type="dcterms:W3CDTF">2020-07-01T16:12:46Z</dcterms:modified>
</cp:coreProperties>
</file>